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Validation" sheetId="2" r:id="rId2"/>
    <sheet name="Data Dictionary" sheetId="3" r:id="rId3"/>
    <sheet name="metadata_schema" sheetId="4" r:id="rId4"/>
    <sheet name="metadata_form" sheetId="5" r:id="rId5"/>
    <sheet name="Instructions" sheetId="6" r:id="rId6"/>
  </sheets>
  <calcPr calcId="124519" fullCalcOnLoad="1"/>
</workbook>
</file>

<file path=xl/sharedStrings.xml><?xml version="1.0" encoding="utf-8"?>
<sst xmlns="http://schemas.openxmlformats.org/spreadsheetml/2006/main" count="67" uniqueCount="36">
  <si>
    <t>sample_id</t>
  </si>
  <si>
    <t>sample_name</t>
  </si>
  <si>
    <t>No more than 1000 samples can be entered in this worksheet.  If you need to submit metadata for &gt;1000 samples, please contact CMI directly.</t>
  </si>
  <si>
    <t>env_biome</t>
  </si>
  <si>
    <t>env_feature</t>
  </si>
  <si>
    <t>host_age</t>
  </si>
  <si>
    <t>host_age_units</t>
  </si>
  <si>
    <t>host_common_name</t>
  </si>
  <si>
    <t>host_scientific_name</t>
  </si>
  <si>
    <t>host_taxid</t>
  </si>
  <si>
    <t>host_weight</t>
  </si>
  <si>
    <t>host_weight_units</t>
  </si>
  <si>
    <t>is_absent</t>
  </si>
  <si>
    <t>is_valid_row</t>
  </si>
  <si>
    <t>row_in_metadata</t>
  </si>
  <si>
    <t>row_order_weight</t>
  </si>
  <si>
    <t>row_rank</t>
  </si>
  <si>
    <t>is_valid_col</t>
  </si>
  <si>
    <t>col_in_metadata</t>
  </si>
  <si>
    <t>col_order_weight</t>
  </si>
  <si>
    <t>col_rank</t>
  </si>
  <si>
    <t>field name</t>
  </si>
  <si>
    <t>field description</t>
  </si>
  <si>
    <t>The value must be a string and must be unique and the value must contain only alphanumeric characters and/or periods.</t>
  </si>
  <si>
    <t>The value must be a string and must equal "urban biome". The default value is urban biome.</t>
  </si>
  <si>
    <t>The value must be a string and must equal "animal-associated habitat". The default value is animal-associated habitat.</t>
  </si>
  <si>
    <t>Host age in appropriate units. The value must be a string and must equal "not applicable" or must equal "missing: not collected" or must equal "missing: not provided" or must equal "missing: restricted access" or the value must be a number and &gt;0. The default value is missing: not provided.</t>
  </si>
  <si>
    <t>The value must be a string and must equal "weeks". The default value is weeks.</t>
  </si>
  <si>
    <t>The value must be a string and must equal "mouse". The default value is mouse.</t>
  </si>
  <si>
    <t>The value must be a string and must equal "Mus musculus". The default value is Mus musculus.</t>
  </si>
  <si>
    <t>The value must be a string and must equal "10090". The default value is 10090.</t>
  </si>
  <si>
    <t>In grams preferred. . The value must be a string and must equal "not applicable" or must equal "missing: not collected" or must equal "missing: not provided" or must equal "missing: restricted access" or the value must be a number and &gt;0. The default value is missing: not provided.</t>
  </si>
  <si>
    <t>The value must be a string and must equal "g". The default value is g.</t>
  </si>
  <si>
    <t xml:space="preserve">env_biome:
  allowed:
  - urban biome
  default: urban biome
  empty: false
  is_phi: false
  required: true
  type: string
env_feature:
  allowed:
  - animal-associated habitat
  default: animal-associated habitat
  empty: false
  is_phi: false
  required: true
  type: string
host_age:
  anyof:
  - allowed:
    - not applicable
    - 'missing: not collected'
    - 'missing: not provided'
    - 'missing: restricted access'
    type: string
  - min_exclusive: '0'
    type: number
  default: 'missing: not provided'
  empty: false
  field_desc: Host age in appropriate units.
  is_phi: false
  required: true
  units: host_age_units
host_age_units:
  allowed:
  - weeks
  default: weeks
  empty: false
  is_phi: false
  required: true
  type: string
host_common_name:
  allowed:
  - mouse
  default: mouse
  empty: false
  is_phi: false
  required: true
  type: string
host_scientific_name:
  allowed:
  - Mus musculus
  default: Mus musculus
  empty: false
  is_phi: false
  required: true
  type: string
host_taxid:
  allowed:
  - '10090'
  default: '10090'
  empty: false
  is_phi: false
  required: true
  type: string
host_weight:
  anyof:
  - allowed:
    - not applicable
    - 'missing: not collected'
    - 'missing: not provided'
    - 'missing: restricted access'
    type: string
  - min_exclusive: '0'
    type: number
  default: 'missing: not provided'
  empty: false
  field_desc: 'In grams preferred. '
  is_phi: false
  required: true
  units: host_weight_units
host_weight_units:
  allowed:
  - g
  default: g
  empty: false
  is_phi: false
  required: true
  type: string
sample_name:
  empty: false
  is_phi: false
  regex: ^[a-zA-Z0-9\.]+$
  required: true
  type: string
  unique: true
</t>
  </si>
  <si>
    <t xml:space="preserve">0:
  categorical_default_select: urban biome
  categorical_values: urban biome
  default_value: categorical_default
  field_name: env_biome
  field_type: categorical
1:
  categorical_default_select: animal-associated habitat
  categorical_values: animal-associated habitat
  default_value: categorical_default
  field_name: env_feature
  field_type: categorical
2:
  categorical_default_select: mouse
  categorical_values: mouse
  default_value: categorical_default
  field_name: host_common_name
  field_type: categorical
3:
  categorical_default_select: Mus musculus
  categorical_values: Mus musculus
  default_value: categorical_default
  field_name: host_scientific_name
  field_type: categorical
4:
  categorical_default_select: '10090'
  categorical_values: '10090'
  default_value: categorical_default
  field_name: host_taxid
  field_type: categorical
6:
  allowed_missing_default_select: ebi_not_provided
  allowed_missing_vals[]:
  - ebi_not_applicable
  - ebi_not_collected
  - ebi_not_provided
  - ebi_restricted
  data_type: number
  default_value: allowed_missing_default
  field_desc: Host age in appropriate units.
  field_name: host_age
  field_type: continuous
  maximum_comparison: no_comparison
  minimum_comparison: min_exclusive
  minimum_value: '0'
  units: weeks
7:
  allowed_missing_default_select: ebi_not_provided
  allowed_missing_vals[]:
  - ebi_not_applicable
  - ebi_not_collected
  - ebi_not_provided
  - ebi_restricted
  data_type: number
  default_value: allowed_missing_default
  field_desc: 'In grams preferred. '
  field_name: host_weight
  field_type: continuous
  maximum_comparison: no_comparison
  minimum_comparison: min_exclusive
  minimum_value: '0'
  units: g
</t>
  </si>
  <si>
    <t>This file was created by the Metadata Wizard v0.3 at 2018-04-25 18:49:18.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</si>
</sst>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b/>
      <sz val="11"/>
      <color theme="1"/>
      <name val="Cambria"/>
      <family val="2"/>
    </font>
    <font>
      <u/>
      <sz val="11"/>
      <color rgb="FF0000FF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 applyProtection="1">
      <protection locked="0"/>
    </xf>
    <xf numFmtId="0" fontId="1" fillId="0" borderId="0" xfId="0" applyFont="1" applyProtection="1">
      <protection locked="0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">
    <dxf>
      <font>
        <color rgb="FFC6EFCE"/>
      </font>
      <fill>
        <patternFill>
          <bgColor rgb="FFC6EFCE"/>
        </patternFill>
      </fill>
    </dxf>
    <dxf>
      <font>
        <u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zeroHeight="1"/>
  <cols>
    <col min="1" max="1" width="0" hidden="1" customWidth="1"/>
    <col min="2" max="2" width="9.140625" style="1"/>
    <col min="3" max="3" width="9.140625" style="1"/>
    <col min="4" max="4" width="9.140625" style="1"/>
    <col min="5" max="5" width="9.140625" style="2"/>
    <col min="6" max="6" width="9.140625" style="1"/>
    <col min="7" max="7" width="9.140625" style="1"/>
    <col min="8" max="8" width="9.140625" style="1"/>
    <col min="9" max="9" width="9.140625" style="1"/>
    <col min="10" max="10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</row>
    <row r="2" spans="1:11">
      <c r="A2">
        <f>IF(COUNTBLANK(B2:K2)&lt;&gt;COLUMNS(B2:K2),1,"")</f>
        <v>0</v>
      </c>
      <c r="C2" s="1">
        <f>IF(B2="", "", "urban biome")</f>
        <v>0</v>
      </c>
      <c r="D2" s="1">
        <f>IF(B2="", "", "animal-associated habitat")</f>
        <v>0</v>
      </c>
      <c r="E2" s="2">
        <f>IF(B2="", "", "missing: not provided")</f>
        <v>0</v>
      </c>
      <c r="F2" s="1">
        <f>IF(B2="", "", "weeks")</f>
        <v>0</v>
      </c>
      <c r="G2" s="1">
        <f>IF(B2="", "", "mouse")</f>
        <v>0</v>
      </c>
      <c r="H2" s="1">
        <f>IF(B2="", "", "Mus musculus")</f>
        <v>0</v>
      </c>
      <c r="I2" s="1">
        <f>IF(B2="", "", "10090")</f>
        <v>0</v>
      </c>
      <c r="J2" s="2">
        <f>IF(B2="", "", "missing: not provided")</f>
        <v>0</v>
      </c>
      <c r="K2" s="1">
        <f>IF(B2="", "", "g")</f>
        <v>0</v>
      </c>
    </row>
    <row r="3" spans="1:11">
      <c r="A3">
        <f>IF(COUNTBLANK(B3:K3)&lt;&gt;COLUMNS(B3:K3),2,"")</f>
        <v>0</v>
      </c>
      <c r="C3" s="1">
        <f>IF(B3="", "", "urban biome")</f>
        <v>0</v>
      </c>
      <c r="D3" s="1">
        <f>IF(B3="", "", "animal-associated habitat")</f>
        <v>0</v>
      </c>
      <c r="E3" s="2">
        <f>IF(B3="", "", "missing: not provided")</f>
        <v>0</v>
      </c>
      <c r="F3" s="1">
        <f>IF(B3="", "", "weeks")</f>
        <v>0</v>
      </c>
      <c r="G3" s="1">
        <f>IF(B3="", "", "mouse")</f>
        <v>0</v>
      </c>
      <c r="H3" s="1">
        <f>IF(B3="", "", "Mus musculus")</f>
        <v>0</v>
      </c>
      <c r="I3" s="1">
        <f>IF(B3="", "", "10090")</f>
        <v>0</v>
      </c>
      <c r="J3" s="2">
        <f>IF(B3="", "", "missing: not provided")</f>
        <v>0</v>
      </c>
      <c r="K3" s="1">
        <f>IF(B3="", "", "g")</f>
        <v>0</v>
      </c>
    </row>
    <row r="4" spans="1:11">
      <c r="A4">
        <f>IF(COUNTBLANK(B4:K4)&lt;&gt;COLUMNS(B4:K4),3,"")</f>
        <v>0</v>
      </c>
      <c r="C4" s="1">
        <f>IF(B4="", "", "urban biome")</f>
        <v>0</v>
      </c>
      <c r="D4" s="1">
        <f>IF(B4="", "", "animal-associated habitat")</f>
        <v>0</v>
      </c>
      <c r="E4" s="2">
        <f>IF(B4="", "", "missing: not provided")</f>
        <v>0</v>
      </c>
      <c r="F4" s="1">
        <f>IF(B4="", "", "weeks")</f>
        <v>0</v>
      </c>
      <c r="G4" s="1">
        <f>IF(B4="", "", "mouse")</f>
        <v>0</v>
      </c>
      <c r="H4" s="1">
        <f>IF(B4="", "", "Mus musculus")</f>
        <v>0</v>
      </c>
      <c r="I4" s="1">
        <f>IF(B4="", "", "10090")</f>
        <v>0</v>
      </c>
      <c r="J4" s="2">
        <f>IF(B4="", "", "missing: not provided")</f>
        <v>0</v>
      </c>
      <c r="K4" s="1">
        <f>IF(B4="", "", "g")</f>
        <v>0</v>
      </c>
    </row>
    <row r="5" spans="1:11">
      <c r="A5">
        <f>IF(COUNTBLANK(B5:K5)&lt;&gt;COLUMNS(B5:K5),4,"")</f>
        <v>0</v>
      </c>
      <c r="C5" s="1">
        <f>IF(B5="", "", "urban biome")</f>
        <v>0</v>
      </c>
      <c r="D5" s="1">
        <f>IF(B5="", "", "animal-associated habitat")</f>
        <v>0</v>
      </c>
      <c r="E5" s="2">
        <f>IF(B5="", "", "missing: not provided")</f>
        <v>0</v>
      </c>
      <c r="F5" s="1">
        <f>IF(B5="", "", "weeks")</f>
        <v>0</v>
      </c>
      <c r="G5" s="1">
        <f>IF(B5="", "", "mouse")</f>
        <v>0</v>
      </c>
      <c r="H5" s="1">
        <f>IF(B5="", "", "Mus musculus")</f>
        <v>0</v>
      </c>
      <c r="I5" s="1">
        <f>IF(B5="", "", "10090")</f>
        <v>0</v>
      </c>
      <c r="J5" s="2">
        <f>IF(B5="", "", "missing: not provided")</f>
        <v>0</v>
      </c>
      <c r="K5" s="1">
        <f>IF(B5="", "", "g")</f>
        <v>0</v>
      </c>
    </row>
    <row r="6" spans="1:11">
      <c r="A6">
        <f>IF(COUNTBLANK(B6:K6)&lt;&gt;COLUMNS(B6:K6),5,"")</f>
        <v>0</v>
      </c>
      <c r="C6" s="1">
        <f>IF(B6="", "", "urban biome")</f>
        <v>0</v>
      </c>
      <c r="D6" s="1">
        <f>IF(B6="", "", "animal-associated habitat")</f>
        <v>0</v>
      </c>
      <c r="E6" s="2">
        <f>IF(B6="", "", "missing: not provided")</f>
        <v>0</v>
      </c>
      <c r="F6" s="1">
        <f>IF(B6="", "", "weeks")</f>
        <v>0</v>
      </c>
      <c r="G6" s="1">
        <f>IF(B6="", "", "mouse")</f>
        <v>0</v>
      </c>
      <c r="H6" s="1">
        <f>IF(B6="", "", "Mus musculus")</f>
        <v>0</v>
      </c>
      <c r="I6" s="1">
        <f>IF(B6="", "", "10090")</f>
        <v>0</v>
      </c>
      <c r="J6" s="2">
        <f>IF(B6="", "", "missing: not provided")</f>
        <v>0</v>
      </c>
      <c r="K6" s="1">
        <f>IF(B6="", "", "g")</f>
        <v>0</v>
      </c>
    </row>
    <row r="7" spans="1:11">
      <c r="A7">
        <f>IF(COUNTBLANK(B7:K7)&lt;&gt;COLUMNS(B7:K7),6,"")</f>
        <v>0</v>
      </c>
      <c r="C7" s="1">
        <f>IF(B7="", "", "urban biome")</f>
        <v>0</v>
      </c>
      <c r="D7" s="1">
        <f>IF(B7="", "", "animal-associated habitat")</f>
        <v>0</v>
      </c>
      <c r="E7" s="2">
        <f>IF(B7="", "", "missing: not provided")</f>
        <v>0</v>
      </c>
      <c r="F7" s="1">
        <f>IF(B7="", "", "weeks")</f>
        <v>0</v>
      </c>
      <c r="G7" s="1">
        <f>IF(B7="", "", "mouse")</f>
        <v>0</v>
      </c>
      <c r="H7" s="1">
        <f>IF(B7="", "", "Mus musculus")</f>
        <v>0</v>
      </c>
      <c r="I7" s="1">
        <f>IF(B7="", "", "10090")</f>
        <v>0</v>
      </c>
      <c r="J7" s="2">
        <f>IF(B7="", "", "missing: not provided")</f>
        <v>0</v>
      </c>
      <c r="K7" s="1">
        <f>IF(B7="", "", "g")</f>
        <v>0</v>
      </c>
    </row>
    <row r="8" spans="1:11">
      <c r="A8">
        <f>IF(COUNTBLANK(B8:K8)&lt;&gt;COLUMNS(B8:K8),7,"")</f>
        <v>0</v>
      </c>
      <c r="C8" s="1">
        <f>IF(B8="", "", "urban biome")</f>
        <v>0</v>
      </c>
      <c r="D8" s="1">
        <f>IF(B8="", "", "animal-associated habitat")</f>
        <v>0</v>
      </c>
      <c r="E8" s="2">
        <f>IF(B8="", "", "missing: not provided")</f>
        <v>0</v>
      </c>
      <c r="F8" s="1">
        <f>IF(B8="", "", "weeks")</f>
        <v>0</v>
      </c>
      <c r="G8" s="1">
        <f>IF(B8="", "", "mouse")</f>
        <v>0</v>
      </c>
      <c r="H8" s="1">
        <f>IF(B8="", "", "Mus musculus")</f>
        <v>0</v>
      </c>
      <c r="I8" s="1">
        <f>IF(B8="", "", "10090")</f>
        <v>0</v>
      </c>
      <c r="J8" s="2">
        <f>IF(B8="", "", "missing: not provided")</f>
        <v>0</v>
      </c>
      <c r="K8" s="1">
        <f>IF(B8="", "", "g")</f>
        <v>0</v>
      </c>
    </row>
    <row r="9" spans="1:11">
      <c r="A9">
        <f>IF(COUNTBLANK(B9:K9)&lt;&gt;COLUMNS(B9:K9),8,"")</f>
        <v>0</v>
      </c>
      <c r="C9" s="1">
        <f>IF(B9="", "", "urban biome")</f>
        <v>0</v>
      </c>
      <c r="D9" s="1">
        <f>IF(B9="", "", "animal-associated habitat")</f>
        <v>0</v>
      </c>
      <c r="E9" s="2">
        <f>IF(B9="", "", "missing: not provided")</f>
        <v>0</v>
      </c>
      <c r="F9" s="1">
        <f>IF(B9="", "", "weeks")</f>
        <v>0</v>
      </c>
      <c r="G9" s="1">
        <f>IF(B9="", "", "mouse")</f>
        <v>0</v>
      </c>
      <c r="H9" s="1">
        <f>IF(B9="", "", "Mus musculus")</f>
        <v>0</v>
      </c>
      <c r="I9" s="1">
        <f>IF(B9="", "", "10090")</f>
        <v>0</v>
      </c>
      <c r="J9" s="2">
        <f>IF(B9="", "", "missing: not provided")</f>
        <v>0</v>
      </c>
      <c r="K9" s="1">
        <f>IF(B9="", "", "g")</f>
        <v>0</v>
      </c>
    </row>
    <row r="10" spans="1:11">
      <c r="A10">
        <f>IF(COUNTBLANK(B10:K10)&lt;&gt;COLUMNS(B10:K10),9,"")</f>
        <v>0</v>
      </c>
      <c r="C10" s="1">
        <f>IF(B10="", "", "urban biome")</f>
        <v>0</v>
      </c>
      <c r="D10" s="1">
        <f>IF(B10="", "", "animal-associated habitat")</f>
        <v>0</v>
      </c>
      <c r="E10" s="2">
        <f>IF(B10="", "", "missing: not provided")</f>
        <v>0</v>
      </c>
      <c r="F10" s="1">
        <f>IF(B10="", "", "weeks")</f>
        <v>0</v>
      </c>
      <c r="G10" s="1">
        <f>IF(B10="", "", "mouse")</f>
        <v>0</v>
      </c>
      <c r="H10" s="1">
        <f>IF(B10="", "", "Mus musculus")</f>
        <v>0</v>
      </c>
      <c r="I10" s="1">
        <f>IF(B10="", "", "10090")</f>
        <v>0</v>
      </c>
      <c r="J10" s="2">
        <f>IF(B10="", "", "missing: not provided")</f>
        <v>0</v>
      </c>
      <c r="K10" s="1">
        <f>IF(B10="", "", "g")</f>
        <v>0</v>
      </c>
    </row>
    <row r="11" spans="1:11">
      <c r="A11">
        <f>IF(COUNTBLANK(B11:K11)&lt;&gt;COLUMNS(B11:K11),10,"")</f>
        <v>0</v>
      </c>
      <c r="C11" s="1">
        <f>IF(B11="", "", "urban biome")</f>
        <v>0</v>
      </c>
      <c r="D11" s="1">
        <f>IF(B11="", "", "animal-associated habitat")</f>
        <v>0</v>
      </c>
      <c r="E11" s="2">
        <f>IF(B11="", "", "missing: not provided")</f>
        <v>0</v>
      </c>
      <c r="F11" s="1">
        <f>IF(B11="", "", "weeks")</f>
        <v>0</v>
      </c>
      <c r="G11" s="1">
        <f>IF(B11="", "", "mouse")</f>
        <v>0</v>
      </c>
      <c r="H11" s="1">
        <f>IF(B11="", "", "Mus musculus")</f>
        <v>0</v>
      </c>
      <c r="I11" s="1">
        <f>IF(B11="", "", "10090")</f>
        <v>0</v>
      </c>
      <c r="J11" s="2">
        <f>IF(B11="", "", "missing: not provided")</f>
        <v>0</v>
      </c>
      <c r="K11" s="1">
        <f>IF(B11="", "", "g")</f>
        <v>0</v>
      </c>
    </row>
    <row r="12" spans="1:11">
      <c r="A12">
        <f>IF(COUNTBLANK(B12:K12)&lt;&gt;COLUMNS(B12:K12),11,"")</f>
        <v>0</v>
      </c>
      <c r="C12" s="1">
        <f>IF(B12="", "", "urban biome")</f>
        <v>0</v>
      </c>
      <c r="D12" s="1">
        <f>IF(B12="", "", "animal-associated habitat")</f>
        <v>0</v>
      </c>
      <c r="E12" s="2">
        <f>IF(B12="", "", "missing: not provided")</f>
        <v>0</v>
      </c>
      <c r="F12" s="1">
        <f>IF(B12="", "", "weeks")</f>
        <v>0</v>
      </c>
      <c r="G12" s="1">
        <f>IF(B12="", "", "mouse")</f>
        <v>0</v>
      </c>
      <c r="H12" s="1">
        <f>IF(B12="", "", "Mus musculus")</f>
        <v>0</v>
      </c>
      <c r="I12" s="1">
        <f>IF(B12="", "", "10090")</f>
        <v>0</v>
      </c>
      <c r="J12" s="2">
        <f>IF(B12="", "", "missing: not provided")</f>
        <v>0</v>
      </c>
      <c r="K12" s="1">
        <f>IF(B12="", "", "g")</f>
        <v>0</v>
      </c>
    </row>
    <row r="13" spans="1:11">
      <c r="A13">
        <f>IF(COUNTBLANK(B13:K13)&lt;&gt;COLUMNS(B13:K13),12,"")</f>
        <v>0</v>
      </c>
      <c r="C13" s="1">
        <f>IF(B13="", "", "urban biome")</f>
        <v>0</v>
      </c>
      <c r="D13" s="1">
        <f>IF(B13="", "", "animal-associated habitat")</f>
        <v>0</v>
      </c>
      <c r="E13" s="2">
        <f>IF(B13="", "", "missing: not provided")</f>
        <v>0</v>
      </c>
      <c r="F13" s="1">
        <f>IF(B13="", "", "weeks")</f>
        <v>0</v>
      </c>
      <c r="G13" s="1">
        <f>IF(B13="", "", "mouse")</f>
        <v>0</v>
      </c>
      <c r="H13" s="1">
        <f>IF(B13="", "", "Mus musculus")</f>
        <v>0</v>
      </c>
      <c r="I13" s="1">
        <f>IF(B13="", "", "10090")</f>
        <v>0</v>
      </c>
      <c r="J13" s="2">
        <f>IF(B13="", "", "missing: not provided")</f>
        <v>0</v>
      </c>
      <c r="K13" s="1">
        <f>IF(B13="", "", "g")</f>
        <v>0</v>
      </c>
    </row>
    <row r="14" spans="1:11">
      <c r="A14">
        <f>IF(COUNTBLANK(B14:K14)&lt;&gt;COLUMNS(B14:K14),13,"")</f>
        <v>0</v>
      </c>
      <c r="C14" s="1">
        <f>IF(B14="", "", "urban biome")</f>
        <v>0</v>
      </c>
      <c r="D14" s="1">
        <f>IF(B14="", "", "animal-associated habitat")</f>
        <v>0</v>
      </c>
      <c r="E14" s="2">
        <f>IF(B14="", "", "missing: not provided")</f>
        <v>0</v>
      </c>
      <c r="F14" s="1">
        <f>IF(B14="", "", "weeks")</f>
        <v>0</v>
      </c>
      <c r="G14" s="1">
        <f>IF(B14="", "", "mouse")</f>
        <v>0</v>
      </c>
      <c r="H14" s="1">
        <f>IF(B14="", "", "Mus musculus")</f>
        <v>0</v>
      </c>
      <c r="I14" s="1">
        <f>IF(B14="", "", "10090")</f>
        <v>0</v>
      </c>
      <c r="J14" s="2">
        <f>IF(B14="", "", "missing: not provided")</f>
        <v>0</v>
      </c>
      <c r="K14" s="1">
        <f>IF(B14="", "", "g")</f>
        <v>0</v>
      </c>
    </row>
    <row r="15" spans="1:11">
      <c r="A15">
        <f>IF(COUNTBLANK(B15:K15)&lt;&gt;COLUMNS(B15:K15),14,"")</f>
        <v>0</v>
      </c>
      <c r="C15" s="1">
        <f>IF(B15="", "", "urban biome")</f>
        <v>0</v>
      </c>
      <c r="D15" s="1">
        <f>IF(B15="", "", "animal-associated habitat")</f>
        <v>0</v>
      </c>
      <c r="E15" s="2">
        <f>IF(B15="", "", "missing: not provided")</f>
        <v>0</v>
      </c>
      <c r="F15" s="1">
        <f>IF(B15="", "", "weeks")</f>
        <v>0</v>
      </c>
      <c r="G15" s="1">
        <f>IF(B15="", "", "mouse")</f>
        <v>0</v>
      </c>
      <c r="H15" s="1">
        <f>IF(B15="", "", "Mus musculus")</f>
        <v>0</v>
      </c>
      <c r="I15" s="1">
        <f>IF(B15="", "", "10090")</f>
        <v>0</v>
      </c>
      <c r="J15" s="2">
        <f>IF(B15="", "", "missing: not provided")</f>
        <v>0</v>
      </c>
      <c r="K15" s="1">
        <f>IF(B15="", "", "g")</f>
        <v>0</v>
      </c>
    </row>
    <row r="16" spans="1:11">
      <c r="A16">
        <f>IF(COUNTBLANK(B16:K16)&lt;&gt;COLUMNS(B16:K16),15,"")</f>
        <v>0</v>
      </c>
      <c r="C16" s="1">
        <f>IF(B16="", "", "urban biome")</f>
        <v>0</v>
      </c>
      <c r="D16" s="1">
        <f>IF(B16="", "", "animal-associated habitat")</f>
        <v>0</v>
      </c>
      <c r="E16" s="2">
        <f>IF(B16="", "", "missing: not provided")</f>
        <v>0</v>
      </c>
      <c r="F16" s="1">
        <f>IF(B16="", "", "weeks")</f>
        <v>0</v>
      </c>
      <c r="G16" s="1">
        <f>IF(B16="", "", "mouse")</f>
        <v>0</v>
      </c>
      <c r="H16" s="1">
        <f>IF(B16="", "", "Mus musculus")</f>
        <v>0</v>
      </c>
      <c r="I16" s="1">
        <f>IF(B16="", "", "10090")</f>
        <v>0</v>
      </c>
      <c r="J16" s="2">
        <f>IF(B16="", "", "missing: not provided")</f>
        <v>0</v>
      </c>
      <c r="K16" s="1">
        <f>IF(B16="", "", "g")</f>
        <v>0</v>
      </c>
    </row>
    <row r="17" spans="1:11">
      <c r="A17">
        <f>IF(COUNTBLANK(B17:K17)&lt;&gt;COLUMNS(B17:K17),16,"")</f>
        <v>0</v>
      </c>
      <c r="C17" s="1">
        <f>IF(B17="", "", "urban biome")</f>
        <v>0</v>
      </c>
      <c r="D17" s="1">
        <f>IF(B17="", "", "animal-associated habitat")</f>
        <v>0</v>
      </c>
      <c r="E17" s="2">
        <f>IF(B17="", "", "missing: not provided")</f>
        <v>0</v>
      </c>
      <c r="F17" s="1">
        <f>IF(B17="", "", "weeks")</f>
        <v>0</v>
      </c>
      <c r="G17" s="1">
        <f>IF(B17="", "", "mouse")</f>
        <v>0</v>
      </c>
      <c r="H17" s="1">
        <f>IF(B17="", "", "Mus musculus")</f>
        <v>0</v>
      </c>
      <c r="I17" s="1">
        <f>IF(B17="", "", "10090")</f>
        <v>0</v>
      </c>
      <c r="J17" s="2">
        <f>IF(B17="", "", "missing: not provided")</f>
        <v>0</v>
      </c>
      <c r="K17" s="1">
        <f>IF(B17="", "", "g")</f>
        <v>0</v>
      </c>
    </row>
    <row r="18" spans="1:11">
      <c r="A18">
        <f>IF(COUNTBLANK(B18:K18)&lt;&gt;COLUMNS(B18:K18),17,"")</f>
        <v>0</v>
      </c>
      <c r="C18" s="1">
        <f>IF(B18="", "", "urban biome")</f>
        <v>0</v>
      </c>
      <c r="D18" s="1">
        <f>IF(B18="", "", "animal-associated habitat")</f>
        <v>0</v>
      </c>
      <c r="E18" s="2">
        <f>IF(B18="", "", "missing: not provided")</f>
        <v>0</v>
      </c>
      <c r="F18" s="1">
        <f>IF(B18="", "", "weeks")</f>
        <v>0</v>
      </c>
      <c r="G18" s="1">
        <f>IF(B18="", "", "mouse")</f>
        <v>0</v>
      </c>
      <c r="H18" s="1">
        <f>IF(B18="", "", "Mus musculus")</f>
        <v>0</v>
      </c>
      <c r="I18" s="1">
        <f>IF(B18="", "", "10090")</f>
        <v>0</v>
      </c>
      <c r="J18" s="2">
        <f>IF(B18="", "", "missing: not provided")</f>
        <v>0</v>
      </c>
      <c r="K18" s="1">
        <f>IF(B18="", "", "g")</f>
        <v>0</v>
      </c>
    </row>
    <row r="19" spans="1:11">
      <c r="A19">
        <f>IF(COUNTBLANK(B19:K19)&lt;&gt;COLUMNS(B19:K19),18,"")</f>
        <v>0</v>
      </c>
      <c r="C19" s="1">
        <f>IF(B19="", "", "urban biome")</f>
        <v>0</v>
      </c>
      <c r="D19" s="1">
        <f>IF(B19="", "", "animal-associated habitat")</f>
        <v>0</v>
      </c>
      <c r="E19" s="2">
        <f>IF(B19="", "", "missing: not provided")</f>
        <v>0</v>
      </c>
      <c r="F19" s="1">
        <f>IF(B19="", "", "weeks")</f>
        <v>0</v>
      </c>
      <c r="G19" s="1">
        <f>IF(B19="", "", "mouse")</f>
        <v>0</v>
      </c>
      <c r="H19" s="1">
        <f>IF(B19="", "", "Mus musculus")</f>
        <v>0</v>
      </c>
      <c r="I19" s="1">
        <f>IF(B19="", "", "10090")</f>
        <v>0</v>
      </c>
      <c r="J19" s="2">
        <f>IF(B19="", "", "missing: not provided")</f>
        <v>0</v>
      </c>
      <c r="K19" s="1">
        <f>IF(B19="", "", "g")</f>
        <v>0</v>
      </c>
    </row>
    <row r="20" spans="1:11">
      <c r="A20">
        <f>IF(COUNTBLANK(B20:K20)&lt;&gt;COLUMNS(B20:K20),19,"")</f>
        <v>0</v>
      </c>
      <c r="C20" s="1">
        <f>IF(B20="", "", "urban biome")</f>
        <v>0</v>
      </c>
      <c r="D20" s="1">
        <f>IF(B20="", "", "animal-associated habitat")</f>
        <v>0</v>
      </c>
      <c r="E20" s="2">
        <f>IF(B20="", "", "missing: not provided")</f>
        <v>0</v>
      </c>
      <c r="F20" s="1">
        <f>IF(B20="", "", "weeks")</f>
        <v>0</v>
      </c>
      <c r="G20" s="1">
        <f>IF(B20="", "", "mouse")</f>
        <v>0</v>
      </c>
      <c r="H20" s="1">
        <f>IF(B20="", "", "Mus musculus")</f>
        <v>0</v>
      </c>
      <c r="I20" s="1">
        <f>IF(B20="", "", "10090")</f>
        <v>0</v>
      </c>
      <c r="J20" s="2">
        <f>IF(B20="", "", "missing: not provided")</f>
        <v>0</v>
      </c>
      <c r="K20" s="1">
        <f>IF(B20="", "", "g")</f>
        <v>0</v>
      </c>
    </row>
    <row r="21" spans="1:11">
      <c r="A21">
        <f>IF(COUNTBLANK(B21:K21)&lt;&gt;COLUMNS(B21:K21),20,"")</f>
        <v>0</v>
      </c>
      <c r="C21" s="1">
        <f>IF(B21="", "", "urban biome")</f>
        <v>0</v>
      </c>
      <c r="D21" s="1">
        <f>IF(B21="", "", "animal-associated habitat")</f>
        <v>0</v>
      </c>
      <c r="E21" s="2">
        <f>IF(B21="", "", "missing: not provided")</f>
        <v>0</v>
      </c>
      <c r="F21" s="1">
        <f>IF(B21="", "", "weeks")</f>
        <v>0</v>
      </c>
      <c r="G21" s="1">
        <f>IF(B21="", "", "mouse")</f>
        <v>0</v>
      </c>
      <c r="H21" s="1">
        <f>IF(B21="", "", "Mus musculus")</f>
        <v>0</v>
      </c>
      <c r="I21" s="1">
        <f>IF(B21="", "", "10090")</f>
        <v>0</v>
      </c>
      <c r="J21" s="2">
        <f>IF(B21="", "", "missing: not provided")</f>
        <v>0</v>
      </c>
      <c r="K21" s="1">
        <f>IF(B21="", "", "g")</f>
        <v>0</v>
      </c>
    </row>
    <row r="22" spans="1:11">
      <c r="A22">
        <f>IF(COUNTBLANK(B22:K22)&lt;&gt;COLUMNS(B22:K22),21,"")</f>
        <v>0</v>
      </c>
      <c r="C22" s="1">
        <f>IF(B22="", "", "urban biome")</f>
        <v>0</v>
      </c>
      <c r="D22" s="1">
        <f>IF(B22="", "", "animal-associated habitat")</f>
        <v>0</v>
      </c>
      <c r="E22" s="2">
        <f>IF(B22="", "", "missing: not provided")</f>
        <v>0</v>
      </c>
      <c r="F22" s="1">
        <f>IF(B22="", "", "weeks")</f>
        <v>0</v>
      </c>
      <c r="G22" s="1">
        <f>IF(B22="", "", "mouse")</f>
        <v>0</v>
      </c>
      <c r="H22" s="1">
        <f>IF(B22="", "", "Mus musculus")</f>
        <v>0</v>
      </c>
      <c r="I22" s="1">
        <f>IF(B22="", "", "10090")</f>
        <v>0</v>
      </c>
      <c r="J22" s="2">
        <f>IF(B22="", "", "missing: not provided")</f>
        <v>0</v>
      </c>
      <c r="K22" s="1">
        <f>IF(B22="", "", "g")</f>
        <v>0</v>
      </c>
    </row>
    <row r="23" spans="1:11">
      <c r="A23">
        <f>IF(COUNTBLANK(B23:K23)&lt;&gt;COLUMNS(B23:K23),22,"")</f>
        <v>0</v>
      </c>
      <c r="C23" s="1">
        <f>IF(B23="", "", "urban biome")</f>
        <v>0</v>
      </c>
      <c r="D23" s="1">
        <f>IF(B23="", "", "animal-associated habitat")</f>
        <v>0</v>
      </c>
      <c r="E23" s="2">
        <f>IF(B23="", "", "missing: not provided")</f>
        <v>0</v>
      </c>
      <c r="F23" s="1">
        <f>IF(B23="", "", "weeks")</f>
        <v>0</v>
      </c>
      <c r="G23" s="1">
        <f>IF(B23="", "", "mouse")</f>
        <v>0</v>
      </c>
      <c r="H23" s="1">
        <f>IF(B23="", "", "Mus musculus")</f>
        <v>0</v>
      </c>
      <c r="I23" s="1">
        <f>IF(B23="", "", "10090")</f>
        <v>0</v>
      </c>
      <c r="J23" s="2">
        <f>IF(B23="", "", "missing: not provided")</f>
        <v>0</v>
      </c>
      <c r="K23" s="1">
        <f>IF(B23="", "", "g")</f>
        <v>0</v>
      </c>
    </row>
    <row r="24" spans="1:11">
      <c r="A24">
        <f>IF(COUNTBLANK(B24:K24)&lt;&gt;COLUMNS(B24:K24),23,"")</f>
        <v>0</v>
      </c>
      <c r="C24" s="1">
        <f>IF(B24="", "", "urban biome")</f>
        <v>0</v>
      </c>
      <c r="D24" s="1">
        <f>IF(B24="", "", "animal-associated habitat")</f>
        <v>0</v>
      </c>
      <c r="E24" s="2">
        <f>IF(B24="", "", "missing: not provided")</f>
        <v>0</v>
      </c>
      <c r="F24" s="1">
        <f>IF(B24="", "", "weeks")</f>
        <v>0</v>
      </c>
      <c r="G24" s="1">
        <f>IF(B24="", "", "mouse")</f>
        <v>0</v>
      </c>
      <c r="H24" s="1">
        <f>IF(B24="", "", "Mus musculus")</f>
        <v>0</v>
      </c>
      <c r="I24" s="1">
        <f>IF(B24="", "", "10090")</f>
        <v>0</v>
      </c>
      <c r="J24" s="2">
        <f>IF(B24="", "", "missing: not provided")</f>
        <v>0</v>
      </c>
      <c r="K24" s="1">
        <f>IF(B24="", "", "g")</f>
        <v>0</v>
      </c>
    </row>
    <row r="25" spans="1:11">
      <c r="A25">
        <f>IF(COUNTBLANK(B25:K25)&lt;&gt;COLUMNS(B25:K25),24,"")</f>
        <v>0</v>
      </c>
      <c r="C25" s="1">
        <f>IF(B25="", "", "urban biome")</f>
        <v>0</v>
      </c>
      <c r="D25" s="1">
        <f>IF(B25="", "", "animal-associated habitat")</f>
        <v>0</v>
      </c>
      <c r="E25" s="2">
        <f>IF(B25="", "", "missing: not provided")</f>
        <v>0</v>
      </c>
      <c r="F25" s="1">
        <f>IF(B25="", "", "weeks")</f>
        <v>0</v>
      </c>
      <c r="G25" s="1">
        <f>IF(B25="", "", "mouse")</f>
        <v>0</v>
      </c>
      <c r="H25" s="1">
        <f>IF(B25="", "", "Mus musculus")</f>
        <v>0</v>
      </c>
      <c r="I25" s="1">
        <f>IF(B25="", "", "10090")</f>
        <v>0</v>
      </c>
      <c r="J25" s="2">
        <f>IF(B25="", "", "missing: not provided")</f>
        <v>0</v>
      </c>
      <c r="K25" s="1">
        <f>IF(B25="", "", "g")</f>
        <v>0</v>
      </c>
    </row>
    <row r="26" spans="1:11">
      <c r="A26">
        <f>IF(COUNTBLANK(B26:K26)&lt;&gt;COLUMNS(B26:K26),25,"")</f>
        <v>0</v>
      </c>
      <c r="C26" s="1">
        <f>IF(B26="", "", "urban biome")</f>
        <v>0</v>
      </c>
      <c r="D26" s="1">
        <f>IF(B26="", "", "animal-associated habitat")</f>
        <v>0</v>
      </c>
      <c r="E26" s="2">
        <f>IF(B26="", "", "missing: not provided")</f>
        <v>0</v>
      </c>
      <c r="F26" s="1">
        <f>IF(B26="", "", "weeks")</f>
        <v>0</v>
      </c>
      <c r="G26" s="1">
        <f>IF(B26="", "", "mouse")</f>
        <v>0</v>
      </c>
      <c r="H26" s="1">
        <f>IF(B26="", "", "Mus musculus")</f>
        <v>0</v>
      </c>
      <c r="I26" s="1">
        <f>IF(B26="", "", "10090")</f>
        <v>0</v>
      </c>
      <c r="J26" s="2">
        <f>IF(B26="", "", "missing: not provided")</f>
        <v>0</v>
      </c>
      <c r="K26" s="1">
        <f>IF(B26="", "", "g")</f>
        <v>0</v>
      </c>
    </row>
    <row r="27" spans="1:11">
      <c r="A27">
        <f>IF(COUNTBLANK(B27:K27)&lt;&gt;COLUMNS(B27:K27),26,"")</f>
        <v>0</v>
      </c>
      <c r="C27" s="1">
        <f>IF(B27="", "", "urban biome")</f>
        <v>0</v>
      </c>
      <c r="D27" s="1">
        <f>IF(B27="", "", "animal-associated habitat")</f>
        <v>0</v>
      </c>
      <c r="E27" s="2">
        <f>IF(B27="", "", "missing: not provided")</f>
        <v>0</v>
      </c>
      <c r="F27" s="1">
        <f>IF(B27="", "", "weeks")</f>
        <v>0</v>
      </c>
      <c r="G27" s="1">
        <f>IF(B27="", "", "mouse")</f>
        <v>0</v>
      </c>
      <c r="H27" s="1">
        <f>IF(B27="", "", "Mus musculus")</f>
        <v>0</v>
      </c>
      <c r="I27" s="1">
        <f>IF(B27="", "", "10090")</f>
        <v>0</v>
      </c>
      <c r="J27" s="2">
        <f>IF(B27="", "", "missing: not provided")</f>
        <v>0</v>
      </c>
      <c r="K27" s="1">
        <f>IF(B27="", "", "g")</f>
        <v>0</v>
      </c>
    </row>
    <row r="28" spans="1:11">
      <c r="A28">
        <f>IF(COUNTBLANK(B28:K28)&lt;&gt;COLUMNS(B28:K28),27,"")</f>
        <v>0</v>
      </c>
      <c r="C28" s="1">
        <f>IF(B28="", "", "urban biome")</f>
        <v>0</v>
      </c>
      <c r="D28" s="1">
        <f>IF(B28="", "", "animal-associated habitat")</f>
        <v>0</v>
      </c>
      <c r="E28" s="2">
        <f>IF(B28="", "", "missing: not provided")</f>
        <v>0</v>
      </c>
      <c r="F28" s="1">
        <f>IF(B28="", "", "weeks")</f>
        <v>0</v>
      </c>
      <c r="G28" s="1">
        <f>IF(B28="", "", "mouse")</f>
        <v>0</v>
      </c>
      <c r="H28" s="1">
        <f>IF(B28="", "", "Mus musculus")</f>
        <v>0</v>
      </c>
      <c r="I28" s="1">
        <f>IF(B28="", "", "10090")</f>
        <v>0</v>
      </c>
      <c r="J28" s="2">
        <f>IF(B28="", "", "missing: not provided")</f>
        <v>0</v>
      </c>
      <c r="K28" s="1">
        <f>IF(B28="", "", "g")</f>
        <v>0</v>
      </c>
    </row>
    <row r="29" spans="1:11">
      <c r="A29">
        <f>IF(COUNTBLANK(B29:K29)&lt;&gt;COLUMNS(B29:K29),28,"")</f>
        <v>0</v>
      </c>
      <c r="C29" s="1">
        <f>IF(B29="", "", "urban biome")</f>
        <v>0</v>
      </c>
      <c r="D29" s="1">
        <f>IF(B29="", "", "animal-associated habitat")</f>
        <v>0</v>
      </c>
      <c r="E29" s="2">
        <f>IF(B29="", "", "missing: not provided")</f>
        <v>0</v>
      </c>
      <c r="F29" s="1">
        <f>IF(B29="", "", "weeks")</f>
        <v>0</v>
      </c>
      <c r="G29" s="1">
        <f>IF(B29="", "", "mouse")</f>
        <v>0</v>
      </c>
      <c r="H29" s="1">
        <f>IF(B29="", "", "Mus musculus")</f>
        <v>0</v>
      </c>
      <c r="I29" s="1">
        <f>IF(B29="", "", "10090")</f>
        <v>0</v>
      </c>
      <c r="J29" s="2">
        <f>IF(B29="", "", "missing: not provided")</f>
        <v>0</v>
      </c>
      <c r="K29" s="1">
        <f>IF(B29="", "", "g")</f>
        <v>0</v>
      </c>
    </row>
    <row r="30" spans="1:11">
      <c r="A30">
        <f>IF(COUNTBLANK(B30:K30)&lt;&gt;COLUMNS(B30:K30),29,"")</f>
        <v>0</v>
      </c>
      <c r="C30" s="1">
        <f>IF(B30="", "", "urban biome")</f>
        <v>0</v>
      </c>
      <c r="D30" s="1">
        <f>IF(B30="", "", "animal-associated habitat")</f>
        <v>0</v>
      </c>
      <c r="E30" s="2">
        <f>IF(B30="", "", "missing: not provided")</f>
        <v>0</v>
      </c>
      <c r="F30" s="1">
        <f>IF(B30="", "", "weeks")</f>
        <v>0</v>
      </c>
      <c r="G30" s="1">
        <f>IF(B30="", "", "mouse")</f>
        <v>0</v>
      </c>
      <c r="H30" s="1">
        <f>IF(B30="", "", "Mus musculus")</f>
        <v>0</v>
      </c>
      <c r="I30" s="1">
        <f>IF(B30="", "", "10090")</f>
        <v>0</v>
      </c>
      <c r="J30" s="2">
        <f>IF(B30="", "", "missing: not provided")</f>
        <v>0</v>
      </c>
      <c r="K30" s="1">
        <f>IF(B30="", "", "g")</f>
        <v>0</v>
      </c>
    </row>
    <row r="31" spans="1:11">
      <c r="A31">
        <f>IF(COUNTBLANK(B31:K31)&lt;&gt;COLUMNS(B31:K31),30,"")</f>
        <v>0</v>
      </c>
      <c r="C31" s="1">
        <f>IF(B31="", "", "urban biome")</f>
        <v>0</v>
      </c>
      <c r="D31" s="1">
        <f>IF(B31="", "", "animal-associated habitat")</f>
        <v>0</v>
      </c>
      <c r="E31" s="2">
        <f>IF(B31="", "", "missing: not provided")</f>
        <v>0</v>
      </c>
      <c r="F31" s="1">
        <f>IF(B31="", "", "weeks")</f>
        <v>0</v>
      </c>
      <c r="G31" s="1">
        <f>IF(B31="", "", "mouse")</f>
        <v>0</v>
      </c>
      <c r="H31" s="1">
        <f>IF(B31="", "", "Mus musculus")</f>
        <v>0</v>
      </c>
      <c r="I31" s="1">
        <f>IF(B31="", "", "10090")</f>
        <v>0</v>
      </c>
      <c r="J31" s="2">
        <f>IF(B31="", "", "missing: not provided")</f>
        <v>0</v>
      </c>
      <c r="K31" s="1">
        <f>IF(B31="", "", "g")</f>
        <v>0</v>
      </c>
    </row>
    <row r="32" spans="1:11">
      <c r="A32">
        <f>IF(COUNTBLANK(B32:K32)&lt;&gt;COLUMNS(B32:K32),31,"")</f>
        <v>0</v>
      </c>
      <c r="C32" s="1">
        <f>IF(B32="", "", "urban biome")</f>
        <v>0</v>
      </c>
      <c r="D32" s="1">
        <f>IF(B32="", "", "animal-associated habitat")</f>
        <v>0</v>
      </c>
      <c r="E32" s="2">
        <f>IF(B32="", "", "missing: not provided")</f>
        <v>0</v>
      </c>
      <c r="F32" s="1">
        <f>IF(B32="", "", "weeks")</f>
        <v>0</v>
      </c>
      <c r="G32" s="1">
        <f>IF(B32="", "", "mouse")</f>
        <v>0</v>
      </c>
      <c r="H32" s="1">
        <f>IF(B32="", "", "Mus musculus")</f>
        <v>0</v>
      </c>
      <c r="I32" s="1">
        <f>IF(B32="", "", "10090")</f>
        <v>0</v>
      </c>
      <c r="J32" s="2">
        <f>IF(B32="", "", "missing: not provided")</f>
        <v>0</v>
      </c>
      <c r="K32" s="1">
        <f>IF(B32="", "", "g")</f>
        <v>0</v>
      </c>
    </row>
    <row r="33" spans="1:11">
      <c r="A33">
        <f>IF(COUNTBLANK(B33:K33)&lt;&gt;COLUMNS(B33:K33),32,"")</f>
        <v>0</v>
      </c>
      <c r="C33" s="1">
        <f>IF(B33="", "", "urban biome")</f>
        <v>0</v>
      </c>
      <c r="D33" s="1">
        <f>IF(B33="", "", "animal-associated habitat")</f>
        <v>0</v>
      </c>
      <c r="E33" s="2">
        <f>IF(B33="", "", "missing: not provided")</f>
        <v>0</v>
      </c>
      <c r="F33" s="1">
        <f>IF(B33="", "", "weeks")</f>
        <v>0</v>
      </c>
      <c r="G33" s="1">
        <f>IF(B33="", "", "mouse")</f>
        <v>0</v>
      </c>
      <c r="H33" s="1">
        <f>IF(B33="", "", "Mus musculus")</f>
        <v>0</v>
      </c>
      <c r="I33" s="1">
        <f>IF(B33="", "", "10090")</f>
        <v>0</v>
      </c>
      <c r="J33" s="2">
        <f>IF(B33="", "", "missing: not provided")</f>
        <v>0</v>
      </c>
      <c r="K33" s="1">
        <f>IF(B33="", "", "g")</f>
        <v>0</v>
      </c>
    </row>
    <row r="34" spans="1:11">
      <c r="A34">
        <f>IF(COUNTBLANK(B34:K34)&lt;&gt;COLUMNS(B34:K34),33,"")</f>
        <v>0</v>
      </c>
      <c r="C34" s="1">
        <f>IF(B34="", "", "urban biome")</f>
        <v>0</v>
      </c>
      <c r="D34" s="1">
        <f>IF(B34="", "", "animal-associated habitat")</f>
        <v>0</v>
      </c>
      <c r="E34" s="2">
        <f>IF(B34="", "", "missing: not provided")</f>
        <v>0</v>
      </c>
      <c r="F34" s="1">
        <f>IF(B34="", "", "weeks")</f>
        <v>0</v>
      </c>
      <c r="G34" s="1">
        <f>IF(B34="", "", "mouse")</f>
        <v>0</v>
      </c>
      <c r="H34" s="1">
        <f>IF(B34="", "", "Mus musculus")</f>
        <v>0</v>
      </c>
      <c r="I34" s="1">
        <f>IF(B34="", "", "10090")</f>
        <v>0</v>
      </c>
      <c r="J34" s="2">
        <f>IF(B34="", "", "missing: not provided")</f>
        <v>0</v>
      </c>
      <c r="K34" s="1">
        <f>IF(B34="", "", "g")</f>
        <v>0</v>
      </c>
    </row>
    <row r="35" spans="1:11">
      <c r="A35">
        <f>IF(COUNTBLANK(B35:K35)&lt;&gt;COLUMNS(B35:K35),34,"")</f>
        <v>0</v>
      </c>
      <c r="C35" s="1">
        <f>IF(B35="", "", "urban biome")</f>
        <v>0</v>
      </c>
      <c r="D35" s="1">
        <f>IF(B35="", "", "animal-associated habitat")</f>
        <v>0</v>
      </c>
      <c r="E35" s="2">
        <f>IF(B35="", "", "missing: not provided")</f>
        <v>0</v>
      </c>
      <c r="F35" s="1">
        <f>IF(B35="", "", "weeks")</f>
        <v>0</v>
      </c>
      <c r="G35" s="1">
        <f>IF(B35="", "", "mouse")</f>
        <v>0</v>
      </c>
      <c r="H35" s="1">
        <f>IF(B35="", "", "Mus musculus")</f>
        <v>0</v>
      </c>
      <c r="I35" s="1">
        <f>IF(B35="", "", "10090")</f>
        <v>0</v>
      </c>
      <c r="J35" s="2">
        <f>IF(B35="", "", "missing: not provided")</f>
        <v>0</v>
      </c>
      <c r="K35" s="1">
        <f>IF(B35="", "", "g")</f>
        <v>0</v>
      </c>
    </row>
    <row r="36" spans="1:11">
      <c r="A36">
        <f>IF(COUNTBLANK(B36:K36)&lt;&gt;COLUMNS(B36:K36),35,"")</f>
        <v>0</v>
      </c>
      <c r="C36" s="1">
        <f>IF(B36="", "", "urban biome")</f>
        <v>0</v>
      </c>
      <c r="D36" s="1">
        <f>IF(B36="", "", "animal-associated habitat")</f>
        <v>0</v>
      </c>
      <c r="E36" s="2">
        <f>IF(B36="", "", "missing: not provided")</f>
        <v>0</v>
      </c>
      <c r="F36" s="1">
        <f>IF(B36="", "", "weeks")</f>
        <v>0</v>
      </c>
      <c r="G36" s="1">
        <f>IF(B36="", "", "mouse")</f>
        <v>0</v>
      </c>
      <c r="H36" s="1">
        <f>IF(B36="", "", "Mus musculus")</f>
        <v>0</v>
      </c>
      <c r="I36" s="1">
        <f>IF(B36="", "", "10090")</f>
        <v>0</v>
      </c>
      <c r="J36" s="2">
        <f>IF(B36="", "", "missing: not provided")</f>
        <v>0</v>
      </c>
      <c r="K36" s="1">
        <f>IF(B36="", "", "g")</f>
        <v>0</v>
      </c>
    </row>
    <row r="37" spans="1:11">
      <c r="A37">
        <f>IF(COUNTBLANK(B37:K37)&lt;&gt;COLUMNS(B37:K37),36,"")</f>
        <v>0</v>
      </c>
      <c r="C37" s="1">
        <f>IF(B37="", "", "urban biome")</f>
        <v>0</v>
      </c>
      <c r="D37" s="1">
        <f>IF(B37="", "", "animal-associated habitat")</f>
        <v>0</v>
      </c>
      <c r="E37" s="2">
        <f>IF(B37="", "", "missing: not provided")</f>
        <v>0</v>
      </c>
      <c r="F37" s="1">
        <f>IF(B37="", "", "weeks")</f>
        <v>0</v>
      </c>
      <c r="G37" s="1">
        <f>IF(B37="", "", "mouse")</f>
        <v>0</v>
      </c>
      <c r="H37" s="1">
        <f>IF(B37="", "", "Mus musculus")</f>
        <v>0</v>
      </c>
      <c r="I37" s="1">
        <f>IF(B37="", "", "10090")</f>
        <v>0</v>
      </c>
      <c r="J37" s="2">
        <f>IF(B37="", "", "missing: not provided")</f>
        <v>0</v>
      </c>
      <c r="K37" s="1">
        <f>IF(B37="", "", "g")</f>
        <v>0</v>
      </c>
    </row>
    <row r="38" spans="1:11">
      <c r="A38">
        <f>IF(COUNTBLANK(B38:K38)&lt;&gt;COLUMNS(B38:K38),37,"")</f>
        <v>0</v>
      </c>
      <c r="C38" s="1">
        <f>IF(B38="", "", "urban biome")</f>
        <v>0</v>
      </c>
      <c r="D38" s="1">
        <f>IF(B38="", "", "animal-associated habitat")</f>
        <v>0</v>
      </c>
      <c r="E38" s="2">
        <f>IF(B38="", "", "missing: not provided")</f>
        <v>0</v>
      </c>
      <c r="F38" s="1">
        <f>IF(B38="", "", "weeks")</f>
        <v>0</v>
      </c>
      <c r="G38" s="1">
        <f>IF(B38="", "", "mouse")</f>
        <v>0</v>
      </c>
      <c r="H38" s="1">
        <f>IF(B38="", "", "Mus musculus")</f>
        <v>0</v>
      </c>
      <c r="I38" s="1">
        <f>IF(B38="", "", "10090")</f>
        <v>0</v>
      </c>
      <c r="J38" s="2">
        <f>IF(B38="", "", "missing: not provided")</f>
        <v>0</v>
      </c>
      <c r="K38" s="1">
        <f>IF(B38="", "", "g")</f>
        <v>0</v>
      </c>
    </row>
    <row r="39" spans="1:11">
      <c r="A39">
        <f>IF(COUNTBLANK(B39:K39)&lt;&gt;COLUMNS(B39:K39),38,"")</f>
        <v>0</v>
      </c>
      <c r="C39" s="1">
        <f>IF(B39="", "", "urban biome")</f>
        <v>0</v>
      </c>
      <c r="D39" s="1">
        <f>IF(B39="", "", "animal-associated habitat")</f>
        <v>0</v>
      </c>
      <c r="E39" s="2">
        <f>IF(B39="", "", "missing: not provided")</f>
        <v>0</v>
      </c>
      <c r="F39" s="1">
        <f>IF(B39="", "", "weeks")</f>
        <v>0</v>
      </c>
      <c r="G39" s="1">
        <f>IF(B39="", "", "mouse")</f>
        <v>0</v>
      </c>
      <c r="H39" s="1">
        <f>IF(B39="", "", "Mus musculus")</f>
        <v>0</v>
      </c>
      <c r="I39" s="1">
        <f>IF(B39="", "", "10090")</f>
        <v>0</v>
      </c>
      <c r="J39" s="2">
        <f>IF(B39="", "", "missing: not provided")</f>
        <v>0</v>
      </c>
      <c r="K39" s="1">
        <f>IF(B39="", "", "g")</f>
        <v>0</v>
      </c>
    </row>
    <row r="40" spans="1:11">
      <c r="A40">
        <f>IF(COUNTBLANK(B40:K40)&lt;&gt;COLUMNS(B40:K40),39,"")</f>
        <v>0</v>
      </c>
      <c r="C40" s="1">
        <f>IF(B40="", "", "urban biome")</f>
        <v>0</v>
      </c>
      <c r="D40" s="1">
        <f>IF(B40="", "", "animal-associated habitat")</f>
        <v>0</v>
      </c>
      <c r="E40" s="2">
        <f>IF(B40="", "", "missing: not provided")</f>
        <v>0</v>
      </c>
      <c r="F40" s="1">
        <f>IF(B40="", "", "weeks")</f>
        <v>0</v>
      </c>
      <c r="G40" s="1">
        <f>IF(B40="", "", "mouse")</f>
        <v>0</v>
      </c>
      <c r="H40" s="1">
        <f>IF(B40="", "", "Mus musculus")</f>
        <v>0</v>
      </c>
      <c r="I40" s="1">
        <f>IF(B40="", "", "10090")</f>
        <v>0</v>
      </c>
      <c r="J40" s="2">
        <f>IF(B40="", "", "missing: not provided")</f>
        <v>0</v>
      </c>
      <c r="K40" s="1">
        <f>IF(B40="", "", "g")</f>
        <v>0</v>
      </c>
    </row>
    <row r="41" spans="1:11">
      <c r="A41">
        <f>IF(COUNTBLANK(B41:K41)&lt;&gt;COLUMNS(B41:K41),40,"")</f>
        <v>0</v>
      </c>
      <c r="C41" s="1">
        <f>IF(B41="", "", "urban biome")</f>
        <v>0</v>
      </c>
      <c r="D41" s="1">
        <f>IF(B41="", "", "animal-associated habitat")</f>
        <v>0</v>
      </c>
      <c r="E41" s="2">
        <f>IF(B41="", "", "missing: not provided")</f>
        <v>0</v>
      </c>
      <c r="F41" s="1">
        <f>IF(B41="", "", "weeks")</f>
        <v>0</v>
      </c>
      <c r="G41" s="1">
        <f>IF(B41="", "", "mouse")</f>
        <v>0</v>
      </c>
      <c r="H41" s="1">
        <f>IF(B41="", "", "Mus musculus")</f>
        <v>0</v>
      </c>
      <c r="I41" s="1">
        <f>IF(B41="", "", "10090")</f>
        <v>0</v>
      </c>
      <c r="J41" s="2">
        <f>IF(B41="", "", "missing: not provided")</f>
        <v>0</v>
      </c>
      <c r="K41" s="1">
        <f>IF(B41="", "", "g")</f>
        <v>0</v>
      </c>
    </row>
    <row r="42" spans="1:11">
      <c r="A42">
        <f>IF(COUNTBLANK(B42:K42)&lt;&gt;COLUMNS(B42:K42),41,"")</f>
        <v>0</v>
      </c>
      <c r="C42" s="1">
        <f>IF(B42="", "", "urban biome")</f>
        <v>0</v>
      </c>
      <c r="D42" s="1">
        <f>IF(B42="", "", "animal-associated habitat")</f>
        <v>0</v>
      </c>
      <c r="E42" s="2">
        <f>IF(B42="", "", "missing: not provided")</f>
        <v>0</v>
      </c>
      <c r="F42" s="1">
        <f>IF(B42="", "", "weeks")</f>
        <v>0</v>
      </c>
      <c r="G42" s="1">
        <f>IF(B42="", "", "mouse")</f>
        <v>0</v>
      </c>
      <c r="H42" s="1">
        <f>IF(B42="", "", "Mus musculus")</f>
        <v>0</v>
      </c>
      <c r="I42" s="1">
        <f>IF(B42="", "", "10090")</f>
        <v>0</v>
      </c>
      <c r="J42" s="2">
        <f>IF(B42="", "", "missing: not provided")</f>
        <v>0</v>
      </c>
      <c r="K42" s="1">
        <f>IF(B42="", "", "g")</f>
        <v>0</v>
      </c>
    </row>
    <row r="43" spans="1:11">
      <c r="A43">
        <f>IF(COUNTBLANK(B43:K43)&lt;&gt;COLUMNS(B43:K43),42,"")</f>
        <v>0</v>
      </c>
      <c r="C43" s="1">
        <f>IF(B43="", "", "urban biome")</f>
        <v>0</v>
      </c>
      <c r="D43" s="1">
        <f>IF(B43="", "", "animal-associated habitat")</f>
        <v>0</v>
      </c>
      <c r="E43" s="2">
        <f>IF(B43="", "", "missing: not provided")</f>
        <v>0</v>
      </c>
      <c r="F43" s="1">
        <f>IF(B43="", "", "weeks")</f>
        <v>0</v>
      </c>
      <c r="G43" s="1">
        <f>IF(B43="", "", "mouse")</f>
        <v>0</v>
      </c>
      <c r="H43" s="1">
        <f>IF(B43="", "", "Mus musculus")</f>
        <v>0</v>
      </c>
      <c r="I43" s="1">
        <f>IF(B43="", "", "10090")</f>
        <v>0</v>
      </c>
      <c r="J43" s="2">
        <f>IF(B43="", "", "missing: not provided")</f>
        <v>0</v>
      </c>
      <c r="K43" s="1">
        <f>IF(B43="", "", "g")</f>
        <v>0</v>
      </c>
    </row>
    <row r="44" spans="1:11">
      <c r="A44">
        <f>IF(COUNTBLANK(B44:K44)&lt;&gt;COLUMNS(B44:K44),43,"")</f>
        <v>0</v>
      </c>
      <c r="C44" s="1">
        <f>IF(B44="", "", "urban biome")</f>
        <v>0</v>
      </c>
      <c r="D44" s="1">
        <f>IF(B44="", "", "animal-associated habitat")</f>
        <v>0</v>
      </c>
      <c r="E44" s="2">
        <f>IF(B44="", "", "missing: not provided")</f>
        <v>0</v>
      </c>
      <c r="F44" s="1">
        <f>IF(B44="", "", "weeks")</f>
        <v>0</v>
      </c>
      <c r="G44" s="1">
        <f>IF(B44="", "", "mouse")</f>
        <v>0</v>
      </c>
      <c r="H44" s="1">
        <f>IF(B44="", "", "Mus musculus")</f>
        <v>0</v>
      </c>
      <c r="I44" s="1">
        <f>IF(B44="", "", "10090")</f>
        <v>0</v>
      </c>
      <c r="J44" s="2">
        <f>IF(B44="", "", "missing: not provided")</f>
        <v>0</v>
      </c>
      <c r="K44" s="1">
        <f>IF(B44="", "", "g")</f>
        <v>0</v>
      </c>
    </row>
    <row r="45" spans="1:11">
      <c r="A45">
        <f>IF(COUNTBLANK(B45:K45)&lt;&gt;COLUMNS(B45:K45),44,"")</f>
        <v>0</v>
      </c>
      <c r="C45" s="1">
        <f>IF(B45="", "", "urban biome")</f>
        <v>0</v>
      </c>
      <c r="D45" s="1">
        <f>IF(B45="", "", "animal-associated habitat")</f>
        <v>0</v>
      </c>
      <c r="E45" s="2">
        <f>IF(B45="", "", "missing: not provided")</f>
        <v>0</v>
      </c>
      <c r="F45" s="1">
        <f>IF(B45="", "", "weeks")</f>
        <v>0</v>
      </c>
      <c r="G45" s="1">
        <f>IF(B45="", "", "mouse")</f>
        <v>0</v>
      </c>
      <c r="H45" s="1">
        <f>IF(B45="", "", "Mus musculus")</f>
        <v>0</v>
      </c>
      <c r="I45" s="1">
        <f>IF(B45="", "", "10090")</f>
        <v>0</v>
      </c>
      <c r="J45" s="2">
        <f>IF(B45="", "", "missing: not provided")</f>
        <v>0</v>
      </c>
      <c r="K45" s="1">
        <f>IF(B45="", "", "g")</f>
        <v>0</v>
      </c>
    </row>
    <row r="46" spans="1:11">
      <c r="A46">
        <f>IF(COUNTBLANK(B46:K46)&lt;&gt;COLUMNS(B46:K46),45,"")</f>
        <v>0</v>
      </c>
      <c r="C46" s="1">
        <f>IF(B46="", "", "urban biome")</f>
        <v>0</v>
      </c>
      <c r="D46" s="1">
        <f>IF(B46="", "", "animal-associated habitat")</f>
        <v>0</v>
      </c>
      <c r="E46" s="2">
        <f>IF(B46="", "", "missing: not provided")</f>
        <v>0</v>
      </c>
      <c r="F46" s="1">
        <f>IF(B46="", "", "weeks")</f>
        <v>0</v>
      </c>
      <c r="G46" s="1">
        <f>IF(B46="", "", "mouse")</f>
        <v>0</v>
      </c>
      <c r="H46" s="1">
        <f>IF(B46="", "", "Mus musculus")</f>
        <v>0</v>
      </c>
      <c r="I46" s="1">
        <f>IF(B46="", "", "10090")</f>
        <v>0</v>
      </c>
      <c r="J46" s="2">
        <f>IF(B46="", "", "missing: not provided")</f>
        <v>0</v>
      </c>
      <c r="K46" s="1">
        <f>IF(B46="", "", "g")</f>
        <v>0</v>
      </c>
    </row>
    <row r="47" spans="1:11">
      <c r="A47">
        <f>IF(COUNTBLANK(B47:K47)&lt;&gt;COLUMNS(B47:K47),46,"")</f>
        <v>0</v>
      </c>
      <c r="C47" s="1">
        <f>IF(B47="", "", "urban biome")</f>
        <v>0</v>
      </c>
      <c r="D47" s="1">
        <f>IF(B47="", "", "animal-associated habitat")</f>
        <v>0</v>
      </c>
      <c r="E47" s="2">
        <f>IF(B47="", "", "missing: not provided")</f>
        <v>0</v>
      </c>
      <c r="F47" s="1">
        <f>IF(B47="", "", "weeks")</f>
        <v>0</v>
      </c>
      <c r="G47" s="1">
        <f>IF(B47="", "", "mouse")</f>
        <v>0</v>
      </c>
      <c r="H47" s="1">
        <f>IF(B47="", "", "Mus musculus")</f>
        <v>0</v>
      </c>
      <c r="I47" s="1">
        <f>IF(B47="", "", "10090")</f>
        <v>0</v>
      </c>
      <c r="J47" s="2">
        <f>IF(B47="", "", "missing: not provided")</f>
        <v>0</v>
      </c>
      <c r="K47" s="1">
        <f>IF(B47="", "", "g")</f>
        <v>0</v>
      </c>
    </row>
    <row r="48" spans="1:11">
      <c r="A48">
        <f>IF(COUNTBLANK(B48:K48)&lt;&gt;COLUMNS(B48:K48),47,"")</f>
        <v>0</v>
      </c>
      <c r="C48" s="1">
        <f>IF(B48="", "", "urban biome")</f>
        <v>0</v>
      </c>
      <c r="D48" s="1">
        <f>IF(B48="", "", "animal-associated habitat")</f>
        <v>0</v>
      </c>
      <c r="E48" s="2">
        <f>IF(B48="", "", "missing: not provided")</f>
        <v>0</v>
      </c>
      <c r="F48" s="1">
        <f>IF(B48="", "", "weeks")</f>
        <v>0</v>
      </c>
      <c r="G48" s="1">
        <f>IF(B48="", "", "mouse")</f>
        <v>0</v>
      </c>
      <c r="H48" s="1">
        <f>IF(B48="", "", "Mus musculus")</f>
        <v>0</v>
      </c>
      <c r="I48" s="1">
        <f>IF(B48="", "", "10090")</f>
        <v>0</v>
      </c>
      <c r="J48" s="2">
        <f>IF(B48="", "", "missing: not provided")</f>
        <v>0</v>
      </c>
      <c r="K48" s="1">
        <f>IF(B48="", "", "g")</f>
        <v>0</v>
      </c>
    </row>
    <row r="49" spans="1:11">
      <c r="A49">
        <f>IF(COUNTBLANK(B49:K49)&lt;&gt;COLUMNS(B49:K49),48,"")</f>
        <v>0</v>
      </c>
      <c r="C49" s="1">
        <f>IF(B49="", "", "urban biome")</f>
        <v>0</v>
      </c>
      <c r="D49" s="1">
        <f>IF(B49="", "", "animal-associated habitat")</f>
        <v>0</v>
      </c>
      <c r="E49" s="2">
        <f>IF(B49="", "", "missing: not provided")</f>
        <v>0</v>
      </c>
      <c r="F49" s="1">
        <f>IF(B49="", "", "weeks")</f>
        <v>0</v>
      </c>
      <c r="G49" s="1">
        <f>IF(B49="", "", "mouse")</f>
        <v>0</v>
      </c>
      <c r="H49" s="1">
        <f>IF(B49="", "", "Mus musculus")</f>
        <v>0</v>
      </c>
      <c r="I49" s="1">
        <f>IF(B49="", "", "10090")</f>
        <v>0</v>
      </c>
      <c r="J49" s="2">
        <f>IF(B49="", "", "missing: not provided")</f>
        <v>0</v>
      </c>
      <c r="K49" s="1">
        <f>IF(B49="", "", "g")</f>
        <v>0</v>
      </c>
    </row>
    <row r="50" spans="1:11">
      <c r="A50">
        <f>IF(COUNTBLANK(B50:K50)&lt;&gt;COLUMNS(B50:K50),49,"")</f>
        <v>0</v>
      </c>
      <c r="C50" s="1">
        <f>IF(B50="", "", "urban biome")</f>
        <v>0</v>
      </c>
      <c r="D50" s="1">
        <f>IF(B50="", "", "animal-associated habitat")</f>
        <v>0</v>
      </c>
      <c r="E50" s="2">
        <f>IF(B50="", "", "missing: not provided")</f>
        <v>0</v>
      </c>
      <c r="F50" s="1">
        <f>IF(B50="", "", "weeks")</f>
        <v>0</v>
      </c>
      <c r="G50" s="1">
        <f>IF(B50="", "", "mouse")</f>
        <v>0</v>
      </c>
      <c r="H50" s="1">
        <f>IF(B50="", "", "Mus musculus")</f>
        <v>0</v>
      </c>
      <c r="I50" s="1">
        <f>IF(B50="", "", "10090")</f>
        <v>0</v>
      </c>
      <c r="J50" s="2">
        <f>IF(B50="", "", "missing: not provided")</f>
        <v>0</v>
      </c>
      <c r="K50" s="1">
        <f>IF(B50="", "", "g")</f>
        <v>0</v>
      </c>
    </row>
    <row r="51" spans="1:11">
      <c r="A51">
        <f>IF(COUNTBLANK(B51:K51)&lt;&gt;COLUMNS(B51:K51),50,"")</f>
        <v>0</v>
      </c>
      <c r="C51" s="1">
        <f>IF(B51="", "", "urban biome")</f>
        <v>0</v>
      </c>
      <c r="D51" s="1">
        <f>IF(B51="", "", "animal-associated habitat")</f>
        <v>0</v>
      </c>
      <c r="E51" s="2">
        <f>IF(B51="", "", "missing: not provided")</f>
        <v>0</v>
      </c>
      <c r="F51" s="1">
        <f>IF(B51="", "", "weeks")</f>
        <v>0</v>
      </c>
      <c r="G51" s="1">
        <f>IF(B51="", "", "mouse")</f>
        <v>0</v>
      </c>
      <c r="H51" s="1">
        <f>IF(B51="", "", "Mus musculus")</f>
        <v>0</v>
      </c>
      <c r="I51" s="1">
        <f>IF(B51="", "", "10090")</f>
        <v>0</v>
      </c>
      <c r="J51" s="2">
        <f>IF(B51="", "", "missing: not provided")</f>
        <v>0</v>
      </c>
      <c r="K51" s="1">
        <f>IF(B51="", "", "g")</f>
        <v>0</v>
      </c>
    </row>
    <row r="52" spans="1:11">
      <c r="A52">
        <f>IF(COUNTBLANK(B52:K52)&lt;&gt;COLUMNS(B52:K52),51,"")</f>
        <v>0</v>
      </c>
      <c r="C52" s="1">
        <f>IF(B52="", "", "urban biome")</f>
        <v>0</v>
      </c>
      <c r="D52" s="1">
        <f>IF(B52="", "", "animal-associated habitat")</f>
        <v>0</v>
      </c>
      <c r="E52" s="2">
        <f>IF(B52="", "", "missing: not provided")</f>
        <v>0</v>
      </c>
      <c r="F52" s="1">
        <f>IF(B52="", "", "weeks")</f>
        <v>0</v>
      </c>
      <c r="G52" s="1">
        <f>IF(B52="", "", "mouse")</f>
        <v>0</v>
      </c>
      <c r="H52" s="1">
        <f>IF(B52="", "", "Mus musculus")</f>
        <v>0</v>
      </c>
      <c r="I52" s="1">
        <f>IF(B52="", "", "10090")</f>
        <v>0</v>
      </c>
      <c r="J52" s="2">
        <f>IF(B52="", "", "missing: not provided")</f>
        <v>0</v>
      </c>
      <c r="K52" s="1">
        <f>IF(B52="", "", "g")</f>
        <v>0</v>
      </c>
    </row>
    <row r="53" spans="1:11">
      <c r="A53">
        <f>IF(COUNTBLANK(B53:K53)&lt;&gt;COLUMNS(B53:K53),52,"")</f>
        <v>0</v>
      </c>
      <c r="C53" s="1">
        <f>IF(B53="", "", "urban biome")</f>
        <v>0</v>
      </c>
      <c r="D53" s="1">
        <f>IF(B53="", "", "animal-associated habitat")</f>
        <v>0</v>
      </c>
      <c r="E53" s="2">
        <f>IF(B53="", "", "missing: not provided")</f>
        <v>0</v>
      </c>
      <c r="F53" s="1">
        <f>IF(B53="", "", "weeks")</f>
        <v>0</v>
      </c>
      <c r="G53" s="1">
        <f>IF(B53="", "", "mouse")</f>
        <v>0</v>
      </c>
      <c r="H53" s="1">
        <f>IF(B53="", "", "Mus musculus")</f>
        <v>0</v>
      </c>
      <c r="I53" s="1">
        <f>IF(B53="", "", "10090")</f>
        <v>0</v>
      </c>
      <c r="J53" s="2">
        <f>IF(B53="", "", "missing: not provided")</f>
        <v>0</v>
      </c>
      <c r="K53" s="1">
        <f>IF(B53="", "", "g")</f>
        <v>0</v>
      </c>
    </row>
    <row r="54" spans="1:11">
      <c r="A54">
        <f>IF(COUNTBLANK(B54:K54)&lt;&gt;COLUMNS(B54:K54),53,"")</f>
        <v>0</v>
      </c>
      <c r="C54" s="1">
        <f>IF(B54="", "", "urban biome")</f>
        <v>0</v>
      </c>
      <c r="D54" s="1">
        <f>IF(B54="", "", "animal-associated habitat")</f>
        <v>0</v>
      </c>
      <c r="E54" s="2">
        <f>IF(B54="", "", "missing: not provided")</f>
        <v>0</v>
      </c>
      <c r="F54" s="1">
        <f>IF(B54="", "", "weeks")</f>
        <v>0</v>
      </c>
      <c r="G54" s="1">
        <f>IF(B54="", "", "mouse")</f>
        <v>0</v>
      </c>
      <c r="H54" s="1">
        <f>IF(B54="", "", "Mus musculus")</f>
        <v>0</v>
      </c>
      <c r="I54" s="1">
        <f>IF(B54="", "", "10090")</f>
        <v>0</v>
      </c>
      <c r="J54" s="2">
        <f>IF(B54="", "", "missing: not provided")</f>
        <v>0</v>
      </c>
      <c r="K54" s="1">
        <f>IF(B54="", "", "g")</f>
        <v>0</v>
      </c>
    </row>
    <row r="55" spans="1:11">
      <c r="A55">
        <f>IF(COUNTBLANK(B55:K55)&lt;&gt;COLUMNS(B55:K55),54,"")</f>
        <v>0</v>
      </c>
      <c r="C55" s="1">
        <f>IF(B55="", "", "urban biome")</f>
        <v>0</v>
      </c>
      <c r="D55" s="1">
        <f>IF(B55="", "", "animal-associated habitat")</f>
        <v>0</v>
      </c>
      <c r="E55" s="2">
        <f>IF(B55="", "", "missing: not provided")</f>
        <v>0</v>
      </c>
      <c r="F55" s="1">
        <f>IF(B55="", "", "weeks")</f>
        <v>0</v>
      </c>
      <c r="G55" s="1">
        <f>IF(B55="", "", "mouse")</f>
        <v>0</v>
      </c>
      <c r="H55" s="1">
        <f>IF(B55="", "", "Mus musculus")</f>
        <v>0</v>
      </c>
      <c r="I55" s="1">
        <f>IF(B55="", "", "10090")</f>
        <v>0</v>
      </c>
      <c r="J55" s="2">
        <f>IF(B55="", "", "missing: not provided")</f>
        <v>0</v>
      </c>
      <c r="K55" s="1">
        <f>IF(B55="", "", "g")</f>
        <v>0</v>
      </c>
    </row>
    <row r="56" spans="1:11">
      <c r="A56">
        <f>IF(COUNTBLANK(B56:K56)&lt;&gt;COLUMNS(B56:K56),55,"")</f>
        <v>0</v>
      </c>
      <c r="C56" s="1">
        <f>IF(B56="", "", "urban biome")</f>
        <v>0</v>
      </c>
      <c r="D56" s="1">
        <f>IF(B56="", "", "animal-associated habitat")</f>
        <v>0</v>
      </c>
      <c r="E56" s="2">
        <f>IF(B56="", "", "missing: not provided")</f>
        <v>0</v>
      </c>
      <c r="F56" s="1">
        <f>IF(B56="", "", "weeks")</f>
        <v>0</v>
      </c>
      <c r="G56" s="1">
        <f>IF(B56="", "", "mouse")</f>
        <v>0</v>
      </c>
      <c r="H56" s="1">
        <f>IF(B56="", "", "Mus musculus")</f>
        <v>0</v>
      </c>
      <c r="I56" s="1">
        <f>IF(B56="", "", "10090")</f>
        <v>0</v>
      </c>
      <c r="J56" s="2">
        <f>IF(B56="", "", "missing: not provided")</f>
        <v>0</v>
      </c>
      <c r="K56" s="1">
        <f>IF(B56="", "", "g")</f>
        <v>0</v>
      </c>
    </row>
    <row r="57" spans="1:11">
      <c r="A57">
        <f>IF(COUNTBLANK(B57:K57)&lt;&gt;COLUMNS(B57:K57),56,"")</f>
        <v>0</v>
      </c>
      <c r="C57" s="1">
        <f>IF(B57="", "", "urban biome")</f>
        <v>0</v>
      </c>
      <c r="D57" s="1">
        <f>IF(B57="", "", "animal-associated habitat")</f>
        <v>0</v>
      </c>
      <c r="E57" s="2">
        <f>IF(B57="", "", "missing: not provided")</f>
        <v>0</v>
      </c>
      <c r="F57" s="1">
        <f>IF(B57="", "", "weeks")</f>
        <v>0</v>
      </c>
      <c r="G57" s="1">
        <f>IF(B57="", "", "mouse")</f>
        <v>0</v>
      </c>
      <c r="H57" s="1">
        <f>IF(B57="", "", "Mus musculus")</f>
        <v>0</v>
      </c>
      <c r="I57" s="1">
        <f>IF(B57="", "", "10090")</f>
        <v>0</v>
      </c>
      <c r="J57" s="2">
        <f>IF(B57="", "", "missing: not provided")</f>
        <v>0</v>
      </c>
      <c r="K57" s="1">
        <f>IF(B57="", "", "g")</f>
        <v>0</v>
      </c>
    </row>
    <row r="58" spans="1:11">
      <c r="A58">
        <f>IF(COUNTBLANK(B58:K58)&lt;&gt;COLUMNS(B58:K58),57,"")</f>
        <v>0</v>
      </c>
      <c r="C58" s="1">
        <f>IF(B58="", "", "urban biome")</f>
        <v>0</v>
      </c>
      <c r="D58" s="1">
        <f>IF(B58="", "", "animal-associated habitat")</f>
        <v>0</v>
      </c>
      <c r="E58" s="2">
        <f>IF(B58="", "", "missing: not provided")</f>
        <v>0</v>
      </c>
      <c r="F58" s="1">
        <f>IF(B58="", "", "weeks")</f>
        <v>0</v>
      </c>
      <c r="G58" s="1">
        <f>IF(B58="", "", "mouse")</f>
        <v>0</v>
      </c>
      <c r="H58" s="1">
        <f>IF(B58="", "", "Mus musculus")</f>
        <v>0</v>
      </c>
      <c r="I58" s="1">
        <f>IF(B58="", "", "10090")</f>
        <v>0</v>
      </c>
      <c r="J58" s="2">
        <f>IF(B58="", "", "missing: not provided")</f>
        <v>0</v>
      </c>
      <c r="K58" s="1">
        <f>IF(B58="", "", "g")</f>
        <v>0</v>
      </c>
    </row>
    <row r="59" spans="1:11">
      <c r="A59">
        <f>IF(COUNTBLANK(B59:K59)&lt;&gt;COLUMNS(B59:K59),58,"")</f>
        <v>0</v>
      </c>
      <c r="C59" s="1">
        <f>IF(B59="", "", "urban biome")</f>
        <v>0</v>
      </c>
      <c r="D59" s="1">
        <f>IF(B59="", "", "animal-associated habitat")</f>
        <v>0</v>
      </c>
      <c r="E59" s="2">
        <f>IF(B59="", "", "missing: not provided")</f>
        <v>0</v>
      </c>
      <c r="F59" s="1">
        <f>IF(B59="", "", "weeks")</f>
        <v>0</v>
      </c>
      <c r="G59" s="1">
        <f>IF(B59="", "", "mouse")</f>
        <v>0</v>
      </c>
      <c r="H59" s="1">
        <f>IF(B59="", "", "Mus musculus")</f>
        <v>0</v>
      </c>
      <c r="I59" s="1">
        <f>IF(B59="", "", "10090")</f>
        <v>0</v>
      </c>
      <c r="J59" s="2">
        <f>IF(B59="", "", "missing: not provided")</f>
        <v>0</v>
      </c>
      <c r="K59" s="1">
        <f>IF(B59="", "", "g")</f>
        <v>0</v>
      </c>
    </row>
    <row r="60" spans="1:11">
      <c r="A60">
        <f>IF(COUNTBLANK(B60:K60)&lt;&gt;COLUMNS(B60:K60),59,"")</f>
        <v>0</v>
      </c>
      <c r="C60" s="1">
        <f>IF(B60="", "", "urban biome")</f>
        <v>0</v>
      </c>
      <c r="D60" s="1">
        <f>IF(B60="", "", "animal-associated habitat")</f>
        <v>0</v>
      </c>
      <c r="E60" s="2">
        <f>IF(B60="", "", "missing: not provided")</f>
        <v>0</v>
      </c>
      <c r="F60" s="1">
        <f>IF(B60="", "", "weeks")</f>
        <v>0</v>
      </c>
      <c r="G60" s="1">
        <f>IF(B60="", "", "mouse")</f>
        <v>0</v>
      </c>
      <c r="H60" s="1">
        <f>IF(B60="", "", "Mus musculus")</f>
        <v>0</v>
      </c>
      <c r="I60" s="1">
        <f>IF(B60="", "", "10090")</f>
        <v>0</v>
      </c>
      <c r="J60" s="2">
        <f>IF(B60="", "", "missing: not provided")</f>
        <v>0</v>
      </c>
      <c r="K60" s="1">
        <f>IF(B60="", "", "g")</f>
        <v>0</v>
      </c>
    </row>
    <row r="61" spans="1:11">
      <c r="A61">
        <f>IF(COUNTBLANK(B61:K61)&lt;&gt;COLUMNS(B61:K61),60,"")</f>
        <v>0</v>
      </c>
      <c r="C61" s="1">
        <f>IF(B61="", "", "urban biome")</f>
        <v>0</v>
      </c>
      <c r="D61" s="1">
        <f>IF(B61="", "", "animal-associated habitat")</f>
        <v>0</v>
      </c>
      <c r="E61" s="2">
        <f>IF(B61="", "", "missing: not provided")</f>
        <v>0</v>
      </c>
      <c r="F61" s="1">
        <f>IF(B61="", "", "weeks")</f>
        <v>0</v>
      </c>
      <c r="G61" s="1">
        <f>IF(B61="", "", "mouse")</f>
        <v>0</v>
      </c>
      <c r="H61" s="1">
        <f>IF(B61="", "", "Mus musculus")</f>
        <v>0</v>
      </c>
      <c r="I61" s="1">
        <f>IF(B61="", "", "10090")</f>
        <v>0</v>
      </c>
      <c r="J61" s="2">
        <f>IF(B61="", "", "missing: not provided")</f>
        <v>0</v>
      </c>
      <c r="K61" s="1">
        <f>IF(B61="", "", "g")</f>
        <v>0</v>
      </c>
    </row>
    <row r="62" spans="1:11">
      <c r="A62">
        <f>IF(COUNTBLANK(B62:K62)&lt;&gt;COLUMNS(B62:K62),61,"")</f>
        <v>0</v>
      </c>
      <c r="C62" s="1">
        <f>IF(B62="", "", "urban biome")</f>
        <v>0</v>
      </c>
      <c r="D62" s="1">
        <f>IF(B62="", "", "animal-associated habitat")</f>
        <v>0</v>
      </c>
      <c r="E62" s="2">
        <f>IF(B62="", "", "missing: not provided")</f>
        <v>0</v>
      </c>
      <c r="F62" s="1">
        <f>IF(B62="", "", "weeks")</f>
        <v>0</v>
      </c>
      <c r="G62" s="1">
        <f>IF(B62="", "", "mouse")</f>
        <v>0</v>
      </c>
      <c r="H62" s="1">
        <f>IF(B62="", "", "Mus musculus")</f>
        <v>0</v>
      </c>
      <c r="I62" s="1">
        <f>IF(B62="", "", "10090")</f>
        <v>0</v>
      </c>
      <c r="J62" s="2">
        <f>IF(B62="", "", "missing: not provided")</f>
        <v>0</v>
      </c>
      <c r="K62" s="1">
        <f>IF(B62="", "", "g")</f>
        <v>0</v>
      </c>
    </row>
    <row r="63" spans="1:11">
      <c r="A63">
        <f>IF(COUNTBLANK(B63:K63)&lt;&gt;COLUMNS(B63:K63),62,"")</f>
        <v>0</v>
      </c>
      <c r="C63" s="1">
        <f>IF(B63="", "", "urban biome")</f>
        <v>0</v>
      </c>
      <c r="D63" s="1">
        <f>IF(B63="", "", "animal-associated habitat")</f>
        <v>0</v>
      </c>
      <c r="E63" s="2">
        <f>IF(B63="", "", "missing: not provided")</f>
        <v>0</v>
      </c>
      <c r="F63" s="1">
        <f>IF(B63="", "", "weeks")</f>
        <v>0</v>
      </c>
      <c r="G63" s="1">
        <f>IF(B63="", "", "mouse")</f>
        <v>0</v>
      </c>
      <c r="H63" s="1">
        <f>IF(B63="", "", "Mus musculus")</f>
        <v>0</v>
      </c>
      <c r="I63" s="1">
        <f>IF(B63="", "", "10090")</f>
        <v>0</v>
      </c>
      <c r="J63" s="2">
        <f>IF(B63="", "", "missing: not provided")</f>
        <v>0</v>
      </c>
      <c r="K63" s="1">
        <f>IF(B63="", "", "g")</f>
        <v>0</v>
      </c>
    </row>
    <row r="64" spans="1:11">
      <c r="A64">
        <f>IF(COUNTBLANK(B64:K64)&lt;&gt;COLUMNS(B64:K64),63,"")</f>
        <v>0</v>
      </c>
      <c r="C64" s="1">
        <f>IF(B64="", "", "urban biome")</f>
        <v>0</v>
      </c>
      <c r="D64" s="1">
        <f>IF(B64="", "", "animal-associated habitat")</f>
        <v>0</v>
      </c>
      <c r="E64" s="2">
        <f>IF(B64="", "", "missing: not provided")</f>
        <v>0</v>
      </c>
      <c r="F64" s="1">
        <f>IF(B64="", "", "weeks")</f>
        <v>0</v>
      </c>
      <c r="G64" s="1">
        <f>IF(B64="", "", "mouse")</f>
        <v>0</v>
      </c>
      <c r="H64" s="1">
        <f>IF(B64="", "", "Mus musculus")</f>
        <v>0</v>
      </c>
      <c r="I64" s="1">
        <f>IF(B64="", "", "10090")</f>
        <v>0</v>
      </c>
      <c r="J64" s="2">
        <f>IF(B64="", "", "missing: not provided")</f>
        <v>0</v>
      </c>
      <c r="K64" s="1">
        <f>IF(B64="", "", "g")</f>
        <v>0</v>
      </c>
    </row>
    <row r="65" spans="1:11">
      <c r="A65">
        <f>IF(COUNTBLANK(B65:K65)&lt;&gt;COLUMNS(B65:K65),64,"")</f>
        <v>0</v>
      </c>
      <c r="C65" s="1">
        <f>IF(B65="", "", "urban biome")</f>
        <v>0</v>
      </c>
      <c r="D65" s="1">
        <f>IF(B65="", "", "animal-associated habitat")</f>
        <v>0</v>
      </c>
      <c r="E65" s="2">
        <f>IF(B65="", "", "missing: not provided")</f>
        <v>0</v>
      </c>
      <c r="F65" s="1">
        <f>IF(B65="", "", "weeks")</f>
        <v>0</v>
      </c>
      <c r="G65" s="1">
        <f>IF(B65="", "", "mouse")</f>
        <v>0</v>
      </c>
      <c r="H65" s="1">
        <f>IF(B65="", "", "Mus musculus")</f>
        <v>0</v>
      </c>
      <c r="I65" s="1">
        <f>IF(B65="", "", "10090")</f>
        <v>0</v>
      </c>
      <c r="J65" s="2">
        <f>IF(B65="", "", "missing: not provided")</f>
        <v>0</v>
      </c>
      <c r="K65" s="1">
        <f>IF(B65="", "", "g")</f>
        <v>0</v>
      </c>
    </row>
    <row r="66" spans="1:11">
      <c r="A66">
        <f>IF(COUNTBLANK(B66:K66)&lt;&gt;COLUMNS(B66:K66),65,"")</f>
        <v>0</v>
      </c>
      <c r="C66" s="1">
        <f>IF(B66="", "", "urban biome")</f>
        <v>0</v>
      </c>
      <c r="D66" s="1">
        <f>IF(B66="", "", "animal-associated habitat")</f>
        <v>0</v>
      </c>
      <c r="E66" s="2">
        <f>IF(B66="", "", "missing: not provided")</f>
        <v>0</v>
      </c>
      <c r="F66" s="1">
        <f>IF(B66="", "", "weeks")</f>
        <v>0</v>
      </c>
      <c r="G66" s="1">
        <f>IF(B66="", "", "mouse")</f>
        <v>0</v>
      </c>
      <c r="H66" s="1">
        <f>IF(B66="", "", "Mus musculus")</f>
        <v>0</v>
      </c>
      <c r="I66" s="1">
        <f>IF(B66="", "", "10090")</f>
        <v>0</v>
      </c>
      <c r="J66" s="2">
        <f>IF(B66="", "", "missing: not provided")</f>
        <v>0</v>
      </c>
      <c r="K66" s="1">
        <f>IF(B66="", "", "g")</f>
        <v>0</v>
      </c>
    </row>
    <row r="67" spans="1:11">
      <c r="A67">
        <f>IF(COUNTBLANK(B67:K67)&lt;&gt;COLUMNS(B67:K67),66,"")</f>
        <v>0</v>
      </c>
      <c r="C67" s="1">
        <f>IF(B67="", "", "urban biome")</f>
        <v>0</v>
      </c>
      <c r="D67" s="1">
        <f>IF(B67="", "", "animal-associated habitat")</f>
        <v>0</v>
      </c>
      <c r="E67" s="2">
        <f>IF(B67="", "", "missing: not provided")</f>
        <v>0</v>
      </c>
      <c r="F67" s="1">
        <f>IF(B67="", "", "weeks")</f>
        <v>0</v>
      </c>
      <c r="G67" s="1">
        <f>IF(B67="", "", "mouse")</f>
        <v>0</v>
      </c>
      <c r="H67" s="1">
        <f>IF(B67="", "", "Mus musculus")</f>
        <v>0</v>
      </c>
      <c r="I67" s="1">
        <f>IF(B67="", "", "10090")</f>
        <v>0</v>
      </c>
      <c r="J67" s="2">
        <f>IF(B67="", "", "missing: not provided")</f>
        <v>0</v>
      </c>
      <c r="K67" s="1">
        <f>IF(B67="", "", "g")</f>
        <v>0</v>
      </c>
    </row>
    <row r="68" spans="1:11">
      <c r="A68">
        <f>IF(COUNTBLANK(B68:K68)&lt;&gt;COLUMNS(B68:K68),67,"")</f>
        <v>0</v>
      </c>
      <c r="C68" s="1">
        <f>IF(B68="", "", "urban biome")</f>
        <v>0</v>
      </c>
      <c r="D68" s="1">
        <f>IF(B68="", "", "animal-associated habitat")</f>
        <v>0</v>
      </c>
      <c r="E68" s="2">
        <f>IF(B68="", "", "missing: not provided")</f>
        <v>0</v>
      </c>
      <c r="F68" s="1">
        <f>IF(B68="", "", "weeks")</f>
        <v>0</v>
      </c>
      <c r="G68" s="1">
        <f>IF(B68="", "", "mouse")</f>
        <v>0</v>
      </c>
      <c r="H68" s="1">
        <f>IF(B68="", "", "Mus musculus")</f>
        <v>0</v>
      </c>
      <c r="I68" s="1">
        <f>IF(B68="", "", "10090")</f>
        <v>0</v>
      </c>
      <c r="J68" s="2">
        <f>IF(B68="", "", "missing: not provided")</f>
        <v>0</v>
      </c>
      <c r="K68" s="1">
        <f>IF(B68="", "", "g")</f>
        <v>0</v>
      </c>
    </row>
    <row r="69" spans="1:11">
      <c r="A69">
        <f>IF(COUNTBLANK(B69:K69)&lt;&gt;COLUMNS(B69:K69),68,"")</f>
        <v>0</v>
      </c>
      <c r="C69" s="1">
        <f>IF(B69="", "", "urban biome")</f>
        <v>0</v>
      </c>
      <c r="D69" s="1">
        <f>IF(B69="", "", "animal-associated habitat")</f>
        <v>0</v>
      </c>
      <c r="E69" s="2">
        <f>IF(B69="", "", "missing: not provided")</f>
        <v>0</v>
      </c>
      <c r="F69" s="1">
        <f>IF(B69="", "", "weeks")</f>
        <v>0</v>
      </c>
      <c r="G69" s="1">
        <f>IF(B69="", "", "mouse")</f>
        <v>0</v>
      </c>
      <c r="H69" s="1">
        <f>IF(B69="", "", "Mus musculus")</f>
        <v>0</v>
      </c>
      <c r="I69" s="1">
        <f>IF(B69="", "", "10090")</f>
        <v>0</v>
      </c>
      <c r="J69" s="2">
        <f>IF(B69="", "", "missing: not provided")</f>
        <v>0</v>
      </c>
      <c r="K69" s="1">
        <f>IF(B69="", "", "g")</f>
        <v>0</v>
      </c>
    </row>
    <row r="70" spans="1:11">
      <c r="A70">
        <f>IF(COUNTBLANK(B70:K70)&lt;&gt;COLUMNS(B70:K70),69,"")</f>
        <v>0</v>
      </c>
      <c r="C70" s="1">
        <f>IF(B70="", "", "urban biome")</f>
        <v>0</v>
      </c>
      <c r="D70" s="1">
        <f>IF(B70="", "", "animal-associated habitat")</f>
        <v>0</v>
      </c>
      <c r="E70" s="2">
        <f>IF(B70="", "", "missing: not provided")</f>
        <v>0</v>
      </c>
      <c r="F70" s="1">
        <f>IF(B70="", "", "weeks")</f>
        <v>0</v>
      </c>
      <c r="G70" s="1">
        <f>IF(B70="", "", "mouse")</f>
        <v>0</v>
      </c>
      <c r="H70" s="1">
        <f>IF(B70="", "", "Mus musculus")</f>
        <v>0</v>
      </c>
      <c r="I70" s="1">
        <f>IF(B70="", "", "10090")</f>
        <v>0</v>
      </c>
      <c r="J70" s="2">
        <f>IF(B70="", "", "missing: not provided")</f>
        <v>0</v>
      </c>
      <c r="K70" s="1">
        <f>IF(B70="", "", "g")</f>
        <v>0</v>
      </c>
    </row>
    <row r="71" spans="1:11">
      <c r="A71">
        <f>IF(COUNTBLANK(B71:K71)&lt;&gt;COLUMNS(B71:K71),70,"")</f>
        <v>0</v>
      </c>
      <c r="C71" s="1">
        <f>IF(B71="", "", "urban biome")</f>
        <v>0</v>
      </c>
      <c r="D71" s="1">
        <f>IF(B71="", "", "animal-associated habitat")</f>
        <v>0</v>
      </c>
      <c r="E71" s="2">
        <f>IF(B71="", "", "missing: not provided")</f>
        <v>0</v>
      </c>
      <c r="F71" s="1">
        <f>IF(B71="", "", "weeks")</f>
        <v>0</v>
      </c>
      <c r="G71" s="1">
        <f>IF(B71="", "", "mouse")</f>
        <v>0</v>
      </c>
      <c r="H71" s="1">
        <f>IF(B71="", "", "Mus musculus")</f>
        <v>0</v>
      </c>
      <c r="I71" s="1">
        <f>IF(B71="", "", "10090")</f>
        <v>0</v>
      </c>
      <c r="J71" s="2">
        <f>IF(B71="", "", "missing: not provided")</f>
        <v>0</v>
      </c>
      <c r="K71" s="1">
        <f>IF(B71="", "", "g")</f>
        <v>0</v>
      </c>
    </row>
    <row r="72" spans="1:11">
      <c r="A72">
        <f>IF(COUNTBLANK(B72:K72)&lt;&gt;COLUMNS(B72:K72),71,"")</f>
        <v>0</v>
      </c>
      <c r="C72" s="1">
        <f>IF(B72="", "", "urban biome")</f>
        <v>0</v>
      </c>
      <c r="D72" s="1">
        <f>IF(B72="", "", "animal-associated habitat")</f>
        <v>0</v>
      </c>
      <c r="E72" s="2">
        <f>IF(B72="", "", "missing: not provided")</f>
        <v>0</v>
      </c>
      <c r="F72" s="1">
        <f>IF(B72="", "", "weeks")</f>
        <v>0</v>
      </c>
      <c r="G72" s="1">
        <f>IF(B72="", "", "mouse")</f>
        <v>0</v>
      </c>
      <c r="H72" s="1">
        <f>IF(B72="", "", "Mus musculus")</f>
        <v>0</v>
      </c>
      <c r="I72" s="1">
        <f>IF(B72="", "", "10090")</f>
        <v>0</v>
      </c>
      <c r="J72" s="2">
        <f>IF(B72="", "", "missing: not provided")</f>
        <v>0</v>
      </c>
      <c r="K72" s="1">
        <f>IF(B72="", "", "g")</f>
        <v>0</v>
      </c>
    </row>
    <row r="73" spans="1:11">
      <c r="A73">
        <f>IF(COUNTBLANK(B73:K73)&lt;&gt;COLUMNS(B73:K73),72,"")</f>
        <v>0</v>
      </c>
      <c r="C73" s="1">
        <f>IF(B73="", "", "urban biome")</f>
        <v>0</v>
      </c>
      <c r="D73" s="1">
        <f>IF(B73="", "", "animal-associated habitat")</f>
        <v>0</v>
      </c>
      <c r="E73" s="2">
        <f>IF(B73="", "", "missing: not provided")</f>
        <v>0</v>
      </c>
      <c r="F73" s="1">
        <f>IF(B73="", "", "weeks")</f>
        <v>0</v>
      </c>
      <c r="G73" s="1">
        <f>IF(B73="", "", "mouse")</f>
        <v>0</v>
      </c>
      <c r="H73" s="1">
        <f>IF(B73="", "", "Mus musculus")</f>
        <v>0</v>
      </c>
      <c r="I73" s="1">
        <f>IF(B73="", "", "10090")</f>
        <v>0</v>
      </c>
      <c r="J73" s="2">
        <f>IF(B73="", "", "missing: not provided")</f>
        <v>0</v>
      </c>
      <c r="K73" s="1">
        <f>IF(B73="", "", "g")</f>
        <v>0</v>
      </c>
    </row>
    <row r="74" spans="1:11">
      <c r="A74">
        <f>IF(COUNTBLANK(B74:K74)&lt;&gt;COLUMNS(B74:K74),73,"")</f>
        <v>0</v>
      </c>
      <c r="C74" s="1">
        <f>IF(B74="", "", "urban biome")</f>
        <v>0</v>
      </c>
      <c r="D74" s="1">
        <f>IF(B74="", "", "animal-associated habitat")</f>
        <v>0</v>
      </c>
      <c r="E74" s="2">
        <f>IF(B74="", "", "missing: not provided")</f>
        <v>0</v>
      </c>
      <c r="F74" s="1">
        <f>IF(B74="", "", "weeks")</f>
        <v>0</v>
      </c>
      <c r="G74" s="1">
        <f>IF(B74="", "", "mouse")</f>
        <v>0</v>
      </c>
      <c r="H74" s="1">
        <f>IF(B74="", "", "Mus musculus")</f>
        <v>0</v>
      </c>
      <c r="I74" s="1">
        <f>IF(B74="", "", "10090")</f>
        <v>0</v>
      </c>
      <c r="J74" s="2">
        <f>IF(B74="", "", "missing: not provided")</f>
        <v>0</v>
      </c>
      <c r="K74" s="1">
        <f>IF(B74="", "", "g")</f>
        <v>0</v>
      </c>
    </row>
    <row r="75" spans="1:11">
      <c r="A75">
        <f>IF(COUNTBLANK(B75:K75)&lt;&gt;COLUMNS(B75:K75),74,"")</f>
        <v>0</v>
      </c>
      <c r="C75" s="1">
        <f>IF(B75="", "", "urban biome")</f>
        <v>0</v>
      </c>
      <c r="D75" s="1">
        <f>IF(B75="", "", "animal-associated habitat")</f>
        <v>0</v>
      </c>
      <c r="E75" s="2">
        <f>IF(B75="", "", "missing: not provided")</f>
        <v>0</v>
      </c>
      <c r="F75" s="1">
        <f>IF(B75="", "", "weeks")</f>
        <v>0</v>
      </c>
      <c r="G75" s="1">
        <f>IF(B75="", "", "mouse")</f>
        <v>0</v>
      </c>
      <c r="H75" s="1">
        <f>IF(B75="", "", "Mus musculus")</f>
        <v>0</v>
      </c>
      <c r="I75" s="1">
        <f>IF(B75="", "", "10090")</f>
        <v>0</v>
      </c>
      <c r="J75" s="2">
        <f>IF(B75="", "", "missing: not provided")</f>
        <v>0</v>
      </c>
      <c r="K75" s="1">
        <f>IF(B75="", "", "g")</f>
        <v>0</v>
      </c>
    </row>
    <row r="76" spans="1:11">
      <c r="A76">
        <f>IF(COUNTBLANK(B76:K76)&lt;&gt;COLUMNS(B76:K76),75,"")</f>
        <v>0</v>
      </c>
      <c r="C76" s="1">
        <f>IF(B76="", "", "urban biome")</f>
        <v>0</v>
      </c>
      <c r="D76" s="1">
        <f>IF(B76="", "", "animal-associated habitat")</f>
        <v>0</v>
      </c>
      <c r="E76" s="2">
        <f>IF(B76="", "", "missing: not provided")</f>
        <v>0</v>
      </c>
      <c r="F76" s="1">
        <f>IF(B76="", "", "weeks")</f>
        <v>0</v>
      </c>
      <c r="G76" s="1">
        <f>IF(B76="", "", "mouse")</f>
        <v>0</v>
      </c>
      <c r="H76" s="1">
        <f>IF(B76="", "", "Mus musculus")</f>
        <v>0</v>
      </c>
      <c r="I76" s="1">
        <f>IF(B76="", "", "10090")</f>
        <v>0</v>
      </c>
      <c r="J76" s="2">
        <f>IF(B76="", "", "missing: not provided")</f>
        <v>0</v>
      </c>
      <c r="K76" s="1">
        <f>IF(B76="", "", "g")</f>
        <v>0</v>
      </c>
    </row>
    <row r="77" spans="1:11">
      <c r="A77">
        <f>IF(COUNTBLANK(B77:K77)&lt;&gt;COLUMNS(B77:K77),76,"")</f>
        <v>0</v>
      </c>
      <c r="C77" s="1">
        <f>IF(B77="", "", "urban biome")</f>
        <v>0</v>
      </c>
      <c r="D77" s="1">
        <f>IF(B77="", "", "animal-associated habitat")</f>
        <v>0</v>
      </c>
      <c r="E77" s="2">
        <f>IF(B77="", "", "missing: not provided")</f>
        <v>0</v>
      </c>
      <c r="F77" s="1">
        <f>IF(B77="", "", "weeks")</f>
        <v>0</v>
      </c>
      <c r="G77" s="1">
        <f>IF(B77="", "", "mouse")</f>
        <v>0</v>
      </c>
      <c r="H77" s="1">
        <f>IF(B77="", "", "Mus musculus")</f>
        <v>0</v>
      </c>
      <c r="I77" s="1">
        <f>IF(B77="", "", "10090")</f>
        <v>0</v>
      </c>
      <c r="J77" s="2">
        <f>IF(B77="", "", "missing: not provided")</f>
        <v>0</v>
      </c>
      <c r="K77" s="1">
        <f>IF(B77="", "", "g")</f>
        <v>0</v>
      </c>
    </row>
    <row r="78" spans="1:11">
      <c r="A78">
        <f>IF(COUNTBLANK(B78:K78)&lt;&gt;COLUMNS(B78:K78),77,"")</f>
        <v>0</v>
      </c>
      <c r="C78" s="1">
        <f>IF(B78="", "", "urban biome")</f>
        <v>0</v>
      </c>
      <c r="D78" s="1">
        <f>IF(B78="", "", "animal-associated habitat")</f>
        <v>0</v>
      </c>
      <c r="E78" s="2">
        <f>IF(B78="", "", "missing: not provided")</f>
        <v>0</v>
      </c>
      <c r="F78" s="1">
        <f>IF(B78="", "", "weeks")</f>
        <v>0</v>
      </c>
      <c r="G78" s="1">
        <f>IF(B78="", "", "mouse")</f>
        <v>0</v>
      </c>
      <c r="H78" s="1">
        <f>IF(B78="", "", "Mus musculus")</f>
        <v>0</v>
      </c>
      <c r="I78" s="1">
        <f>IF(B78="", "", "10090")</f>
        <v>0</v>
      </c>
      <c r="J78" s="2">
        <f>IF(B78="", "", "missing: not provided")</f>
        <v>0</v>
      </c>
      <c r="K78" s="1">
        <f>IF(B78="", "", "g")</f>
        <v>0</v>
      </c>
    </row>
    <row r="79" spans="1:11">
      <c r="A79">
        <f>IF(COUNTBLANK(B79:K79)&lt;&gt;COLUMNS(B79:K79),78,"")</f>
        <v>0</v>
      </c>
      <c r="C79" s="1">
        <f>IF(B79="", "", "urban biome")</f>
        <v>0</v>
      </c>
      <c r="D79" s="1">
        <f>IF(B79="", "", "animal-associated habitat")</f>
        <v>0</v>
      </c>
      <c r="E79" s="2">
        <f>IF(B79="", "", "missing: not provided")</f>
        <v>0</v>
      </c>
      <c r="F79" s="1">
        <f>IF(B79="", "", "weeks")</f>
        <v>0</v>
      </c>
      <c r="G79" s="1">
        <f>IF(B79="", "", "mouse")</f>
        <v>0</v>
      </c>
      <c r="H79" s="1">
        <f>IF(B79="", "", "Mus musculus")</f>
        <v>0</v>
      </c>
      <c r="I79" s="1">
        <f>IF(B79="", "", "10090")</f>
        <v>0</v>
      </c>
      <c r="J79" s="2">
        <f>IF(B79="", "", "missing: not provided")</f>
        <v>0</v>
      </c>
      <c r="K79" s="1">
        <f>IF(B79="", "", "g")</f>
        <v>0</v>
      </c>
    </row>
    <row r="80" spans="1:11">
      <c r="A80">
        <f>IF(COUNTBLANK(B80:K80)&lt;&gt;COLUMNS(B80:K80),79,"")</f>
        <v>0</v>
      </c>
      <c r="C80" s="1">
        <f>IF(B80="", "", "urban biome")</f>
        <v>0</v>
      </c>
      <c r="D80" s="1">
        <f>IF(B80="", "", "animal-associated habitat")</f>
        <v>0</v>
      </c>
      <c r="E80" s="2">
        <f>IF(B80="", "", "missing: not provided")</f>
        <v>0</v>
      </c>
      <c r="F80" s="1">
        <f>IF(B80="", "", "weeks")</f>
        <v>0</v>
      </c>
      <c r="G80" s="1">
        <f>IF(B80="", "", "mouse")</f>
        <v>0</v>
      </c>
      <c r="H80" s="1">
        <f>IF(B80="", "", "Mus musculus")</f>
        <v>0</v>
      </c>
      <c r="I80" s="1">
        <f>IF(B80="", "", "10090")</f>
        <v>0</v>
      </c>
      <c r="J80" s="2">
        <f>IF(B80="", "", "missing: not provided")</f>
        <v>0</v>
      </c>
      <c r="K80" s="1">
        <f>IF(B80="", "", "g")</f>
        <v>0</v>
      </c>
    </row>
    <row r="81" spans="1:11">
      <c r="A81">
        <f>IF(COUNTBLANK(B81:K81)&lt;&gt;COLUMNS(B81:K81),80,"")</f>
        <v>0</v>
      </c>
      <c r="C81" s="1">
        <f>IF(B81="", "", "urban biome")</f>
        <v>0</v>
      </c>
      <c r="D81" s="1">
        <f>IF(B81="", "", "animal-associated habitat")</f>
        <v>0</v>
      </c>
      <c r="E81" s="2">
        <f>IF(B81="", "", "missing: not provided")</f>
        <v>0</v>
      </c>
      <c r="F81" s="1">
        <f>IF(B81="", "", "weeks")</f>
        <v>0</v>
      </c>
      <c r="G81" s="1">
        <f>IF(B81="", "", "mouse")</f>
        <v>0</v>
      </c>
      <c r="H81" s="1">
        <f>IF(B81="", "", "Mus musculus")</f>
        <v>0</v>
      </c>
      <c r="I81" s="1">
        <f>IF(B81="", "", "10090")</f>
        <v>0</v>
      </c>
      <c r="J81" s="2">
        <f>IF(B81="", "", "missing: not provided")</f>
        <v>0</v>
      </c>
      <c r="K81" s="1">
        <f>IF(B81="", "", "g")</f>
        <v>0</v>
      </c>
    </row>
    <row r="82" spans="1:11">
      <c r="A82">
        <f>IF(COUNTBLANK(B82:K82)&lt;&gt;COLUMNS(B82:K82),81,"")</f>
        <v>0</v>
      </c>
      <c r="C82" s="1">
        <f>IF(B82="", "", "urban biome")</f>
        <v>0</v>
      </c>
      <c r="D82" s="1">
        <f>IF(B82="", "", "animal-associated habitat")</f>
        <v>0</v>
      </c>
      <c r="E82" s="2">
        <f>IF(B82="", "", "missing: not provided")</f>
        <v>0</v>
      </c>
      <c r="F82" s="1">
        <f>IF(B82="", "", "weeks")</f>
        <v>0</v>
      </c>
      <c r="G82" s="1">
        <f>IF(B82="", "", "mouse")</f>
        <v>0</v>
      </c>
      <c r="H82" s="1">
        <f>IF(B82="", "", "Mus musculus")</f>
        <v>0</v>
      </c>
      <c r="I82" s="1">
        <f>IF(B82="", "", "10090")</f>
        <v>0</v>
      </c>
      <c r="J82" s="2">
        <f>IF(B82="", "", "missing: not provided")</f>
        <v>0</v>
      </c>
      <c r="K82" s="1">
        <f>IF(B82="", "", "g")</f>
        <v>0</v>
      </c>
    </row>
    <row r="83" spans="1:11">
      <c r="A83">
        <f>IF(COUNTBLANK(B83:K83)&lt;&gt;COLUMNS(B83:K83),82,"")</f>
        <v>0</v>
      </c>
      <c r="C83" s="1">
        <f>IF(B83="", "", "urban biome")</f>
        <v>0</v>
      </c>
      <c r="D83" s="1">
        <f>IF(B83="", "", "animal-associated habitat")</f>
        <v>0</v>
      </c>
      <c r="E83" s="2">
        <f>IF(B83="", "", "missing: not provided")</f>
        <v>0</v>
      </c>
      <c r="F83" s="1">
        <f>IF(B83="", "", "weeks")</f>
        <v>0</v>
      </c>
      <c r="G83" s="1">
        <f>IF(B83="", "", "mouse")</f>
        <v>0</v>
      </c>
      <c r="H83" s="1">
        <f>IF(B83="", "", "Mus musculus")</f>
        <v>0</v>
      </c>
      <c r="I83" s="1">
        <f>IF(B83="", "", "10090")</f>
        <v>0</v>
      </c>
      <c r="J83" s="2">
        <f>IF(B83="", "", "missing: not provided")</f>
        <v>0</v>
      </c>
      <c r="K83" s="1">
        <f>IF(B83="", "", "g")</f>
        <v>0</v>
      </c>
    </row>
    <row r="84" spans="1:11">
      <c r="A84">
        <f>IF(COUNTBLANK(B84:K84)&lt;&gt;COLUMNS(B84:K84),83,"")</f>
        <v>0</v>
      </c>
      <c r="C84" s="1">
        <f>IF(B84="", "", "urban biome")</f>
        <v>0</v>
      </c>
      <c r="D84" s="1">
        <f>IF(B84="", "", "animal-associated habitat")</f>
        <v>0</v>
      </c>
      <c r="E84" s="2">
        <f>IF(B84="", "", "missing: not provided")</f>
        <v>0</v>
      </c>
      <c r="F84" s="1">
        <f>IF(B84="", "", "weeks")</f>
        <v>0</v>
      </c>
      <c r="G84" s="1">
        <f>IF(B84="", "", "mouse")</f>
        <v>0</v>
      </c>
      <c r="H84" s="1">
        <f>IF(B84="", "", "Mus musculus")</f>
        <v>0</v>
      </c>
      <c r="I84" s="1">
        <f>IF(B84="", "", "10090")</f>
        <v>0</v>
      </c>
      <c r="J84" s="2">
        <f>IF(B84="", "", "missing: not provided")</f>
        <v>0</v>
      </c>
      <c r="K84" s="1">
        <f>IF(B84="", "", "g")</f>
        <v>0</v>
      </c>
    </row>
    <row r="85" spans="1:11">
      <c r="A85">
        <f>IF(COUNTBLANK(B85:K85)&lt;&gt;COLUMNS(B85:K85),84,"")</f>
        <v>0</v>
      </c>
      <c r="C85" s="1">
        <f>IF(B85="", "", "urban biome")</f>
        <v>0</v>
      </c>
      <c r="D85" s="1">
        <f>IF(B85="", "", "animal-associated habitat")</f>
        <v>0</v>
      </c>
      <c r="E85" s="2">
        <f>IF(B85="", "", "missing: not provided")</f>
        <v>0</v>
      </c>
      <c r="F85" s="1">
        <f>IF(B85="", "", "weeks")</f>
        <v>0</v>
      </c>
      <c r="G85" s="1">
        <f>IF(B85="", "", "mouse")</f>
        <v>0</v>
      </c>
      <c r="H85" s="1">
        <f>IF(B85="", "", "Mus musculus")</f>
        <v>0</v>
      </c>
      <c r="I85" s="1">
        <f>IF(B85="", "", "10090")</f>
        <v>0</v>
      </c>
      <c r="J85" s="2">
        <f>IF(B85="", "", "missing: not provided")</f>
        <v>0</v>
      </c>
      <c r="K85" s="1">
        <f>IF(B85="", "", "g")</f>
        <v>0</v>
      </c>
    </row>
    <row r="86" spans="1:11">
      <c r="A86">
        <f>IF(COUNTBLANK(B86:K86)&lt;&gt;COLUMNS(B86:K86),85,"")</f>
        <v>0</v>
      </c>
      <c r="C86" s="1">
        <f>IF(B86="", "", "urban biome")</f>
        <v>0</v>
      </c>
      <c r="D86" s="1">
        <f>IF(B86="", "", "animal-associated habitat")</f>
        <v>0</v>
      </c>
      <c r="E86" s="2">
        <f>IF(B86="", "", "missing: not provided")</f>
        <v>0</v>
      </c>
      <c r="F86" s="1">
        <f>IF(B86="", "", "weeks")</f>
        <v>0</v>
      </c>
      <c r="G86" s="1">
        <f>IF(B86="", "", "mouse")</f>
        <v>0</v>
      </c>
      <c r="H86" s="1">
        <f>IF(B86="", "", "Mus musculus")</f>
        <v>0</v>
      </c>
      <c r="I86" s="1">
        <f>IF(B86="", "", "10090")</f>
        <v>0</v>
      </c>
      <c r="J86" s="2">
        <f>IF(B86="", "", "missing: not provided")</f>
        <v>0</v>
      </c>
      <c r="K86" s="1">
        <f>IF(B86="", "", "g")</f>
        <v>0</v>
      </c>
    </row>
    <row r="87" spans="1:11">
      <c r="A87">
        <f>IF(COUNTBLANK(B87:K87)&lt;&gt;COLUMNS(B87:K87),86,"")</f>
        <v>0</v>
      </c>
      <c r="C87" s="1">
        <f>IF(B87="", "", "urban biome")</f>
        <v>0</v>
      </c>
      <c r="D87" s="1">
        <f>IF(B87="", "", "animal-associated habitat")</f>
        <v>0</v>
      </c>
      <c r="E87" s="2">
        <f>IF(B87="", "", "missing: not provided")</f>
        <v>0</v>
      </c>
      <c r="F87" s="1">
        <f>IF(B87="", "", "weeks")</f>
        <v>0</v>
      </c>
      <c r="G87" s="1">
        <f>IF(B87="", "", "mouse")</f>
        <v>0</v>
      </c>
      <c r="H87" s="1">
        <f>IF(B87="", "", "Mus musculus")</f>
        <v>0</v>
      </c>
      <c r="I87" s="1">
        <f>IF(B87="", "", "10090")</f>
        <v>0</v>
      </c>
      <c r="J87" s="2">
        <f>IF(B87="", "", "missing: not provided")</f>
        <v>0</v>
      </c>
      <c r="K87" s="1">
        <f>IF(B87="", "", "g")</f>
        <v>0</v>
      </c>
    </row>
    <row r="88" spans="1:11">
      <c r="A88">
        <f>IF(COUNTBLANK(B88:K88)&lt;&gt;COLUMNS(B88:K88),87,"")</f>
        <v>0</v>
      </c>
      <c r="C88" s="1">
        <f>IF(B88="", "", "urban biome")</f>
        <v>0</v>
      </c>
      <c r="D88" s="1">
        <f>IF(B88="", "", "animal-associated habitat")</f>
        <v>0</v>
      </c>
      <c r="E88" s="2">
        <f>IF(B88="", "", "missing: not provided")</f>
        <v>0</v>
      </c>
      <c r="F88" s="1">
        <f>IF(B88="", "", "weeks")</f>
        <v>0</v>
      </c>
      <c r="G88" s="1">
        <f>IF(B88="", "", "mouse")</f>
        <v>0</v>
      </c>
      <c r="H88" s="1">
        <f>IF(B88="", "", "Mus musculus")</f>
        <v>0</v>
      </c>
      <c r="I88" s="1">
        <f>IF(B88="", "", "10090")</f>
        <v>0</v>
      </c>
      <c r="J88" s="2">
        <f>IF(B88="", "", "missing: not provided")</f>
        <v>0</v>
      </c>
      <c r="K88" s="1">
        <f>IF(B88="", "", "g")</f>
        <v>0</v>
      </c>
    </row>
    <row r="89" spans="1:11">
      <c r="A89">
        <f>IF(COUNTBLANK(B89:K89)&lt;&gt;COLUMNS(B89:K89),88,"")</f>
        <v>0</v>
      </c>
      <c r="C89" s="1">
        <f>IF(B89="", "", "urban biome")</f>
        <v>0</v>
      </c>
      <c r="D89" s="1">
        <f>IF(B89="", "", "animal-associated habitat")</f>
        <v>0</v>
      </c>
      <c r="E89" s="2">
        <f>IF(B89="", "", "missing: not provided")</f>
        <v>0</v>
      </c>
      <c r="F89" s="1">
        <f>IF(B89="", "", "weeks")</f>
        <v>0</v>
      </c>
      <c r="G89" s="1">
        <f>IF(B89="", "", "mouse")</f>
        <v>0</v>
      </c>
      <c r="H89" s="1">
        <f>IF(B89="", "", "Mus musculus")</f>
        <v>0</v>
      </c>
      <c r="I89" s="1">
        <f>IF(B89="", "", "10090")</f>
        <v>0</v>
      </c>
      <c r="J89" s="2">
        <f>IF(B89="", "", "missing: not provided")</f>
        <v>0</v>
      </c>
      <c r="K89" s="1">
        <f>IF(B89="", "", "g")</f>
        <v>0</v>
      </c>
    </row>
    <row r="90" spans="1:11">
      <c r="A90">
        <f>IF(COUNTBLANK(B90:K90)&lt;&gt;COLUMNS(B90:K90),89,"")</f>
        <v>0</v>
      </c>
      <c r="C90" s="1">
        <f>IF(B90="", "", "urban biome")</f>
        <v>0</v>
      </c>
      <c r="D90" s="1">
        <f>IF(B90="", "", "animal-associated habitat")</f>
        <v>0</v>
      </c>
      <c r="E90" s="2">
        <f>IF(B90="", "", "missing: not provided")</f>
        <v>0</v>
      </c>
      <c r="F90" s="1">
        <f>IF(B90="", "", "weeks")</f>
        <v>0</v>
      </c>
      <c r="G90" s="1">
        <f>IF(B90="", "", "mouse")</f>
        <v>0</v>
      </c>
      <c r="H90" s="1">
        <f>IF(B90="", "", "Mus musculus")</f>
        <v>0</v>
      </c>
      <c r="I90" s="1">
        <f>IF(B90="", "", "10090")</f>
        <v>0</v>
      </c>
      <c r="J90" s="2">
        <f>IF(B90="", "", "missing: not provided")</f>
        <v>0</v>
      </c>
      <c r="K90" s="1">
        <f>IF(B90="", "", "g")</f>
        <v>0</v>
      </c>
    </row>
    <row r="91" spans="1:11">
      <c r="A91">
        <f>IF(COUNTBLANK(B91:K91)&lt;&gt;COLUMNS(B91:K91),90,"")</f>
        <v>0</v>
      </c>
      <c r="C91" s="1">
        <f>IF(B91="", "", "urban biome")</f>
        <v>0</v>
      </c>
      <c r="D91" s="1">
        <f>IF(B91="", "", "animal-associated habitat")</f>
        <v>0</v>
      </c>
      <c r="E91" s="2">
        <f>IF(B91="", "", "missing: not provided")</f>
        <v>0</v>
      </c>
      <c r="F91" s="1">
        <f>IF(B91="", "", "weeks")</f>
        <v>0</v>
      </c>
      <c r="G91" s="1">
        <f>IF(B91="", "", "mouse")</f>
        <v>0</v>
      </c>
      <c r="H91" s="1">
        <f>IF(B91="", "", "Mus musculus")</f>
        <v>0</v>
      </c>
      <c r="I91" s="1">
        <f>IF(B91="", "", "10090")</f>
        <v>0</v>
      </c>
      <c r="J91" s="2">
        <f>IF(B91="", "", "missing: not provided")</f>
        <v>0</v>
      </c>
      <c r="K91" s="1">
        <f>IF(B91="", "", "g")</f>
        <v>0</v>
      </c>
    </row>
    <row r="92" spans="1:11">
      <c r="A92">
        <f>IF(COUNTBLANK(B92:K92)&lt;&gt;COLUMNS(B92:K92),91,"")</f>
        <v>0</v>
      </c>
      <c r="C92" s="1">
        <f>IF(B92="", "", "urban biome")</f>
        <v>0</v>
      </c>
      <c r="D92" s="1">
        <f>IF(B92="", "", "animal-associated habitat")</f>
        <v>0</v>
      </c>
      <c r="E92" s="2">
        <f>IF(B92="", "", "missing: not provided")</f>
        <v>0</v>
      </c>
      <c r="F92" s="1">
        <f>IF(B92="", "", "weeks")</f>
        <v>0</v>
      </c>
      <c r="G92" s="1">
        <f>IF(B92="", "", "mouse")</f>
        <v>0</v>
      </c>
      <c r="H92" s="1">
        <f>IF(B92="", "", "Mus musculus")</f>
        <v>0</v>
      </c>
      <c r="I92" s="1">
        <f>IF(B92="", "", "10090")</f>
        <v>0</v>
      </c>
      <c r="J92" s="2">
        <f>IF(B92="", "", "missing: not provided")</f>
        <v>0</v>
      </c>
      <c r="K92" s="1">
        <f>IF(B92="", "", "g")</f>
        <v>0</v>
      </c>
    </row>
    <row r="93" spans="1:11">
      <c r="A93">
        <f>IF(COUNTBLANK(B93:K93)&lt;&gt;COLUMNS(B93:K93),92,"")</f>
        <v>0</v>
      </c>
      <c r="C93" s="1">
        <f>IF(B93="", "", "urban biome")</f>
        <v>0</v>
      </c>
      <c r="D93" s="1">
        <f>IF(B93="", "", "animal-associated habitat")</f>
        <v>0</v>
      </c>
      <c r="E93" s="2">
        <f>IF(B93="", "", "missing: not provided")</f>
        <v>0</v>
      </c>
      <c r="F93" s="1">
        <f>IF(B93="", "", "weeks")</f>
        <v>0</v>
      </c>
      <c r="G93" s="1">
        <f>IF(B93="", "", "mouse")</f>
        <v>0</v>
      </c>
      <c r="H93" s="1">
        <f>IF(B93="", "", "Mus musculus")</f>
        <v>0</v>
      </c>
      <c r="I93" s="1">
        <f>IF(B93="", "", "10090")</f>
        <v>0</v>
      </c>
      <c r="J93" s="2">
        <f>IF(B93="", "", "missing: not provided")</f>
        <v>0</v>
      </c>
      <c r="K93" s="1">
        <f>IF(B93="", "", "g")</f>
        <v>0</v>
      </c>
    </row>
    <row r="94" spans="1:11">
      <c r="A94">
        <f>IF(COUNTBLANK(B94:K94)&lt;&gt;COLUMNS(B94:K94),93,"")</f>
        <v>0</v>
      </c>
      <c r="C94" s="1">
        <f>IF(B94="", "", "urban biome")</f>
        <v>0</v>
      </c>
      <c r="D94" s="1">
        <f>IF(B94="", "", "animal-associated habitat")</f>
        <v>0</v>
      </c>
      <c r="E94" s="2">
        <f>IF(B94="", "", "missing: not provided")</f>
        <v>0</v>
      </c>
      <c r="F94" s="1">
        <f>IF(B94="", "", "weeks")</f>
        <v>0</v>
      </c>
      <c r="G94" s="1">
        <f>IF(B94="", "", "mouse")</f>
        <v>0</v>
      </c>
      <c r="H94" s="1">
        <f>IF(B94="", "", "Mus musculus")</f>
        <v>0</v>
      </c>
      <c r="I94" s="1">
        <f>IF(B94="", "", "10090")</f>
        <v>0</v>
      </c>
      <c r="J94" s="2">
        <f>IF(B94="", "", "missing: not provided")</f>
        <v>0</v>
      </c>
      <c r="K94" s="1">
        <f>IF(B94="", "", "g")</f>
        <v>0</v>
      </c>
    </row>
    <row r="95" spans="1:11">
      <c r="A95">
        <f>IF(COUNTBLANK(B95:K95)&lt;&gt;COLUMNS(B95:K95),94,"")</f>
        <v>0</v>
      </c>
      <c r="C95" s="1">
        <f>IF(B95="", "", "urban biome")</f>
        <v>0</v>
      </c>
      <c r="D95" s="1">
        <f>IF(B95="", "", "animal-associated habitat")</f>
        <v>0</v>
      </c>
      <c r="E95" s="2">
        <f>IF(B95="", "", "missing: not provided")</f>
        <v>0</v>
      </c>
      <c r="F95" s="1">
        <f>IF(B95="", "", "weeks")</f>
        <v>0</v>
      </c>
      <c r="G95" s="1">
        <f>IF(B95="", "", "mouse")</f>
        <v>0</v>
      </c>
      <c r="H95" s="1">
        <f>IF(B95="", "", "Mus musculus")</f>
        <v>0</v>
      </c>
      <c r="I95" s="1">
        <f>IF(B95="", "", "10090")</f>
        <v>0</v>
      </c>
      <c r="J95" s="2">
        <f>IF(B95="", "", "missing: not provided")</f>
        <v>0</v>
      </c>
      <c r="K95" s="1">
        <f>IF(B95="", "", "g")</f>
        <v>0</v>
      </c>
    </row>
    <row r="96" spans="1:11">
      <c r="A96">
        <f>IF(COUNTBLANK(B96:K96)&lt;&gt;COLUMNS(B96:K96),95,"")</f>
        <v>0</v>
      </c>
      <c r="C96" s="1">
        <f>IF(B96="", "", "urban biome")</f>
        <v>0</v>
      </c>
      <c r="D96" s="1">
        <f>IF(B96="", "", "animal-associated habitat")</f>
        <v>0</v>
      </c>
      <c r="E96" s="2">
        <f>IF(B96="", "", "missing: not provided")</f>
        <v>0</v>
      </c>
      <c r="F96" s="1">
        <f>IF(B96="", "", "weeks")</f>
        <v>0</v>
      </c>
      <c r="G96" s="1">
        <f>IF(B96="", "", "mouse")</f>
        <v>0</v>
      </c>
      <c r="H96" s="1">
        <f>IF(B96="", "", "Mus musculus")</f>
        <v>0</v>
      </c>
      <c r="I96" s="1">
        <f>IF(B96="", "", "10090")</f>
        <v>0</v>
      </c>
      <c r="J96" s="2">
        <f>IF(B96="", "", "missing: not provided")</f>
        <v>0</v>
      </c>
      <c r="K96" s="1">
        <f>IF(B96="", "", "g")</f>
        <v>0</v>
      </c>
    </row>
    <row r="97" spans="1:11">
      <c r="A97">
        <f>IF(COUNTBLANK(B97:K97)&lt;&gt;COLUMNS(B97:K97),96,"")</f>
        <v>0</v>
      </c>
      <c r="C97" s="1">
        <f>IF(B97="", "", "urban biome")</f>
        <v>0</v>
      </c>
      <c r="D97" s="1">
        <f>IF(B97="", "", "animal-associated habitat")</f>
        <v>0</v>
      </c>
      <c r="E97" s="2">
        <f>IF(B97="", "", "missing: not provided")</f>
        <v>0</v>
      </c>
      <c r="F97" s="1">
        <f>IF(B97="", "", "weeks")</f>
        <v>0</v>
      </c>
      <c r="G97" s="1">
        <f>IF(B97="", "", "mouse")</f>
        <v>0</v>
      </c>
      <c r="H97" s="1">
        <f>IF(B97="", "", "Mus musculus")</f>
        <v>0</v>
      </c>
      <c r="I97" s="1">
        <f>IF(B97="", "", "10090")</f>
        <v>0</v>
      </c>
      <c r="J97" s="2">
        <f>IF(B97="", "", "missing: not provided")</f>
        <v>0</v>
      </c>
      <c r="K97" s="1">
        <f>IF(B97="", "", "g")</f>
        <v>0</v>
      </c>
    </row>
    <row r="98" spans="1:11">
      <c r="A98">
        <f>IF(COUNTBLANK(B98:K98)&lt;&gt;COLUMNS(B98:K98),97,"")</f>
        <v>0</v>
      </c>
      <c r="C98" s="1">
        <f>IF(B98="", "", "urban biome")</f>
        <v>0</v>
      </c>
      <c r="D98" s="1">
        <f>IF(B98="", "", "animal-associated habitat")</f>
        <v>0</v>
      </c>
      <c r="E98" s="2">
        <f>IF(B98="", "", "missing: not provided")</f>
        <v>0</v>
      </c>
      <c r="F98" s="1">
        <f>IF(B98="", "", "weeks")</f>
        <v>0</v>
      </c>
      <c r="G98" s="1">
        <f>IF(B98="", "", "mouse")</f>
        <v>0</v>
      </c>
      <c r="H98" s="1">
        <f>IF(B98="", "", "Mus musculus")</f>
        <v>0</v>
      </c>
      <c r="I98" s="1">
        <f>IF(B98="", "", "10090")</f>
        <v>0</v>
      </c>
      <c r="J98" s="2">
        <f>IF(B98="", "", "missing: not provided")</f>
        <v>0</v>
      </c>
      <c r="K98" s="1">
        <f>IF(B98="", "", "g")</f>
        <v>0</v>
      </c>
    </row>
    <row r="99" spans="1:11">
      <c r="A99">
        <f>IF(COUNTBLANK(B99:K99)&lt;&gt;COLUMNS(B99:K99),98,"")</f>
        <v>0</v>
      </c>
      <c r="C99" s="1">
        <f>IF(B99="", "", "urban biome")</f>
        <v>0</v>
      </c>
      <c r="D99" s="1">
        <f>IF(B99="", "", "animal-associated habitat")</f>
        <v>0</v>
      </c>
      <c r="E99" s="2">
        <f>IF(B99="", "", "missing: not provided")</f>
        <v>0</v>
      </c>
      <c r="F99" s="1">
        <f>IF(B99="", "", "weeks")</f>
        <v>0</v>
      </c>
      <c r="G99" s="1">
        <f>IF(B99="", "", "mouse")</f>
        <v>0</v>
      </c>
      <c r="H99" s="1">
        <f>IF(B99="", "", "Mus musculus")</f>
        <v>0</v>
      </c>
      <c r="I99" s="1">
        <f>IF(B99="", "", "10090")</f>
        <v>0</v>
      </c>
      <c r="J99" s="2">
        <f>IF(B99="", "", "missing: not provided")</f>
        <v>0</v>
      </c>
      <c r="K99" s="1">
        <f>IF(B99="", "", "g")</f>
        <v>0</v>
      </c>
    </row>
    <row r="100" spans="1:11">
      <c r="A100">
        <f>IF(COUNTBLANK(B100:K100)&lt;&gt;COLUMNS(B100:K100),99,"")</f>
        <v>0</v>
      </c>
      <c r="C100" s="1">
        <f>IF(B100="", "", "urban biome")</f>
        <v>0</v>
      </c>
      <c r="D100" s="1">
        <f>IF(B100="", "", "animal-associated habitat")</f>
        <v>0</v>
      </c>
      <c r="E100" s="2">
        <f>IF(B100="", "", "missing: not provided")</f>
        <v>0</v>
      </c>
      <c r="F100" s="1">
        <f>IF(B100="", "", "weeks")</f>
        <v>0</v>
      </c>
      <c r="G100" s="1">
        <f>IF(B100="", "", "mouse")</f>
        <v>0</v>
      </c>
      <c r="H100" s="1">
        <f>IF(B100="", "", "Mus musculus")</f>
        <v>0</v>
      </c>
      <c r="I100" s="1">
        <f>IF(B100="", "", "10090")</f>
        <v>0</v>
      </c>
      <c r="J100" s="2">
        <f>IF(B100="", "", "missing: not provided")</f>
        <v>0</v>
      </c>
      <c r="K100" s="1">
        <f>IF(B100="", "", "g")</f>
        <v>0</v>
      </c>
    </row>
    <row r="101" spans="1:11">
      <c r="A101">
        <f>IF(COUNTBLANK(B101:K101)&lt;&gt;COLUMNS(B101:K101),100,"")</f>
        <v>0</v>
      </c>
      <c r="C101" s="1">
        <f>IF(B101="", "", "urban biome")</f>
        <v>0</v>
      </c>
      <c r="D101" s="1">
        <f>IF(B101="", "", "animal-associated habitat")</f>
        <v>0</v>
      </c>
      <c r="E101" s="2">
        <f>IF(B101="", "", "missing: not provided")</f>
        <v>0</v>
      </c>
      <c r="F101" s="1">
        <f>IF(B101="", "", "weeks")</f>
        <v>0</v>
      </c>
      <c r="G101" s="1">
        <f>IF(B101="", "", "mouse")</f>
        <v>0</v>
      </c>
      <c r="H101" s="1">
        <f>IF(B101="", "", "Mus musculus")</f>
        <v>0</v>
      </c>
      <c r="I101" s="1">
        <f>IF(B101="", "", "10090")</f>
        <v>0</v>
      </c>
      <c r="J101" s="2">
        <f>IF(B101="", "", "missing: not provided")</f>
        <v>0</v>
      </c>
      <c r="K101" s="1">
        <f>IF(B101="", "", "g")</f>
        <v>0</v>
      </c>
    </row>
    <row r="102" spans="1:11">
      <c r="A102">
        <f>IF(COUNTBLANK(B102:K102)&lt;&gt;COLUMNS(B102:K102),101,"")</f>
        <v>0</v>
      </c>
      <c r="C102" s="1">
        <f>IF(B102="", "", "urban biome")</f>
        <v>0</v>
      </c>
      <c r="D102" s="1">
        <f>IF(B102="", "", "animal-associated habitat")</f>
        <v>0</v>
      </c>
      <c r="E102" s="2">
        <f>IF(B102="", "", "missing: not provided")</f>
        <v>0</v>
      </c>
      <c r="F102" s="1">
        <f>IF(B102="", "", "weeks")</f>
        <v>0</v>
      </c>
      <c r="G102" s="1">
        <f>IF(B102="", "", "mouse")</f>
        <v>0</v>
      </c>
      <c r="H102" s="1">
        <f>IF(B102="", "", "Mus musculus")</f>
        <v>0</v>
      </c>
      <c r="I102" s="1">
        <f>IF(B102="", "", "10090")</f>
        <v>0</v>
      </c>
      <c r="J102" s="2">
        <f>IF(B102="", "", "missing: not provided")</f>
        <v>0</v>
      </c>
      <c r="K102" s="1">
        <f>IF(B102="", "", "g")</f>
        <v>0</v>
      </c>
    </row>
    <row r="103" spans="1:11">
      <c r="A103">
        <f>IF(COUNTBLANK(B103:K103)&lt;&gt;COLUMNS(B103:K103),102,"")</f>
        <v>0</v>
      </c>
      <c r="C103" s="1">
        <f>IF(B103="", "", "urban biome")</f>
        <v>0</v>
      </c>
      <c r="D103" s="1">
        <f>IF(B103="", "", "animal-associated habitat")</f>
        <v>0</v>
      </c>
      <c r="E103" s="2">
        <f>IF(B103="", "", "missing: not provided")</f>
        <v>0</v>
      </c>
      <c r="F103" s="1">
        <f>IF(B103="", "", "weeks")</f>
        <v>0</v>
      </c>
      <c r="G103" s="1">
        <f>IF(B103="", "", "mouse")</f>
        <v>0</v>
      </c>
      <c r="H103" s="1">
        <f>IF(B103="", "", "Mus musculus")</f>
        <v>0</v>
      </c>
      <c r="I103" s="1">
        <f>IF(B103="", "", "10090")</f>
        <v>0</v>
      </c>
      <c r="J103" s="2">
        <f>IF(B103="", "", "missing: not provided")</f>
        <v>0</v>
      </c>
      <c r="K103" s="1">
        <f>IF(B103="", "", "g")</f>
        <v>0</v>
      </c>
    </row>
    <row r="104" spans="1:11">
      <c r="A104">
        <f>IF(COUNTBLANK(B104:K104)&lt;&gt;COLUMNS(B104:K104),103,"")</f>
        <v>0</v>
      </c>
      <c r="C104" s="1">
        <f>IF(B104="", "", "urban biome")</f>
        <v>0</v>
      </c>
      <c r="D104" s="1">
        <f>IF(B104="", "", "animal-associated habitat")</f>
        <v>0</v>
      </c>
      <c r="E104" s="2">
        <f>IF(B104="", "", "missing: not provided")</f>
        <v>0</v>
      </c>
      <c r="F104" s="1">
        <f>IF(B104="", "", "weeks")</f>
        <v>0</v>
      </c>
      <c r="G104" s="1">
        <f>IF(B104="", "", "mouse")</f>
        <v>0</v>
      </c>
      <c r="H104" s="1">
        <f>IF(B104="", "", "Mus musculus")</f>
        <v>0</v>
      </c>
      <c r="I104" s="1">
        <f>IF(B104="", "", "10090")</f>
        <v>0</v>
      </c>
      <c r="J104" s="2">
        <f>IF(B104="", "", "missing: not provided")</f>
        <v>0</v>
      </c>
      <c r="K104" s="1">
        <f>IF(B104="", "", "g")</f>
        <v>0</v>
      </c>
    </row>
    <row r="105" spans="1:11">
      <c r="A105">
        <f>IF(COUNTBLANK(B105:K105)&lt;&gt;COLUMNS(B105:K105),104,"")</f>
        <v>0</v>
      </c>
      <c r="C105" s="1">
        <f>IF(B105="", "", "urban biome")</f>
        <v>0</v>
      </c>
      <c r="D105" s="1">
        <f>IF(B105="", "", "animal-associated habitat")</f>
        <v>0</v>
      </c>
      <c r="E105" s="2">
        <f>IF(B105="", "", "missing: not provided")</f>
        <v>0</v>
      </c>
      <c r="F105" s="1">
        <f>IF(B105="", "", "weeks")</f>
        <v>0</v>
      </c>
      <c r="G105" s="1">
        <f>IF(B105="", "", "mouse")</f>
        <v>0</v>
      </c>
      <c r="H105" s="1">
        <f>IF(B105="", "", "Mus musculus")</f>
        <v>0</v>
      </c>
      <c r="I105" s="1">
        <f>IF(B105="", "", "10090")</f>
        <v>0</v>
      </c>
      <c r="J105" s="2">
        <f>IF(B105="", "", "missing: not provided")</f>
        <v>0</v>
      </c>
      <c r="K105" s="1">
        <f>IF(B105="", "", "g")</f>
        <v>0</v>
      </c>
    </row>
    <row r="106" spans="1:11">
      <c r="A106">
        <f>IF(COUNTBLANK(B106:K106)&lt;&gt;COLUMNS(B106:K106),105,"")</f>
        <v>0</v>
      </c>
      <c r="C106" s="1">
        <f>IF(B106="", "", "urban biome")</f>
        <v>0</v>
      </c>
      <c r="D106" s="1">
        <f>IF(B106="", "", "animal-associated habitat")</f>
        <v>0</v>
      </c>
      <c r="E106" s="2">
        <f>IF(B106="", "", "missing: not provided")</f>
        <v>0</v>
      </c>
      <c r="F106" s="1">
        <f>IF(B106="", "", "weeks")</f>
        <v>0</v>
      </c>
      <c r="G106" s="1">
        <f>IF(B106="", "", "mouse")</f>
        <v>0</v>
      </c>
      <c r="H106" s="1">
        <f>IF(B106="", "", "Mus musculus")</f>
        <v>0</v>
      </c>
      <c r="I106" s="1">
        <f>IF(B106="", "", "10090")</f>
        <v>0</v>
      </c>
      <c r="J106" s="2">
        <f>IF(B106="", "", "missing: not provided")</f>
        <v>0</v>
      </c>
      <c r="K106" s="1">
        <f>IF(B106="", "", "g")</f>
        <v>0</v>
      </c>
    </row>
    <row r="107" spans="1:11">
      <c r="A107">
        <f>IF(COUNTBLANK(B107:K107)&lt;&gt;COLUMNS(B107:K107),106,"")</f>
        <v>0</v>
      </c>
      <c r="C107" s="1">
        <f>IF(B107="", "", "urban biome")</f>
        <v>0</v>
      </c>
      <c r="D107" s="1">
        <f>IF(B107="", "", "animal-associated habitat")</f>
        <v>0</v>
      </c>
      <c r="E107" s="2">
        <f>IF(B107="", "", "missing: not provided")</f>
        <v>0</v>
      </c>
      <c r="F107" s="1">
        <f>IF(B107="", "", "weeks")</f>
        <v>0</v>
      </c>
      <c r="G107" s="1">
        <f>IF(B107="", "", "mouse")</f>
        <v>0</v>
      </c>
      <c r="H107" s="1">
        <f>IF(B107="", "", "Mus musculus")</f>
        <v>0</v>
      </c>
      <c r="I107" s="1">
        <f>IF(B107="", "", "10090")</f>
        <v>0</v>
      </c>
      <c r="J107" s="2">
        <f>IF(B107="", "", "missing: not provided")</f>
        <v>0</v>
      </c>
      <c r="K107" s="1">
        <f>IF(B107="", "", "g")</f>
        <v>0</v>
      </c>
    </row>
    <row r="108" spans="1:11">
      <c r="A108">
        <f>IF(COUNTBLANK(B108:K108)&lt;&gt;COLUMNS(B108:K108),107,"")</f>
        <v>0</v>
      </c>
      <c r="C108" s="1">
        <f>IF(B108="", "", "urban biome")</f>
        <v>0</v>
      </c>
      <c r="D108" s="1">
        <f>IF(B108="", "", "animal-associated habitat")</f>
        <v>0</v>
      </c>
      <c r="E108" s="2">
        <f>IF(B108="", "", "missing: not provided")</f>
        <v>0</v>
      </c>
      <c r="F108" s="1">
        <f>IF(B108="", "", "weeks")</f>
        <v>0</v>
      </c>
      <c r="G108" s="1">
        <f>IF(B108="", "", "mouse")</f>
        <v>0</v>
      </c>
      <c r="H108" s="1">
        <f>IF(B108="", "", "Mus musculus")</f>
        <v>0</v>
      </c>
      <c r="I108" s="1">
        <f>IF(B108="", "", "10090")</f>
        <v>0</v>
      </c>
      <c r="J108" s="2">
        <f>IF(B108="", "", "missing: not provided")</f>
        <v>0</v>
      </c>
      <c r="K108" s="1">
        <f>IF(B108="", "", "g")</f>
        <v>0</v>
      </c>
    </row>
    <row r="109" spans="1:11">
      <c r="A109">
        <f>IF(COUNTBLANK(B109:K109)&lt;&gt;COLUMNS(B109:K109),108,"")</f>
        <v>0</v>
      </c>
      <c r="C109" s="1">
        <f>IF(B109="", "", "urban biome")</f>
        <v>0</v>
      </c>
      <c r="D109" s="1">
        <f>IF(B109="", "", "animal-associated habitat")</f>
        <v>0</v>
      </c>
      <c r="E109" s="2">
        <f>IF(B109="", "", "missing: not provided")</f>
        <v>0</v>
      </c>
      <c r="F109" s="1">
        <f>IF(B109="", "", "weeks")</f>
        <v>0</v>
      </c>
      <c r="G109" s="1">
        <f>IF(B109="", "", "mouse")</f>
        <v>0</v>
      </c>
      <c r="H109" s="1">
        <f>IF(B109="", "", "Mus musculus")</f>
        <v>0</v>
      </c>
      <c r="I109" s="1">
        <f>IF(B109="", "", "10090")</f>
        <v>0</v>
      </c>
      <c r="J109" s="2">
        <f>IF(B109="", "", "missing: not provided")</f>
        <v>0</v>
      </c>
      <c r="K109" s="1">
        <f>IF(B109="", "", "g")</f>
        <v>0</v>
      </c>
    </row>
    <row r="110" spans="1:11">
      <c r="A110">
        <f>IF(COUNTBLANK(B110:K110)&lt;&gt;COLUMNS(B110:K110),109,"")</f>
        <v>0</v>
      </c>
      <c r="C110" s="1">
        <f>IF(B110="", "", "urban biome")</f>
        <v>0</v>
      </c>
      <c r="D110" s="1">
        <f>IF(B110="", "", "animal-associated habitat")</f>
        <v>0</v>
      </c>
      <c r="E110" s="2">
        <f>IF(B110="", "", "missing: not provided")</f>
        <v>0</v>
      </c>
      <c r="F110" s="1">
        <f>IF(B110="", "", "weeks")</f>
        <v>0</v>
      </c>
      <c r="G110" s="1">
        <f>IF(B110="", "", "mouse")</f>
        <v>0</v>
      </c>
      <c r="H110" s="1">
        <f>IF(B110="", "", "Mus musculus")</f>
        <v>0</v>
      </c>
      <c r="I110" s="1">
        <f>IF(B110="", "", "10090")</f>
        <v>0</v>
      </c>
      <c r="J110" s="2">
        <f>IF(B110="", "", "missing: not provided")</f>
        <v>0</v>
      </c>
      <c r="K110" s="1">
        <f>IF(B110="", "", "g")</f>
        <v>0</v>
      </c>
    </row>
    <row r="111" spans="1:11">
      <c r="A111">
        <f>IF(COUNTBLANK(B111:K111)&lt;&gt;COLUMNS(B111:K111),110,"")</f>
        <v>0</v>
      </c>
      <c r="C111" s="1">
        <f>IF(B111="", "", "urban biome")</f>
        <v>0</v>
      </c>
      <c r="D111" s="1">
        <f>IF(B111="", "", "animal-associated habitat")</f>
        <v>0</v>
      </c>
      <c r="E111" s="2">
        <f>IF(B111="", "", "missing: not provided")</f>
        <v>0</v>
      </c>
      <c r="F111" s="1">
        <f>IF(B111="", "", "weeks")</f>
        <v>0</v>
      </c>
      <c r="G111" s="1">
        <f>IF(B111="", "", "mouse")</f>
        <v>0</v>
      </c>
      <c r="H111" s="1">
        <f>IF(B111="", "", "Mus musculus")</f>
        <v>0</v>
      </c>
      <c r="I111" s="1">
        <f>IF(B111="", "", "10090")</f>
        <v>0</v>
      </c>
      <c r="J111" s="2">
        <f>IF(B111="", "", "missing: not provided")</f>
        <v>0</v>
      </c>
      <c r="K111" s="1">
        <f>IF(B111="", "", "g")</f>
        <v>0</v>
      </c>
    </row>
    <row r="112" spans="1:11">
      <c r="A112">
        <f>IF(COUNTBLANK(B112:K112)&lt;&gt;COLUMNS(B112:K112),111,"")</f>
        <v>0</v>
      </c>
      <c r="C112" s="1">
        <f>IF(B112="", "", "urban biome")</f>
        <v>0</v>
      </c>
      <c r="D112" s="1">
        <f>IF(B112="", "", "animal-associated habitat")</f>
        <v>0</v>
      </c>
      <c r="E112" s="2">
        <f>IF(B112="", "", "missing: not provided")</f>
        <v>0</v>
      </c>
      <c r="F112" s="1">
        <f>IF(B112="", "", "weeks")</f>
        <v>0</v>
      </c>
      <c r="G112" s="1">
        <f>IF(B112="", "", "mouse")</f>
        <v>0</v>
      </c>
      <c r="H112" s="1">
        <f>IF(B112="", "", "Mus musculus")</f>
        <v>0</v>
      </c>
      <c r="I112" s="1">
        <f>IF(B112="", "", "10090")</f>
        <v>0</v>
      </c>
      <c r="J112" s="2">
        <f>IF(B112="", "", "missing: not provided")</f>
        <v>0</v>
      </c>
      <c r="K112" s="1">
        <f>IF(B112="", "", "g")</f>
        <v>0</v>
      </c>
    </row>
    <row r="113" spans="1:11">
      <c r="A113">
        <f>IF(COUNTBLANK(B113:K113)&lt;&gt;COLUMNS(B113:K113),112,"")</f>
        <v>0</v>
      </c>
      <c r="C113" s="1">
        <f>IF(B113="", "", "urban biome")</f>
        <v>0</v>
      </c>
      <c r="D113" s="1">
        <f>IF(B113="", "", "animal-associated habitat")</f>
        <v>0</v>
      </c>
      <c r="E113" s="2">
        <f>IF(B113="", "", "missing: not provided")</f>
        <v>0</v>
      </c>
      <c r="F113" s="1">
        <f>IF(B113="", "", "weeks")</f>
        <v>0</v>
      </c>
      <c r="G113" s="1">
        <f>IF(B113="", "", "mouse")</f>
        <v>0</v>
      </c>
      <c r="H113" s="1">
        <f>IF(B113="", "", "Mus musculus")</f>
        <v>0</v>
      </c>
      <c r="I113" s="1">
        <f>IF(B113="", "", "10090")</f>
        <v>0</v>
      </c>
      <c r="J113" s="2">
        <f>IF(B113="", "", "missing: not provided")</f>
        <v>0</v>
      </c>
      <c r="K113" s="1">
        <f>IF(B113="", "", "g")</f>
        <v>0</v>
      </c>
    </row>
    <row r="114" spans="1:11">
      <c r="A114">
        <f>IF(COUNTBLANK(B114:K114)&lt;&gt;COLUMNS(B114:K114),113,"")</f>
        <v>0</v>
      </c>
      <c r="C114" s="1">
        <f>IF(B114="", "", "urban biome")</f>
        <v>0</v>
      </c>
      <c r="D114" s="1">
        <f>IF(B114="", "", "animal-associated habitat")</f>
        <v>0</v>
      </c>
      <c r="E114" s="2">
        <f>IF(B114="", "", "missing: not provided")</f>
        <v>0</v>
      </c>
      <c r="F114" s="1">
        <f>IF(B114="", "", "weeks")</f>
        <v>0</v>
      </c>
      <c r="G114" s="1">
        <f>IF(B114="", "", "mouse")</f>
        <v>0</v>
      </c>
      <c r="H114" s="1">
        <f>IF(B114="", "", "Mus musculus")</f>
        <v>0</v>
      </c>
      <c r="I114" s="1">
        <f>IF(B114="", "", "10090")</f>
        <v>0</v>
      </c>
      <c r="J114" s="2">
        <f>IF(B114="", "", "missing: not provided")</f>
        <v>0</v>
      </c>
      <c r="K114" s="1">
        <f>IF(B114="", "", "g")</f>
        <v>0</v>
      </c>
    </row>
    <row r="115" spans="1:11">
      <c r="A115">
        <f>IF(COUNTBLANK(B115:K115)&lt;&gt;COLUMNS(B115:K115),114,"")</f>
        <v>0</v>
      </c>
      <c r="C115" s="1">
        <f>IF(B115="", "", "urban biome")</f>
        <v>0</v>
      </c>
      <c r="D115" s="1">
        <f>IF(B115="", "", "animal-associated habitat")</f>
        <v>0</v>
      </c>
      <c r="E115" s="2">
        <f>IF(B115="", "", "missing: not provided")</f>
        <v>0</v>
      </c>
      <c r="F115" s="1">
        <f>IF(B115="", "", "weeks")</f>
        <v>0</v>
      </c>
      <c r="G115" s="1">
        <f>IF(B115="", "", "mouse")</f>
        <v>0</v>
      </c>
      <c r="H115" s="1">
        <f>IF(B115="", "", "Mus musculus")</f>
        <v>0</v>
      </c>
      <c r="I115" s="1">
        <f>IF(B115="", "", "10090")</f>
        <v>0</v>
      </c>
      <c r="J115" s="2">
        <f>IF(B115="", "", "missing: not provided")</f>
        <v>0</v>
      </c>
      <c r="K115" s="1">
        <f>IF(B115="", "", "g")</f>
        <v>0</v>
      </c>
    </row>
    <row r="116" spans="1:11">
      <c r="A116">
        <f>IF(COUNTBLANK(B116:K116)&lt;&gt;COLUMNS(B116:K116),115,"")</f>
        <v>0</v>
      </c>
      <c r="C116" s="1">
        <f>IF(B116="", "", "urban biome")</f>
        <v>0</v>
      </c>
      <c r="D116" s="1">
        <f>IF(B116="", "", "animal-associated habitat")</f>
        <v>0</v>
      </c>
      <c r="E116" s="2">
        <f>IF(B116="", "", "missing: not provided")</f>
        <v>0</v>
      </c>
      <c r="F116" s="1">
        <f>IF(B116="", "", "weeks")</f>
        <v>0</v>
      </c>
      <c r="G116" s="1">
        <f>IF(B116="", "", "mouse")</f>
        <v>0</v>
      </c>
      <c r="H116" s="1">
        <f>IF(B116="", "", "Mus musculus")</f>
        <v>0</v>
      </c>
      <c r="I116" s="1">
        <f>IF(B116="", "", "10090")</f>
        <v>0</v>
      </c>
      <c r="J116" s="2">
        <f>IF(B116="", "", "missing: not provided")</f>
        <v>0</v>
      </c>
      <c r="K116" s="1">
        <f>IF(B116="", "", "g")</f>
        <v>0</v>
      </c>
    </row>
    <row r="117" spans="1:11">
      <c r="A117">
        <f>IF(COUNTBLANK(B117:K117)&lt;&gt;COLUMNS(B117:K117),116,"")</f>
        <v>0</v>
      </c>
      <c r="C117" s="1">
        <f>IF(B117="", "", "urban biome")</f>
        <v>0</v>
      </c>
      <c r="D117" s="1">
        <f>IF(B117="", "", "animal-associated habitat")</f>
        <v>0</v>
      </c>
      <c r="E117" s="2">
        <f>IF(B117="", "", "missing: not provided")</f>
        <v>0</v>
      </c>
      <c r="F117" s="1">
        <f>IF(B117="", "", "weeks")</f>
        <v>0</v>
      </c>
      <c r="G117" s="1">
        <f>IF(B117="", "", "mouse")</f>
        <v>0</v>
      </c>
      <c r="H117" s="1">
        <f>IF(B117="", "", "Mus musculus")</f>
        <v>0</v>
      </c>
      <c r="I117" s="1">
        <f>IF(B117="", "", "10090")</f>
        <v>0</v>
      </c>
      <c r="J117" s="2">
        <f>IF(B117="", "", "missing: not provided")</f>
        <v>0</v>
      </c>
      <c r="K117" s="1">
        <f>IF(B117="", "", "g")</f>
        <v>0</v>
      </c>
    </row>
    <row r="118" spans="1:11">
      <c r="A118">
        <f>IF(COUNTBLANK(B118:K118)&lt;&gt;COLUMNS(B118:K118),117,"")</f>
        <v>0</v>
      </c>
      <c r="C118" s="1">
        <f>IF(B118="", "", "urban biome")</f>
        <v>0</v>
      </c>
      <c r="D118" s="1">
        <f>IF(B118="", "", "animal-associated habitat")</f>
        <v>0</v>
      </c>
      <c r="E118" s="2">
        <f>IF(B118="", "", "missing: not provided")</f>
        <v>0</v>
      </c>
      <c r="F118" s="1">
        <f>IF(B118="", "", "weeks")</f>
        <v>0</v>
      </c>
      <c r="G118" s="1">
        <f>IF(B118="", "", "mouse")</f>
        <v>0</v>
      </c>
      <c r="H118" s="1">
        <f>IF(B118="", "", "Mus musculus")</f>
        <v>0</v>
      </c>
      <c r="I118" s="1">
        <f>IF(B118="", "", "10090")</f>
        <v>0</v>
      </c>
      <c r="J118" s="2">
        <f>IF(B118="", "", "missing: not provided")</f>
        <v>0</v>
      </c>
      <c r="K118" s="1">
        <f>IF(B118="", "", "g")</f>
        <v>0</v>
      </c>
    </row>
    <row r="119" spans="1:11">
      <c r="A119">
        <f>IF(COUNTBLANK(B119:K119)&lt;&gt;COLUMNS(B119:K119),118,"")</f>
        <v>0</v>
      </c>
      <c r="C119" s="1">
        <f>IF(B119="", "", "urban biome")</f>
        <v>0</v>
      </c>
      <c r="D119" s="1">
        <f>IF(B119="", "", "animal-associated habitat")</f>
        <v>0</v>
      </c>
      <c r="E119" s="2">
        <f>IF(B119="", "", "missing: not provided")</f>
        <v>0</v>
      </c>
      <c r="F119" s="1">
        <f>IF(B119="", "", "weeks")</f>
        <v>0</v>
      </c>
      <c r="G119" s="1">
        <f>IF(B119="", "", "mouse")</f>
        <v>0</v>
      </c>
      <c r="H119" s="1">
        <f>IF(B119="", "", "Mus musculus")</f>
        <v>0</v>
      </c>
      <c r="I119" s="1">
        <f>IF(B119="", "", "10090")</f>
        <v>0</v>
      </c>
      <c r="J119" s="2">
        <f>IF(B119="", "", "missing: not provided")</f>
        <v>0</v>
      </c>
      <c r="K119" s="1">
        <f>IF(B119="", "", "g")</f>
        <v>0</v>
      </c>
    </row>
    <row r="120" spans="1:11">
      <c r="A120">
        <f>IF(COUNTBLANK(B120:K120)&lt;&gt;COLUMNS(B120:K120),119,"")</f>
        <v>0</v>
      </c>
      <c r="C120" s="1">
        <f>IF(B120="", "", "urban biome")</f>
        <v>0</v>
      </c>
      <c r="D120" s="1">
        <f>IF(B120="", "", "animal-associated habitat")</f>
        <v>0</v>
      </c>
      <c r="E120" s="2">
        <f>IF(B120="", "", "missing: not provided")</f>
        <v>0</v>
      </c>
      <c r="F120" s="1">
        <f>IF(B120="", "", "weeks")</f>
        <v>0</v>
      </c>
      <c r="G120" s="1">
        <f>IF(B120="", "", "mouse")</f>
        <v>0</v>
      </c>
      <c r="H120" s="1">
        <f>IF(B120="", "", "Mus musculus")</f>
        <v>0</v>
      </c>
      <c r="I120" s="1">
        <f>IF(B120="", "", "10090")</f>
        <v>0</v>
      </c>
      <c r="J120" s="2">
        <f>IF(B120="", "", "missing: not provided")</f>
        <v>0</v>
      </c>
      <c r="K120" s="1">
        <f>IF(B120="", "", "g")</f>
        <v>0</v>
      </c>
    </row>
    <row r="121" spans="1:11">
      <c r="A121">
        <f>IF(COUNTBLANK(B121:K121)&lt;&gt;COLUMNS(B121:K121),120,"")</f>
        <v>0</v>
      </c>
      <c r="C121" s="1">
        <f>IF(B121="", "", "urban biome")</f>
        <v>0</v>
      </c>
      <c r="D121" s="1">
        <f>IF(B121="", "", "animal-associated habitat")</f>
        <v>0</v>
      </c>
      <c r="E121" s="2">
        <f>IF(B121="", "", "missing: not provided")</f>
        <v>0</v>
      </c>
      <c r="F121" s="1">
        <f>IF(B121="", "", "weeks")</f>
        <v>0</v>
      </c>
      <c r="G121" s="1">
        <f>IF(B121="", "", "mouse")</f>
        <v>0</v>
      </c>
      <c r="H121" s="1">
        <f>IF(B121="", "", "Mus musculus")</f>
        <v>0</v>
      </c>
      <c r="I121" s="1">
        <f>IF(B121="", "", "10090")</f>
        <v>0</v>
      </c>
      <c r="J121" s="2">
        <f>IF(B121="", "", "missing: not provided")</f>
        <v>0</v>
      </c>
      <c r="K121" s="1">
        <f>IF(B121="", "", "g")</f>
        <v>0</v>
      </c>
    </row>
    <row r="122" spans="1:11">
      <c r="A122">
        <f>IF(COUNTBLANK(B122:K122)&lt;&gt;COLUMNS(B122:K122),121,"")</f>
        <v>0</v>
      </c>
      <c r="C122" s="1">
        <f>IF(B122="", "", "urban biome")</f>
        <v>0</v>
      </c>
      <c r="D122" s="1">
        <f>IF(B122="", "", "animal-associated habitat")</f>
        <v>0</v>
      </c>
      <c r="E122" s="2">
        <f>IF(B122="", "", "missing: not provided")</f>
        <v>0</v>
      </c>
      <c r="F122" s="1">
        <f>IF(B122="", "", "weeks")</f>
        <v>0</v>
      </c>
      <c r="G122" s="1">
        <f>IF(B122="", "", "mouse")</f>
        <v>0</v>
      </c>
      <c r="H122" s="1">
        <f>IF(B122="", "", "Mus musculus")</f>
        <v>0</v>
      </c>
      <c r="I122" s="1">
        <f>IF(B122="", "", "10090")</f>
        <v>0</v>
      </c>
      <c r="J122" s="2">
        <f>IF(B122="", "", "missing: not provided")</f>
        <v>0</v>
      </c>
      <c r="K122" s="1">
        <f>IF(B122="", "", "g")</f>
        <v>0</v>
      </c>
    </row>
    <row r="123" spans="1:11">
      <c r="A123">
        <f>IF(COUNTBLANK(B123:K123)&lt;&gt;COLUMNS(B123:K123),122,"")</f>
        <v>0</v>
      </c>
      <c r="C123" s="1">
        <f>IF(B123="", "", "urban biome")</f>
        <v>0</v>
      </c>
      <c r="D123" s="1">
        <f>IF(B123="", "", "animal-associated habitat")</f>
        <v>0</v>
      </c>
      <c r="E123" s="2">
        <f>IF(B123="", "", "missing: not provided")</f>
        <v>0</v>
      </c>
      <c r="F123" s="1">
        <f>IF(B123="", "", "weeks")</f>
        <v>0</v>
      </c>
      <c r="G123" s="1">
        <f>IF(B123="", "", "mouse")</f>
        <v>0</v>
      </c>
      <c r="H123" s="1">
        <f>IF(B123="", "", "Mus musculus")</f>
        <v>0</v>
      </c>
      <c r="I123" s="1">
        <f>IF(B123="", "", "10090")</f>
        <v>0</v>
      </c>
      <c r="J123" s="2">
        <f>IF(B123="", "", "missing: not provided")</f>
        <v>0</v>
      </c>
      <c r="K123" s="1">
        <f>IF(B123="", "", "g")</f>
        <v>0</v>
      </c>
    </row>
    <row r="124" spans="1:11">
      <c r="A124">
        <f>IF(COUNTBLANK(B124:K124)&lt;&gt;COLUMNS(B124:K124),123,"")</f>
        <v>0</v>
      </c>
      <c r="C124" s="1">
        <f>IF(B124="", "", "urban biome")</f>
        <v>0</v>
      </c>
      <c r="D124" s="1">
        <f>IF(B124="", "", "animal-associated habitat")</f>
        <v>0</v>
      </c>
      <c r="E124" s="2">
        <f>IF(B124="", "", "missing: not provided")</f>
        <v>0</v>
      </c>
      <c r="F124" s="1">
        <f>IF(B124="", "", "weeks")</f>
        <v>0</v>
      </c>
      <c r="G124" s="1">
        <f>IF(B124="", "", "mouse")</f>
        <v>0</v>
      </c>
      <c r="H124" s="1">
        <f>IF(B124="", "", "Mus musculus")</f>
        <v>0</v>
      </c>
      <c r="I124" s="1">
        <f>IF(B124="", "", "10090")</f>
        <v>0</v>
      </c>
      <c r="J124" s="2">
        <f>IF(B124="", "", "missing: not provided")</f>
        <v>0</v>
      </c>
      <c r="K124" s="1">
        <f>IF(B124="", "", "g")</f>
        <v>0</v>
      </c>
    </row>
    <row r="125" spans="1:11">
      <c r="A125">
        <f>IF(COUNTBLANK(B125:K125)&lt;&gt;COLUMNS(B125:K125),124,"")</f>
        <v>0</v>
      </c>
      <c r="C125" s="1">
        <f>IF(B125="", "", "urban biome")</f>
        <v>0</v>
      </c>
      <c r="D125" s="1">
        <f>IF(B125="", "", "animal-associated habitat")</f>
        <v>0</v>
      </c>
      <c r="E125" s="2">
        <f>IF(B125="", "", "missing: not provided")</f>
        <v>0</v>
      </c>
      <c r="F125" s="1">
        <f>IF(B125="", "", "weeks")</f>
        <v>0</v>
      </c>
      <c r="G125" s="1">
        <f>IF(B125="", "", "mouse")</f>
        <v>0</v>
      </c>
      <c r="H125" s="1">
        <f>IF(B125="", "", "Mus musculus")</f>
        <v>0</v>
      </c>
      <c r="I125" s="1">
        <f>IF(B125="", "", "10090")</f>
        <v>0</v>
      </c>
      <c r="J125" s="2">
        <f>IF(B125="", "", "missing: not provided")</f>
        <v>0</v>
      </c>
      <c r="K125" s="1">
        <f>IF(B125="", "", "g")</f>
        <v>0</v>
      </c>
    </row>
    <row r="126" spans="1:11">
      <c r="A126">
        <f>IF(COUNTBLANK(B126:K126)&lt;&gt;COLUMNS(B126:K126),125,"")</f>
        <v>0</v>
      </c>
      <c r="C126" s="1">
        <f>IF(B126="", "", "urban biome")</f>
        <v>0</v>
      </c>
      <c r="D126" s="1">
        <f>IF(B126="", "", "animal-associated habitat")</f>
        <v>0</v>
      </c>
      <c r="E126" s="2">
        <f>IF(B126="", "", "missing: not provided")</f>
        <v>0</v>
      </c>
      <c r="F126" s="1">
        <f>IF(B126="", "", "weeks")</f>
        <v>0</v>
      </c>
      <c r="G126" s="1">
        <f>IF(B126="", "", "mouse")</f>
        <v>0</v>
      </c>
      <c r="H126" s="1">
        <f>IF(B126="", "", "Mus musculus")</f>
        <v>0</v>
      </c>
      <c r="I126" s="1">
        <f>IF(B126="", "", "10090")</f>
        <v>0</v>
      </c>
      <c r="J126" s="2">
        <f>IF(B126="", "", "missing: not provided")</f>
        <v>0</v>
      </c>
      <c r="K126" s="1">
        <f>IF(B126="", "", "g")</f>
        <v>0</v>
      </c>
    </row>
    <row r="127" spans="1:11">
      <c r="A127">
        <f>IF(COUNTBLANK(B127:K127)&lt;&gt;COLUMNS(B127:K127),126,"")</f>
        <v>0</v>
      </c>
      <c r="C127" s="1">
        <f>IF(B127="", "", "urban biome")</f>
        <v>0</v>
      </c>
      <c r="D127" s="1">
        <f>IF(B127="", "", "animal-associated habitat")</f>
        <v>0</v>
      </c>
      <c r="E127" s="2">
        <f>IF(B127="", "", "missing: not provided")</f>
        <v>0</v>
      </c>
      <c r="F127" s="1">
        <f>IF(B127="", "", "weeks")</f>
        <v>0</v>
      </c>
      <c r="G127" s="1">
        <f>IF(B127="", "", "mouse")</f>
        <v>0</v>
      </c>
      <c r="H127" s="1">
        <f>IF(B127="", "", "Mus musculus")</f>
        <v>0</v>
      </c>
      <c r="I127" s="1">
        <f>IF(B127="", "", "10090")</f>
        <v>0</v>
      </c>
      <c r="J127" s="2">
        <f>IF(B127="", "", "missing: not provided")</f>
        <v>0</v>
      </c>
      <c r="K127" s="1">
        <f>IF(B127="", "", "g")</f>
        <v>0</v>
      </c>
    </row>
    <row r="128" spans="1:11">
      <c r="A128">
        <f>IF(COUNTBLANK(B128:K128)&lt;&gt;COLUMNS(B128:K128),127,"")</f>
        <v>0</v>
      </c>
      <c r="C128" s="1">
        <f>IF(B128="", "", "urban biome")</f>
        <v>0</v>
      </c>
      <c r="D128" s="1">
        <f>IF(B128="", "", "animal-associated habitat")</f>
        <v>0</v>
      </c>
      <c r="E128" s="2">
        <f>IF(B128="", "", "missing: not provided")</f>
        <v>0</v>
      </c>
      <c r="F128" s="1">
        <f>IF(B128="", "", "weeks")</f>
        <v>0</v>
      </c>
      <c r="G128" s="1">
        <f>IF(B128="", "", "mouse")</f>
        <v>0</v>
      </c>
      <c r="H128" s="1">
        <f>IF(B128="", "", "Mus musculus")</f>
        <v>0</v>
      </c>
      <c r="I128" s="1">
        <f>IF(B128="", "", "10090")</f>
        <v>0</v>
      </c>
      <c r="J128" s="2">
        <f>IF(B128="", "", "missing: not provided")</f>
        <v>0</v>
      </c>
      <c r="K128" s="1">
        <f>IF(B128="", "", "g")</f>
        <v>0</v>
      </c>
    </row>
    <row r="129" spans="1:11">
      <c r="A129">
        <f>IF(COUNTBLANK(B129:K129)&lt;&gt;COLUMNS(B129:K129),128,"")</f>
        <v>0</v>
      </c>
      <c r="C129" s="1">
        <f>IF(B129="", "", "urban biome")</f>
        <v>0</v>
      </c>
      <c r="D129" s="1">
        <f>IF(B129="", "", "animal-associated habitat")</f>
        <v>0</v>
      </c>
      <c r="E129" s="2">
        <f>IF(B129="", "", "missing: not provided")</f>
        <v>0</v>
      </c>
      <c r="F129" s="1">
        <f>IF(B129="", "", "weeks")</f>
        <v>0</v>
      </c>
      <c r="G129" s="1">
        <f>IF(B129="", "", "mouse")</f>
        <v>0</v>
      </c>
      <c r="H129" s="1">
        <f>IF(B129="", "", "Mus musculus")</f>
        <v>0</v>
      </c>
      <c r="I129" s="1">
        <f>IF(B129="", "", "10090")</f>
        <v>0</v>
      </c>
      <c r="J129" s="2">
        <f>IF(B129="", "", "missing: not provided")</f>
        <v>0</v>
      </c>
      <c r="K129" s="1">
        <f>IF(B129="", "", "g")</f>
        <v>0</v>
      </c>
    </row>
    <row r="130" spans="1:11">
      <c r="A130">
        <f>IF(COUNTBLANK(B130:K130)&lt;&gt;COLUMNS(B130:K130),129,"")</f>
        <v>0</v>
      </c>
      <c r="C130" s="1">
        <f>IF(B130="", "", "urban biome")</f>
        <v>0</v>
      </c>
      <c r="D130" s="1">
        <f>IF(B130="", "", "animal-associated habitat")</f>
        <v>0</v>
      </c>
      <c r="E130" s="2">
        <f>IF(B130="", "", "missing: not provided")</f>
        <v>0</v>
      </c>
      <c r="F130" s="1">
        <f>IF(B130="", "", "weeks")</f>
        <v>0</v>
      </c>
      <c r="G130" s="1">
        <f>IF(B130="", "", "mouse")</f>
        <v>0</v>
      </c>
      <c r="H130" s="1">
        <f>IF(B130="", "", "Mus musculus")</f>
        <v>0</v>
      </c>
      <c r="I130" s="1">
        <f>IF(B130="", "", "10090")</f>
        <v>0</v>
      </c>
      <c r="J130" s="2">
        <f>IF(B130="", "", "missing: not provided")</f>
        <v>0</v>
      </c>
      <c r="K130" s="1">
        <f>IF(B130="", "", "g")</f>
        <v>0</v>
      </c>
    </row>
    <row r="131" spans="1:11">
      <c r="A131">
        <f>IF(COUNTBLANK(B131:K131)&lt;&gt;COLUMNS(B131:K131),130,"")</f>
        <v>0</v>
      </c>
      <c r="C131" s="1">
        <f>IF(B131="", "", "urban biome")</f>
        <v>0</v>
      </c>
      <c r="D131" s="1">
        <f>IF(B131="", "", "animal-associated habitat")</f>
        <v>0</v>
      </c>
      <c r="E131" s="2">
        <f>IF(B131="", "", "missing: not provided")</f>
        <v>0</v>
      </c>
      <c r="F131" s="1">
        <f>IF(B131="", "", "weeks")</f>
        <v>0</v>
      </c>
      <c r="G131" s="1">
        <f>IF(B131="", "", "mouse")</f>
        <v>0</v>
      </c>
      <c r="H131" s="1">
        <f>IF(B131="", "", "Mus musculus")</f>
        <v>0</v>
      </c>
      <c r="I131" s="1">
        <f>IF(B131="", "", "10090")</f>
        <v>0</v>
      </c>
      <c r="J131" s="2">
        <f>IF(B131="", "", "missing: not provided")</f>
        <v>0</v>
      </c>
      <c r="K131" s="1">
        <f>IF(B131="", "", "g")</f>
        <v>0</v>
      </c>
    </row>
    <row r="132" spans="1:11">
      <c r="A132">
        <f>IF(COUNTBLANK(B132:K132)&lt;&gt;COLUMNS(B132:K132),131,"")</f>
        <v>0</v>
      </c>
      <c r="C132" s="1">
        <f>IF(B132="", "", "urban biome")</f>
        <v>0</v>
      </c>
      <c r="D132" s="1">
        <f>IF(B132="", "", "animal-associated habitat")</f>
        <v>0</v>
      </c>
      <c r="E132" s="2">
        <f>IF(B132="", "", "missing: not provided")</f>
        <v>0</v>
      </c>
      <c r="F132" s="1">
        <f>IF(B132="", "", "weeks")</f>
        <v>0</v>
      </c>
      <c r="G132" s="1">
        <f>IF(B132="", "", "mouse")</f>
        <v>0</v>
      </c>
      <c r="H132" s="1">
        <f>IF(B132="", "", "Mus musculus")</f>
        <v>0</v>
      </c>
      <c r="I132" s="1">
        <f>IF(B132="", "", "10090")</f>
        <v>0</v>
      </c>
      <c r="J132" s="2">
        <f>IF(B132="", "", "missing: not provided")</f>
        <v>0</v>
      </c>
      <c r="K132" s="1">
        <f>IF(B132="", "", "g")</f>
        <v>0</v>
      </c>
    </row>
    <row r="133" spans="1:11">
      <c r="A133">
        <f>IF(COUNTBLANK(B133:K133)&lt;&gt;COLUMNS(B133:K133),132,"")</f>
        <v>0</v>
      </c>
      <c r="C133" s="1">
        <f>IF(B133="", "", "urban biome")</f>
        <v>0</v>
      </c>
      <c r="D133" s="1">
        <f>IF(B133="", "", "animal-associated habitat")</f>
        <v>0</v>
      </c>
      <c r="E133" s="2">
        <f>IF(B133="", "", "missing: not provided")</f>
        <v>0</v>
      </c>
      <c r="F133" s="1">
        <f>IF(B133="", "", "weeks")</f>
        <v>0</v>
      </c>
      <c r="G133" s="1">
        <f>IF(B133="", "", "mouse")</f>
        <v>0</v>
      </c>
      <c r="H133" s="1">
        <f>IF(B133="", "", "Mus musculus")</f>
        <v>0</v>
      </c>
      <c r="I133" s="1">
        <f>IF(B133="", "", "10090")</f>
        <v>0</v>
      </c>
      <c r="J133" s="2">
        <f>IF(B133="", "", "missing: not provided")</f>
        <v>0</v>
      </c>
      <c r="K133" s="1">
        <f>IF(B133="", "", "g")</f>
        <v>0</v>
      </c>
    </row>
    <row r="134" spans="1:11">
      <c r="A134">
        <f>IF(COUNTBLANK(B134:K134)&lt;&gt;COLUMNS(B134:K134),133,"")</f>
        <v>0</v>
      </c>
      <c r="C134" s="1">
        <f>IF(B134="", "", "urban biome")</f>
        <v>0</v>
      </c>
      <c r="D134" s="1">
        <f>IF(B134="", "", "animal-associated habitat")</f>
        <v>0</v>
      </c>
      <c r="E134" s="2">
        <f>IF(B134="", "", "missing: not provided")</f>
        <v>0</v>
      </c>
      <c r="F134" s="1">
        <f>IF(B134="", "", "weeks")</f>
        <v>0</v>
      </c>
      <c r="G134" s="1">
        <f>IF(B134="", "", "mouse")</f>
        <v>0</v>
      </c>
      <c r="H134" s="1">
        <f>IF(B134="", "", "Mus musculus")</f>
        <v>0</v>
      </c>
      <c r="I134" s="1">
        <f>IF(B134="", "", "10090")</f>
        <v>0</v>
      </c>
      <c r="J134" s="2">
        <f>IF(B134="", "", "missing: not provided")</f>
        <v>0</v>
      </c>
      <c r="K134" s="1">
        <f>IF(B134="", "", "g")</f>
        <v>0</v>
      </c>
    </row>
    <row r="135" spans="1:11">
      <c r="A135">
        <f>IF(COUNTBLANK(B135:K135)&lt;&gt;COLUMNS(B135:K135),134,"")</f>
        <v>0</v>
      </c>
      <c r="C135" s="1">
        <f>IF(B135="", "", "urban biome")</f>
        <v>0</v>
      </c>
      <c r="D135" s="1">
        <f>IF(B135="", "", "animal-associated habitat")</f>
        <v>0</v>
      </c>
      <c r="E135" s="2">
        <f>IF(B135="", "", "missing: not provided")</f>
        <v>0</v>
      </c>
      <c r="F135" s="1">
        <f>IF(B135="", "", "weeks")</f>
        <v>0</v>
      </c>
      <c r="G135" s="1">
        <f>IF(B135="", "", "mouse")</f>
        <v>0</v>
      </c>
      <c r="H135" s="1">
        <f>IF(B135="", "", "Mus musculus")</f>
        <v>0</v>
      </c>
      <c r="I135" s="1">
        <f>IF(B135="", "", "10090")</f>
        <v>0</v>
      </c>
      <c r="J135" s="2">
        <f>IF(B135="", "", "missing: not provided")</f>
        <v>0</v>
      </c>
      <c r="K135" s="1">
        <f>IF(B135="", "", "g")</f>
        <v>0</v>
      </c>
    </row>
    <row r="136" spans="1:11">
      <c r="A136">
        <f>IF(COUNTBLANK(B136:K136)&lt;&gt;COLUMNS(B136:K136),135,"")</f>
        <v>0</v>
      </c>
      <c r="C136" s="1">
        <f>IF(B136="", "", "urban biome")</f>
        <v>0</v>
      </c>
      <c r="D136" s="1">
        <f>IF(B136="", "", "animal-associated habitat")</f>
        <v>0</v>
      </c>
      <c r="E136" s="2">
        <f>IF(B136="", "", "missing: not provided")</f>
        <v>0</v>
      </c>
      <c r="F136" s="1">
        <f>IF(B136="", "", "weeks")</f>
        <v>0</v>
      </c>
      <c r="G136" s="1">
        <f>IF(B136="", "", "mouse")</f>
        <v>0</v>
      </c>
      <c r="H136" s="1">
        <f>IF(B136="", "", "Mus musculus")</f>
        <v>0</v>
      </c>
      <c r="I136" s="1">
        <f>IF(B136="", "", "10090")</f>
        <v>0</v>
      </c>
      <c r="J136" s="2">
        <f>IF(B136="", "", "missing: not provided")</f>
        <v>0</v>
      </c>
      <c r="K136" s="1">
        <f>IF(B136="", "", "g")</f>
        <v>0</v>
      </c>
    </row>
    <row r="137" spans="1:11">
      <c r="A137">
        <f>IF(COUNTBLANK(B137:K137)&lt;&gt;COLUMNS(B137:K137),136,"")</f>
        <v>0</v>
      </c>
      <c r="C137" s="1">
        <f>IF(B137="", "", "urban biome")</f>
        <v>0</v>
      </c>
      <c r="D137" s="1">
        <f>IF(B137="", "", "animal-associated habitat")</f>
        <v>0</v>
      </c>
      <c r="E137" s="2">
        <f>IF(B137="", "", "missing: not provided")</f>
        <v>0</v>
      </c>
      <c r="F137" s="1">
        <f>IF(B137="", "", "weeks")</f>
        <v>0</v>
      </c>
      <c r="G137" s="1">
        <f>IF(B137="", "", "mouse")</f>
        <v>0</v>
      </c>
      <c r="H137" s="1">
        <f>IF(B137="", "", "Mus musculus")</f>
        <v>0</v>
      </c>
      <c r="I137" s="1">
        <f>IF(B137="", "", "10090")</f>
        <v>0</v>
      </c>
      <c r="J137" s="2">
        <f>IF(B137="", "", "missing: not provided")</f>
        <v>0</v>
      </c>
      <c r="K137" s="1">
        <f>IF(B137="", "", "g")</f>
        <v>0</v>
      </c>
    </row>
    <row r="138" spans="1:11">
      <c r="A138">
        <f>IF(COUNTBLANK(B138:K138)&lt;&gt;COLUMNS(B138:K138),137,"")</f>
        <v>0</v>
      </c>
      <c r="C138" s="1">
        <f>IF(B138="", "", "urban biome")</f>
        <v>0</v>
      </c>
      <c r="D138" s="1">
        <f>IF(B138="", "", "animal-associated habitat")</f>
        <v>0</v>
      </c>
      <c r="E138" s="2">
        <f>IF(B138="", "", "missing: not provided")</f>
        <v>0</v>
      </c>
      <c r="F138" s="1">
        <f>IF(B138="", "", "weeks")</f>
        <v>0</v>
      </c>
      <c r="G138" s="1">
        <f>IF(B138="", "", "mouse")</f>
        <v>0</v>
      </c>
      <c r="H138" s="1">
        <f>IF(B138="", "", "Mus musculus")</f>
        <v>0</v>
      </c>
      <c r="I138" s="1">
        <f>IF(B138="", "", "10090")</f>
        <v>0</v>
      </c>
      <c r="J138" s="2">
        <f>IF(B138="", "", "missing: not provided")</f>
        <v>0</v>
      </c>
      <c r="K138" s="1">
        <f>IF(B138="", "", "g")</f>
        <v>0</v>
      </c>
    </row>
    <row r="139" spans="1:11">
      <c r="A139">
        <f>IF(COUNTBLANK(B139:K139)&lt;&gt;COLUMNS(B139:K139),138,"")</f>
        <v>0</v>
      </c>
      <c r="C139" s="1">
        <f>IF(B139="", "", "urban biome")</f>
        <v>0</v>
      </c>
      <c r="D139" s="1">
        <f>IF(B139="", "", "animal-associated habitat")</f>
        <v>0</v>
      </c>
      <c r="E139" s="2">
        <f>IF(B139="", "", "missing: not provided")</f>
        <v>0</v>
      </c>
      <c r="F139" s="1">
        <f>IF(B139="", "", "weeks")</f>
        <v>0</v>
      </c>
      <c r="G139" s="1">
        <f>IF(B139="", "", "mouse")</f>
        <v>0</v>
      </c>
      <c r="H139" s="1">
        <f>IF(B139="", "", "Mus musculus")</f>
        <v>0</v>
      </c>
      <c r="I139" s="1">
        <f>IF(B139="", "", "10090")</f>
        <v>0</v>
      </c>
      <c r="J139" s="2">
        <f>IF(B139="", "", "missing: not provided")</f>
        <v>0</v>
      </c>
      <c r="K139" s="1">
        <f>IF(B139="", "", "g")</f>
        <v>0</v>
      </c>
    </row>
    <row r="140" spans="1:11">
      <c r="A140">
        <f>IF(COUNTBLANK(B140:K140)&lt;&gt;COLUMNS(B140:K140),139,"")</f>
        <v>0</v>
      </c>
      <c r="C140" s="1">
        <f>IF(B140="", "", "urban biome")</f>
        <v>0</v>
      </c>
      <c r="D140" s="1">
        <f>IF(B140="", "", "animal-associated habitat")</f>
        <v>0</v>
      </c>
      <c r="E140" s="2">
        <f>IF(B140="", "", "missing: not provided")</f>
        <v>0</v>
      </c>
      <c r="F140" s="1">
        <f>IF(B140="", "", "weeks")</f>
        <v>0</v>
      </c>
      <c r="G140" s="1">
        <f>IF(B140="", "", "mouse")</f>
        <v>0</v>
      </c>
      <c r="H140" s="1">
        <f>IF(B140="", "", "Mus musculus")</f>
        <v>0</v>
      </c>
      <c r="I140" s="1">
        <f>IF(B140="", "", "10090")</f>
        <v>0</v>
      </c>
      <c r="J140" s="2">
        <f>IF(B140="", "", "missing: not provided")</f>
        <v>0</v>
      </c>
      <c r="K140" s="1">
        <f>IF(B140="", "", "g")</f>
        <v>0</v>
      </c>
    </row>
    <row r="141" spans="1:11">
      <c r="A141">
        <f>IF(COUNTBLANK(B141:K141)&lt;&gt;COLUMNS(B141:K141),140,"")</f>
        <v>0</v>
      </c>
      <c r="C141" s="1">
        <f>IF(B141="", "", "urban biome")</f>
        <v>0</v>
      </c>
      <c r="D141" s="1">
        <f>IF(B141="", "", "animal-associated habitat")</f>
        <v>0</v>
      </c>
      <c r="E141" s="2">
        <f>IF(B141="", "", "missing: not provided")</f>
        <v>0</v>
      </c>
      <c r="F141" s="1">
        <f>IF(B141="", "", "weeks")</f>
        <v>0</v>
      </c>
      <c r="G141" s="1">
        <f>IF(B141="", "", "mouse")</f>
        <v>0</v>
      </c>
      <c r="H141" s="1">
        <f>IF(B141="", "", "Mus musculus")</f>
        <v>0</v>
      </c>
      <c r="I141" s="1">
        <f>IF(B141="", "", "10090")</f>
        <v>0</v>
      </c>
      <c r="J141" s="2">
        <f>IF(B141="", "", "missing: not provided")</f>
        <v>0</v>
      </c>
      <c r="K141" s="1">
        <f>IF(B141="", "", "g")</f>
        <v>0</v>
      </c>
    </row>
    <row r="142" spans="1:11">
      <c r="A142">
        <f>IF(COUNTBLANK(B142:K142)&lt;&gt;COLUMNS(B142:K142),141,"")</f>
        <v>0</v>
      </c>
      <c r="C142" s="1">
        <f>IF(B142="", "", "urban biome")</f>
        <v>0</v>
      </c>
      <c r="D142" s="1">
        <f>IF(B142="", "", "animal-associated habitat")</f>
        <v>0</v>
      </c>
      <c r="E142" s="2">
        <f>IF(B142="", "", "missing: not provided")</f>
        <v>0</v>
      </c>
      <c r="F142" s="1">
        <f>IF(B142="", "", "weeks")</f>
        <v>0</v>
      </c>
      <c r="G142" s="1">
        <f>IF(B142="", "", "mouse")</f>
        <v>0</v>
      </c>
      <c r="H142" s="1">
        <f>IF(B142="", "", "Mus musculus")</f>
        <v>0</v>
      </c>
      <c r="I142" s="1">
        <f>IF(B142="", "", "10090")</f>
        <v>0</v>
      </c>
      <c r="J142" s="2">
        <f>IF(B142="", "", "missing: not provided")</f>
        <v>0</v>
      </c>
      <c r="K142" s="1">
        <f>IF(B142="", "", "g")</f>
        <v>0</v>
      </c>
    </row>
    <row r="143" spans="1:11">
      <c r="A143">
        <f>IF(COUNTBLANK(B143:K143)&lt;&gt;COLUMNS(B143:K143),142,"")</f>
        <v>0</v>
      </c>
      <c r="C143" s="1">
        <f>IF(B143="", "", "urban biome")</f>
        <v>0</v>
      </c>
      <c r="D143" s="1">
        <f>IF(B143="", "", "animal-associated habitat")</f>
        <v>0</v>
      </c>
      <c r="E143" s="2">
        <f>IF(B143="", "", "missing: not provided")</f>
        <v>0</v>
      </c>
      <c r="F143" s="1">
        <f>IF(B143="", "", "weeks")</f>
        <v>0</v>
      </c>
      <c r="G143" s="1">
        <f>IF(B143="", "", "mouse")</f>
        <v>0</v>
      </c>
      <c r="H143" s="1">
        <f>IF(B143="", "", "Mus musculus")</f>
        <v>0</v>
      </c>
      <c r="I143" s="1">
        <f>IF(B143="", "", "10090")</f>
        <v>0</v>
      </c>
      <c r="J143" s="2">
        <f>IF(B143="", "", "missing: not provided")</f>
        <v>0</v>
      </c>
      <c r="K143" s="1">
        <f>IF(B143="", "", "g")</f>
        <v>0</v>
      </c>
    </row>
    <row r="144" spans="1:11">
      <c r="A144">
        <f>IF(COUNTBLANK(B144:K144)&lt;&gt;COLUMNS(B144:K144),143,"")</f>
        <v>0</v>
      </c>
      <c r="C144" s="1">
        <f>IF(B144="", "", "urban biome")</f>
        <v>0</v>
      </c>
      <c r="D144" s="1">
        <f>IF(B144="", "", "animal-associated habitat")</f>
        <v>0</v>
      </c>
      <c r="E144" s="2">
        <f>IF(B144="", "", "missing: not provided")</f>
        <v>0</v>
      </c>
      <c r="F144" s="1">
        <f>IF(B144="", "", "weeks")</f>
        <v>0</v>
      </c>
      <c r="G144" s="1">
        <f>IF(B144="", "", "mouse")</f>
        <v>0</v>
      </c>
      <c r="H144" s="1">
        <f>IF(B144="", "", "Mus musculus")</f>
        <v>0</v>
      </c>
      <c r="I144" s="1">
        <f>IF(B144="", "", "10090")</f>
        <v>0</v>
      </c>
      <c r="J144" s="2">
        <f>IF(B144="", "", "missing: not provided")</f>
        <v>0</v>
      </c>
      <c r="K144" s="1">
        <f>IF(B144="", "", "g")</f>
        <v>0</v>
      </c>
    </row>
    <row r="145" spans="1:11">
      <c r="A145">
        <f>IF(COUNTBLANK(B145:K145)&lt;&gt;COLUMNS(B145:K145),144,"")</f>
        <v>0</v>
      </c>
      <c r="C145" s="1">
        <f>IF(B145="", "", "urban biome")</f>
        <v>0</v>
      </c>
      <c r="D145" s="1">
        <f>IF(B145="", "", "animal-associated habitat")</f>
        <v>0</v>
      </c>
      <c r="E145" s="2">
        <f>IF(B145="", "", "missing: not provided")</f>
        <v>0</v>
      </c>
      <c r="F145" s="1">
        <f>IF(B145="", "", "weeks")</f>
        <v>0</v>
      </c>
      <c r="G145" s="1">
        <f>IF(B145="", "", "mouse")</f>
        <v>0</v>
      </c>
      <c r="H145" s="1">
        <f>IF(B145="", "", "Mus musculus")</f>
        <v>0</v>
      </c>
      <c r="I145" s="1">
        <f>IF(B145="", "", "10090")</f>
        <v>0</v>
      </c>
      <c r="J145" s="2">
        <f>IF(B145="", "", "missing: not provided")</f>
        <v>0</v>
      </c>
      <c r="K145" s="1">
        <f>IF(B145="", "", "g")</f>
        <v>0</v>
      </c>
    </row>
    <row r="146" spans="1:11">
      <c r="A146">
        <f>IF(COUNTBLANK(B146:K146)&lt;&gt;COLUMNS(B146:K146),145,"")</f>
        <v>0</v>
      </c>
      <c r="C146" s="1">
        <f>IF(B146="", "", "urban biome")</f>
        <v>0</v>
      </c>
      <c r="D146" s="1">
        <f>IF(B146="", "", "animal-associated habitat")</f>
        <v>0</v>
      </c>
      <c r="E146" s="2">
        <f>IF(B146="", "", "missing: not provided")</f>
        <v>0</v>
      </c>
      <c r="F146" s="1">
        <f>IF(B146="", "", "weeks")</f>
        <v>0</v>
      </c>
      <c r="G146" s="1">
        <f>IF(B146="", "", "mouse")</f>
        <v>0</v>
      </c>
      <c r="H146" s="1">
        <f>IF(B146="", "", "Mus musculus")</f>
        <v>0</v>
      </c>
      <c r="I146" s="1">
        <f>IF(B146="", "", "10090")</f>
        <v>0</v>
      </c>
      <c r="J146" s="2">
        <f>IF(B146="", "", "missing: not provided")</f>
        <v>0</v>
      </c>
      <c r="K146" s="1">
        <f>IF(B146="", "", "g")</f>
        <v>0</v>
      </c>
    </row>
    <row r="147" spans="1:11">
      <c r="A147">
        <f>IF(COUNTBLANK(B147:K147)&lt;&gt;COLUMNS(B147:K147),146,"")</f>
        <v>0</v>
      </c>
      <c r="C147" s="1">
        <f>IF(B147="", "", "urban biome")</f>
        <v>0</v>
      </c>
      <c r="D147" s="1">
        <f>IF(B147="", "", "animal-associated habitat")</f>
        <v>0</v>
      </c>
      <c r="E147" s="2">
        <f>IF(B147="", "", "missing: not provided")</f>
        <v>0</v>
      </c>
      <c r="F147" s="1">
        <f>IF(B147="", "", "weeks")</f>
        <v>0</v>
      </c>
      <c r="G147" s="1">
        <f>IF(B147="", "", "mouse")</f>
        <v>0</v>
      </c>
      <c r="H147" s="1">
        <f>IF(B147="", "", "Mus musculus")</f>
        <v>0</v>
      </c>
      <c r="I147" s="1">
        <f>IF(B147="", "", "10090")</f>
        <v>0</v>
      </c>
      <c r="J147" s="2">
        <f>IF(B147="", "", "missing: not provided")</f>
        <v>0</v>
      </c>
      <c r="K147" s="1">
        <f>IF(B147="", "", "g")</f>
        <v>0</v>
      </c>
    </row>
    <row r="148" spans="1:11">
      <c r="A148">
        <f>IF(COUNTBLANK(B148:K148)&lt;&gt;COLUMNS(B148:K148),147,"")</f>
        <v>0</v>
      </c>
      <c r="C148" s="1">
        <f>IF(B148="", "", "urban biome")</f>
        <v>0</v>
      </c>
      <c r="D148" s="1">
        <f>IF(B148="", "", "animal-associated habitat")</f>
        <v>0</v>
      </c>
      <c r="E148" s="2">
        <f>IF(B148="", "", "missing: not provided")</f>
        <v>0</v>
      </c>
      <c r="F148" s="1">
        <f>IF(B148="", "", "weeks")</f>
        <v>0</v>
      </c>
      <c r="G148" s="1">
        <f>IF(B148="", "", "mouse")</f>
        <v>0</v>
      </c>
      <c r="H148" s="1">
        <f>IF(B148="", "", "Mus musculus")</f>
        <v>0</v>
      </c>
      <c r="I148" s="1">
        <f>IF(B148="", "", "10090")</f>
        <v>0</v>
      </c>
      <c r="J148" s="2">
        <f>IF(B148="", "", "missing: not provided")</f>
        <v>0</v>
      </c>
      <c r="K148" s="1">
        <f>IF(B148="", "", "g")</f>
        <v>0</v>
      </c>
    </row>
    <row r="149" spans="1:11">
      <c r="A149">
        <f>IF(COUNTBLANK(B149:K149)&lt;&gt;COLUMNS(B149:K149),148,"")</f>
        <v>0</v>
      </c>
      <c r="C149" s="1">
        <f>IF(B149="", "", "urban biome")</f>
        <v>0</v>
      </c>
      <c r="D149" s="1">
        <f>IF(B149="", "", "animal-associated habitat")</f>
        <v>0</v>
      </c>
      <c r="E149" s="2">
        <f>IF(B149="", "", "missing: not provided")</f>
        <v>0</v>
      </c>
      <c r="F149" s="1">
        <f>IF(B149="", "", "weeks")</f>
        <v>0</v>
      </c>
      <c r="G149" s="1">
        <f>IF(B149="", "", "mouse")</f>
        <v>0</v>
      </c>
      <c r="H149" s="1">
        <f>IF(B149="", "", "Mus musculus")</f>
        <v>0</v>
      </c>
      <c r="I149" s="1">
        <f>IF(B149="", "", "10090")</f>
        <v>0</v>
      </c>
      <c r="J149" s="2">
        <f>IF(B149="", "", "missing: not provided")</f>
        <v>0</v>
      </c>
      <c r="K149" s="1">
        <f>IF(B149="", "", "g")</f>
        <v>0</v>
      </c>
    </row>
    <row r="150" spans="1:11">
      <c r="A150">
        <f>IF(COUNTBLANK(B150:K150)&lt;&gt;COLUMNS(B150:K150),149,"")</f>
        <v>0</v>
      </c>
      <c r="C150" s="1">
        <f>IF(B150="", "", "urban biome")</f>
        <v>0</v>
      </c>
      <c r="D150" s="1">
        <f>IF(B150="", "", "animal-associated habitat")</f>
        <v>0</v>
      </c>
      <c r="E150" s="2">
        <f>IF(B150="", "", "missing: not provided")</f>
        <v>0</v>
      </c>
      <c r="F150" s="1">
        <f>IF(B150="", "", "weeks")</f>
        <v>0</v>
      </c>
      <c r="G150" s="1">
        <f>IF(B150="", "", "mouse")</f>
        <v>0</v>
      </c>
      <c r="H150" s="1">
        <f>IF(B150="", "", "Mus musculus")</f>
        <v>0</v>
      </c>
      <c r="I150" s="1">
        <f>IF(B150="", "", "10090")</f>
        <v>0</v>
      </c>
      <c r="J150" s="2">
        <f>IF(B150="", "", "missing: not provided")</f>
        <v>0</v>
      </c>
      <c r="K150" s="1">
        <f>IF(B150="", "", "g")</f>
        <v>0</v>
      </c>
    </row>
    <row r="151" spans="1:11">
      <c r="A151">
        <f>IF(COUNTBLANK(B151:K151)&lt;&gt;COLUMNS(B151:K151),150,"")</f>
        <v>0</v>
      </c>
      <c r="C151" s="1">
        <f>IF(B151="", "", "urban biome")</f>
        <v>0</v>
      </c>
      <c r="D151" s="1">
        <f>IF(B151="", "", "animal-associated habitat")</f>
        <v>0</v>
      </c>
      <c r="E151" s="2">
        <f>IF(B151="", "", "missing: not provided")</f>
        <v>0</v>
      </c>
      <c r="F151" s="1">
        <f>IF(B151="", "", "weeks")</f>
        <v>0</v>
      </c>
      <c r="G151" s="1">
        <f>IF(B151="", "", "mouse")</f>
        <v>0</v>
      </c>
      <c r="H151" s="1">
        <f>IF(B151="", "", "Mus musculus")</f>
        <v>0</v>
      </c>
      <c r="I151" s="1">
        <f>IF(B151="", "", "10090")</f>
        <v>0</v>
      </c>
      <c r="J151" s="2">
        <f>IF(B151="", "", "missing: not provided")</f>
        <v>0</v>
      </c>
      <c r="K151" s="1">
        <f>IF(B151="", "", "g")</f>
        <v>0</v>
      </c>
    </row>
    <row r="152" spans="1:11">
      <c r="A152">
        <f>IF(COUNTBLANK(B152:K152)&lt;&gt;COLUMNS(B152:K152),151,"")</f>
        <v>0</v>
      </c>
      <c r="C152" s="1">
        <f>IF(B152="", "", "urban biome")</f>
        <v>0</v>
      </c>
      <c r="D152" s="1">
        <f>IF(B152="", "", "animal-associated habitat")</f>
        <v>0</v>
      </c>
      <c r="E152" s="2">
        <f>IF(B152="", "", "missing: not provided")</f>
        <v>0</v>
      </c>
      <c r="F152" s="1">
        <f>IF(B152="", "", "weeks")</f>
        <v>0</v>
      </c>
      <c r="G152" s="1">
        <f>IF(B152="", "", "mouse")</f>
        <v>0</v>
      </c>
      <c r="H152" s="1">
        <f>IF(B152="", "", "Mus musculus")</f>
        <v>0</v>
      </c>
      <c r="I152" s="1">
        <f>IF(B152="", "", "10090")</f>
        <v>0</v>
      </c>
      <c r="J152" s="2">
        <f>IF(B152="", "", "missing: not provided")</f>
        <v>0</v>
      </c>
      <c r="K152" s="1">
        <f>IF(B152="", "", "g")</f>
        <v>0</v>
      </c>
    </row>
    <row r="153" spans="1:11">
      <c r="A153">
        <f>IF(COUNTBLANK(B153:K153)&lt;&gt;COLUMNS(B153:K153),152,"")</f>
        <v>0</v>
      </c>
      <c r="C153" s="1">
        <f>IF(B153="", "", "urban biome")</f>
        <v>0</v>
      </c>
      <c r="D153" s="1">
        <f>IF(B153="", "", "animal-associated habitat")</f>
        <v>0</v>
      </c>
      <c r="E153" s="2">
        <f>IF(B153="", "", "missing: not provided")</f>
        <v>0</v>
      </c>
      <c r="F153" s="1">
        <f>IF(B153="", "", "weeks")</f>
        <v>0</v>
      </c>
      <c r="G153" s="1">
        <f>IF(B153="", "", "mouse")</f>
        <v>0</v>
      </c>
      <c r="H153" s="1">
        <f>IF(B153="", "", "Mus musculus")</f>
        <v>0</v>
      </c>
      <c r="I153" s="1">
        <f>IF(B153="", "", "10090")</f>
        <v>0</v>
      </c>
      <c r="J153" s="2">
        <f>IF(B153="", "", "missing: not provided")</f>
        <v>0</v>
      </c>
      <c r="K153" s="1">
        <f>IF(B153="", "", "g")</f>
        <v>0</v>
      </c>
    </row>
    <row r="154" spans="1:11">
      <c r="A154">
        <f>IF(COUNTBLANK(B154:K154)&lt;&gt;COLUMNS(B154:K154),153,"")</f>
        <v>0</v>
      </c>
      <c r="C154" s="1">
        <f>IF(B154="", "", "urban biome")</f>
        <v>0</v>
      </c>
      <c r="D154" s="1">
        <f>IF(B154="", "", "animal-associated habitat")</f>
        <v>0</v>
      </c>
      <c r="E154" s="2">
        <f>IF(B154="", "", "missing: not provided")</f>
        <v>0</v>
      </c>
      <c r="F154" s="1">
        <f>IF(B154="", "", "weeks")</f>
        <v>0</v>
      </c>
      <c r="G154" s="1">
        <f>IF(B154="", "", "mouse")</f>
        <v>0</v>
      </c>
      <c r="H154" s="1">
        <f>IF(B154="", "", "Mus musculus")</f>
        <v>0</v>
      </c>
      <c r="I154" s="1">
        <f>IF(B154="", "", "10090")</f>
        <v>0</v>
      </c>
      <c r="J154" s="2">
        <f>IF(B154="", "", "missing: not provided")</f>
        <v>0</v>
      </c>
      <c r="K154" s="1">
        <f>IF(B154="", "", "g")</f>
        <v>0</v>
      </c>
    </row>
    <row r="155" spans="1:11">
      <c r="A155">
        <f>IF(COUNTBLANK(B155:K155)&lt;&gt;COLUMNS(B155:K155),154,"")</f>
        <v>0</v>
      </c>
      <c r="C155" s="1">
        <f>IF(B155="", "", "urban biome")</f>
        <v>0</v>
      </c>
      <c r="D155" s="1">
        <f>IF(B155="", "", "animal-associated habitat")</f>
        <v>0</v>
      </c>
      <c r="E155" s="2">
        <f>IF(B155="", "", "missing: not provided")</f>
        <v>0</v>
      </c>
      <c r="F155" s="1">
        <f>IF(B155="", "", "weeks")</f>
        <v>0</v>
      </c>
      <c r="G155" s="1">
        <f>IF(B155="", "", "mouse")</f>
        <v>0</v>
      </c>
      <c r="H155" s="1">
        <f>IF(B155="", "", "Mus musculus")</f>
        <v>0</v>
      </c>
      <c r="I155" s="1">
        <f>IF(B155="", "", "10090")</f>
        <v>0</v>
      </c>
      <c r="J155" s="2">
        <f>IF(B155="", "", "missing: not provided")</f>
        <v>0</v>
      </c>
      <c r="K155" s="1">
        <f>IF(B155="", "", "g")</f>
        <v>0</v>
      </c>
    </row>
    <row r="156" spans="1:11">
      <c r="A156">
        <f>IF(COUNTBLANK(B156:K156)&lt;&gt;COLUMNS(B156:K156),155,"")</f>
        <v>0</v>
      </c>
      <c r="C156" s="1">
        <f>IF(B156="", "", "urban biome")</f>
        <v>0</v>
      </c>
      <c r="D156" s="1">
        <f>IF(B156="", "", "animal-associated habitat")</f>
        <v>0</v>
      </c>
      <c r="E156" s="2">
        <f>IF(B156="", "", "missing: not provided")</f>
        <v>0</v>
      </c>
      <c r="F156" s="1">
        <f>IF(B156="", "", "weeks")</f>
        <v>0</v>
      </c>
      <c r="G156" s="1">
        <f>IF(B156="", "", "mouse")</f>
        <v>0</v>
      </c>
      <c r="H156" s="1">
        <f>IF(B156="", "", "Mus musculus")</f>
        <v>0</v>
      </c>
      <c r="I156" s="1">
        <f>IF(B156="", "", "10090")</f>
        <v>0</v>
      </c>
      <c r="J156" s="2">
        <f>IF(B156="", "", "missing: not provided")</f>
        <v>0</v>
      </c>
      <c r="K156" s="1">
        <f>IF(B156="", "", "g")</f>
        <v>0</v>
      </c>
    </row>
    <row r="157" spans="1:11">
      <c r="A157">
        <f>IF(COUNTBLANK(B157:K157)&lt;&gt;COLUMNS(B157:K157),156,"")</f>
        <v>0</v>
      </c>
      <c r="C157" s="1">
        <f>IF(B157="", "", "urban biome")</f>
        <v>0</v>
      </c>
      <c r="D157" s="1">
        <f>IF(B157="", "", "animal-associated habitat")</f>
        <v>0</v>
      </c>
      <c r="E157" s="2">
        <f>IF(B157="", "", "missing: not provided")</f>
        <v>0</v>
      </c>
      <c r="F157" s="1">
        <f>IF(B157="", "", "weeks")</f>
        <v>0</v>
      </c>
      <c r="G157" s="1">
        <f>IF(B157="", "", "mouse")</f>
        <v>0</v>
      </c>
      <c r="H157" s="1">
        <f>IF(B157="", "", "Mus musculus")</f>
        <v>0</v>
      </c>
      <c r="I157" s="1">
        <f>IF(B157="", "", "10090")</f>
        <v>0</v>
      </c>
      <c r="J157" s="2">
        <f>IF(B157="", "", "missing: not provided")</f>
        <v>0</v>
      </c>
      <c r="K157" s="1">
        <f>IF(B157="", "", "g")</f>
        <v>0</v>
      </c>
    </row>
    <row r="158" spans="1:11">
      <c r="A158">
        <f>IF(COUNTBLANK(B158:K158)&lt;&gt;COLUMNS(B158:K158),157,"")</f>
        <v>0</v>
      </c>
      <c r="C158" s="1">
        <f>IF(B158="", "", "urban biome")</f>
        <v>0</v>
      </c>
      <c r="D158" s="1">
        <f>IF(B158="", "", "animal-associated habitat")</f>
        <v>0</v>
      </c>
      <c r="E158" s="2">
        <f>IF(B158="", "", "missing: not provided")</f>
        <v>0</v>
      </c>
      <c r="F158" s="1">
        <f>IF(B158="", "", "weeks")</f>
        <v>0</v>
      </c>
      <c r="G158" s="1">
        <f>IF(B158="", "", "mouse")</f>
        <v>0</v>
      </c>
      <c r="H158" s="1">
        <f>IF(B158="", "", "Mus musculus")</f>
        <v>0</v>
      </c>
      <c r="I158" s="1">
        <f>IF(B158="", "", "10090")</f>
        <v>0</v>
      </c>
      <c r="J158" s="2">
        <f>IF(B158="", "", "missing: not provided")</f>
        <v>0</v>
      </c>
      <c r="K158" s="1">
        <f>IF(B158="", "", "g")</f>
        <v>0</v>
      </c>
    </row>
    <row r="159" spans="1:11">
      <c r="A159">
        <f>IF(COUNTBLANK(B159:K159)&lt;&gt;COLUMNS(B159:K159),158,"")</f>
        <v>0</v>
      </c>
      <c r="C159" s="1">
        <f>IF(B159="", "", "urban biome")</f>
        <v>0</v>
      </c>
      <c r="D159" s="1">
        <f>IF(B159="", "", "animal-associated habitat")</f>
        <v>0</v>
      </c>
      <c r="E159" s="2">
        <f>IF(B159="", "", "missing: not provided")</f>
        <v>0</v>
      </c>
      <c r="F159" s="1">
        <f>IF(B159="", "", "weeks")</f>
        <v>0</v>
      </c>
      <c r="G159" s="1">
        <f>IF(B159="", "", "mouse")</f>
        <v>0</v>
      </c>
      <c r="H159" s="1">
        <f>IF(B159="", "", "Mus musculus")</f>
        <v>0</v>
      </c>
      <c r="I159" s="1">
        <f>IF(B159="", "", "10090")</f>
        <v>0</v>
      </c>
      <c r="J159" s="2">
        <f>IF(B159="", "", "missing: not provided")</f>
        <v>0</v>
      </c>
      <c r="K159" s="1">
        <f>IF(B159="", "", "g")</f>
        <v>0</v>
      </c>
    </row>
    <row r="160" spans="1:11">
      <c r="A160">
        <f>IF(COUNTBLANK(B160:K160)&lt;&gt;COLUMNS(B160:K160),159,"")</f>
        <v>0</v>
      </c>
      <c r="C160" s="1">
        <f>IF(B160="", "", "urban biome")</f>
        <v>0</v>
      </c>
      <c r="D160" s="1">
        <f>IF(B160="", "", "animal-associated habitat")</f>
        <v>0</v>
      </c>
      <c r="E160" s="2">
        <f>IF(B160="", "", "missing: not provided")</f>
        <v>0</v>
      </c>
      <c r="F160" s="1">
        <f>IF(B160="", "", "weeks")</f>
        <v>0</v>
      </c>
      <c r="G160" s="1">
        <f>IF(B160="", "", "mouse")</f>
        <v>0</v>
      </c>
      <c r="H160" s="1">
        <f>IF(B160="", "", "Mus musculus")</f>
        <v>0</v>
      </c>
      <c r="I160" s="1">
        <f>IF(B160="", "", "10090")</f>
        <v>0</v>
      </c>
      <c r="J160" s="2">
        <f>IF(B160="", "", "missing: not provided")</f>
        <v>0</v>
      </c>
      <c r="K160" s="1">
        <f>IF(B160="", "", "g")</f>
        <v>0</v>
      </c>
    </row>
    <row r="161" spans="1:11">
      <c r="A161">
        <f>IF(COUNTBLANK(B161:K161)&lt;&gt;COLUMNS(B161:K161),160,"")</f>
        <v>0</v>
      </c>
      <c r="C161" s="1">
        <f>IF(B161="", "", "urban biome")</f>
        <v>0</v>
      </c>
      <c r="D161" s="1">
        <f>IF(B161="", "", "animal-associated habitat")</f>
        <v>0</v>
      </c>
      <c r="E161" s="2">
        <f>IF(B161="", "", "missing: not provided")</f>
        <v>0</v>
      </c>
      <c r="F161" s="1">
        <f>IF(B161="", "", "weeks")</f>
        <v>0</v>
      </c>
      <c r="G161" s="1">
        <f>IF(B161="", "", "mouse")</f>
        <v>0</v>
      </c>
      <c r="H161" s="1">
        <f>IF(B161="", "", "Mus musculus")</f>
        <v>0</v>
      </c>
      <c r="I161" s="1">
        <f>IF(B161="", "", "10090")</f>
        <v>0</v>
      </c>
      <c r="J161" s="2">
        <f>IF(B161="", "", "missing: not provided")</f>
        <v>0</v>
      </c>
      <c r="K161" s="1">
        <f>IF(B161="", "", "g")</f>
        <v>0</v>
      </c>
    </row>
    <row r="162" spans="1:11">
      <c r="A162">
        <f>IF(COUNTBLANK(B162:K162)&lt;&gt;COLUMNS(B162:K162),161,"")</f>
        <v>0</v>
      </c>
      <c r="C162" s="1">
        <f>IF(B162="", "", "urban biome")</f>
        <v>0</v>
      </c>
      <c r="D162" s="1">
        <f>IF(B162="", "", "animal-associated habitat")</f>
        <v>0</v>
      </c>
      <c r="E162" s="2">
        <f>IF(B162="", "", "missing: not provided")</f>
        <v>0</v>
      </c>
      <c r="F162" s="1">
        <f>IF(B162="", "", "weeks")</f>
        <v>0</v>
      </c>
      <c r="G162" s="1">
        <f>IF(B162="", "", "mouse")</f>
        <v>0</v>
      </c>
      <c r="H162" s="1">
        <f>IF(B162="", "", "Mus musculus")</f>
        <v>0</v>
      </c>
      <c r="I162" s="1">
        <f>IF(B162="", "", "10090")</f>
        <v>0</v>
      </c>
      <c r="J162" s="2">
        <f>IF(B162="", "", "missing: not provided")</f>
        <v>0</v>
      </c>
      <c r="K162" s="1">
        <f>IF(B162="", "", "g")</f>
        <v>0</v>
      </c>
    </row>
    <row r="163" spans="1:11">
      <c r="A163">
        <f>IF(COUNTBLANK(B163:K163)&lt;&gt;COLUMNS(B163:K163),162,"")</f>
        <v>0</v>
      </c>
      <c r="C163" s="1">
        <f>IF(B163="", "", "urban biome")</f>
        <v>0</v>
      </c>
      <c r="D163" s="1">
        <f>IF(B163="", "", "animal-associated habitat")</f>
        <v>0</v>
      </c>
      <c r="E163" s="2">
        <f>IF(B163="", "", "missing: not provided")</f>
        <v>0</v>
      </c>
      <c r="F163" s="1">
        <f>IF(B163="", "", "weeks")</f>
        <v>0</v>
      </c>
      <c r="G163" s="1">
        <f>IF(B163="", "", "mouse")</f>
        <v>0</v>
      </c>
      <c r="H163" s="1">
        <f>IF(B163="", "", "Mus musculus")</f>
        <v>0</v>
      </c>
      <c r="I163" s="1">
        <f>IF(B163="", "", "10090")</f>
        <v>0</v>
      </c>
      <c r="J163" s="2">
        <f>IF(B163="", "", "missing: not provided")</f>
        <v>0</v>
      </c>
      <c r="K163" s="1">
        <f>IF(B163="", "", "g")</f>
        <v>0</v>
      </c>
    </row>
    <row r="164" spans="1:11">
      <c r="A164">
        <f>IF(COUNTBLANK(B164:K164)&lt;&gt;COLUMNS(B164:K164),163,"")</f>
        <v>0</v>
      </c>
      <c r="C164" s="1">
        <f>IF(B164="", "", "urban biome")</f>
        <v>0</v>
      </c>
      <c r="D164" s="1">
        <f>IF(B164="", "", "animal-associated habitat")</f>
        <v>0</v>
      </c>
      <c r="E164" s="2">
        <f>IF(B164="", "", "missing: not provided")</f>
        <v>0</v>
      </c>
      <c r="F164" s="1">
        <f>IF(B164="", "", "weeks")</f>
        <v>0</v>
      </c>
      <c r="G164" s="1">
        <f>IF(B164="", "", "mouse")</f>
        <v>0</v>
      </c>
      <c r="H164" s="1">
        <f>IF(B164="", "", "Mus musculus")</f>
        <v>0</v>
      </c>
      <c r="I164" s="1">
        <f>IF(B164="", "", "10090")</f>
        <v>0</v>
      </c>
      <c r="J164" s="2">
        <f>IF(B164="", "", "missing: not provided")</f>
        <v>0</v>
      </c>
      <c r="K164" s="1">
        <f>IF(B164="", "", "g")</f>
        <v>0</v>
      </c>
    </row>
    <row r="165" spans="1:11">
      <c r="A165">
        <f>IF(COUNTBLANK(B165:K165)&lt;&gt;COLUMNS(B165:K165),164,"")</f>
        <v>0</v>
      </c>
      <c r="C165" s="1">
        <f>IF(B165="", "", "urban biome")</f>
        <v>0</v>
      </c>
      <c r="D165" s="1">
        <f>IF(B165="", "", "animal-associated habitat")</f>
        <v>0</v>
      </c>
      <c r="E165" s="2">
        <f>IF(B165="", "", "missing: not provided")</f>
        <v>0</v>
      </c>
      <c r="F165" s="1">
        <f>IF(B165="", "", "weeks")</f>
        <v>0</v>
      </c>
      <c r="G165" s="1">
        <f>IF(B165="", "", "mouse")</f>
        <v>0</v>
      </c>
      <c r="H165" s="1">
        <f>IF(B165="", "", "Mus musculus")</f>
        <v>0</v>
      </c>
      <c r="I165" s="1">
        <f>IF(B165="", "", "10090")</f>
        <v>0</v>
      </c>
      <c r="J165" s="2">
        <f>IF(B165="", "", "missing: not provided")</f>
        <v>0</v>
      </c>
      <c r="K165" s="1">
        <f>IF(B165="", "", "g")</f>
        <v>0</v>
      </c>
    </row>
    <row r="166" spans="1:11">
      <c r="A166">
        <f>IF(COUNTBLANK(B166:K166)&lt;&gt;COLUMNS(B166:K166),165,"")</f>
        <v>0</v>
      </c>
      <c r="C166" s="1">
        <f>IF(B166="", "", "urban biome")</f>
        <v>0</v>
      </c>
      <c r="D166" s="1">
        <f>IF(B166="", "", "animal-associated habitat")</f>
        <v>0</v>
      </c>
      <c r="E166" s="2">
        <f>IF(B166="", "", "missing: not provided")</f>
        <v>0</v>
      </c>
      <c r="F166" s="1">
        <f>IF(B166="", "", "weeks")</f>
        <v>0</v>
      </c>
      <c r="G166" s="1">
        <f>IF(B166="", "", "mouse")</f>
        <v>0</v>
      </c>
      <c r="H166" s="1">
        <f>IF(B166="", "", "Mus musculus")</f>
        <v>0</v>
      </c>
      <c r="I166" s="1">
        <f>IF(B166="", "", "10090")</f>
        <v>0</v>
      </c>
      <c r="J166" s="2">
        <f>IF(B166="", "", "missing: not provided")</f>
        <v>0</v>
      </c>
      <c r="K166" s="1">
        <f>IF(B166="", "", "g")</f>
        <v>0</v>
      </c>
    </row>
    <row r="167" spans="1:11">
      <c r="A167">
        <f>IF(COUNTBLANK(B167:K167)&lt;&gt;COLUMNS(B167:K167),166,"")</f>
        <v>0</v>
      </c>
      <c r="C167" s="1">
        <f>IF(B167="", "", "urban biome")</f>
        <v>0</v>
      </c>
      <c r="D167" s="1">
        <f>IF(B167="", "", "animal-associated habitat")</f>
        <v>0</v>
      </c>
      <c r="E167" s="2">
        <f>IF(B167="", "", "missing: not provided")</f>
        <v>0</v>
      </c>
      <c r="F167" s="1">
        <f>IF(B167="", "", "weeks")</f>
        <v>0</v>
      </c>
      <c r="G167" s="1">
        <f>IF(B167="", "", "mouse")</f>
        <v>0</v>
      </c>
      <c r="H167" s="1">
        <f>IF(B167="", "", "Mus musculus")</f>
        <v>0</v>
      </c>
      <c r="I167" s="1">
        <f>IF(B167="", "", "10090")</f>
        <v>0</v>
      </c>
      <c r="J167" s="2">
        <f>IF(B167="", "", "missing: not provided")</f>
        <v>0</v>
      </c>
      <c r="K167" s="1">
        <f>IF(B167="", "", "g")</f>
        <v>0</v>
      </c>
    </row>
    <row r="168" spans="1:11">
      <c r="A168">
        <f>IF(COUNTBLANK(B168:K168)&lt;&gt;COLUMNS(B168:K168),167,"")</f>
        <v>0</v>
      </c>
      <c r="C168" s="1">
        <f>IF(B168="", "", "urban biome")</f>
        <v>0</v>
      </c>
      <c r="D168" s="1">
        <f>IF(B168="", "", "animal-associated habitat")</f>
        <v>0</v>
      </c>
      <c r="E168" s="2">
        <f>IF(B168="", "", "missing: not provided")</f>
        <v>0</v>
      </c>
      <c r="F168" s="1">
        <f>IF(B168="", "", "weeks")</f>
        <v>0</v>
      </c>
      <c r="G168" s="1">
        <f>IF(B168="", "", "mouse")</f>
        <v>0</v>
      </c>
      <c r="H168" s="1">
        <f>IF(B168="", "", "Mus musculus")</f>
        <v>0</v>
      </c>
      <c r="I168" s="1">
        <f>IF(B168="", "", "10090")</f>
        <v>0</v>
      </c>
      <c r="J168" s="2">
        <f>IF(B168="", "", "missing: not provided")</f>
        <v>0</v>
      </c>
      <c r="K168" s="1">
        <f>IF(B168="", "", "g")</f>
        <v>0</v>
      </c>
    </row>
    <row r="169" spans="1:11">
      <c r="A169">
        <f>IF(COUNTBLANK(B169:K169)&lt;&gt;COLUMNS(B169:K169),168,"")</f>
        <v>0</v>
      </c>
      <c r="C169" s="1">
        <f>IF(B169="", "", "urban biome")</f>
        <v>0</v>
      </c>
      <c r="D169" s="1">
        <f>IF(B169="", "", "animal-associated habitat")</f>
        <v>0</v>
      </c>
      <c r="E169" s="2">
        <f>IF(B169="", "", "missing: not provided")</f>
        <v>0</v>
      </c>
      <c r="F169" s="1">
        <f>IF(B169="", "", "weeks")</f>
        <v>0</v>
      </c>
      <c r="G169" s="1">
        <f>IF(B169="", "", "mouse")</f>
        <v>0</v>
      </c>
      <c r="H169" s="1">
        <f>IF(B169="", "", "Mus musculus")</f>
        <v>0</v>
      </c>
      <c r="I169" s="1">
        <f>IF(B169="", "", "10090")</f>
        <v>0</v>
      </c>
      <c r="J169" s="2">
        <f>IF(B169="", "", "missing: not provided")</f>
        <v>0</v>
      </c>
      <c r="K169" s="1">
        <f>IF(B169="", "", "g")</f>
        <v>0</v>
      </c>
    </row>
    <row r="170" spans="1:11">
      <c r="A170">
        <f>IF(COUNTBLANK(B170:K170)&lt;&gt;COLUMNS(B170:K170),169,"")</f>
        <v>0</v>
      </c>
      <c r="C170" s="1">
        <f>IF(B170="", "", "urban biome")</f>
        <v>0</v>
      </c>
      <c r="D170" s="1">
        <f>IF(B170="", "", "animal-associated habitat")</f>
        <v>0</v>
      </c>
      <c r="E170" s="2">
        <f>IF(B170="", "", "missing: not provided")</f>
        <v>0</v>
      </c>
      <c r="F170" s="1">
        <f>IF(B170="", "", "weeks")</f>
        <v>0</v>
      </c>
      <c r="G170" s="1">
        <f>IF(B170="", "", "mouse")</f>
        <v>0</v>
      </c>
      <c r="H170" s="1">
        <f>IF(B170="", "", "Mus musculus")</f>
        <v>0</v>
      </c>
      <c r="I170" s="1">
        <f>IF(B170="", "", "10090")</f>
        <v>0</v>
      </c>
      <c r="J170" s="2">
        <f>IF(B170="", "", "missing: not provided")</f>
        <v>0</v>
      </c>
      <c r="K170" s="1">
        <f>IF(B170="", "", "g")</f>
        <v>0</v>
      </c>
    </row>
    <row r="171" spans="1:11">
      <c r="A171">
        <f>IF(COUNTBLANK(B171:K171)&lt;&gt;COLUMNS(B171:K171),170,"")</f>
        <v>0</v>
      </c>
      <c r="C171" s="1">
        <f>IF(B171="", "", "urban biome")</f>
        <v>0</v>
      </c>
      <c r="D171" s="1">
        <f>IF(B171="", "", "animal-associated habitat")</f>
        <v>0</v>
      </c>
      <c r="E171" s="2">
        <f>IF(B171="", "", "missing: not provided")</f>
        <v>0</v>
      </c>
      <c r="F171" s="1">
        <f>IF(B171="", "", "weeks")</f>
        <v>0</v>
      </c>
      <c r="G171" s="1">
        <f>IF(B171="", "", "mouse")</f>
        <v>0</v>
      </c>
      <c r="H171" s="1">
        <f>IF(B171="", "", "Mus musculus")</f>
        <v>0</v>
      </c>
      <c r="I171" s="1">
        <f>IF(B171="", "", "10090")</f>
        <v>0</v>
      </c>
      <c r="J171" s="2">
        <f>IF(B171="", "", "missing: not provided")</f>
        <v>0</v>
      </c>
      <c r="K171" s="1">
        <f>IF(B171="", "", "g")</f>
        <v>0</v>
      </c>
    </row>
    <row r="172" spans="1:11">
      <c r="A172">
        <f>IF(COUNTBLANK(B172:K172)&lt;&gt;COLUMNS(B172:K172),171,"")</f>
        <v>0</v>
      </c>
      <c r="C172" s="1">
        <f>IF(B172="", "", "urban biome")</f>
        <v>0</v>
      </c>
      <c r="D172" s="1">
        <f>IF(B172="", "", "animal-associated habitat")</f>
        <v>0</v>
      </c>
      <c r="E172" s="2">
        <f>IF(B172="", "", "missing: not provided")</f>
        <v>0</v>
      </c>
      <c r="F172" s="1">
        <f>IF(B172="", "", "weeks")</f>
        <v>0</v>
      </c>
      <c r="G172" s="1">
        <f>IF(B172="", "", "mouse")</f>
        <v>0</v>
      </c>
      <c r="H172" s="1">
        <f>IF(B172="", "", "Mus musculus")</f>
        <v>0</v>
      </c>
      <c r="I172" s="1">
        <f>IF(B172="", "", "10090")</f>
        <v>0</v>
      </c>
      <c r="J172" s="2">
        <f>IF(B172="", "", "missing: not provided")</f>
        <v>0</v>
      </c>
      <c r="K172" s="1">
        <f>IF(B172="", "", "g")</f>
        <v>0</v>
      </c>
    </row>
    <row r="173" spans="1:11">
      <c r="A173">
        <f>IF(COUNTBLANK(B173:K173)&lt;&gt;COLUMNS(B173:K173),172,"")</f>
        <v>0</v>
      </c>
      <c r="C173" s="1">
        <f>IF(B173="", "", "urban biome")</f>
        <v>0</v>
      </c>
      <c r="D173" s="1">
        <f>IF(B173="", "", "animal-associated habitat")</f>
        <v>0</v>
      </c>
      <c r="E173" s="2">
        <f>IF(B173="", "", "missing: not provided")</f>
        <v>0</v>
      </c>
      <c r="F173" s="1">
        <f>IF(B173="", "", "weeks")</f>
        <v>0</v>
      </c>
      <c r="G173" s="1">
        <f>IF(B173="", "", "mouse")</f>
        <v>0</v>
      </c>
      <c r="H173" s="1">
        <f>IF(B173="", "", "Mus musculus")</f>
        <v>0</v>
      </c>
      <c r="I173" s="1">
        <f>IF(B173="", "", "10090")</f>
        <v>0</v>
      </c>
      <c r="J173" s="2">
        <f>IF(B173="", "", "missing: not provided")</f>
        <v>0</v>
      </c>
      <c r="K173" s="1">
        <f>IF(B173="", "", "g")</f>
        <v>0</v>
      </c>
    </row>
    <row r="174" spans="1:11">
      <c r="A174">
        <f>IF(COUNTBLANK(B174:K174)&lt;&gt;COLUMNS(B174:K174),173,"")</f>
        <v>0</v>
      </c>
      <c r="C174" s="1">
        <f>IF(B174="", "", "urban biome")</f>
        <v>0</v>
      </c>
      <c r="D174" s="1">
        <f>IF(B174="", "", "animal-associated habitat")</f>
        <v>0</v>
      </c>
      <c r="E174" s="2">
        <f>IF(B174="", "", "missing: not provided")</f>
        <v>0</v>
      </c>
      <c r="F174" s="1">
        <f>IF(B174="", "", "weeks")</f>
        <v>0</v>
      </c>
      <c r="G174" s="1">
        <f>IF(B174="", "", "mouse")</f>
        <v>0</v>
      </c>
      <c r="H174" s="1">
        <f>IF(B174="", "", "Mus musculus")</f>
        <v>0</v>
      </c>
      <c r="I174" s="1">
        <f>IF(B174="", "", "10090")</f>
        <v>0</v>
      </c>
      <c r="J174" s="2">
        <f>IF(B174="", "", "missing: not provided")</f>
        <v>0</v>
      </c>
      <c r="K174" s="1">
        <f>IF(B174="", "", "g")</f>
        <v>0</v>
      </c>
    </row>
    <row r="175" spans="1:11">
      <c r="A175">
        <f>IF(COUNTBLANK(B175:K175)&lt;&gt;COLUMNS(B175:K175),174,"")</f>
        <v>0</v>
      </c>
      <c r="C175" s="1">
        <f>IF(B175="", "", "urban biome")</f>
        <v>0</v>
      </c>
      <c r="D175" s="1">
        <f>IF(B175="", "", "animal-associated habitat")</f>
        <v>0</v>
      </c>
      <c r="E175" s="2">
        <f>IF(B175="", "", "missing: not provided")</f>
        <v>0</v>
      </c>
      <c r="F175" s="1">
        <f>IF(B175="", "", "weeks")</f>
        <v>0</v>
      </c>
      <c r="G175" s="1">
        <f>IF(B175="", "", "mouse")</f>
        <v>0</v>
      </c>
      <c r="H175" s="1">
        <f>IF(B175="", "", "Mus musculus")</f>
        <v>0</v>
      </c>
      <c r="I175" s="1">
        <f>IF(B175="", "", "10090")</f>
        <v>0</v>
      </c>
      <c r="J175" s="2">
        <f>IF(B175="", "", "missing: not provided")</f>
        <v>0</v>
      </c>
      <c r="K175" s="1">
        <f>IF(B175="", "", "g")</f>
        <v>0</v>
      </c>
    </row>
    <row r="176" spans="1:11">
      <c r="A176">
        <f>IF(COUNTBLANK(B176:K176)&lt;&gt;COLUMNS(B176:K176),175,"")</f>
        <v>0</v>
      </c>
      <c r="C176" s="1">
        <f>IF(B176="", "", "urban biome")</f>
        <v>0</v>
      </c>
      <c r="D176" s="1">
        <f>IF(B176="", "", "animal-associated habitat")</f>
        <v>0</v>
      </c>
      <c r="E176" s="2">
        <f>IF(B176="", "", "missing: not provided")</f>
        <v>0</v>
      </c>
      <c r="F176" s="1">
        <f>IF(B176="", "", "weeks")</f>
        <v>0</v>
      </c>
      <c r="G176" s="1">
        <f>IF(B176="", "", "mouse")</f>
        <v>0</v>
      </c>
      <c r="H176" s="1">
        <f>IF(B176="", "", "Mus musculus")</f>
        <v>0</v>
      </c>
      <c r="I176" s="1">
        <f>IF(B176="", "", "10090")</f>
        <v>0</v>
      </c>
      <c r="J176" s="2">
        <f>IF(B176="", "", "missing: not provided")</f>
        <v>0</v>
      </c>
      <c r="K176" s="1">
        <f>IF(B176="", "", "g")</f>
        <v>0</v>
      </c>
    </row>
    <row r="177" spans="1:11">
      <c r="A177">
        <f>IF(COUNTBLANK(B177:K177)&lt;&gt;COLUMNS(B177:K177),176,"")</f>
        <v>0</v>
      </c>
      <c r="C177" s="1">
        <f>IF(B177="", "", "urban biome")</f>
        <v>0</v>
      </c>
      <c r="D177" s="1">
        <f>IF(B177="", "", "animal-associated habitat")</f>
        <v>0</v>
      </c>
      <c r="E177" s="2">
        <f>IF(B177="", "", "missing: not provided")</f>
        <v>0</v>
      </c>
      <c r="F177" s="1">
        <f>IF(B177="", "", "weeks")</f>
        <v>0</v>
      </c>
      <c r="G177" s="1">
        <f>IF(B177="", "", "mouse")</f>
        <v>0</v>
      </c>
      <c r="H177" s="1">
        <f>IF(B177="", "", "Mus musculus")</f>
        <v>0</v>
      </c>
      <c r="I177" s="1">
        <f>IF(B177="", "", "10090")</f>
        <v>0</v>
      </c>
      <c r="J177" s="2">
        <f>IF(B177="", "", "missing: not provided")</f>
        <v>0</v>
      </c>
      <c r="K177" s="1">
        <f>IF(B177="", "", "g")</f>
        <v>0</v>
      </c>
    </row>
    <row r="178" spans="1:11">
      <c r="A178">
        <f>IF(COUNTBLANK(B178:K178)&lt;&gt;COLUMNS(B178:K178),177,"")</f>
        <v>0</v>
      </c>
      <c r="C178" s="1">
        <f>IF(B178="", "", "urban biome")</f>
        <v>0</v>
      </c>
      <c r="D178" s="1">
        <f>IF(B178="", "", "animal-associated habitat")</f>
        <v>0</v>
      </c>
      <c r="E178" s="2">
        <f>IF(B178="", "", "missing: not provided")</f>
        <v>0</v>
      </c>
      <c r="F178" s="1">
        <f>IF(B178="", "", "weeks")</f>
        <v>0</v>
      </c>
      <c r="G178" s="1">
        <f>IF(B178="", "", "mouse")</f>
        <v>0</v>
      </c>
      <c r="H178" s="1">
        <f>IF(B178="", "", "Mus musculus")</f>
        <v>0</v>
      </c>
      <c r="I178" s="1">
        <f>IF(B178="", "", "10090")</f>
        <v>0</v>
      </c>
      <c r="J178" s="2">
        <f>IF(B178="", "", "missing: not provided")</f>
        <v>0</v>
      </c>
      <c r="K178" s="1">
        <f>IF(B178="", "", "g")</f>
        <v>0</v>
      </c>
    </row>
    <row r="179" spans="1:11">
      <c r="A179">
        <f>IF(COUNTBLANK(B179:K179)&lt;&gt;COLUMNS(B179:K179),178,"")</f>
        <v>0</v>
      </c>
      <c r="C179" s="1">
        <f>IF(B179="", "", "urban biome")</f>
        <v>0</v>
      </c>
      <c r="D179" s="1">
        <f>IF(B179="", "", "animal-associated habitat")</f>
        <v>0</v>
      </c>
      <c r="E179" s="2">
        <f>IF(B179="", "", "missing: not provided")</f>
        <v>0</v>
      </c>
      <c r="F179" s="1">
        <f>IF(B179="", "", "weeks")</f>
        <v>0</v>
      </c>
      <c r="G179" s="1">
        <f>IF(B179="", "", "mouse")</f>
        <v>0</v>
      </c>
      <c r="H179" s="1">
        <f>IF(B179="", "", "Mus musculus")</f>
        <v>0</v>
      </c>
      <c r="I179" s="1">
        <f>IF(B179="", "", "10090")</f>
        <v>0</v>
      </c>
      <c r="J179" s="2">
        <f>IF(B179="", "", "missing: not provided")</f>
        <v>0</v>
      </c>
      <c r="K179" s="1">
        <f>IF(B179="", "", "g")</f>
        <v>0</v>
      </c>
    </row>
    <row r="180" spans="1:11">
      <c r="A180">
        <f>IF(COUNTBLANK(B180:K180)&lt;&gt;COLUMNS(B180:K180),179,"")</f>
        <v>0</v>
      </c>
      <c r="C180" s="1">
        <f>IF(B180="", "", "urban biome")</f>
        <v>0</v>
      </c>
      <c r="D180" s="1">
        <f>IF(B180="", "", "animal-associated habitat")</f>
        <v>0</v>
      </c>
      <c r="E180" s="2">
        <f>IF(B180="", "", "missing: not provided")</f>
        <v>0</v>
      </c>
      <c r="F180" s="1">
        <f>IF(B180="", "", "weeks")</f>
        <v>0</v>
      </c>
      <c r="G180" s="1">
        <f>IF(B180="", "", "mouse")</f>
        <v>0</v>
      </c>
      <c r="H180" s="1">
        <f>IF(B180="", "", "Mus musculus")</f>
        <v>0</v>
      </c>
      <c r="I180" s="1">
        <f>IF(B180="", "", "10090")</f>
        <v>0</v>
      </c>
      <c r="J180" s="2">
        <f>IF(B180="", "", "missing: not provided")</f>
        <v>0</v>
      </c>
      <c r="K180" s="1">
        <f>IF(B180="", "", "g")</f>
        <v>0</v>
      </c>
    </row>
    <row r="181" spans="1:11">
      <c r="A181">
        <f>IF(COUNTBLANK(B181:K181)&lt;&gt;COLUMNS(B181:K181),180,"")</f>
        <v>0</v>
      </c>
      <c r="C181" s="1">
        <f>IF(B181="", "", "urban biome")</f>
        <v>0</v>
      </c>
      <c r="D181" s="1">
        <f>IF(B181="", "", "animal-associated habitat")</f>
        <v>0</v>
      </c>
      <c r="E181" s="2">
        <f>IF(B181="", "", "missing: not provided")</f>
        <v>0</v>
      </c>
      <c r="F181" s="1">
        <f>IF(B181="", "", "weeks")</f>
        <v>0</v>
      </c>
      <c r="G181" s="1">
        <f>IF(B181="", "", "mouse")</f>
        <v>0</v>
      </c>
      <c r="H181" s="1">
        <f>IF(B181="", "", "Mus musculus")</f>
        <v>0</v>
      </c>
      <c r="I181" s="1">
        <f>IF(B181="", "", "10090")</f>
        <v>0</v>
      </c>
      <c r="J181" s="2">
        <f>IF(B181="", "", "missing: not provided")</f>
        <v>0</v>
      </c>
      <c r="K181" s="1">
        <f>IF(B181="", "", "g")</f>
        <v>0</v>
      </c>
    </row>
    <row r="182" spans="1:11">
      <c r="A182">
        <f>IF(COUNTBLANK(B182:K182)&lt;&gt;COLUMNS(B182:K182),181,"")</f>
        <v>0</v>
      </c>
      <c r="C182" s="1">
        <f>IF(B182="", "", "urban biome")</f>
        <v>0</v>
      </c>
      <c r="D182" s="1">
        <f>IF(B182="", "", "animal-associated habitat")</f>
        <v>0</v>
      </c>
      <c r="E182" s="2">
        <f>IF(B182="", "", "missing: not provided")</f>
        <v>0</v>
      </c>
      <c r="F182" s="1">
        <f>IF(B182="", "", "weeks")</f>
        <v>0</v>
      </c>
      <c r="G182" s="1">
        <f>IF(B182="", "", "mouse")</f>
        <v>0</v>
      </c>
      <c r="H182" s="1">
        <f>IF(B182="", "", "Mus musculus")</f>
        <v>0</v>
      </c>
      <c r="I182" s="1">
        <f>IF(B182="", "", "10090")</f>
        <v>0</v>
      </c>
      <c r="J182" s="2">
        <f>IF(B182="", "", "missing: not provided")</f>
        <v>0</v>
      </c>
      <c r="K182" s="1">
        <f>IF(B182="", "", "g")</f>
        <v>0</v>
      </c>
    </row>
    <row r="183" spans="1:11">
      <c r="A183">
        <f>IF(COUNTBLANK(B183:K183)&lt;&gt;COLUMNS(B183:K183),182,"")</f>
        <v>0</v>
      </c>
      <c r="C183" s="1">
        <f>IF(B183="", "", "urban biome")</f>
        <v>0</v>
      </c>
      <c r="D183" s="1">
        <f>IF(B183="", "", "animal-associated habitat")</f>
        <v>0</v>
      </c>
      <c r="E183" s="2">
        <f>IF(B183="", "", "missing: not provided")</f>
        <v>0</v>
      </c>
      <c r="F183" s="1">
        <f>IF(B183="", "", "weeks")</f>
        <v>0</v>
      </c>
      <c r="G183" s="1">
        <f>IF(B183="", "", "mouse")</f>
        <v>0</v>
      </c>
      <c r="H183" s="1">
        <f>IF(B183="", "", "Mus musculus")</f>
        <v>0</v>
      </c>
      <c r="I183" s="1">
        <f>IF(B183="", "", "10090")</f>
        <v>0</v>
      </c>
      <c r="J183" s="2">
        <f>IF(B183="", "", "missing: not provided")</f>
        <v>0</v>
      </c>
      <c r="K183" s="1">
        <f>IF(B183="", "", "g")</f>
        <v>0</v>
      </c>
    </row>
    <row r="184" spans="1:11">
      <c r="A184">
        <f>IF(COUNTBLANK(B184:K184)&lt;&gt;COLUMNS(B184:K184),183,"")</f>
        <v>0</v>
      </c>
      <c r="C184" s="1">
        <f>IF(B184="", "", "urban biome")</f>
        <v>0</v>
      </c>
      <c r="D184" s="1">
        <f>IF(B184="", "", "animal-associated habitat")</f>
        <v>0</v>
      </c>
      <c r="E184" s="2">
        <f>IF(B184="", "", "missing: not provided")</f>
        <v>0</v>
      </c>
      <c r="F184" s="1">
        <f>IF(B184="", "", "weeks")</f>
        <v>0</v>
      </c>
      <c r="G184" s="1">
        <f>IF(B184="", "", "mouse")</f>
        <v>0</v>
      </c>
      <c r="H184" s="1">
        <f>IF(B184="", "", "Mus musculus")</f>
        <v>0</v>
      </c>
      <c r="I184" s="1">
        <f>IF(B184="", "", "10090")</f>
        <v>0</v>
      </c>
      <c r="J184" s="2">
        <f>IF(B184="", "", "missing: not provided")</f>
        <v>0</v>
      </c>
      <c r="K184" s="1">
        <f>IF(B184="", "", "g")</f>
        <v>0</v>
      </c>
    </row>
    <row r="185" spans="1:11">
      <c r="A185">
        <f>IF(COUNTBLANK(B185:K185)&lt;&gt;COLUMNS(B185:K185),184,"")</f>
        <v>0</v>
      </c>
      <c r="C185" s="1">
        <f>IF(B185="", "", "urban biome")</f>
        <v>0</v>
      </c>
      <c r="D185" s="1">
        <f>IF(B185="", "", "animal-associated habitat")</f>
        <v>0</v>
      </c>
      <c r="E185" s="2">
        <f>IF(B185="", "", "missing: not provided")</f>
        <v>0</v>
      </c>
      <c r="F185" s="1">
        <f>IF(B185="", "", "weeks")</f>
        <v>0</v>
      </c>
      <c r="G185" s="1">
        <f>IF(B185="", "", "mouse")</f>
        <v>0</v>
      </c>
      <c r="H185" s="1">
        <f>IF(B185="", "", "Mus musculus")</f>
        <v>0</v>
      </c>
      <c r="I185" s="1">
        <f>IF(B185="", "", "10090")</f>
        <v>0</v>
      </c>
      <c r="J185" s="2">
        <f>IF(B185="", "", "missing: not provided")</f>
        <v>0</v>
      </c>
      <c r="K185" s="1">
        <f>IF(B185="", "", "g")</f>
        <v>0</v>
      </c>
    </row>
    <row r="186" spans="1:11">
      <c r="A186">
        <f>IF(COUNTBLANK(B186:K186)&lt;&gt;COLUMNS(B186:K186),185,"")</f>
        <v>0</v>
      </c>
      <c r="C186" s="1">
        <f>IF(B186="", "", "urban biome")</f>
        <v>0</v>
      </c>
      <c r="D186" s="1">
        <f>IF(B186="", "", "animal-associated habitat")</f>
        <v>0</v>
      </c>
      <c r="E186" s="2">
        <f>IF(B186="", "", "missing: not provided")</f>
        <v>0</v>
      </c>
      <c r="F186" s="1">
        <f>IF(B186="", "", "weeks")</f>
        <v>0</v>
      </c>
      <c r="G186" s="1">
        <f>IF(B186="", "", "mouse")</f>
        <v>0</v>
      </c>
      <c r="H186" s="1">
        <f>IF(B186="", "", "Mus musculus")</f>
        <v>0</v>
      </c>
      <c r="I186" s="1">
        <f>IF(B186="", "", "10090")</f>
        <v>0</v>
      </c>
      <c r="J186" s="2">
        <f>IF(B186="", "", "missing: not provided")</f>
        <v>0</v>
      </c>
      <c r="K186" s="1">
        <f>IF(B186="", "", "g")</f>
        <v>0</v>
      </c>
    </row>
    <row r="187" spans="1:11">
      <c r="A187">
        <f>IF(COUNTBLANK(B187:K187)&lt;&gt;COLUMNS(B187:K187),186,"")</f>
        <v>0</v>
      </c>
      <c r="C187" s="1">
        <f>IF(B187="", "", "urban biome")</f>
        <v>0</v>
      </c>
      <c r="D187" s="1">
        <f>IF(B187="", "", "animal-associated habitat")</f>
        <v>0</v>
      </c>
      <c r="E187" s="2">
        <f>IF(B187="", "", "missing: not provided")</f>
        <v>0</v>
      </c>
      <c r="F187" s="1">
        <f>IF(B187="", "", "weeks")</f>
        <v>0</v>
      </c>
      <c r="G187" s="1">
        <f>IF(B187="", "", "mouse")</f>
        <v>0</v>
      </c>
      <c r="H187" s="1">
        <f>IF(B187="", "", "Mus musculus")</f>
        <v>0</v>
      </c>
      <c r="I187" s="1">
        <f>IF(B187="", "", "10090")</f>
        <v>0</v>
      </c>
      <c r="J187" s="2">
        <f>IF(B187="", "", "missing: not provided")</f>
        <v>0</v>
      </c>
      <c r="K187" s="1">
        <f>IF(B187="", "", "g")</f>
        <v>0</v>
      </c>
    </row>
    <row r="188" spans="1:11">
      <c r="A188">
        <f>IF(COUNTBLANK(B188:K188)&lt;&gt;COLUMNS(B188:K188),187,"")</f>
        <v>0</v>
      </c>
      <c r="C188" s="1">
        <f>IF(B188="", "", "urban biome")</f>
        <v>0</v>
      </c>
      <c r="D188" s="1">
        <f>IF(B188="", "", "animal-associated habitat")</f>
        <v>0</v>
      </c>
      <c r="E188" s="2">
        <f>IF(B188="", "", "missing: not provided")</f>
        <v>0</v>
      </c>
      <c r="F188" s="1">
        <f>IF(B188="", "", "weeks")</f>
        <v>0</v>
      </c>
      <c r="G188" s="1">
        <f>IF(B188="", "", "mouse")</f>
        <v>0</v>
      </c>
      <c r="H188" s="1">
        <f>IF(B188="", "", "Mus musculus")</f>
        <v>0</v>
      </c>
      <c r="I188" s="1">
        <f>IF(B188="", "", "10090")</f>
        <v>0</v>
      </c>
      <c r="J188" s="2">
        <f>IF(B188="", "", "missing: not provided")</f>
        <v>0</v>
      </c>
      <c r="K188" s="1">
        <f>IF(B188="", "", "g")</f>
        <v>0</v>
      </c>
    </row>
    <row r="189" spans="1:11">
      <c r="A189">
        <f>IF(COUNTBLANK(B189:K189)&lt;&gt;COLUMNS(B189:K189),188,"")</f>
        <v>0</v>
      </c>
      <c r="C189" s="1">
        <f>IF(B189="", "", "urban biome")</f>
        <v>0</v>
      </c>
      <c r="D189" s="1">
        <f>IF(B189="", "", "animal-associated habitat")</f>
        <v>0</v>
      </c>
      <c r="E189" s="2">
        <f>IF(B189="", "", "missing: not provided")</f>
        <v>0</v>
      </c>
      <c r="F189" s="1">
        <f>IF(B189="", "", "weeks")</f>
        <v>0</v>
      </c>
      <c r="G189" s="1">
        <f>IF(B189="", "", "mouse")</f>
        <v>0</v>
      </c>
      <c r="H189" s="1">
        <f>IF(B189="", "", "Mus musculus")</f>
        <v>0</v>
      </c>
      <c r="I189" s="1">
        <f>IF(B189="", "", "10090")</f>
        <v>0</v>
      </c>
      <c r="J189" s="2">
        <f>IF(B189="", "", "missing: not provided")</f>
        <v>0</v>
      </c>
      <c r="K189" s="1">
        <f>IF(B189="", "", "g")</f>
        <v>0</v>
      </c>
    </row>
    <row r="190" spans="1:11">
      <c r="A190">
        <f>IF(COUNTBLANK(B190:K190)&lt;&gt;COLUMNS(B190:K190),189,"")</f>
        <v>0</v>
      </c>
      <c r="C190" s="1">
        <f>IF(B190="", "", "urban biome")</f>
        <v>0</v>
      </c>
      <c r="D190" s="1">
        <f>IF(B190="", "", "animal-associated habitat")</f>
        <v>0</v>
      </c>
      <c r="E190" s="2">
        <f>IF(B190="", "", "missing: not provided")</f>
        <v>0</v>
      </c>
      <c r="F190" s="1">
        <f>IF(B190="", "", "weeks")</f>
        <v>0</v>
      </c>
      <c r="G190" s="1">
        <f>IF(B190="", "", "mouse")</f>
        <v>0</v>
      </c>
      <c r="H190" s="1">
        <f>IF(B190="", "", "Mus musculus")</f>
        <v>0</v>
      </c>
      <c r="I190" s="1">
        <f>IF(B190="", "", "10090")</f>
        <v>0</v>
      </c>
      <c r="J190" s="2">
        <f>IF(B190="", "", "missing: not provided")</f>
        <v>0</v>
      </c>
      <c r="K190" s="1">
        <f>IF(B190="", "", "g")</f>
        <v>0</v>
      </c>
    </row>
    <row r="191" spans="1:11">
      <c r="A191">
        <f>IF(COUNTBLANK(B191:K191)&lt;&gt;COLUMNS(B191:K191),190,"")</f>
        <v>0</v>
      </c>
      <c r="C191" s="1">
        <f>IF(B191="", "", "urban biome")</f>
        <v>0</v>
      </c>
      <c r="D191" s="1">
        <f>IF(B191="", "", "animal-associated habitat")</f>
        <v>0</v>
      </c>
      <c r="E191" s="2">
        <f>IF(B191="", "", "missing: not provided")</f>
        <v>0</v>
      </c>
      <c r="F191" s="1">
        <f>IF(B191="", "", "weeks")</f>
        <v>0</v>
      </c>
      <c r="G191" s="1">
        <f>IF(B191="", "", "mouse")</f>
        <v>0</v>
      </c>
      <c r="H191" s="1">
        <f>IF(B191="", "", "Mus musculus")</f>
        <v>0</v>
      </c>
      <c r="I191" s="1">
        <f>IF(B191="", "", "10090")</f>
        <v>0</v>
      </c>
      <c r="J191" s="2">
        <f>IF(B191="", "", "missing: not provided")</f>
        <v>0</v>
      </c>
      <c r="K191" s="1">
        <f>IF(B191="", "", "g")</f>
        <v>0</v>
      </c>
    </row>
    <row r="192" spans="1:11">
      <c r="A192">
        <f>IF(COUNTBLANK(B192:K192)&lt;&gt;COLUMNS(B192:K192),191,"")</f>
        <v>0</v>
      </c>
      <c r="C192" s="1">
        <f>IF(B192="", "", "urban biome")</f>
        <v>0</v>
      </c>
      <c r="D192" s="1">
        <f>IF(B192="", "", "animal-associated habitat")</f>
        <v>0</v>
      </c>
      <c r="E192" s="2">
        <f>IF(B192="", "", "missing: not provided")</f>
        <v>0</v>
      </c>
      <c r="F192" s="1">
        <f>IF(B192="", "", "weeks")</f>
        <v>0</v>
      </c>
      <c r="G192" s="1">
        <f>IF(B192="", "", "mouse")</f>
        <v>0</v>
      </c>
      <c r="H192" s="1">
        <f>IF(B192="", "", "Mus musculus")</f>
        <v>0</v>
      </c>
      <c r="I192" s="1">
        <f>IF(B192="", "", "10090")</f>
        <v>0</v>
      </c>
      <c r="J192" s="2">
        <f>IF(B192="", "", "missing: not provided")</f>
        <v>0</v>
      </c>
      <c r="K192" s="1">
        <f>IF(B192="", "", "g")</f>
        <v>0</v>
      </c>
    </row>
    <row r="193" spans="1:11">
      <c r="A193">
        <f>IF(COUNTBLANK(B193:K193)&lt;&gt;COLUMNS(B193:K193),192,"")</f>
        <v>0</v>
      </c>
      <c r="C193" s="1">
        <f>IF(B193="", "", "urban biome")</f>
        <v>0</v>
      </c>
      <c r="D193" s="1">
        <f>IF(B193="", "", "animal-associated habitat")</f>
        <v>0</v>
      </c>
      <c r="E193" s="2">
        <f>IF(B193="", "", "missing: not provided")</f>
        <v>0</v>
      </c>
      <c r="F193" s="1">
        <f>IF(B193="", "", "weeks")</f>
        <v>0</v>
      </c>
      <c r="G193" s="1">
        <f>IF(B193="", "", "mouse")</f>
        <v>0</v>
      </c>
      <c r="H193" s="1">
        <f>IF(B193="", "", "Mus musculus")</f>
        <v>0</v>
      </c>
      <c r="I193" s="1">
        <f>IF(B193="", "", "10090")</f>
        <v>0</v>
      </c>
      <c r="J193" s="2">
        <f>IF(B193="", "", "missing: not provided")</f>
        <v>0</v>
      </c>
      <c r="K193" s="1">
        <f>IF(B193="", "", "g")</f>
        <v>0</v>
      </c>
    </row>
    <row r="194" spans="1:11">
      <c r="A194">
        <f>IF(COUNTBLANK(B194:K194)&lt;&gt;COLUMNS(B194:K194),193,"")</f>
        <v>0</v>
      </c>
      <c r="C194" s="1">
        <f>IF(B194="", "", "urban biome")</f>
        <v>0</v>
      </c>
      <c r="D194" s="1">
        <f>IF(B194="", "", "animal-associated habitat")</f>
        <v>0</v>
      </c>
      <c r="E194" s="2">
        <f>IF(B194="", "", "missing: not provided")</f>
        <v>0</v>
      </c>
      <c r="F194" s="1">
        <f>IF(B194="", "", "weeks")</f>
        <v>0</v>
      </c>
      <c r="G194" s="1">
        <f>IF(B194="", "", "mouse")</f>
        <v>0</v>
      </c>
      <c r="H194" s="1">
        <f>IF(B194="", "", "Mus musculus")</f>
        <v>0</v>
      </c>
      <c r="I194" s="1">
        <f>IF(B194="", "", "10090")</f>
        <v>0</v>
      </c>
      <c r="J194" s="2">
        <f>IF(B194="", "", "missing: not provided")</f>
        <v>0</v>
      </c>
      <c r="K194" s="1">
        <f>IF(B194="", "", "g")</f>
        <v>0</v>
      </c>
    </row>
    <row r="195" spans="1:11">
      <c r="A195">
        <f>IF(COUNTBLANK(B195:K195)&lt;&gt;COLUMNS(B195:K195),194,"")</f>
        <v>0</v>
      </c>
      <c r="C195" s="1">
        <f>IF(B195="", "", "urban biome")</f>
        <v>0</v>
      </c>
      <c r="D195" s="1">
        <f>IF(B195="", "", "animal-associated habitat")</f>
        <v>0</v>
      </c>
      <c r="E195" s="2">
        <f>IF(B195="", "", "missing: not provided")</f>
        <v>0</v>
      </c>
      <c r="F195" s="1">
        <f>IF(B195="", "", "weeks")</f>
        <v>0</v>
      </c>
      <c r="G195" s="1">
        <f>IF(B195="", "", "mouse")</f>
        <v>0</v>
      </c>
      <c r="H195" s="1">
        <f>IF(B195="", "", "Mus musculus")</f>
        <v>0</v>
      </c>
      <c r="I195" s="1">
        <f>IF(B195="", "", "10090")</f>
        <v>0</v>
      </c>
      <c r="J195" s="2">
        <f>IF(B195="", "", "missing: not provided")</f>
        <v>0</v>
      </c>
      <c r="K195" s="1">
        <f>IF(B195="", "", "g")</f>
        <v>0</v>
      </c>
    </row>
    <row r="196" spans="1:11">
      <c r="A196">
        <f>IF(COUNTBLANK(B196:K196)&lt;&gt;COLUMNS(B196:K196),195,"")</f>
        <v>0</v>
      </c>
      <c r="C196" s="1">
        <f>IF(B196="", "", "urban biome")</f>
        <v>0</v>
      </c>
      <c r="D196" s="1">
        <f>IF(B196="", "", "animal-associated habitat")</f>
        <v>0</v>
      </c>
      <c r="E196" s="2">
        <f>IF(B196="", "", "missing: not provided")</f>
        <v>0</v>
      </c>
      <c r="F196" s="1">
        <f>IF(B196="", "", "weeks")</f>
        <v>0</v>
      </c>
      <c r="G196" s="1">
        <f>IF(B196="", "", "mouse")</f>
        <v>0</v>
      </c>
      <c r="H196" s="1">
        <f>IF(B196="", "", "Mus musculus")</f>
        <v>0</v>
      </c>
      <c r="I196" s="1">
        <f>IF(B196="", "", "10090")</f>
        <v>0</v>
      </c>
      <c r="J196" s="2">
        <f>IF(B196="", "", "missing: not provided")</f>
        <v>0</v>
      </c>
      <c r="K196" s="1">
        <f>IF(B196="", "", "g")</f>
        <v>0</v>
      </c>
    </row>
    <row r="197" spans="1:11">
      <c r="A197">
        <f>IF(COUNTBLANK(B197:K197)&lt;&gt;COLUMNS(B197:K197),196,"")</f>
        <v>0</v>
      </c>
      <c r="C197" s="1">
        <f>IF(B197="", "", "urban biome")</f>
        <v>0</v>
      </c>
      <c r="D197" s="1">
        <f>IF(B197="", "", "animal-associated habitat")</f>
        <v>0</v>
      </c>
      <c r="E197" s="2">
        <f>IF(B197="", "", "missing: not provided")</f>
        <v>0</v>
      </c>
      <c r="F197" s="1">
        <f>IF(B197="", "", "weeks")</f>
        <v>0</v>
      </c>
      <c r="G197" s="1">
        <f>IF(B197="", "", "mouse")</f>
        <v>0</v>
      </c>
      <c r="H197" s="1">
        <f>IF(B197="", "", "Mus musculus")</f>
        <v>0</v>
      </c>
      <c r="I197" s="1">
        <f>IF(B197="", "", "10090")</f>
        <v>0</v>
      </c>
      <c r="J197" s="2">
        <f>IF(B197="", "", "missing: not provided")</f>
        <v>0</v>
      </c>
      <c r="K197" s="1">
        <f>IF(B197="", "", "g")</f>
        <v>0</v>
      </c>
    </row>
    <row r="198" spans="1:11">
      <c r="A198">
        <f>IF(COUNTBLANK(B198:K198)&lt;&gt;COLUMNS(B198:K198),197,"")</f>
        <v>0</v>
      </c>
      <c r="C198" s="1">
        <f>IF(B198="", "", "urban biome")</f>
        <v>0</v>
      </c>
      <c r="D198" s="1">
        <f>IF(B198="", "", "animal-associated habitat")</f>
        <v>0</v>
      </c>
      <c r="E198" s="2">
        <f>IF(B198="", "", "missing: not provided")</f>
        <v>0</v>
      </c>
      <c r="F198" s="1">
        <f>IF(B198="", "", "weeks")</f>
        <v>0</v>
      </c>
      <c r="G198" s="1">
        <f>IF(B198="", "", "mouse")</f>
        <v>0</v>
      </c>
      <c r="H198" s="1">
        <f>IF(B198="", "", "Mus musculus")</f>
        <v>0</v>
      </c>
      <c r="I198" s="1">
        <f>IF(B198="", "", "10090")</f>
        <v>0</v>
      </c>
      <c r="J198" s="2">
        <f>IF(B198="", "", "missing: not provided")</f>
        <v>0</v>
      </c>
      <c r="K198" s="1">
        <f>IF(B198="", "", "g")</f>
        <v>0</v>
      </c>
    </row>
    <row r="199" spans="1:11">
      <c r="A199">
        <f>IF(COUNTBLANK(B199:K199)&lt;&gt;COLUMNS(B199:K199),198,"")</f>
        <v>0</v>
      </c>
      <c r="C199" s="1">
        <f>IF(B199="", "", "urban biome")</f>
        <v>0</v>
      </c>
      <c r="D199" s="1">
        <f>IF(B199="", "", "animal-associated habitat")</f>
        <v>0</v>
      </c>
      <c r="E199" s="2">
        <f>IF(B199="", "", "missing: not provided")</f>
        <v>0</v>
      </c>
      <c r="F199" s="1">
        <f>IF(B199="", "", "weeks")</f>
        <v>0</v>
      </c>
      <c r="G199" s="1">
        <f>IF(B199="", "", "mouse")</f>
        <v>0</v>
      </c>
      <c r="H199" s="1">
        <f>IF(B199="", "", "Mus musculus")</f>
        <v>0</v>
      </c>
      <c r="I199" s="1">
        <f>IF(B199="", "", "10090")</f>
        <v>0</v>
      </c>
      <c r="J199" s="2">
        <f>IF(B199="", "", "missing: not provided")</f>
        <v>0</v>
      </c>
      <c r="K199" s="1">
        <f>IF(B199="", "", "g")</f>
        <v>0</v>
      </c>
    </row>
    <row r="200" spans="1:11">
      <c r="A200">
        <f>IF(COUNTBLANK(B200:K200)&lt;&gt;COLUMNS(B200:K200),199,"")</f>
        <v>0</v>
      </c>
      <c r="C200" s="1">
        <f>IF(B200="", "", "urban biome")</f>
        <v>0</v>
      </c>
      <c r="D200" s="1">
        <f>IF(B200="", "", "animal-associated habitat")</f>
        <v>0</v>
      </c>
      <c r="E200" s="2">
        <f>IF(B200="", "", "missing: not provided")</f>
        <v>0</v>
      </c>
      <c r="F200" s="1">
        <f>IF(B200="", "", "weeks")</f>
        <v>0</v>
      </c>
      <c r="G200" s="1">
        <f>IF(B200="", "", "mouse")</f>
        <v>0</v>
      </c>
      <c r="H200" s="1">
        <f>IF(B200="", "", "Mus musculus")</f>
        <v>0</v>
      </c>
      <c r="I200" s="1">
        <f>IF(B200="", "", "10090")</f>
        <v>0</v>
      </c>
      <c r="J200" s="2">
        <f>IF(B200="", "", "missing: not provided")</f>
        <v>0</v>
      </c>
      <c r="K200" s="1">
        <f>IF(B200="", "", "g")</f>
        <v>0</v>
      </c>
    </row>
    <row r="201" spans="1:11">
      <c r="A201">
        <f>IF(COUNTBLANK(B201:K201)&lt;&gt;COLUMNS(B201:K201),200,"")</f>
        <v>0</v>
      </c>
      <c r="C201" s="1">
        <f>IF(B201="", "", "urban biome")</f>
        <v>0</v>
      </c>
      <c r="D201" s="1">
        <f>IF(B201="", "", "animal-associated habitat")</f>
        <v>0</v>
      </c>
      <c r="E201" s="2">
        <f>IF(B201="", "", "missing: not provided")</f>
        <v>0</v>
      </c>
      <c r="F201" s="1">
        <f>IF(B201="", "", "weeks")</f>
        <v>0</v>
      </c>
      <c r="G201" s="1">
        <f>IF(B201="", "", "mouse")</f>
        <v>0</v>
      </c>
      <c r="H201" s="1">
        <f>IF(B201="", "", "Mus musculus")</f>
        <v>0</v>
      </c>
      <c r="I201" s="1">
        <f>IF(B201="", "", "10090")</f>
        <v>0</v>
      </c>
      <c r="J201" s="2">
        <f>IF(B201="", "", "missing: not provided")</f>
        <v>0</v>
      </c>
      <c r="K201" s="1">
        <f>IF(B201="", "", "g")</f>
        <v>0</v>
      </c>
    </row>
    <row r="202" spans="1:11">
      <c r="A202">
        <f>IF(COUNTBLANK(B202:K202)&lt;&gt;COLUMNS(B202:K202),201,"")</f>
        <v>0</v>
      </c>
      <c r="C202" s="1">
        <f>IF(B202="", "", "urban biome")</f>
        <v>0</v>
      </c>
      <c r="D202" s="1">
        <f>IF(B202="", "", "animal-associated habitat")</f>
        <v>0</v>
      </c>
      <c r="E202" s="2">
        <f>IF(B202="", "", "missing: not provided")</f>
        <v>0</v>
      </c>
      <c r="F202" s="1">
        <f>IF(B202="", "", "weeks")</f>
        <v>0</v>
      </c>
      <c r="G202" s="1">
        <f>IF(B202="", "", "mouse")</f>
        <v>0</v>
      </c>
      <c r="H202" s="1">
        <f>IF(B202="", "", "Mus musculus")</f>
        <v>0</v>
      </c>
      <c r="I202" s="1">
        <f>IF(B202="", "", "10090")</f>
        <v>0</v>
      </c>
      <c r="J202" s="2">
        <f>IF(B202="", "", "missing: not provided")</f>
        <v>0</v>
      </c>
      <c r="K202" s="1">
        <f>IF(B202="", "", "g")</f>
        <v>0</v>
      </c>
    </row>
    <row r="203" spans="1:11">
      <c r="A203">
        <f>IF(COUNTBLANK(B203:K203)&lt;&gt;COLUMNS(B203:K203),202,"")</f>
        <v>0</v>
      </c>
      <c r="C203" s="1">
        <f>IF(B203="", "", "urban biome")</f>
        <v>0</v>
      </c>
      <c r="D203" s="1">
        <f>IF(B203="", "", "animal-associated habitat")</f>
        <v>0</v>
      </c>
      <c r="E203" s="2">
        <f>IF(B203="", "", "missing: not provided")</f>
        <v>0</v>
      </c>
      <c r="F203" s="1">
        <f>IF(B203="", "", "weeks")</f>
        <v>0</v>
      </c>
      <c r="G203" s="1">
        <f>IF(B203="", "", "mouse")</f>
        <v>0</v>
      </c>
      <c r="H203" s="1">
        <f>IF(B203="", "", "Mus musculus")</f>
        <v>0</v>
      </c>
      <c r="I203" s="1">
        <f>IF(B203="", "", "10090")</f>
        <v>0</v>
      </c>
      <c r="J203" s="2">
        <f>IF(B203="", "", "missing: not provided")</f>
        <v>0</v>
      </c>
      <c r="K203" s="1">
        <f>IF(B203="", "", "g")</f>
        <v>0</v>
      </c>
    </row>
    <row r="204" spans="1:11">
      <c r="A204">
        <f>IF(COUNTBLANK(B204:K204)&lt;&gt;COLUMNS(B204:K204),203,"")</f>
        <v>0</v>
      </c>
      <c r="C204" s="1">
        <f>IF(B204="", "", "urban biome")</f>
        <v>0</v>
      </c>
      <c r="D204" s="1">
        <f>IF(B204="", "", "animal-associated habitat")</f>
        <v>0</v>
      </c>
      <c r="E204" s="2">
        <f>IF(B204="", "", "missing: not provided")</f>
        <v>0</v>
      </c>
      <c r="F204" s="1">
        <f>IF(B204="", "", "weeks")</f>
        <v>0</v>
      </c>
      <c r="G204" s="1">
        <f>IF(B204="", "", "mouse")</f>
        <v>0</v>
      </c>
      <c r="H204" s="1">
        <f>IF(B204="", "", "Mus musculus")</f>
        <v>0</v>
      </c>
      <c r="I204" s="1">
        <f>IF(B204="", "", "10090")</f>
        <v>0</v>
      </c>
      <c r="J204" s="2">
        <f>IF(B204="", "", "missing: not provided")</f>
        <v>0</v>
      </c>
      <c r="K204" s="1">
        <f>IF(B204="", "", "g")</f>
        <v>0</v>
      </c>
    </row>
    <row r="205" spans="1:11">
      <c r="A205">
        <f>IF(COUNTBLANK(B205:K205)&lt;&gt;COLUMNS(B205:K205),204,"")</f>
        <v>0</v>
      </c>
      <c r="C205" s="1">
        <f>IF(B205="", "", "urban biome")</f>
        <v>0</v>
      </c>
      <c r="D205" s="1">
        <f>IF(B205="", "", "animal-associated habitat")</f>
        <v>0</v>
      </c>
      <c r="E205" s="2">
        <f>IF(B205="", "", "missing: not provided")</f>
        <v>0</v>
      </c>
      <c r="F205" s="1">
        <f>IF(B205="", "", "weeks")</f>
        <v>0</v>
      </c>
      <c r="G205" s="1">
        <f>IF(B205="", "", "mouse")</f>
        <v>0</v>
      </c>
      <c r="H205" s="1">
        <f>IF(B205="", "", "Mus musculus")</f>
        <v>0</v>
      </c>
      <c r="I205" s="1">
        <f>IF(B205="", "", "10090")</f>
        <v>0</v>
      </c>
      <c r="J205" s="2">
        <f>IF(B205="", "", "missing: not provided")</f>
        <v>0</v>
      </c>
      <c r="K205" s="1">
        <f>IF(B205="", "", "g")</f>
        <v>0</v>
      </c>
    </row>
    <row r="206" spans="1:11">
      <c r="A206">
        <f>IF(COUNTBLANK(B206:K206)&lt;&gt;COLUMNS(B206:K206),205,"")</f>
        <v>0</v>
      </c>
      <c r="C206" s="1">
        <f>IF(B206="", "", "urban biome")</f>
        <v>0</v>
      </c>
      <c r="D206" s="1">
        <f>IF(B206="", "", "animal-associated habitat")</f>
        <v>0</v>
      </c>
      <c r="E206" s="2">
        <f>IF(B206="", "", "missing: not provided")</f>
        <v>0</v>
      </c>
      <c r="F206" s="1">
        <f>IF(B206="", "", "weeks")</f>
        <v>0</v>
      </c>
      <c r="G206" s="1">
        <f>IF(B206="", "", "mouse")</f>
        <v>0</v>
      </c>
      <c r="H206" s="1">
        <f>IF(B206="", "", "Mus musculus")</f>
        <v>0</v>
      </c>
      <c r="I206" s="1">
        <f>IF(B206="", "", "10090")</f>
        <v>0</v>
      </c>
      <c r="J206" s="2">
        <f>IF(B206="", "", "missing: not provided")</f>
        <v>0</v>
      </c>
      <c r="K206" s="1">
        <f>IF(B206="", "", "g")</f>
        <v>0</v>
      </c>
    </row>
    <row r="207" spans="1:11">
      <c r="A207">
        <f>IF(COUNTBLANK(B207:K207)&lt;&gt;COLUMNS(B207:K207),206,"")</f>
        <v>0</v>
      </c>
      <c r="C207" s="1">
        <f>IF(B207="", "", "urban biome")</f>
        <v>0</v>
      </c>
      <c r="D207" s="1">
        <f>IF(B207="", "", "animal-associated habitat")</f>
        <v>0</v>
      </c>
      <c r="E207" s="2">
        <f>IF(B207="", "", "missing: not provided")</f>
        <v>0</v>
      </c>
      <c r="F207" s="1">
        <f>IF(B207="", "", "weeks")</f>
        <v>0</v>
      </c>
      <c r="G207" s="1">
        <f>IF(B207="", "", "mouse")</f>
        <v>0</v>
      </c>
      <c r="H207" s="1">
        <f>IF(B207="", "", "Mus musculus")</f>
        <v>0</v>
      </c>
      <c r="I207" s="1">
        <f>IF(B207="", "", "10090")</f>
        <v>0</v>
      </c>
      <c r="J207" s="2">
        <f>IF(B207="", "", "missing: not provided")</f>
        <v>0</v>
      </c>
      <c r="K207" s="1">
        <f>IF(B207="", "", "g")</f>
        <v>0</v>
      </c>
    </row>
    <row r="208" spans="1:11">
      <c r="A208">
        <f>IF(COUNTBLANK(B208:K208)&lt;&gt;COLUMNS(B208:K208),207,"")</f>
        <v>0</v>
      </c>
      <c r="C208" s="1">
        <f>IF(B208="", "", "urban biome")</f>
        <v>0</v>
      </c>
      <c r="D208" s="1">
        <f>IF(B208="", "", "animal-associated habitat")</f>
        <v>0</v>
      </c>
      <c r="E208" s="2">
        <f>IF(B208="", "", "missing: not provided")</f>
        <v>0</v>
      </c>
      <c r="F208" s="1">
        <f>IF(B208="", "", "weeks")</f>
        <v>0</v>
      </c>
      <c r="G208" s="1">
        <f>IF(B208="", "", "mouse")</f>
        <v>0</v>
      </c>
      <c r="H208" s="1">
        <f>IF(B208="", "", "Mus musculus")</f>
        <v>0</v>
      </c>
      <c r="I208" s="1">
        <f>IF(B208="", "", "10090")</f>
        <v>0</v>
      </c>
      <c r="J208" s="2">
        <f>IF(B208="", "", "missing: not provided")</f>
        <v>0</v>
      </c>
      <c r="K208" s="1">
        <f>IF(B208="", "", "g")</f>
        <v>0</v>
      </c>
    </row>
    <row r="209" spans="1:11">
      <c r="A209">
        <f>IF(COUNTBLANK(B209:K209)&lt;&gt;COLUMNS(B209:K209),208,"")</f>
        <v>0</v>
      </c>
      <c r="C209" s="1">
        <f>IF(B209="", "", "urban biome")</f>
        <v>0</v>
      </c>
      <c r="D209" s="1">
        <f>IF(B209="", "", "animal-associated habitat")</f>
        <v>0</v>
      </c>
      <c r="E209" s="2">
        <f>IF(B209="", "", "missing: not provided")</f>
        <v>0</v>
      </c>
      <c r="F209" s="1">
        <f>IF(B209="", "", "weeks")</f>
        <v>0</v>
      </c>
      <c r="G209" s="1">
        <f>IF(B209="", "", "mouse")</f>
        <v>0</v>
      </c>
      <c r="H209" s="1">
        <f>IF(B209="", "", "Mus musculus")</f>
        <v>0</v>
      </c>
      <c r="I209" s="1">
        <f>IF(B209="", "", "10090")</f>
        <v>0</v>
      </c>
      <c r="J209" s="2">
        <f>IF(B209="", "", "missing: not provided")</f>
        <v>0</v>
      </c>
      <c r="K209" s="1">
        <f>IF(B209="", "", "g")</f>
        <v>0</v>
      </c>
    </row>
    <row r="210" spans="1:11">
      <c r="A210">
        <f>IF(COUNTBLANK(B210:K210)&lt;&gt;COLUMNS(B210:K210),209,"")</f>
        <v>0</v>
      </c>
      <c r="C210" s="1">
        <f>IF(B210="", "", "urban biome")</f>
        <v>0</v>
      </c>
      <c r="D210" s="1">
        <f>IF(B210="", "", "animal-associated habitat")</f>
        <v>0</v>
      </c>
      <c r="E210" s="2">
        <f>IF(B210="", "", "missing: not provided")</f>
        <v>0</v>
      </c>
      <c r="F210" s="1">
        <f>IF(B210="", "", "weeks")</f>
        <v>0</v>
      </c>
      <c r="G210" s="1">
        <f>IF(B210="", "", "mouse")</f>
        <v>0</v>
      </c>
      <c r="H210" s="1">
        <f>IF(B210="", "", "Mus musculus")</f>
        <v>0</v>
      </c>
      <c r="I210" s="1">
        <f>IF(B210="", "", "10090")</f>
        <v>0</v>
      </c>
      <c r="J210" s="2">
        <f>IF(B210="", "", "missing: not provided")</f>
        <v>0</v>
      </c>
      <c r="K210" s="1">
        <f>IF(B210="", "", "g")</f>
        <v>0</v>
      </c>
    </row>
    <row r="211" spans="1:11">
      <c r="A211">
        <f>IF(COUNTBLANK(B211:K211)&lt;&gt;COLUMNS(B211:K211),210,"")</f>
        <v>0</v>
      </c>
      <c r="C211" s="1">
        <f>IF(B211="", "", "urban biome")</f>
        <v>0</v>
      </c>
      <c r="D211" s="1">
        <f>IF(B211="", "", "animal-associated habitat")</f>
        <v>0</v>
      </c>
      <c r="E211" s="2">
        <f>IF(B211="", "", "missing: not provided")</f>
        <v>0</v>
      </c>
      <c r="F211" s="1">
        <f>IF(B211="", "", "weeks")</f>
        <v>0</v>
      </c>
      <c r="G211" s="1">
        <f>IF(B211="", "", "mouse")</f>
        <v>0</v>
      </c>
      <c r="H211" s="1">
        <f>IF(B211="", "", "Mus musculus")</f>
        <v>0</v>
      </c>
      <c r="I211" s="1">
        <f>IF(B211="", "", "10090")</f>
        <v>0</v>
      </c>
      <c r="J211" s="2">
        <f>IF(B211="", "", "missing: not provided")</f>
        <v>0</v>
      </c>
      <c r="K211" s="1">
        <f>IF(B211="", "", "g")</f>
        <v>0</v>
      </c>
    </row>
    <row r="212" spans="1:11">
      <c r="A212">
        <f>IF(COUNTBLANK(B212:K212)&lt;&gt;COLUMNS(B212:K212),211,"")</f>
        <v>0</v>
      </c>
      <c r="C212" s="1">
        <f>IF(B212="", "", "urban biome")</f>
        <v>0</v>
      </c>
      <c r="D212" s="1">
        <f>IF(B212="", "", "animal-associated habitat")</f>
        <v>0</v>
      </c>
      <c r="E212" s="2">
        <f>IF(B212="", "", "missing: not provided")</f>
        <v>0</v>
      </c>
      <c r="F212" s="1">
        <f>IF(B212="", "", "weeks")</f>
        <v>0</v>
      </c>
      <c r="G212" s="1">
        <f>IF(B212="", "", "mouse")</f>
        <v>0</v>
      </c>
      <c r="H212" s="1">
        <f>IF(B212="", "", "Mus musculus")</f>
        <v>0</v>
      </c>
      <c r="I212" s="1">
        <f>IF(B212="", "", "10090")</f>
        <v>0</v>
      </c>
      <c r="J212" s="2">
        <f>IF(B212="", "", "missing: not provided")</f>
        <v>0</v>
      </c>
      <c r="K212" s="1">
        <f>IF(B212="", "", "g")</f>
        <v>0</v>
      </c>
    </row>
    <row r="213" spans="1:11">
      <c r="A213">
        <f>IF(COUNTBLANK(B213:K213)&lt;&gt;COLUMNS(B213:K213),212,"")</f>
        <v>0</v>
      </c>
      <c r="C213" s="1">
        <f>IF(B213="", "", "urban biome")</f>
        <v>0</v>
      </c>
      <c r="D213" s="1">
        <f>IF(B213="", "", "animal-associated habitat")</f>
        <v>0</v>
      </c>
      <c r="E213" s="2">
        <f>IF(B213="", "", "missing: not provided")</f>
        <v>0</v>
      </c>
      <c r="F213" s="1">
        <f>IF(B213="", "", "weeks")</f>
        <v>0</v>
      </c>
      <c r="G213" s="1">
        <f>IF(B213="", "", "mouse")</f>
        <v>0</v>
      </c>
      <c r="H213" s="1">
        <f>IF(B213="", "", "Mus musculus")</f>
        <v>0</v>
      </c>
      <c r="I213" s="1">
        <f>IF(B213="", "", "10090")</f>
        <v>0</v>
      </c>
      <c r="J213" s="2">
        <f>IF(B213="", "", "missing: not provided")</f>
        <v>0</v>
      </c>
      <c r="K213" s="1">
        <f>IF(B213="", "", "g")</f>
        <v>0</v>
      </c>
    </row>
    <row r="214" spans="1:11">
      <c r="A214">
        <f>IF(COUNTBLANK(B214:K214)&lt;&gt;COLUMNS(B214:K214),213,"")</f>
        <v>0</v>
      </c>
      <c r="C214" s="1">
        <f>IF(B214="", "", "urban biome")</f>
        <v>0</v>
      </c>
      <c r="D214" s="1">
        <f>IF(B214="", "", "animal-associated habitat")</f>
        <v>0</v>
      </c>
      <c r="E214" s="2">
        <f>IF(B214="", "", "missing: not provided")</f>
        <v>0</v>
      </c>
      <c r="F214" s="1">
        <f>IF(B214="", "", "weeks")</f>
        <v>0</v>
      </c>
      <c r="G214" s="1">
        <f>IF(B214="", "", "mouse")</f>
        <v>0</v>
      </c>
      <c r="H214" s="1">
        <f>IF(B214="", "", "Mus musculus")</f>
        <v>0</v>
      </c>
      <c r="I214" s="1">
        <f>IF(B214="", "", "10090")</f>
        <v>0</v>
      </c>
      <c r="J214" s="2">
        <f>IF(B214="", "", "missing: not provided")</f>
        <v>0</v>
      </c>
      <c r="K214" s="1">
        <f>IF(B214="", "", "g")</f>
        <v>0</v>
      </c>
    </row>
    <row r="215" spans="1:11">
      <c r="A215">
        <f>IF(COUNTBLANK(B215:K215)&lt;&gt;COLUMNS(B215:K215),214,"")</f>
        <v>0</v>
      </c>
      <c r="C215" s="1">
        <f>IF(B215="", "", "urban biome")</f>
        <v>0</v>
      </c>
      <c r="D215" s="1">
        <f>IF(B215="", "", "animal-associated habitat")</f>
        <v>0</v>
      </c>
      <c r="E215" s="2">
        <f>IF(B215="", "", "missing: not provided")</f>
        <v>0</v>
      </c>
      <c r="F215" s="1">
        <f>IF(B215="", "", "weeks")</f>
        <v>0</v>
      </c>
      <c r="G215" s="1">
        <f>IF(B215="", "", "mouse")</f>
        <v>0</v>
      </c>
      <c r="H215" s="1">
        <f>IF(B215="", "", "Mus musculus")</f>
        <v>0</v>
      </c>
      <c r="I215" s="1">
        <f>IF(B215="", "", "10090")</f>
        <v>0</v>
      </c>
      <c r="J215" s="2">
        <f>IF(B215="", "", "missing: not provided")</f>
        <v>0</v>
      </c>
      <c r="K215" s="1">
        <f>IF(B215="", "", "g")</f>
        <v>0</v>
      </c>
    </row>
    <row r="216" spans="1:11">
      <c r="A216">
        <f>IF(COUNTBLANK(B216:K216)&lt;&gt;COLUMNS(B216:K216),215,"")</f>
        <v>0</v>
      </c>
      <c r="C216" s="1">
        <f>IF(B216="", "", "urban biome")</f>
        <v>0</v>
      </c>
      <c r="D216" s="1">
        <f>IF(B216="", "", "animal-associated habitat")</f>
        <v>0</v>
      </c>
      <c r="E216" s="2">
        <f>IF(B216="", "", "missing: not provided")</f>
        <v>0</v>
      </c>
      <c r="F216" s="1">
        <f>IF(B216="", "", "weeks")</f>
        <v>0</v>
      </c>
      <c r="G216" s="1">
        <f>IF(B216="", "", "mouse")</f>
        <v>0</v>
      </c>
      <c r="H216" s="1">
        <f>IF(B216="", "", "Mus musculus")</f>
        <v>0</v>
      </c>
      <c r="I216" s="1">
        <f>IF(B216="", "", "10090")</f>
        <v>0</v>
      </c>
      <c r="J216" s="2">
        <f>IF(B216="", "", "missing: not provided")</f>
        <v>0</v>
      </c>
      <c r="K216" s="1">
        <f>IF(B216="", "", "g")</f>
        <v>0</v>
      </c>
    </row>
    <row r="217" spans="1:11">
      <c r="A217">
        <f>IF(COUNTBLANK(B217:K217)&lt;&gt;COLUMNS(B217:K217),216,"")</f>
        <v>0</v>
      </c>
      <c r="C217" s="1">
        <f>IF(B217="", "", "urban biome")</f>
        <v>0</v>
      </c>
      <c r="D217" s="1">
        <f>IF(B217="", "", "animal-associated habitat")</f>
        <v>0</v>
      </c>
      <c r="E217" s="2">
        <f>IF(B217="", "", "missing: not provided")</f>
        <v>0</v>
      </c>
      <c r="F217" s="1">
        <f>IF(B217="", "", "weeks")</f>
        <v>0</v>
      </c>
      <c r="G217" s="1">
        <f>IF(B217="", "", "mouse")</f>
        <v>0</v>
      </c>
      <c r="H217" s="1">
        <f>IF(B217="", "", "Mus musculus")</f>
        <v>0</v>
      </c>
      <c r="I217" s="1">
        <f>IF(B217="", "", "10090")</f>
        <v>0</v>
      </c>
      <c r="J217" s="2">
        <f>IF(B217="", "", "missing: not provided")</f>
        <v>0</v>
      </c>
      <c r="K217" s="1">
        <f>IF(B217="", "", "g")</f>
        <v>0</v>
      </c>
    </row>
    <row r="218" spans="1:11">
      <c r="A218">
        <f>IF(COUNTBLANK(B218:K218)&lt;&gt;COLUMNS(B218:K218),217,"")</f>
        <v>0</v>
      </c>
      <c r="C218" s="1">
        <f>IF(B218="", "", "urban biome")</f>
        <v>0</v>
      </c>
      <c r="D218" s="1">
        <f>IF(B218="", "", "animal-associated habitat")</f>
        <v>0</v>
      </c>
      <c r="E218" s="2">
        <f>IF(B218="", "", "missing: not provided")</f>
        <v>0</v>
      </c>
      <c r="F218" s="1">
        <f>IF(B218="", "", "weeks")</f>
        <v>0</v>
      </c>
      <c r="G218" s="1">
        <f>IF(B218="", "", "mouse")</f>
        <v>0</v>
      </c>
      <c r="H218" s="1">
        <f>IF(B218="", "", "Mus musculus")</f>
        <v>0</v>
      </c>
      <c r="I218" s="1">
        <f>IF(B218="", "", "10090")</f>
        <v>0</v>
      </c>
      <c r="J218" s="2">
        <f>IF(B218="", "", "missing: not provided")</f>
        <v>0</v>
      </c>
      <c r="K218" s="1">
        <f>IF(B218="", "", "g")</f>
        <v>0</v>
      </c>
    </row>
    <row r="219" spans="1:11">
      <c r="A219">
        <f>IF(COUNTBLANK(B219:K219)&lt;&gt;COLUMNS(B219:K219),218,"")</f>
        <v>0</v>
      </c>
      <c r="C219" s="1">
        <f>IF(B219="", "", "urban biome")</f>
        <v>0</v>
      </c>
      <c r="D219" s="1">
        <f>IF(B219="", "", "animal-associated habitat")</f>
        <v>0</v>
      </c>
      <c r="E219" s="2">
        <f>IF(B219="", "", "missing: not provided")</f>
        <v>0</v>
      </c>
      <c r="F219" s="1">
        <f>IF(B219="", "", "weeks")</f>
        <v>0</v>
      </c>
      <c r="G219" s="1">
        <f>IF(B219="", "", "mouse")</f>
        <v>0</v>
      </c>
      <c r="H219" s="1">
        <f>IF(B219="", "", "Mus musculus")</f>
        <v>0</v>
      </c>
      <c r="I219" s="1">
        <f>IF(B219="", "", "10090")</f>
        <v>0</v>
      </c>
      <c r="J219" s="2">
        <f>IF(B219="", "", "missing: not provided")</f>
        <v>0</v>
      </c>
      <c r="K219" s="1">
        <f>IF(B219="", "", "g")</f>
        <v>0</v>
      </c>
    </row>
    <row r="220" spans="1:11">
      <c r="A220">
        <f>IF(COUNTBLANK(B220:K220)&lt;&gt;COLUMNS(B220:K220),219,"")</f>
        <v>0</v>
      </c>
      <c r="C220" s="1">
        <f>IF(B220="", "", "urban biome")</f>
        <v>0</v>
      </c>
      <c r="D220" s="1">
        <f>IF(B220="", "", "animal-associated habitat")</f>
        <v>0</v>
      </c>
      <c r="E220" s="2">
        <f>IF(B220="", "", "missing: not provided")</f>
        <v>0</v>
      </c>
      <c r="F220" s="1">
        <f>IF(B220="", "", "weeks")</f>
        <v>0</v>
      </c>
      <c r="G220" s="1">
        <f>IF(B220="", "", "mouse")</f>
        <v>0</v>
      </c>
      <c r="H220" s="1">
        <f>IF(B220="", "", "Mus musculus")</f>
        <v>0</v>
      </c>
      <c r="I220" s="1">
        <f>IF(B220="", "", "10090")</f>
        <v>0</v>
      </c>
      <c r="J220" s="2">
        <f>IF(B220="", "", "missing: not provided")</f>
        <v>0</v>
      </c>
      <c r="K220" s="1">
        <f>IF(B220="", "", "g")</f>
        <v>0</v>
      </c>
    </row>
    <row r="221" spans="1:11">
      <c r="A221">
        <f>IF(COUNTBLANK(B221:K221)&lt;&gt;COLUMNS(B221:K221),220,"")</f>
        <v>0</v>
      </c>
      <c r="C221" s="1">
        <f>IF(B221="", "", "urban biome")</f>
        <v>0</v>
      </c>
      <c r="D221" s="1">
        <f>IF(B221="", "", "animal-associated habitat")</f>
        <v>0</v>
      </c>
      <c r="E221" s="2">
        <f>IF(B221="", "", "missing: not provided")</f>
        <v>0</v>
      </c>
      <c r="F221" s="1">
        <f>IF(B221="", "", "weeks")</f>
        <v>0</v>
      </c>
      <c r="G221" s="1">
        <f>IF(B221="", "", "mouse")</f>
        <v>0</v>
      </c>
      <c r="H221" s="1">
        <f>IF(B221="", "", "Mus musculus")</f>
        <v>0</v>
      </c>
      <c r="I221" s="1">
        <f>IF(B221="", "", "10090")</f>
        <v>0</v>
      </c>
      <c r="J221" s="2">
        <f>IF(B221="", "", "missing: not provided")</f>
        <v>0</v>
      </c>
      <c r="K221" s="1">
        <f>IF(B221="", "", "g")</f>
        <v>0</v>
      </c>
    </row>
    <row r="222" spans="1:11">
      <c r="A222">
        <f>IF(COUNTBLANK(B222:K222)&lt;&gt;COLUMNS(B222:K222),221,"")</f>
        <v>0</v>
      </c>
      <c r="C222" s="1">
        <f>IF(B222="", "", "urban biome")</f>
        <v>0</v>
      </c>
      <c r="D222" s="1">
        <f>IF(B222="", "", "animal-associated habitat")</f>
        <v>0</v>
      </c>
      <c r="E222" s="2">
        <f>IF(B222="", "", "missing: not provided")</f>
        <v>0</v>
      </c>
      <c r="F222" s="1">
        <f>IF(B222="", "", "weeks")</f>
        <v>0</v>
      </c>
      <c r="G222" s="1">
        <f>IF(B222="", "", "mouse")</f>
        <v>0</v>
      </c>
      <c r="H222" s="1">
        <f>IF(B222="", "", "Mus musculus")</f>
        <v>0</v>
      </c>
      <c r="I222" s="1">
        <f>IF(B222="", "", "10090")</f>
        <v>0</v>
      </c>
      <c r="J222" s="2">
        <f>IF(B222="", "", "missing: not provided")</f>
        <v>0</v>
      </c>
      <c r="K222" s="1">
        <f>IF(B222="", "", "g")</f>
        <v>0</v>
      </c>
    </row>
    <row r="223" spans="1:11">
      <c r="A223">
        <f>IF(COUNTBLANK(B223:K223)&lt;&gt;COLUMNS(B223:K223),222,"")</f>
        <v>0</v>
      </c>
      <c r="C223" s="1">
        <f>IF(B223="", "", "urban biome")</f>
        <v>0</v>
      </c>
      <c r="D223" s="1">
        <f>IF(B223="", "", "animal-associated habitat")</f>
        <v>0</v>
      </c>
      <c r="E223" s="2">
        <f>IF(B223="", "", "missing: not provided")</f>
        <v>0</v>
      </c>
      <c r="F223" s="1">
        <f>IF(B223="", "", "weeks")</f>
        <v>0</v>
      </c>
      <c r="G223" s="1">
        <f>IF(B223="", "", "mouse")</f>
        <v>0</v>
      </c>
      <c r="H223" s="1">
        <f>IF(B223="", "", "Mus musculus")</f>
        <v>0</v>
      </c>
      <c r="I223" s="1">
        <f>IF(B223="", "", "10090")</f>
        <v>0</v>
      </c>
      <c r="J223" s="2">
        <f>IF(B223="", "", "missing: not provided")</f>
        <v>0</v>
      </c>
      <c r="K223" s="1">
        <f>IF(B223="", "", "g")</f>
        <v>0</v>
      </c>
    </row>
    <row r="224" spans="1:11">
      <c r="A224">
        <f>IF(COUNTBLANK(B224:K224)&lt;&gt;COLUMNS(B224:K224),223,"")</f>
        <v>0</v>
      </c>
      <c r="C224" s="1">
        <f>IF(B224="", "", "urban biome")</f>
        <v>0</v>
      </c>
      <c r="D224" s="1">
        <f>IF(B224="", "", "animal-associated habitat")</f>
        <v>0</v>
      </c>
      <c r="E224" s="2">
        <f>IF(B224="", "", "missing: not provided")</f>
        <v>0</v>
      </c>
      <c r="F224" s="1">
        <f>IF(B224="", "", "weeks")</f>
        <v>0</v>
      </c>
      <c r="G224" s="1">
        <f>IF(B224="", "", "mouse")</f>
        <v>0</v>
      </c>
      <c r="H224" s="1">
        <f>IF(B224="", "", "Mus musculus")</f>
        <v>0</v>
      </c>
      <c r="I224" s="1">
        <f>IF(B224="", "", "10090")</f>
        <v>0</v>
      </c>
      <c r="J224" s="2">
        <f>IF(B224="", "", "missing: not provided")</f>
        <v>0</v>
      </c>
      <c r="K224" s="1">
        <f>IF(B224="", "", "g")</f>
        <v>0</v>
      </c>
    </row>
    <row r="225" spans="1:11">
      <c r="A225">
        <f>IF(COUNTBLANK(B225:K225)&lt;&gt;COLUMNS(B225:K225),224,"")</f>
        <v>0</v>
      </c>
      <c r="C225" s="1">
        <f>IF(B225="", "", "urban biome")</f>
        <v>0</v>
      </c>
      <c r="D225" s="1">
        <f>IF(B225="", "", "animal-associated habitat")</f>
        <v>0</v>
      </c>
      <c r="E225" s="2">
        <f>IF(B225="", "", "missing: not provided")</f>
        <v>0</v>
      </c>
      <c r="F225" s="1">
        <f>IF(B225="", "", "weeks")</f>
        <v>0</v>
      </c>
      <c r="G225" s="1">
        <f>IF(B225="", "", "mouse")</f>
        <v>0</v>
      </c>
      <c r="H225" s="1">
        <f>IF(B225="", "", "Mus musculus")</f>
        <v>0</v>
      </c>
      <c r="I225" s="1">
        <f>IF(B225="", "", "10090")</f>
        <v>0</v>
      </c>
      <c r="J225" s="2">
        <f>IF(B225="", "", "missing: not provided")</f>
        <v>0</v>
      </c>
      <c r="K225" s="1">
        <f>IF(B225="", "", "g")</f>
        <v>0</v>
      </c>
    </row>
    <row r="226" spans="1:11">
      <c r="A226">
        <f>IF(COUNTBLANK(B226:K226)&lt;&gt;COLUMNS(B226:K226),225,"")</f>
        <v>0</v>
      </c>
      <c r="C226" s="1">
        <f>IF(B226="", "", "urban biome")</f>
        <v>0</v>
      </c>
      <c r="D226" s="1">
        <f>IF(B226="", "", "animal-associated habitat")</f>
        <v>0</v>
      </c>
      <c r="E226" s="2">
        <f>IF(B226="", "", "missing: not provided")</f>
        <v>0</v>
      </c>
      <c r="F226" s="1">
        <f>IF(B226="", "", "weeks")</f>
        <v>0</v>
      </c>
      <c r="G226" s="1">
        <f>IF(B226="", "", "mouse")</f>
        <v>0</v>
      </c>
      <c r="H226" s="1">
        <f>IF(B226="", "", "Mus musculus")</f>
        <v>0</v>
      </c>
      <c r="I226" s="1">
        <f>IF(B226="", "", "10090")</f>
        <v>0</v>
      </c>
      <c r="J226" s="2">
        <f>IF(B226="", "", "missing: not provided")</f>
        <v>0</v>
      </c>
      <c r="K226" s="1">
        <f>IF(B226="", "", "g")</f>
        <v>0</v>
      </c>
    </row>
    <row r="227" spans="1:11">
      <c r="A227">
        <f>IF(COUNTBLANK(B227:K227)&lt;&gt;COLUMNS(B227:K227),226,"")</f>
        <v>0</v>
      </c>
      <c r="C227" s="1">
        <f>IF(B227="", "", "urban biome")</f>
        <v>0</v>
      </c>
      <c r="D227" s="1">
        <f>IF(B227="", "", "animal-associated habitat")</f>
        <v>0</v>
      </c>
      <c r="E227" s="2">
        <f>IF(B227="", "", "missing: not provided")</f>
        <v>0</v>
      </c>
      <c r="F227" s="1">
        <f>IF(B227="", "", "weeks")</f>
        <v>0</v>
      </c>
      <c r="G227" s="1">
        <f>IF(B227="", "", "mouse")</f>
        <v>0</v>
      </c>
      <c r="H227" s="1">
        <f>IF(B227="", "", "Mus musculus")</f>
        <v>0</v>
      </c>
      <c r="I227" s="1">
        <f>IF(B227="", "", "10090")</f>
        <v>0</v>
      </c>
      <c r="J227" s="2">
        <f>IF(B227="", "", "missing: not provided")</f>
        <v>0</v>
      </c>
      <c r="K227" s="1">
        <f>IF(B227="", "", "g")</f>
        <v>0</v>
      </c>
    </row>
    <row r="228" spans="1:11">
      <c r="A228">
        <f>IF(COUNTBLANK(B228:K228)&lt;&gt;COLUMNS(B228:K228),227,"")</f>
        <v>0</v>
      </c>
      <c r="C228" s="1">
        <f>IF(B228="", "", "urban biome")</f>
        <v>0</v>
      </c>
      <c r="D228" s="1">
        <f>IF(B228="", "", "animal-associated habitat")</f>
        <v>0</v>
      </c>
      <c r="E228" s="2">
        <f>IF(B228="", "", "missing: not provided")</f>
        <v>0</v>
      </c>
      <c r="F228" s="1">
        <f>IF(B228="", "", "weeks")</f>
        <v>0</v>
      </c>
      <c r="G228" s="1">
        <f>IF(B228="", "", "mouse")</f>
        <v>0</v>
      </c>
      <c r="H228" s="1">
        <f>IF(B228="", "", "Mus musculus")</f>
        <v>0</v>
      </c>
      <c r="I228" s="1">
        <f>IF(B228="", "", "10090")</f>
        <v>0</v>
      </c>
      <c r="J228" s="2">
        <f>IF(B228="", "", "missing: not provided")</f>
        <v>0</v>
      </c>
      <c r="K228" s="1">
        <f>IF(B228="", "", "g")</f>
        <v>0</v>
      </c>
    </row>
    <row r="229" spans="1:11">
      <c r="A229">
        <f>IF(COUNTBLANK(B229:K229)&lt;&gt;COLUMNS(B229:K229),228,"")</f>
        <v>0</v>
      </c>
      <c r="C229" s="1">
        <f>IF(B229="", "", "urban biome")</f>
        <v>0</v>
      </c>
      <c r="D229" s="1">
        <f>IF(B229="", "", "animal-associated habitat")</f>
        <v>0</v>
      </c>
      <c r="E229" s="2">
        <f>IF(B229="", "", "missing: not provided")</f>
        <v>0</v>
      </c>
      <c r="F229" s="1">
        <f>IF(B229="", "", "weeks")</f>
        <v>0</v>
      </c>
      <c r="G229" s="1">
        <f>IF(B229="", "", "mouse")</f>
        <v>0</v>
      </c>
      <c r="H229" s="1">
        <f>IF(B229="", "", "Mus musculus")</f>
        <v>0</v>
      </c>
      <c r="I229" s="1">
        <f>IF(B229="", "", "10090")</f>
        <v>0</v>
      </c>
      <c r="J229" s="2">
        <f>IF(B229="", "", "missing: not provided")</f>
        <v>0</v>
      </c>
      <c r="K229" s="1">
        <f>IF(B229="", "", "g")</f>
        <v>0</v>
      </c>
    </row>
    <row r="230" spans="1:11">
      <c r="A230">
        <f>IF(COUNTBLANK(B230:K230)&lt;&gt;COLUMNS(B230:K230),229,"")</f>
        <v>0</v>
      </c>
      <c r="C230" s="1">
        <f>IF(B230="", "", "urban biome")</f>
        <v>0</v>
      </c>
      <c r="D230" s="1">
        <f>IF(B230="", "", "animal-associated habitat")</f>
        <v>0</v>
      </c>
      <c r="E230" s="2">
        <f>IF(B230="", "", "missing: not provided")</f>
        <v>0</v>
      </c>
      <c r="F230" s="1">
        <f>IF(B230="", "", "weeks")</f>
        <v>0</v>
      </c>
      <c r="G230" s="1">
        <f>IF(B230="", "", "mouse")</f>
        <v>0</v>
      </c>
      <c r="H230" s="1">
        <f>IF(B230="", "", "Mus musculus")</f>
        <v>0</v>
      </c>
      <c r="I230" s="1">
        <f>IF(B230="", "", "10090")</f>
        <v>0</v>
      </c>
      <c r="J230" s="2">
        <f>IF(B230="", "", "missing: not provided")</f>
        <v>0</v>
      </c>
      <c r="K230" s="1">
        <f>IF(B230="", "", "g")</f>
        <v>0</v>
      </c>
    </row>
    <row r="231" spans="1:11">
      <c r="A231">
        <f>IF(COUNTBLANK(B231:K231)&lt;&gt;COLUMNS(B231:K231),230,"")</f>
        <v>0</v>
      </c>
      <c r="C231" s="1">
        <f>IF(B231="", "", "urban biome")</f>
        <v>0</v>
      </c>
      <c r="D231" s="1">
        <f>IF(B231="", "", "animal-associated habitat")</f>
        <v>0</v>
      </c>
      <c r="E231" s="2">
        <f>IF(B231="", "", "missing: not provided")</f>
        <v>0</v>
      </c>
      <c r="F231" s="1">
        <f>IF(B231="", "", "weeks")</f>
        <v>0</v>
      </c>
      <c r="G231" s="1">
        <f>IF(B231="", "", "mouse")</f>
        <v>0</v>
      </c>
      <c r="H231" s="1">
        <f>IF(B231="", "", "Mus musculus")</f>
        <v>0</v>
      </c>
      <c r="I231" s="1">
        <f>IF(B231="", "", "10090")</f>
        <v>0</v>
      </c>
      <c r="J231" s="2">
        <f>IF(B231="", "", "missing: not provided")</f>
        <v>0</v>
      </c>
      <c r="K231" s="1">
        <f>IF(B231="", "", "g")</f>
        <v>0</v>
      </c>
    </row>
    <row r="232" spans="1:11">
      <c r="A232">
        <f>IF(COUNTBLANK(B232:K232)&lt;&gt;COLUMNS(B232:K232),231,"")</f>
        <v>0</v>
      </c>
      <c r="C232" s="1">
        <f>IF(B232="", "", "urban biome")</f>
        <v>0</v>
      </c>
      <c r="D232" s="1">
        <f>IF(B232="", "", "animal-associated habitat")</f>
        <v>0</v>
      </c>
      <c r="E232" s="2">
        <f>IF(B232="", "", "missing: not provided")</f>
        <v>0</v>
      </c>
      <c r="F232" s="1">
        <f>IF(B232="", "", "weeks")</f>
        <v>0</v>
      </c>
      <c r="G232" s="1">
        <f>IF(B232="", "", "mouse")</f>
        <v>0</v>
      </c>
      <c r="H232" s="1">
        <f>IF(B232="", "", "Mus musculus")</f>
        <v>0</v>
      </c>
      <c r="I232" s="1">
        <f>IF(B232="", "", "10090")</f>
        <v>0</v>
      </c>
      <c r="J232" s="2">
        <f>IF(B232="", "", "missing: not provided")</f>
        <v>0</v>
      </c>
      <c r="K232" s="1">
        <f>IF(B232="", "", "g")</f>
        <v>0</v>
      </c>
    </row>
    <row r="233" spans="1:11">
      <c r="A233">
        <f>IF(COUNTBLANK(B233:K233)&lt;&gt;COLUMNS(B233:K233),232,"")</f>
        <v>0</v>
      </c>
      <c r="C233" s="1">
        <f>IF(B233="", "", "urban biome")</f>
        <v>0</v>
      </c>
      <c r="D233" s="1">
        <f>IF(B233="", "", "animal-associated habitat")</f>
        <v>0</v>
      </c>
      <c r="E233" s="2">
        <f>IF(B233="", "", "missing: not provided")</f>
        <v>0</v>
      </c>
      <c r="F233" s="1">
        <f>IF(B233="", "", "weeks")</f>
        <v>0</v>
      </c>
      <c r="G233" s="1">
        <f>IF(B233="", "", "mouse")</f>
        <v>0</v>
      </c>
      <c r="H233" s="1">
        <f>IF(B233="", "", "Mus musculus")</f>
        <v>0</v>
      </c>
      <c r="I233" s="1">
        <f>IF(B233="", "", "10090")</f>
        <v>0</v>
      </c>
      <c r="J233" s="2">
        <f>IF(B233="", "", "missing: not provided")</f>
        <v>0</v>
      </c>
      <c r="K233" s="1">
        <f>IF(B233="", "", "g")</f>
        <v>0</v>
      </c>
    </row>
    <row r="234" spans="1:11">
      <c r="A234">
        <f>IF(COUNTBLANK(B234:K234)&lt;&gt;COLUMNS(B234:K234),233,"")</f>
        <v>0</v>
      </c>
      <c r="C234" s="1">
        <f>IF(B234="", "", "urban biome")</f>
        <v>0</v>
      </c>
      <c r="D234" s="1">
        <f>IF(B234="", "", "animal-associated habitat")</f>
        <v>0</v>
      </c>
      <c r="E234" s="2">
        <f>IF(B234="", "", "missing: not provided")</f>
        <v>0</v>
      </c>
      <c r="F234" s="1">
        <f>IF(B234="", "", "weeks")</f>
        <v>0</v>
      </c>
      <c r="G234" s="1">
        <f>IF(B234="", "", "mouse")</f>
        <v>0</v>
      </c>
      <c r="H234" s="1">
        <f>IF(B234="", "", "Mus musculus")</f>
        <v>0</v>
      </c>
      <c r="I234" s="1">
        <f>IF(B234="", "", "10090")</f>
        <v>0</v>
      </c>
      <c r="J234" s="2">
        <f>IF(B234="", "", "missing: not provided")</f>
        <v>0</v>
      </c>
      <c r="K234" s="1">
        <f>IF(B234="", "", "g")</f>
        <v>0</v>
      </c>
    </row>
    <row r="235" spans="1:11">
      <c r="A235">
        <f>IF(COUNTBLANK(B235:K235)&lt;&gt;COLUMNS(B235:K235),234,"")</f>
        <v>0</v>
      </c>
      <c r="C235" s="1">
        <f>IF(B235="", "", "urban biome")</f>
        <v>0</v>
      </c>
      <c r="D235" s="1">
        <f>IF(B235="", "", "animal-associated habitat")</f>
        <v>0</v>
      </c>
      <c r="E235" s="2">
        <f>IF(B235="", "", "missing: not provided")</f>
        <v>0</v>
      </c>
      <c r="F235" s="1">
        <f>IF(B235="", "", "weeks")</f>
        <v>0</v>
      </c>
      <c r="G235" s="1">
        <f>IF(B235="", "", "mouse")</f>
        <v>0</v>
      </c>
      <c r="H235" s="1">
        <f>IF(B235="", "", "Mus musculus")</f>
        <v>0</v>
      </c>
      <c r="I235" s="1">
        <f>IF(B235="", "", "10090")</f>
        <v>0</v>
      </c>
      <c r="J235" s="2">
        <f>IF(B235="", "", "missing: not provided")</f>
        <v>0</v>
      </c>
      <c r="K235" s="1">
        <f>IF(B235="", "", "g")</f>
        <v>0</v>
      </c>
    </row>
    <row r="236" spans="1:11">
      <c r="A236">
        <f>IF(COUNTBLANK(B236:K236)&lt;&gt;COLUMNS(B236:K236),235,"")</f>
        <v>0</v>
      </c>
      <c r="C236" s="1">
        <f>IF(B236="", "", "urban biome")</f>
        <v>0</v>
      </c>
      <c r="D236" s="1">
        <f>IF(B236="", "", "animal-associated habitat")</f>
        <v>0</v>
      </c>
      <c r="E236" s="2">
        <f>IF(B236="", "", "missing: not provided")</f>
        <v>0</v>
      </c>
      <c r="F236" s="1">
        <f>IF(B236="", "", "weeks")</f>
        <v>0</v>
      </c>
      <c r="G236" s="1">
        <f>IF(B236="", "", "mouse")</f>
        <v>0</v>
      </c>
      <c r="H236" s="1">
        <f>IF(B236="", "", "Mus musculus")</f>
        <v>0</v>
      </c>
      <c r="I236" s="1">
        <f>IF(B236="", "", "10090")</f>
        <v>0</v>
      </c>
      <c r="J236" s="2">
        <f>IF(B236="", "", "missing: not provided")</f>
        <v>0</v>
      </c>
      <c r="K236" s="1">
        <f>IF(B236="", "", "g")</f>
        <v>0</v>
      </c>
    </row>
    <row r="237" spans="1:11">
      <c r="A237">
        <f>IF(COUNTBLANK(B237:K237)&lt;&gt;COLUMNS(B237:K237),236,"")</f>
        <v>0</v>
      </c>
      <c r="C237" s="1">
        <f>IF(B237="", "", "urban biome")</f>
        <v>0</v>
      </c>
      <c r="D237" s="1">
        <f>IF(B237="", "", "animal-associated habitat")</f>
        <v>0</v>
      </c>
      <c r="E237" s="2">
        <f>IF(B237="", "", "missing: not provided")</f>
        <v>0</v>
      </c>
      <c r="F237" s="1">
        <f>IF(B237="", "", "weeks")</f>
        <v>0</v>
      </c>
      <c r="G237" s="1">
        <f>IF(B237="", "", "mouse")</f>
        <v>0</v>
      </c>
      <c r="H237" s="1">
        <f>IF(B237="", "", "Mus musculus")</f>
        <v>0</v>
      </c>
      <c r="I237" s="1">
        <f>IF(B237="", "", "10090")</f>
        <v>0</v>
      </c>
      <c r="J237" s="2">
        <f>IF(B237="", "", "missing: not provided")</f>
        <v>0</v>
      </c>
      <c r="K237" s="1">
        <f>IF(B237="", "", "g")</f>
        <v>0</v>
      </c>
    </row>
    <row r="238" spans="1:11">
      <c r="A238">
        <f>IF(COUNTBLANK(B238:K238)&lt;&gt;COLUMNS(B238:K238),237,"")</f>
        <v>0</v>
      </c>
      <c r="C238" s="1">
        <f>IF(B238="", "", "urban biome")</f>
        <v>0</v>
      </c>
      <c r="D238" s="1">
        <f>IF(B238="", "", "animal-associated habitat")</f>
        <v>0</v>
      </c>
      <c r="E238" s="2">
        <f>IF(B238="", "", "missing: not provided")</f>
        <v>0</v>
      </c>
      <c r="F238" s="1">
        <f>IF(B238="", "", "weeks")</f>
        <v>0</v>
      </c>
      <c r="G238" s="1">
        <f>IF(B238="", "", "mouse")</f>
        <v>0</v>
      </c>
      <c r="H238" s="1">
        <f>IF(B238="", "", "Mus musculus")</f>
        <v>0</v>
      </c>
      <c r="I238" s="1">
        <f>IF(B238="", "", "10090")</f>
        <v>0</v>
      </c>
      <c r="J238" s="2">
        <f>IF(B238="", "", "missing: not provided")</f>
        <v>0</v>
      </c>
      <c r="K238" s="1">
        <f>IF(B238="", "", "g")</f>
        <v>0</v>
      </c>
    </row>
    <row r="239" spans="1:11">
      <c r="A239">
        <f>IF(COUNTBLANK(B239:K239)&lt;&gt;COLUMNS(B239:K239),238,"")</f>
        <v>0</v>
      </c>
      <c r="C239" s="1">
        <f>IF(B239="", "", "urban biome")</f>
        <v>0</v>
      </c>
      <c r="D239" s="1">
        <f>IF(B239="", "", "animal-associated habitat")</f>
        <v>0</v>
      </c>
      <c r="E239" s="2">
        <f>IF(B239="", "", "missing: not provided")</f>
        <v>0</v>
      </c>
      <c r="F239" s="1">
        <f>IF(B239="", "", "weeks")</f>
        <v>0</v>
      </c>
      <c r="G239" s="1">
        <f>IF(B239="", "", "mouse")</f>
        <v>0</v>
      </c>
      <c r="H239" s="1">
        <f>IF(B239="", "", "Mus musculus")</f>
        <v>0</v>
      </c>
      <c r="I239" s="1">
        <f>IF(B239="", "", "10090")</f>
        <v>0</v>
      </c>
      <c r="J239" s="2">
        <f>IF(B239="", "", "missing: not provided")</f>
        <v>0</v>
      </c>
      <c r="K239" s="1">
        <f>IF(B239="", "", "g")</f>
        <v>0</v>
      </c>
    </row>
    <row r="240" spans="1:11">
      <c r="A240">
        <f>IF(COUNTBLANK(B240:K240)&lt;&gt;COLUMNS(B240:K240),239,"")</f>
        <v>0</v>
      </c>
      <c r="C240" s="1">
        <f>IF(B240="", "", "urban biome")</f>
        <v>0</v>
      </c>
      <c r="D240" s="1">
        <f>IF(B240="", "", "animal-associated habitat")</f>
        <v>0</v>
      </c>
      <c r="E240" s="2">
        <f>IF(B240="", "", "missing: not provided")</f>
        <v>0</v>
      </c>
      <c r="F240" s="1">
        <f>IF(B240="", "", "weeks")</f>
        <v>0</v>
      </c>
      <c r="G240" s="1">
        <f>IF(B240="", "", "mouse")</f>
        <v>0</v>
      </c>
      <c r="H240" s="1">
        <f>IF(B240="", "", "Mus musculus")</f>
        <v>0</v>
      </c>
      <c r="I240" s="1">
        <f>IF(B240="", "", "10090")</f>
        <v>0</v>
      </c>
      <c r="J240" s="2">
        <f>IF(B240="", "", "missing: not provided")</f>
        <v>0</v>
      </c>
      <c r="K240" s="1">
        <f>IF(B240="", "", "g")</f>
        <v>0</v>
      </c>
    </row>
    <row r="241" spans="1:11">
      <c r="A241">
        <f>IF(COUNTBLANK(B241:K241)&lt;&gt;COLUMNS(B241:K241),240,"")</f>
        <v>0</v>
      </c>
      <c r="C241" s="1">
        <f>IF(B241="", "", "urban biome")</f>
        <v>0</v>
      </c>
      <c r="D241" s="1">
        <f>IF(B241="", "", "animal-associated habitat")</f>
        <v>0</v>
      </c>
      <c r="E241" s="2">
        <f>IF(B241="", "", "missing: not provided")</f>
        <v>0</v>
      </c>
      <c r="F241" s="1">
        <f>IF(B241="", "", "weeks")</f>
        <v>0</v>
      </c>
      <c r="G241" s="1">
        <f>IF(B241="", "", "mouse")</f>
        <v>0</v>
      </c>
      <c r="H241" s="1">
        <f>IF(B241="", "", "Mus musculus")</f>
        <v>0</v>
      </c>
      <c r="I241" s="1">
        <f>IF(B241="", "", "10090")</f>
        <v>0</v>
      </c>
      <c r="J241" s="2">
        <f>IF(B241="", "", "missing: not provided")</f>
        <v>0</v>
      </c>
      <c r="K241" s="1">
        <f>IF(B241="", "", "g")</f>
        <v>0</v>
      </c>
    </row>
    <row r="242" spans="1:11">
      <c r="A242">
        <f>IF(COUNTBLANK(B242:K242)&lt;&gt;COLUMNS(B242:K242),241,"")</f>
        <v>0</v>
      </c>
      <c r="C242" s="1">
        <f>IF(B242="", "", "urban biome")</f>
        <v>0</v>
      </c>
      <c r="D242" s="1">
        <f>IF(B242="", "", "animal-associated habitat")</f>
        <v>0</v>
      </c>
      <c r="E242" s="2">
        <f>IF(B242="", "", "missing: not provided")</f>
        <v>0</v>
      </c>
      <c r="F242" s="1">
        <f>IF(B242="", "", "weeks")</f>
        <v>0</v>
      </c>
      <c r="G242" s="1">
        <f>IF(B242="", "", "mouse")</f>
        <v>0</v>
      </c>
      <c r="H242" s="1">
        <f>IF(B242="", "", "Mus musculus")</f>
        <v>0</v>
      </c>
      <c r="I242" s="1">
        <f>IF(B242="", "", "10090")</f>
        <v>0</v>
      </c>
      <c r="J242" s="2">
        <f>IF(B242="", "", "missing: not provided")</f>
        <v>0</v>
      </c>
      <c r="K242" s="1">
        <f>IF(B242="", "", "g")</f>
        <v>0</v>
      </c>
    </row>
    <row r="243" spans="1:11">
      <c r="A243">
        <f>IF(COUNTBLANK(B243:K243)&lt;&gt;COLUMNS(B243:K243),242,"")</f>
        <v>0</v>
      </c>
      <c r="C243" s="1">
        <f>IF(B243="", "", "urban biome")</f>
        <v>0</v>
      </c>
      <c r="D243" s="1">
        <f>IF(B243="", "", "animal-associated habitat")</f>
        <v>0</v>
      </c>
      <c r="E243" s="2">
        <f>IF(B243="", "", "missing: not provided")</f>
        <v>0</v>
      </c>
      <c r="F243" s="1">
        <f>IF(B243="", "", "weeks")</f>
        <v>0</v>
      </c>
      <c r="G243" s="1">
        <f>IF(B243="", "", "mouse")</f>
        <v>0</v>
      </c>
      <c r="H243" s="1">
        <f>IF(B243="", "", "Mus musculus")</f>
        <v>0</v>
      </c>
      <c r="I243" s="1">
        <f>IF(B243="", "", "10090")</f>
        <v>0</v>
      </c>
      <c r="J243" s="2">
        <f>IF(B243="", "", "missing: not provided")</f>
        <v>0</v>
      </c>
      <c r="K243" s="1">
        <f>IF(B243="", "", "g")</f>
        <v>0</v>
      </c>
    </row>
    <row r="244" spans="1:11">
      <c r="A244">
        <f>IF(COUNTBLANK(B244:K244)&lt;&gt;COLUMNS(B244:K244),243,"")</f>
        <v>0</v>
      </c>
      <c r="C244" s="1">
        <f>IF(B244="", "", "urban biome")</f>
        <v>0</v>
      </c>
      <c r="D244" s="1">
        <f>IF(B244="", "", "animal-associated habitat")</f>
        <v>0</v>
      </c>
      <c r="E244" s="2">
        <f>IF(B244="", "", "missing: not provided")</f>
        <v>0</v>
      </c>
      <c r="F244" s="1">
        <f>IF(B244="", "", "weeks")</f>
        <v>0</v>
      </c>
      <c r="G244" s="1">
        <f>IF(B244="", "", "mouse")</f>
        <v>0</v>
      </c>
      <c r="H244" s="1">
        <f>IF(B244="", "", "Mus musculus")</f>
        <v>0</v>
      </c>
      <c r="I244" s="1">
        <f>IF(B244="", "", "10090")</f>
        <v>0</v>
      </c>
      <c r="J244" s="2">
        <f>IF(B244="", "", "missing: not provided")</f>
        <v>0</v>
      </c>
      <c r="K244" s="1">
        <f>IF(B244="", "", "g")</f>
        <v>0</v>
      </c>
    </row>
    <row r="245" spans="1:11">
      <c r="A245">
        <f>IF(COUNTBLANK(B245:K245)&lt;&gt;COLUMNS(B245:K245),244,"")</f>
        <v>0</v>
      </c>
      <c r="C245" s="1">
        <f>IF(B245="", "", "urban biome")</f>
        <v>0</v>
      </c>
      <c r="D245" s="1">
        <f>IF(B245="", "", "animal-associated habitat")</f>
        <v>0</v>
      </c>
      <c r="E245" s="2">
        <f>IF(B245="", "", "missing: not provided")</f>
        <v>0</v>
      </c>
      <c r="F245" s="1">
        <f>IF(B245="", "", "weeks")</f>
        <v>0</v>
      </c>
      <c r="G245" s="1">
        <f>IF(B245="", "", "mouse")</f>
        <v>0</v>
      </c>
      <c r="H245" s="1">
        <f>IF(B245="", "", "Mus musculus")</f>
        <v>0</v>
      </c>
      <c r="I245" s="1">
        <f>IF(B245="", "", "10090")</f>
        <v>0</v>
      </c>
      <c r="J245" s="2">
        <f>IF(B245="", "", "missing: not provided")</f>
        <v>0</v>
      </c>
      <c r="K245" s="1">
        <f>IF(B245="", "", "g")</f>
        <v>0</v>
      </c>
    </row>
    <row r="246" spans="1:11">
      <c r="A246">
        <f>IF(COUNTBLANK(B246:K246)&lt;&gt;COLUMNS(B246:K246),245,"")</f>
        <v>0</v>
      </c>
      <c r="C246" s="1">
        <f>IF(B246="", "", "urban biome")</f>
        <v>0</v>
      </c>
      <c r="D246" s="1">
        <f>IF(B246="", "", "animal-associated habitat")</f>
        <v>0</v>
      </c>
      <c r="E246" s="2">
        <f>IF(B246="", "", "missing: not provided")</f>
        <v>0</v>
      </c>
      <c r="F246" s="1">
        <f>IF(B246="", "", "weeks")</f>
        <v>0</v>
      </c>
      <c r="G246" s="1">
        <f>IF(B246="", "", "mouse")</f>
        <v>0</v>
      </c>
      <c r="H246" s="1">
        <f>IF(B246="", "", "Mus musculus")</f>
        <v>0</v>
      </c>
      <c r="I246" s="1">
        <f>IF(B246="", "", "10090")</f>
        <v>0</v>
      </c>
      <c r="J246" s="2">
        <f>IF(B246="", "", "missing: not provided")</f>
        <v>0</v>
      </c>
      <c r="K246" s="1">
        <f>IF(B246="", "", "g")</f>
        <v>0</v>
      </c>
    </row>
    <row r="247" spans="1:11">
      <c r="A247">
        <f>IF(COUNTBLANK(B247:K247)&lt;&gt;COLUMNS(B247:K247),246,"")</f>
        <v>0</v>
      </c>
      <c r="C247" s="1">
        <f>IF(B247="", "", "urban biome")</f>
        <v>0</v>
      </c>
      <c r="D247" s="1">
        <f>IF(B247="", "", "animal-associated habitat")</f>
        <v>0</v>
      </c>
      <c r="E247" s="2">
        <f>IF(B247="", "", "missing: not provided")</f>
        <v>0</v>
      </c>
      <c r="F247" s="1">
        <f>IF(B247="", "", "weeks")</f>
        <v>0</v>
      </c>
      <c r="G247" s="1">
        <f>IF(B247="", "", "mouse")</f>
        <v>0</v>
      </c>
      <c r="H247" s="1">
        <f>IF(B247="", "", "Mus musculus")</f>
        <v>0</v>
      </c>
      <c r="I247" s="1">
        <f>IF(B247="", "", "10090")</f>
        <v>0</v>
      </c>
      <c r="J247" s="2">
        <f>IF(B247="", "", "missing: not provided")</f>
        <v>0</v>
      </c>
      <c r="K247" s="1">
        <f>IF(B247="", "", "g")</f>
        <v>0</v>
      </c>
    </row>
    <row r="248" spans="1:11">
      <c r="A248">
        <f>IF(COUNTBLANK(B248:K248)&lt;&gt;COLUMNS(B248:K248),247,"")</f>
        <v>0</v>
      </c>
      <c r="C248" s="1">
        <f>IF(B248="", "", "urban biome")</f>
        <v>0</v>
      </c>
      <c r="D248" s="1">
        <f>IF(B248="", "", "animal-associated habitat")</f>
        <v>0</v>
      </c>
      <c r="E248" s="2">
        <f>IF(B248="", "", "missing: not provided")</f>
        <v>0</v>
      </c>
      <c r="F248" s="1">
        <f>IF(B248="", "", "weeks")</f>
        <v>0</v>
      </c>
      <c r="G248" s="1">
        <f>IF(B248="", "", "mouse")</f>
        <v>0</v>
      </c>
      <c r="H248" s="1">
        <f>IF(B248="", "", "Mus musculus")</f>
        <v>0</v>
      </c>
      <c r="I248" s="1">
        <f>IF(B248="", "", "10090")</f>
        <v>0</v>
      </c>
      <c r="J248" s="2">
        <f>IF(B248="", "", "missing: not provided")</f>
        <v>0</v>
      </c>
      <c r="K248" s="1">
        <f>IF(B248="", "", "g")</f>
        <v>0</v>
      </c>
    </row>
    <row r="249" spans="1:11">
      <c r="A249">
        <f>IF(COUNTBLANK(B249:K249)&lt;&gt;COLUMNS(B249:K249),248,"")</f>
        <v>0</v>
      </c>
      <c r="C249" s="1">
        <f>IF(B249="", "", "urban biome")</f>
        <v>0</v>
      </c>
      <c r="D249" s="1">
        <f>IF(B249="", "", "animal-associated habitat")</f>
        <v>0</v>
      </c>
      <c r="E249" s="2">
        <f>IF(B249="", "", "missing: not provided")</f>
        <v>0</v>
      </c>
      <c r="F249" s="1">
        <f>IF(B249="", "", "weeks")</f>
        <v>0</v>
      </c>
      <c r="G249" s="1">
        <f>IF(B249="", "", "mouse")</f>
        <v>0</v>
      </c>
      <c r="H249" s="1">
        <f>IF(B249="", "", "Mus musculus")</f>
        <v>0</v>
      </c>
      <c r="I249" s="1">
        <f>IF(B249="", "", "10090")</f>
        <v>0</v>
      </c>
      <c r="J249" s="2">
        <f>IF(B249="", "", "missing: not provided")</f>
        <v>0</v>
      </c>
      <c r="K249" s="1">
        <f>IF(B249="", "", "g")</f>
        <v>0</v>
      </c>
    </row>
    <row r="250" spans="1:11">
      <c r="A250">
        <f>IF(COUNTBLANK(B250:K250)&lt;&gt;COLUMNS(B250:K250),249,"")</f>
        <v>0</v>
      </c>
      <c r="C250" s="1">
        <f>IF(B250="", "", "urban biome")</f>
        <v>0</v>
      </c>
      <c r="D250" s="1">
        <f>IF(B250="", "", "animal-associated habitat")</f>
        <v>0</v>
      </c>
      <c r="E250" s="2">
        <f>IF(B250="", "", "missing: not provided")</f>
        <v>0</v>
      </c>
      <c r="F250" s="1">
        <f>IF(B250="", "", "weeks")</f>
        <v>0</v>
      </c>
      <c r="G250" s="1">
        <f>IF(B250="", "", "mouse")</f>
        <v>0</v>
      </c>
      <c r="H250" s="1">
        <f>IF(B250="", "", "Mus musculus")</f>
        <v>0</v>
      </c>
      <c r="I250" s="1">
        <f>IF(B250="", "", "10090")</f>
        <v>0</v>
      </c>
      <c r="J250" s="2">
        <f>IF(B250="", "", "missing: not provided")</f>
        <v>0</v>
      </c>
      <c r="K250" s="1">
        <f>IF(B250="", "", "g")</f>
        <v>0</v>
      </c>
    </row>
    <row r="251" spans="1:11">
      <c r="A251">
        <f>IF(COUNTBLANK(B251:K251)&lt;&gt;COLUMNS(B251:K251),250,"")</f>
        <v>0</v>
      </c>
      <c r="C251" s="1">
        <f>IF(B251="", "", "urban biome")</f>
        <v>0</v>
      </c>
      <c r="D251" s="1">
        <f>IF(B251="", "", "animal-associated habitat")</f>
        <v>0</v>
      </c>
      <c r="E251" s="2">
        <f>IF(B251="", "", "missing: not provided")</f>
        <v>0</v>
      </c>
      <c r="F251" s="1">
        <f>IF(B251="", "", "weeks")</f>
        <v>0</v>
      </c>
      <c r="G251" s="1">
        <f>IF(B251="", "", "mouse")</f>
        <v>0</v>
      </c>
      <c r="H251" s="1">
        <f>IF(B251="", "", "Mus musculus")</f>
        <v>0</v>
      </c>
      <c r="I251" s="1">
        <f>IF(B251="", "", "10090")</f>
        <v>0</v>
      </c>
      <c r="J251" s="2">
        <f>IF(B251="", "", "missing: not provided")</f>
        <v>0</v>
      </c>
      <c r="K251" s="1">
        <f>IF(B251="", "", "g")</f>
        <v>0</v>
      </c>
    </row>
    <row r="252" spans="1:11">
      <c r="A252">
        <f>IF(COUNTBLANK(B252:K252)&lt;&gt;COLUMNS(B252:K252),251,"")</f>
        <v>0</v>
      </c>
      <c r="C252" s="1">
        <f>IF(B252="", "", "urban biome")</f>
        <v>0</v>
      </c>
      <c r="D252" s="1">
        <f>IF(B252="", "", "animal-associated habitat")</f>
        <v>0</v>
      </c>
      <c r="E252" s="2">
        <f>IF(B252="", "", "missing: not provided")</f>
        <v>0</v>
      </c>
      <c r="F252" s="1">
        <f>IF(B252="", "", "weeks")</f>
        <v>0</v>
      </c>
      <c r="G252" s="1">
        <f>IF(B252="", "", "mouse")</f>
        <v>0</v>
      </c>
      <c r="H252" s="1">
        <f>IF(B252="", "", "Mus musculus")</f>
        <v>0</v>
      </c>
      <c r="I252" s="1">
        <f>IF(B252="", "", "10090")</f>
        <v>0</v>
      </c>
      <c r="J252" s="2">
        <f>IF(B252="", "", "missing: not provided")</f>
        <v>0</v>
      </c>
      <c r="K252" s="1">
        <f>IF(B252="", "", "g")</f>
        <v>0</v>
      </c>
    </row>
    <row r="253" spans="1:11">
      <c r="A253">
        <f>IF(COUNTBLANK(B253:K253)&lt;&gt;COLUMNS(B253:K253),252,"")</f>
        <v>0</v>
      </c>
      <c r="C253" s="1">
        <f>IF(B253="", "", "urban biome")</f>
        <v>0</v>
      </c>
      <c r="D253" s="1">
        <f>IF(B253="", "", "animal-associated habitat")</f>
        <v>0</v>
      </c>
      <c r="E253" s="2">
        <f>IF(B253="", "", "missing: not provided")</f>
        <v>0</v>
      </c>
      <c r="F253" s="1">
        <f>IF(B253="", "", "weeks")</f>
        <v>0</v>
      </c>
      <c r="G253" s="1">
        <f>IF(B253="", "", "mouse")</f>
        <v>0</v>
      </c>
      <c r="H253" s="1">
        <f>IF(B253="", "", "Mus musculus")</f>
        <v>0</v>
      </c>
      <c r="I253" s="1">
        <f>IF(B253="", "", "10090")</f>
        <v>0</v>
      </c>
      <c r="J253" s="2">
        <f>IF(B253="", "", "missing: not provided")</f>
        <v>0</v>
      </c>
      <c r="K253" s="1">
        <f>IF(B253="", "", "g")</f>
        <v>0</v>
      </c>
    </row>
    <row r="254" spans="1:11">
      <c r="A254">
        <f>IF(COUNTBLANK(B254:K254)&lt;&gt;COLUMNS(B254:K254),253,"")</f>
        <v>0</v>
      </c>
      <c r="C254" s="1">
        <f>IF(B254="", "", "urban biome")</f>
        <v>0</v>
      </c>
      <c r="D254" s="1">
        <f>IF(B254="", "", "animal-associated habitat")</f>
        <v>0</v>
      </c>
      <c r="E254" s="2">
        <f>IF(B254="", "", "missing: not provided")</f>
        <v>0</v>
      </c>
      <c r="F254" s="1">
        <f>IF(B254="", "", "weeks")</f>
        <v>0</v>
      </c>
      <c r="G254" s="1">
        <f>IF(B254="", "", "mouse")</f>
        <v>0</v>
      </c>
      <c r="H254" s="1">
        <f>IF(B254="", "", "Mus musculus")</f>
        <v>0</v>
      </c>
      <c r="I254" s="1">
        <f>IF(B254="", "", "10090")</f>
        <v>0</v>
      </c>
      <c r="J254" s="2">
        <f>IF(B254="", "", "missing: not provided")</f>
        <v>0</v>
      </c>
      <c r="K254" s="1">
        <f>IF(B254="", "", "g")</f>
        <v>0</v>
      </c>
    </row>
    <row r="255" spans="1:11">
      <c r="A255">
        <f>IF(COUNTBLANK(B255:K255)&lt;&gt;COLUMNS(B255:K255),254,"")</f>
        <v>0</v>
      </c>
      <c r="C255" s="1">
        <f>IF(B255="", "", "urban biome")</f>
        <v>0</v>
      </c>
      <c r="D255" s="1">
        <f>IF(B255="", "", "animal-associated habitat")</f>
        <v>0</v>
      </c>
      <c r="E255" s="2">
        <f>IF(B255="", "", "missing: not provided")</f>
        <v>0</v>
      </c>
      <c r="F255" s="1">
        <f>IF(B255="", "", "weeks")</f>
        <v>0</v>
      </c>
      <c r="G255" s="1">
        <f>IF(B255="", "", "mouse")</f>
        <v>0</v>
      </c>
      <c r="H255" s="1">
        <f>IF(B255="", "", "Mus musculus")</f>
        <v>0</v>
      </c>
      <c r="I255" s="1">
        <f>IF(B255="", "", "10090")</f>
        <v>0</v>
      </c>
      <c r="J255" s="2">
        <f>IF(B255="", "", "missing: not provided")</f>
        <v>0</v>
      </c>
      <c r="K255" s="1">
        <f>IF(B255="", "", "g")</f>
        <v>0</v>
      </c>
    </row>
    <row r="256" spans="1:11">
      <c r="A256">
        <f>IF(COUNTBLANK(B256:K256)&lt;&gt;COLUMNS(B256:K256),255,"")</f>
        <v>0</v>
      </c>
      <c r="C256" s="1">
        <f>IF(B256="", "", "urban biome")</f>
        <v>0</v>
      </c>
      <c r="D256" s="1">
        <f>IF(B256="", "", "animal-associated habitat")</f>
        <v>0</v>
      </c>
      <c r="E256" s="2">
        <f>IF(B256="", "", "missing: not provided")</f>
        <v>0</v>
      </c>
      <c r="F256" s="1">
        <f>IF(B256="", "", "weeks")</f>
        <v>0</v>
      </c>
      <c r="G256" s="1">
        <f>IF(B256="", "", "mouse")</f>
        <v>0</v>
      </c>
      <c r="H256" s="1">
        <f>IF(B256="", "", "Mus musculus")</f>
        <v>0</v>
      </c>
      <c r="I256" s="1">
        <f>IF(B256="", "", "10090")</f>
        <v>0</v>
      </c>
      <c r="J256" s="2">
        <f>IF(B256="", "", "missing: not provided")</f>
        <v>0</v>
      </c>
      <c r="K256" s="1">
        <f>IF(B256="", "", "g")</f>
        <v>0</v>
      </c>
    </row>
    <row r="257" spans="1:11">
      <c r="A257">
        <f>IF(COUNTBLANK(B257:K257)&lt;&gt;COLUMNS(B257:K257),256,"")</f>
        <v>0</v>
      </c>
      <c r="C257" s="1">
        <f>IF(B257="", "", "urban biome")</f>
        <v>0</v>
      </c>
      <c r="D257" s="1">
        <f>IF(B257="", "", "animal-associated habitat")</f>
        <v>0</v>
      </c>
      <c r="E257" s="2">
        <f>IF(B257="", "", "missing: not provided")</f>
        <v>0</v>
      </c>
      <c r="F257" s="1">
        <f>IF(B257="", "", "weeks")</f>
        <v>0</v>
      </c>
      <c r="G257" s="1">
        <f>IF(B257="", "", "mouse")</f>
        <v>0</v>
      </c>
      <c r="H257" s="1">
        <f>IF(B257="", "", "Mus musculus")</f>
        <v>0</v>
      </c>
      <c r="I257" s="1">
        <f>IF(B257="", "", "10090")</f>
        <v>0</v>
      </c>
      <c r="J257" s="2">
        <f>IF(B257="", "", "missing: not provided")</f>
        <v>0</v>
      </c>
      <c r="K257" s="1">
        <f>IF(B257="", "", "g")</f>
        <v>0</v>
      </c>
    </row>
    <row r="258" spans="1:11">
      <c r="A258">
        <f>IF(COUNTBLANK(B258:K258)&lt;&gt;COLUMNS(B258:K258),257,"")</f>
        <v>0</v>
      </c>
      <c r="C258" s="1">
        <f>IF(B258="", "", "urban biome")</f>
        <v>0</v>
      </c>
      <c r="D258" s="1">
        <f>IF(B258="", "", "animal-associated habitat")</f>
        <v>0</v>
      </c>
      <c r="E258" s="2">
        <f>IF(B258="", "", "missing: not provided")</f>
        <v>0</v>
      </c>
      <c r="F258" s="1">
        <f>IF(B258="", "", "weeks")</f>
        <v>0</v>
      </c>
      <c r="G258" s="1">
        <f>IF(B258="", "", "mouse")</f>
        <v>0</v>
      </c>
      <c r="H258" s="1">
        <f>IF(B258="", "", "Mus musculus")</f>
        <v>0</v>
      </c>
      <c r="I258" s="1">
        <f>IF(B258="", "", "10090")</f>
        <v>0</v>
      </c>
      <c r="J258" s="2">
        <f>IF(B258="", "", "missing: not provided")</f>
        <v>0</v>
      </c>
      <c r="K258" s="1">
        <f>IF(B258="", "", "g")</f>
        <v>0</v>
      </c>
    </row>
    <row r="259" spans="1:11">
      <c r="A259">
        <f>IF(COUNTBLANK(B259:K259)&lt;&gt;COLUMNS(B259:K259),258,"")</f>
        <v>0</v>
      </c>
      <c r="C259" s="1">
        <f>IF(B259="", "", "urban biome")</f>
        <v>0</v>
      </c>
      <c r="D259" s="1">
        <f>IF(B259="", "", "animal-associated habitat")</f>
        <v>0</v>
      </c>
      <c r="E259" s="2">
        <f>IF(B259="", "", "missing: not provided")</f>
        <v>0</v>
      </c>
      <c r="F259" s="1">
        <f>IF(B259="", "", "weeks")</f>
        <v>0</v>
      </c>
      <c r="G259" s="1">
        <f>IF(B259="", "", "mouse")</f>
        <v>0</v>
      </c>
      <c r="H259" s="1">
        <f>IF(B259="", "", "Mus musculus")</f>
        <v>0</v>
      </c>
      <c r="I259" s="1">
        <f>IF(B259="", "", "10090")</f>
        <v>0</v>
      </c>
      <c r="J259" s="2">
        <f>IF(B259="", "", "missing: not provided")</f>
        <v>0</v>
      </c>
      <c r="K259" s="1">
        <f>IF(B259="", "", "g")</f>
        <v>0</v>
      </c>
    </row>
    <row r="260" spans="1:11">
      <c r="A260">
        <f>IF(COUNTBLANK(B260:K260)&lt;&gt;COLUMNS(B260:K260),259,"")</f>
        <v>0</v>
      </c>
      <c r="C260" s="1">
        <f>IF(B260="", "", "urban biome")</f>
        <v>0</v>
      </c>
      <c r="D260" s="1">
        <f>IF(B260="", "", "animal-associated habitat")</f>
        <v>0</v>
      </c>
      <c r="E260" s="2">
        <f>IF(B260="", "", "missing: not provided")</f>
        <v>0</v>
      </c>
      <c r="F260" s="1">
        <f>IF(B260="", "", "weeks")</f>
        <v>0</v>
      </c>
      <c r="G260" s="1">
        <f>IF(B260="", "", "mouse")</f>
        <v>0</v>
      </c>
      <c r="H260" s="1">
        <f>IF(B260="", "", "Mus musculus")</f>
        <v>0</v>
      </c>
      <c r="I260" s="1">
        <f>IF(B260="", "", "10090")</f>
        <v>0</v>
      </c>
      <c r="J260" s="2">
        <f>IF(B260="", "", "missing: not provided")</f>
        <v>0</v>
      </c>
      <c r="K260" s="1">
        <f>IF(B260="", "", "g")</f>
        <v>0</v>
      </c>
    </row>
    <row r="261" spans="1:11">
      <c r="A261">
        <f>IF(COUNTBLANK(B261:K261)&lt;&gt;COLUMNS(B261:K261),260,"")</f>
        <v>0</v>
      </c>
      <c r="C261" s="1">
        <f>IF(B261="", "", "urban biome")</f>
        <v>0</v>
      </c>
      <c r="D261" s="1">
        <f>IF(B261="", "", "animal-associated habitat")</f>
        <v>0</v>
      </c>
      <c r="E261" s="2">
        <f>IF(B261="", "", "missing: not provided")</f>
        <v>0</v>
      </c>
      <c r="F261" s="1">
        <f>IF(B261="", "", "weeks")</f>
        <v>0</v>
      </c>
      <c r="G261" s="1">
        <f>IF(B261="", "", "mouse")</f>
        <v>0</v>
      </c>
      <c r="H261" s="1">
        <f>IF(B261="", "", "Mus musculus")</f>
        <v>0</v>
      </c>
      <c r="I261" s="1">
        <f>IF(B261="", "", "10090")</f>
        <v>0</v>
      </c>
      <c r="J261" s="2">
        <f>IF(B261="", "", "missing: not provided")</f>
        <v>0</v>
      </c>
      <c r="K261" s="1">
        <f>IF(B261="", "", "g")</f>
        <v>0</v>
      </c>
    </row>
    <row r="262" spans="1:11">
      <c r="A262">
        <f>IF(COUNTBLANK(B262:K262)&lt;&gt;COLUMNS(B262:K262),261,"")</f>
        <v>0</v>
      </c>
      <c r="C262" s="1">
        <f>IF(B262="", "", "urban biome")</f>
        <v>0</v>
      </c>
      <c r="D262" s="1">
        <f>IF(B262="", "", "animal-associated habitat")</f>
        <v>0</v>
      </c>
      <c r="E262" s="2">
        <f>IF(B262="", "", "missing: not provided")</f>
        <v>0</v>
      </c>
      <c r="F262" s="1">
        <f>IF(B262="", "", "weeks")</f>
        <v>0</v>
      </c>
      <c r="G262" s="1">
        <f>IF(B262="", "", "mouse")</f>
        <v>0</v>
      </c>
      <c r="H262" s="1">
        <f>IF(B262="", "", "Mus musculus")</f>
        <v>0</v>
      </c>
      <c r="I262" s="1">
        <f>IF(B262="", "", "10090")</f>
        <v>0</v>
      </c>
      <c r="J262" s="2">
        <f>IF(B262="", "", "missing: not provided")</f>
        <v>0</v>
      </c>
      <c r="K262" s="1">
        <f>IF(B262="", "", "g")</f>
        <v>0</v>
      </c>
    </row>
    <row r="263" spans="1:11">
      <c r="A263">
        <f>IF(COUNTBLANK(B263:K263)&lt;&gt;COLUMNS(B263:K263),262,"")</f>
        <v>0</v>
      </c>
      <c r="C263" s="1">
        <f>IF(B263="", "", "urban biome")</f>
        <v>0</v>
      </c>
      <c r="D263" s="1">
        <f>IF(B263="", "", "animal-associated habitat")</f>
        <v>0</v>
      </c>
      <c r="E263" s="2">
        <f>IF(B263="", "", "missing: not provided")</f>
        <v>0</v>
      </c>
      <c r="F263" s="1">
        <f>IF(B263="", "", "weeks")</f>
        <v>0</v>
      </c>
      <c r="G263" s="1">
        <f>IF(B263="", "", "mouse")</f>
        <v>0</v>
      </c>
      <c r="H263" s="1">
        <f>IF(B263="", "", "Mus musculus")</f>
        <v>0</v>
      </c>
      <c r="I263" s="1">
        <f>IF(B263="", "", "10090")</f>
        <v>0</v>
      </c>
      <c r="J263" s="2">
        <f>IF(B263="", "", "missing: not provided")</f>
        <v>0</v>
      </c>
      <c r="K263" s="1">
        <f>IF(B263="", "", "g")</f>
        <v>0</v>
      </c>
    </row>
    <row r="264" spans="1:11">
      <c r="A264">
        <f>IF(COUNTBLANK(B264:K264)&lt;&gt;COLUMNS(B264:K264),263,"")</f>
        <v>0</v>
      </c>
      <c r="C264" s="1">
        <f>IF(B264="", "", "urban biome")</f>
        <v>0</v>
      </c>
      <c r="D264" s="1">
        <f>IF(B264="", "", "animal-associated habitat")</f>
        <v>0</v>
      </c>
      <c r="E264" s="2">
        <f>IF(B264="", "", "missing: not provided")</f>
        <v>0</v>
      </c>
      <c r="F264" s="1">
        <f>IF(B264="", "", "weeks")</f>
        <v>0</v>
      </c>
      <c r="G264" s="1">
        <f>IF(B264="", "", "mouse")</f>
        <v>0</v>
      </c>
      <c r="H264" s="1">
        <f>IF(B264="", "", "Mus musculus")</f>
        <v>0</v>
      </c>
      <c r="I264" s="1">
        <f>IF(B264="", "", "10090")</f>
        <v>0</v>
      </c>
      <c r="J264" s="2">
        <f>IF(B264="", "", "missing: not provided")</f>
        <v>0</v>
      </c>
      <c r="K264" s="1">
        <f>IF(B264="", "", "g")</f>
        <v>0</v>
      </c>
    </row>
    <row r="265" spans="1:11">
      <c r="A265">
        <f>IF(COUNTBLANK(B265:K265)&lt;&gt;COLUMNS(B265:K265),264,"")</f>
        <v>0</v>
      </c>
      <c r="C265" s="1">
        <f>IF(B265="", "", "urban biome")</f>
        <v>0</v>
      </c>
      <c r="D265" s="1">
        <f>IF(B265="", "", "animal-associated habitat")</f>
        <v>0</v>
      </c>
      <c r="E265" s="2">
        <f>IF(B265="", "", "missing: not provided")</f>
        <v>0</v>
      </c>
      <c r="F265" s="1">
        <f>IF(B265="", "", "weeks")</f>
        <v>0</v>
      </c>
      <c r="G265" s="1">
        <f>IF(B265="", "", "mouse")</f>
        <v>0</v>
      </c>
      <c r="H265" s="1">
        <f>IF(B265="", "", "Mus musculus")</f>
        <v>0</v>
      </c>
      <c r="I265" s="1">
        <f>IF(B265="", "", "10090")</f>
        <v>0</v>
      </c>
      <c r="J265" s="2">
        <f>IF(B265="", "", "missing: not provided")</f>
        <v>0</v>
      </c>
      <c r="K265" s="1">
        <f>IF(B265="", "", "g")</f>
        <v>0</v>
      </c>
    </row>
    <row r="266" spans="1:11">
      <c r="A266">
        <f>IF(COUNTBLANK(B266:K266)&lt;&gt;COLUMNS(B266:K266),265,"")</f>
        <v>0</v>
      </c>
      <c r="C266" s="1">
        <f>IF(B266="", "", "urban biome")</f>
        <v>0</v>
      </c>
      <c r="D266" s="1">
        <f>IF(B266="", "", "animal-associated habitat")</f>
        <v>0</v>
      </c>
      <c r="E266" s="2">
        <f>IF(B266="", "", "missing: not provided")</f>
        <v>0</v>
      </c>
      <c r="F266" s="1">
        <f>IF(B266="", "", "weeks")</f>
        <v>0</v>
      </c>
      <c r="G266" s="1">
        <f>IF(B266="", "", "mouse")</f>
        <v>0</v>
      </c>
      <c r="H266" s="1">
        <f>IF(B266="", "", "Mus musculus")</f>
        <v>0</v>
      </c>
      <c r="I266" s="1">
        <f>IF(B266="", "", "10090")</f>
        <v>0</v>
      </c>
      <c r="J266" s="2">
        <f>IF(B266="", "", "missing: not provided")</f>
        <v>0</v>
      </c>
      <c r="K266" s="1">
        <f>IF(B266="", "", "g")</f>
        <v>0</v>
      </c>
    </row>
    <row r="267" spans="1:11">
      <c r="A267">
        <f>IF(COUNTBLANK(B267:K267)&lt;&gt;COLUMNS(B267:K267),266,"")</f>
        <v>0</v>
      </c>
      <c r="C267" s="1">
        <f>IF(B267="", "", "urban biome")</f>
        <v>0</v>
      </c>
      <c r="D267" s="1">
        <f>IF(B267="", "", "animal-associated habitat")</f>
        <v>0</v>
      </c>
      <c r="E267" s="2">
        <f>IF(B267="", "", "missing: not provided")</f>
        <v>0</v>
      </c>
      <c r="F267" s="1">
        <f>IF(B267="", "", "weeks")</f>
        <v>0</v>
      </c>
      <c r="G267" s="1">
        <f>IF(B267="", "", "mouse")</f>
        <v>0</v>
      </c>
      <c r="H267" s="1">
        <f>IF(B267="", "", "Mus musculus")</f>
        <v>0</v>
      </c>
      <c r="I267" s="1">
        <f>IF(B267="", "", "10090")</f>
        <v>0</v>
      </c>
      <c r="J267" s="2">
        <f>IF(B267="", "", "missing: not provided")</f>
        <v>0</v>
      </c>
      <c r="K267" s="1">
        <f>IF(B267="", "", "g")</f>
        <v>0</v>
      </c>
    </row>
    <row r="268" spans="1:11">
      <c r="A268">
        <f>IF(COUNTBLANK(B268:K268)&lt;&gt;COLUMNS(B268:K268),267,"")</f>
        <v>0</v>
      </c>
      <c r="C268" s="1">
        <f>IF(B268="", "", "urban biome")</f>
        <v>0</v>
      </c>
      <c r="D268" s="1">
        <f>IF(B268="", "", "animal-associated habitat")</f>
        <v>0</v>
      </c>
      <c r="E268" s="2">
        <f>IF(B268="", "", "missing: not provided")</f>
        <v>0</v>
      </c>
      <c r="F268" s="1">
        <f>IF(B268="", "", "weeks")</f>
        <v>0</v>
      </c>
      <c r="G268" s="1">
        <f>IF(B268="", "", "mouse")</f>
        <v>0</v>
      </c>
      <c r="H268" s="1">
        <f>IF(B268="", "", "Mus musculus")</f>
        <v>0</v>
      </c>
      <c r="I268" s="1">
        <f>IF(B268="", "", "10090")</f>
        <v>0</v>
      </c>
      <c r="J268" s="2">
        <f>IF(B268="", "", "missing: not provided")</f>
        <v>0</v>
      </c>
      <c r="K268" s="1">
        <f>IF(B268="", "", "g")</f>
        <v>0</v>
      </c>
    </row>
    <row r="269" spans="1:11">
      <c r="A269">
        <f>IF(COUNTBLANK(B269:K269)&lt;&gt;COLUMNS(B269:K269),268,"")</f>
        <v>0</v>
      </c>
      <c r="C269" s="1">
        <f>IF(B269="", "", "urban biome")</f>
        <v>0</v>
      </c>
      <c r="D269" s="1">
        <f>IF(B269="", "", "animal-associated habitat")</f>
        <v>0</v>
      </c>
      <c r="E269" s="2">
        <f>IF(B269="", "", "missing: not provided")</f>
        <v>0</v>
      </c>
      <c r="F269" s="1">
        <f>IF(B269="", "", "weeks")</f>
        <v>0</v>
      </c>
      <c r="G269" s="1">
        <f>IF(B269="", "", "mouse")</f>
        <v>0</v>
      </c>
      <c r="H269" s="1">
        <f>IF(B269="", "", "Mus musculus")</f>
        <v>0</v>
      </c>
      <c r="I269" s="1">
        <f>IF(B269="", "", "10090")</f>
        <v>0</v>
      </c>
      <c r="J269" s="2">
        <f>IF(B269="", "", "missing: not provided")</f>
        <v>0</v>
      </c>
      <c r="K269" s="1">
        <f>IF(B269="", "", "g")</f>
        <v>0</v>
      </c>
    </row>
    <row r="270" spans="1:11">
      <c r="A270">
        <f>IF(COUNTBLANK(B270:K270)&lt;&gt;COLUMNS(B270:K270),269,"")</f>
        <v>0</v>
      </c>
      <c r="C270" s="1">
        <f>IF(B270="", "", "urban biome")</f>
        <v>0</v>
      </c>
      <c r="D270" s="1">
        <f>IF(B270="", "", "animal-associated habitat")</f>
        <v>0</v>
      </c>
      <c r="E270" s="2">
        <f>IF(B270="", "", "missing: not provided")</f>
        <v>0</v>
      </c>
      <c r="F270" s="1">
        <f>IF(B270="", "", "weeks")</f>
        <v>0</v>
      </c>
      <c r="G270" s="1">
        <f>IF(B270="", "", "mouse")</f>
        <v>0</v>
      </c>
      <c r="H270" s="1">
        <f>IF(B270="", "", "Mus musculus")</f>
        <v>0</v>
      </c>
      <c r="I270" s="1">
        <f>IF(B270="", "", "10090")</f>
        <v>0</v>
      </c>
      <c r="J270" s="2">
        <f>IF(B270="", "", "missing: not provided")</f>
        <v>0</v>
      </c>
      <c r="K270" s="1">
        <f>IF(B270="", "", "g")</f>
        <v>0</v>
      </c>
    </row>
    <row r="271" spans="1:11">
      <c r="A271">
        <f>IF(COUNTBLANK(B271:K271)&lt;&gt;COLUMNS(B271:K271),270,"")</f>
        <v>0</v>
      </c>
      <c r="C271" s="1">
        <f>IF(B271="", "", "urban biome")</f>
        <v>0</v>
      </c>
      <c r="D271" s="1">
        <f>IF(B271="", "", "animal-associated habitat")</f>
        <v>0</v>
      </c>
      <c r="E271" s="2">
        <f>IF(B271="", "", "missing: not provided")</f>
        <v>0</v>
      </c>
      <c r="F271" s="1">
        <f>IF(B271="", "", "weeks")</f>
        <v>0</v>
      </c>
      <c r="G271" s="1">
        <f>IF(B271="", "", "mouse")</f>
        <v>0</v>
      </c>
      <c r="H271" s="1">
        <f>IF(B271="", "", "Mus musculus")</f>
        <v>0</v>
      </c>
      <c r="I271" s="1">
        <f>IF(B271="", "", "10090")</f>
        <v>0</v>
      </c>
      <c r="J271" s="2">
        <f>IF(B271="", "", "missing: not provided")</f>
        <v>0</v>
      </c>
      <c r="K271" s="1">
        <f>IF(B271="", "", "g")</f>
        <v>0</v>
      </c>
    </row>
    <row r="272" spans="1:11">
      <c r="A272">
        <f>IF(COUNTBLANK(B272:K272)&lt;&gt;COLUMNS(B272:K272),271,"")</f>
        <v>0</v>
      </c>
      <c r="C272" s="1">
        <f>IF(B272="", "", "urban biome")</f>
        <v>0</v>
      </c>
      <c r="D272" s="1">
        <f>IF(B272="", "", "animal-associated habitat")</f>
        <v>0</v>
      </c>
      <c r="E272" s="2">
        <f>IF(B272="", "", "missing: not provided")</f>
        <v>0</v>
      </c>
      <c r="F272" s="1">
        <f>IF(B272="", "", "weeks")</f>
        <v>0</v>
      </c>
      <c r="G272" s="1">
        <f>IF(B272="", "", "mouse")</f>
        <v>0</v>
      </c>
      <c r="H272" s="1">
        <f>IF(B272="", "", "Mus musculus")</f>
        <v>0</v>
      </c>
      <c r="I272" s="1">
        <f>IF(B272="", "", "10090")</f>
        <v>0</v>
      </c>
      <c r="J272" s="2">
        <f>IF(B272="", "", "missing: not provided")</f>
        <v>0</v>
      </c>
      <c r="K272" s="1">
        <f>IF(B272="", "", "g")</f>
        <v>0</v>
      </c>
    </row>
    <row r="273" spans="1:11">
      <c r="A273">
        <f>IF(COUNTBLANK(B273:K273)&lt;&gt;COLUMNS(B273:K273),272,"")</f>
        <v>0</v>
      </c>
      <c r="C273" s="1">
        <f>IF(B273="", "", "urban biome")</f>
        <v>0</v>
      </c>
      <c r="D273" s="1">
        <f>IF(B273="", "", "animal-associated habitat")</f>
        <v>0</v>
      </c>
      <c r="E273" s="2">
        <f>IF(B273="", "", "missing: not provided")</f>
        <v>0</v>
      </c>
      <c r="F273" s="1">
        <f>IF(B273="", "", "weeks")</f>
        <v>0</v>
      </c>
      <c r="G273" s="1">
        <f>IF(B273="", "", "mouse")</f>
        <v>0</v>
      </c>
      <c r="H273" s="1">
        <f>IF(B273="", "", "Mus musculus")</f>
        <v>0</v>
      </c>
      <c r="I273" s="1">
        <f>IF(B273="", "", "10090")</f>
        <v>0</v>
      </c>
      <c r="J273" s="2">
        <f>IF(B273="", "", "missing: not provided")</f>
        <v>0</v>
      </c>
      <c r="K273" s="1">
        <f>IF(B273="", "", "g")</f>
        <v>0</v>
      </c>
    </row>
    <row r="274" spans="1:11">
      <c r="A274">
        <f>IF(COUNTBLANK(B274:K274)&lt;&gt;COLUMNS(B274:K274),273,"")</f>
        <v>0</v>
      </c>
      <c r="C274" s="1">
        <f>IF(B274="", "", "urban biome")</f>
        <v>0</v>
      </c>
      <c r="D274" s="1">
        <f>IF(B274="", "", "animal-associated habitat")</f>
        <v>0</v>
      </c>
      <c r="E274" s="2">
        <f>IF(B274="", "", "missing: not provided")</f>
        <v>0</v>
      </c>
      <c r="F274" s="1">
        <f>IF(B274="", "", "weeks")</f>
        <v>0</v>
      </c>
      <c r="G274" s="1">
        <f>IF(B274="", "", "mouse")</f>
        <v>0</v>
      </c>
      <c r="H274" s="1">
        <f>IF(B274="", "", "Mus musculus")</f>
        <v>0</v>
      </c>
      <c r="I274" s="1">
        <f>IF(B274="", "", "10090")</f>
        <v>0</v>
      </c>
      <c r="J274" s="2">
        <f>IF(B274="", "", "missing: not provided")</f>
        <v>0</v>
      </c>
      <c r="K274" s="1">
        <f>IF(B274="", "", "g")</f>
        <v>0</v>
      </c>
    </row>
    <row r="275" spans="1:11">
      <c r="A275">
        <f>IF(COUNTBLANK(B275:K275)&lt;&gt;COLUMNS(B275:K275),274,"")</f>
        <v>0</v>
      </c>
      <c r="C275" s="1">
        <f>IF(B275="", "", "urban biome")</f>
        <v>0</v>
      </c>
      <c r="D275" s="1">
        <f>IF(B275="", "", "animal-associated habitat")</f>
        <v>0</v>
      </c>
      <c r="E275" s="2">
        <f>IF(B275="", "", "missing: not provided")</f>
        <v>0</v>
      </c>
      <c r="F275" s="1">
        <f>IF(B275="", "", "weeks")</f>
        <v>0</v>
      </c>
      <c r="G275" s="1">
        <f>IF(B275="", "", "mouse")</f>
        <v>0</v>
      </c>
      <c r="H275" s="1">
        <f>IF(B275="", "", "Mus musculus")</f>
        <v>0</v>
      </c>
      <c r="I275" s="1">
        <f>IF(B275="", "", "10090")</f>
        <v>0</v>
      </c>
      <c r="J275" s="2">
        <f>IF(B275="", "", "missing: not provided")</f>
        <v>0</v>
      </c>
      <c r="K275" s="1">
        <f>IF(B275="", "", "g")</f>
        <v>0</v>
      </c>
    </row>
    <row r="276" spans="1:11">
      <c r="A276">
        <f>IF(COUNTBLANK(B276:K276)&lt;&gt;COLUMNS(B276:K276),275,"")</f>
        <v>0</v>
      </c>
      <c r="C276" s="1">
        <f>IF(B276="", "", "urban biome")</f>
        <v>0</v>
      </c>
      <c r="D276" s="1">
        <f>IF(B276="", "", "animal-associated habitat")</f>
        <v>0</v>
      </c>
      <c r="E276" s="2">
        <f>IF(B276="", "", "missing: not provided")</f>
        <v>0</v>
      </c>
      <c r="F276" s="1">
        <f>IF(B276="", "", "weeks")</f>
        <v>0</v>
      </c>
      <c r="G276" s="1">
        <f>IF(B276="", "", "mouse")</f>
        <v>0</v>
      </c>
      <c r="H276" s="1">
        <f>IF(B276="", "", "Mus musculus")</f>
        <v>0</v>
      </c>
      <c r="I276" s="1">
        <f>IF(B276="", "", "10090")</f>
        <v>0</v>
      </c>
      <c r="J276" s="2">
        <f>IF(B276="", "", "missing: not provided")</f>
        <v>0</v>
      </c>
      <c r="K276" s="1">
        <f>IF(B276="", "", "g")</f>
        <v>0</v>
      </c>
    </row>
    <row r="277" spans="1:11">
      <c r="A277">
        <f>IF(COUNTBLANK(B277:K277)&lt;&gt;COLUMNS(B277:K277),276,"")</f>
        <v>0</v>
      </c>
      <c r="C277" s="1">
        <f>IF(B277="", "", "urban biome")</f>
        <v>0</v>
      </c>
      <c r="D277" s="1">
        <f>IF(B277="", "", "animal-associated habitat")</f>
        <v>0</v>
      </c>
      <c r="E277" s="2">
        <f>IF(B277="", "", "missing: not provided")</f>
        <v>0</v>
      </c>
      <c r="F277" s="1">
        <f>IF(B277="", "", "weeks")</f>
        <v>0</v>
      </c>
      <c r="G277" s="1">
        <f>IF(B277="", "", "mouse")</f>
        <v>0</v>
      </c>
      <c r="H277" s="1">
        <f>IF(B277="", "", "Mus musculus")</f>
        <v>0</v>
      </c>
      <c r="I277" s="1">
        <f>IF(B277="", "", "10090")</f>
        <v>0</v>
      </c>
      <c r="J277" s="2">
        <f>IF(B277="", "", "missing: not provided")</f>
        <v>0</v>
      </c>
      <c r="K277" s="1">
        <f>IF(B277="", "", "g")</f>
        <v>0</v>
      </c>
    </row>
    <row r="278" spans="1:11">
      <c r="A278">
        <f>IF(COUNTBLANK(B278:K278)&lt;&gt;COLUMNS(B278:K278),277,"")</f>
        <v>0</v>
      </c>
      <c r="C278" s="1">
        <f>IF(B278="", "", "urban biome")</f>
        <v>0</v>
      </c>
      <c r="D278" s="1">
        <f>IF(B278="", "", "animal-associated habitat")</f>
        <v>0</v>
      </c>
      <c r="E278" s="2">
        <f>IF(B278="", "", "missing: not provided")</f>
        <v>0</v>
      </c>
      <c r="F278" s="1">
        <f>IF(B278="", "", "weeks")</f>
        <v>0</v>
      </c>
      <c r="G278" s="1">
        <f>IF(B278="", "", "mouse")</f>
        <v>0</v>
      </c>
      <c r="H278" s="1">
        <f>IF(B278="", "", "Mus musculus")</f>
        <v>0</v>
      </c>
      <c r="I278" s="1">
        <f>IF(B278="", "", "10090")</f>
        <v>0</v>
      </c>
      <c r="J278" s="2">
        <f>IF(B278="", "", "missing: not provided")</f>
        <v>0</v>
      </c>
      <c r="K278" s="1">
        <f>IF(B278="", "", "g")</f>
        <v>0</v>
      </c>
    </row>
    <row r="279" spans="1:11">
      <c r="A279">
        <f>IF(COUNTBLANK(B279:K279)&lt;&gt;COLUMNS(B279:K279),278,"")</f>
        <v>0</v>
      </c>
      <c r="C279" s="1">
        <f>IF(B279="", "", "urban biome")</f>
        <v>0</v>
      </c>
      <c r="D279" s="1">
        <f>IF(B279="", "", "animal-associated habitat")</f>
        <v>0</v>
      </c>
      <c r="E279" s="2">
        <f>IF(B279="", "", "missing: not provided")</f>
        <v>0</v>
      </c>
      <c r="F279" s="1">
        <f>IF(B279="", "", "weeks")</f>
        <v>0</v>
      </c>
      <c r="G279" s="1">
        <f>IF(B279="", "", "mouse")</f>
        <v>0</v>
      </c>
      <c r="H279" s="1">
        <f>IF(B279="", "", "Mus musculus")</f>
        <v>0</v>
      </c>
      <c r="I279" s="1">
        <f>IF(B279="", "", "10090")</f>
        <v>0</v>
      </c>
      <c r="J279" s="2">
        <f>IF(B279="", "", "missing: not provided")</f>
        <v>0</v>
      </c>
      <c r="K279" s="1">
        <f>IF(B279="", "", "g")</f>
        <v>0</v>
      </c>
    </row>
    <row r="280" spans="1:11">
      <c r="A280">
        <f>IF(COUNTBLANK(B280:K280)&lt;&gt;COLUMNS(B280:K280),279,"")</f>
        <v>0</v>
      </c>
      <c r="C280" s="1">
        <f>IF(B280="", "", "urban biome")</f>
        <v>0</v>
      </c>
      <c r="D280" s="1">
        <f>IF(B280="", "", "animal-associated habitat")</f>
        <v>0</v>
      </c>
      <c r="E280" s="2">
        <f>IF(B280="", "", "missing: not provided")</f>
        <v>0</v>
      </c>
      <c r="F280" s="1">
        <f>IF(B280="", "", "weeks")</f>
        <v>0</v>
      </c>
      <c r="G280" s="1">
        <f>IF(B280="", "", "mouse")</f>
        <v>0</v>
      </c>
      <c r="H280" s="1">
        <f>IF(B280="", "", "Mus musculus")</f>
        <v>0</v>
      </c>
      <c r="I280" s="1">
        <f>IF(B280="", "", "10090")</f>
        <v>0</v>
      </c>
      <c r="J280" s="2">
        <f>IF(B280="", "", "missing: not provided")</f>
        <v>0</v>
      </c>
      <c r="K280" s="1">
        <f>IF(B280="", "", "g")</f>
        <v>0</v>
      </c>
    </row>
    <row r="281" spans="1:11">
      <c r="A281">
        <f>IF(COUNTBLANK(B281:K281)&lt;&gt;COLUMNS(B281:K281),280,"")</f>
        <v>0</v>
      </c>
      <c r="C281" s="1">
        <f>IF(B281="", "", "urban biome")</f>
        <v>0</v>
      </c>
      <c r="D281" s="1">
        <f>IF(B281="", "", "animal-associated habitat")</f>
        <v>0</v>
      </c>
      <c r="E281" s="2">
        <f>IF(B281="", "", "missing: not provided")</f>
        <v>0</v>
      </c>
      <c r="F281" s="1">
        <f>IF(B281="", "", "weeks")</f>
        <v>0</v>
      </c>
      <c r="G281" s="1">
        <f>IF(B281="", "", "mouse")</f>
        <v>0</v>
      </c>
      <c r="H281" s="1">
        <f>IF(B281="", "", "Mus musculus")</f>
        <v>0</v>
      </c>
      <c r="I281" s="1">
        <f>IF(B281="", "", "10090")</f>
        <v>0</v>
      </c>
      <c r="J281" s="2">
        <f>IF(B281="", "", "missing: not provided")</f>
        <v>0</v>
      </c>
      <c r="K281" s="1">
        <f>IF(B281="", "", "g")</f>
        <v>0</v>
      </c>
    </row>
    <row r="282" spans="1:11">
      <c r="A282">
        <f>IF(COUNTBLANK(B282:K282)&lt;&gt;COLUMNS(B282:K282),281,"")</f>
        <v>0</v>
      </c>
      <c r="C282" s="1">
        <f>IF(B282="", "", "urban biome")</f>
        <v>0</v>
      </c>
      <c r="D282" s="1">
        <f>IF(B282="", "", "animal-associated habitat")</f>
        <v>0</v>
      </c>
      <c r="E282" s="2">
        <f>IF(B282="", "", "missing: not provided")</f>
        <v>0</v>
      </c>
      <c r="F282" s="1">
        <f>IF(B282="", "", "weeks")</f>
        <v>0</v>
      </c>
      <c r="G282" s="1">
        <f>IF(B282="", "", "mouse")</f>
        <v>0</v>
      </c>
      <c r="H282" s="1">
        <f>IF(B282="", "", "Mus musculus")</f>
        <v>0</v>
      </c>
      <c r="I282" s="1">
        <f>IF(B282="", "", "10090")</f>
        <v>0</v>
      </c>
      <c r="J282" s="2">
        <f>IF(B282="", "", "missing: not provided")</f>
        <v>0</v>
      </c>
      <c r="K282" s="1">
        <f>IF(B282="", "", "g")</f>
        <v>0</v>
      </c>
    </row>
    <row r="283" spans="1:11">
      <c r="A283">
        <f>IF(COUNTBLANK(B283:K283)&lt;&gt;COLUMNS(B283:K283),282,"")</f>
        <v>0</v>
      </c>
      <c r="C283" s="1">
        <f>IF(B283="", "", "urban biome")</f>
        <v>0</v>
      </c>
      <c r="D283" s="1">
        <f>IF(B283="", "", "animal-associated habitat")</f>
        <v>0</v>
      </c>
      <c r="E283" s="2">
        <f>IF(B283="", "", "missing: not provided")</f>
        <v>0</v>
      </c>
      <c r="F283" s="1">
        <f>IF(B283="", "", "weeks")</f>
        <v>0</v>
      </c>
      <c r="G283" s="1">
        <f>IF(B283="", "", "mouse")</f>
        <v>0</v>
      </c>
      <c r="H283" s="1">
        <f>IF(B283="", "", "Mus musculus")</f>
        <v>0</v>
      </c>
      <c r="I283" s="1">
        <f>IF(B283="", "", "10090")</f>
        <v>0</v>
      </c>
      <c r="J283" s="2">
        <f>IF(B283="", "", "missing: not provided")</f>
        <v>0</v>
      </c>
      <c r="K283" s="1">
        <f>IF(B283="", "", "g")</f>
        <v>0</v>
      </c>
    </row>
    <row r="284" spans="1:11">
      <c r="A284">
        <f>IF(COUNTBLANK(B284:K284)&lt;&gt;COLUMNS(B284:K284),283,"")</f>
        <v>0</v>
      </c>
      <c r="C284" s="1">
        <f>IF(B284="", "", "urban biome")</f>
        <v>0</v>
      </c>
      <c r="D284" s="1">
        <f>IF(B284="", "", "animal-associated habitat")</f>
        <v>0</v>
      </c>
      <c r="E284" s="2">
        <f>IF(B284="", "", "missing: not provided")</f>
        <v>0</v>
      </c>
      <c r="F284" s="1">
        <f>IF(B284="", "", "weeks")</f>
        <v>0</v>
      </c>
      <c r="G284" s="1">
        <f>IF(B284="", "", "mouse")</f>
        <v>0</v>
      </c>
      <c r="H284" s="1">
        <f>IF(B284="", "", "Mus musculus")</f>
        <v>0</v>
      </c>
      <c r="I284" s="1">
        <f>IF(B284="", "", "10090")</f>
        <v>0</v>
      </c>
      <c r="J284" s="2">
        <f>IF(B284="", "", "missing: not provided")</f>
        <v>0</v>
      </c>
      <c r="K284" s="1">
        <f>IF(B284="", "", "g")</f>
        <v>0</v>
      </c>
    </row>
    <row r="285" spans="1:11">
      <c r="A285">
        <f>IF(COUNTBLANK(B285:K285)&lt;&gt;COLUMNS(B285:K285),284,"")</f>
        <v>0</v>
      </c>
      <c r="C285" s="1">
        <f>IF(B285="", "", "urban biome")</f>
        <v>0</v>
      </c>
      <c r="D285" s="1">
        <f>IF(B285="", "", "animal-associated habitat")</f>
        <v>0</v>
      </c>
      <c r="E285" s="2">
        <f>IF(B285="", "", "missing: not provided")</f>
        <v>0</v>
      </c>
      <c r="F285" s="1">
        <f>IF(B285="", "", "weeks")</f>
        <v>0</v>
      </c>
      <c r="G285" s="1">
        <f>IF(B285="", "", "mouse")</f>
        <v>0</v>
      </c>
      <c r="H285" s="1">
        <f>IF(B285="", "", "Mus musculus")</f>
        <v>0</v>
      </c>
      <c r="I285" s="1">
        <f>IF(B285="", "", "10090")</f>
        <v>0</v>
      </c>
      <c r="J285" s="2">
        <f>IF(B285="", "", "missing: not provided")</f>
        <v>0</v>
      </c>
      <c r="K285" s="1">
        <f>IF(B285="", "", "g")</f>
        <v>0</v>
      </c>
    </row>
    <row r="286" spans="1:11">
      <c r="A286">
        <f>IF(COUNTBLANK(B286:K286)&lt;&gt;COLUMNS(B286:K286),285,"")</f>
        <v>0</v>
      </c>
      <c r="C286" s="1">
        <f>IF(B286="", "", "urban biome")</f>
        <v>0</v>
      </c>
      <c r="D286" s="1">
        <f>IF(B286="", "", "animal-associated habitat")</f>
        <v>0</v>
      </c>
      <c r="E286" s="2">
        <f>IF(B286="", "", "missing: not provided")</f>
        <v>0</v>
      </c>
      <c r="F286" s="1">
        <f>IF(B286="", "", "weeks")</f>
        <v>0</v>
      </c>
      <c r="G286" s="1">
        <f>IF(B286="", "", "mouse")</f>
        <v>0</v>
      </c>
      <c r="H286" s="1">
        <f>IF(B286="", "", "Mus musculus")</f>
        <v>0</v>
      </c>
      <c r="I286" s="1">
        <f>IF(B286="", "", "10090")</f>
        <v>0</v>
      </c>
      <c r="J286" s="2">
        <f>IF(B286="", "", "missing: not provided")</f>
        <v>0</v>
      </c>
      <c r="K286" s="1">
        <f>IF(B286="", "", "g")</f>
        <v>0</v>
      </c>
    </row>
    <row r="287" spans="1:11">
      <c r="A287">
        <f>IF(COUNTBLANK(B287:K287)&lt;&gt;COLUMNS(B287:K287),286,"")</f>
        <v>0</v>
      </c>
      <c r="C287" s="1">
        <f>IF(B287="", "", "urban biome")</f>
        <v>0</v>
      </c>
      <c r="D287" s="1">
        <f>IF(B287="", "", "animal-associated habitat")</f>
        <v>0</v>
      </c>
      <c r="E287" s="2">
        <f>IF(B287="", "", "missing: not provided")</f>
        <v>0</v>
      </c>
      <c r="F287" s="1">
        <f>IF(B287="", "", "weeks")</f>
        <v>0</v>
      </c>
      <c r="G287" s="1">
        <f>IF(B287="", "", "mouse")</f>
        <v>0</v>
      </c>
      <c r="H287" s="1">
        <f>IF(B287="", "", "Mus musculus")</f>
        <v>0</v>
      </c>
      <c r="I287" s="1">
        <f>IF(B287="", "", "10090")</f>
        <v>0</v>
      </c>
      <c r="J287" s="2">
        <f>IF(B287="", "", "missing: not provided")</f>
        <v>0</v>
      </c>
      <c r="K287" s="1">
        <f>IF(B287="", "", "g")</f>
        <v>0</v>
      </c>
    </row>
    <row r="288" spans="1:11">
      <c r="A288">
        <f>IF(COUNTBLANK(B288:K288)&lt;&gt;COLUMNS(B288:K288),287,"")</f>
        <v>0</v>
      </c>
      <c r="C288" s="1">
        <f>IF(B288="", "", "urban biome")</f>
        <v>0</v>
      </c>
      <c r="D288" s="1">
        <f>IF(B288="", "", "animal-associated habitat")</f>
        <v>0</v>
      </c>
      <c r="E288" s="2">
        <f>IF(B288="", "", "missing: not provided")</f>
        <v>0</v>
      </c>
      <c r="F288" s="1">
        <f>IF(B288="", "", "weeks")</f>
        <v>0</v>
      </c>
      <c r="G288" s="1">
        <f>IF(B288="", "", "mouse")</f>
        <v>0</v>
      </c>
      <c r="H288" s="1">
        <f>IF(B288="", "", "Mus musculus")</f>
        <v>0</v>
      </c>
      <c r="I288" s="1">
        <f>IF(B288="", "", "10090")</f>
        <v>0</v>
      </c>
      <c r="J288" s="2">
        <f>IF(B288="", "", "missing: not provided")</f>
        <v>0</v>
      </c>
      <c r="K288" s="1">
        <f>IF(B288="", "", "g")</f>
        <v>0</v>
      </c>
    </row>
    <row r="289" spans="1:11">
      <c r="A289">
        <f>IF(COUNTBLANK(B289:K289)&lt;&gt;COLUMNS(B289:K289),288,"")</f>
        <v>0</v>
      </c>
      <c r="C289" s="1">
        <f>IF(B289="", "", "urban biome")</f>
        <v>0</v>
      </c>
      <c r="D289" s="1">
        <f>IF(B289="", "", "animal-associated habitat")</f>
        <v>0</v>
      </c>
      <c r="E289" s="2">
        <f>IF(B289="", "", "missing: not provided")</f>
        <v>0</v>
      </c>
      <c r="F289" s="1">
        <f>IF(B289="", "", "weeks")</f>
        <v>0</v>
      </c>
      <c r="G289" s="1">
        <f>IF(B289="", "", "mouse")</f>
        <v>0</v>
      </c>
      <c r="H289" s="1">
        <f>IF(B289="", "", "Mus musculus")</f>
        <v>0</v>
      </c>
      <c r="I289" s="1">
        <f>IF(B289="", "", "10090")</f>
        <v>0</v>
      </c>
      <c r="J289" s="2">
        <f>IF(B289="", "", "missing: not provided")</f>
        <v>0</v>
      </c>
      <c r="K289" s="1">
        <f>IF(B289="", "", "g")</f>
        <v>0</v>
      </c>
    </row>
    <row r="290" spans="1:11">
      <c r="A290">
        <f>IF(COUNTBLANK(B290:K290)&lt;&gt;COLUMNS(B290:K290),289,"")</f>
        <v>0</v>
      </c>
      <c r="C290" s="1">
        <f>IF(B290="", "", "urban biome")</f>
        <v>0</v>
      </c>
      <c r="D290" s="1">
        <f>IF(B290="", "", "animal-associated habitat")</f>
        <v>0</v>
      </c>
      <c r="E290" s="2">
        <f>IF(B290="", "", "missing: not provided")</f>
        <v>0</v>
      </c>
      <c r="F290" s="1">
        <f>IF(B290="", "", "weeks")</f>
        <v>0</v>
      </c>
      <c r="G290" s="1">
        <f>IF(B290="", "", "mouse")</f>
        <v>0</v>
      </c>
      <c r="H290" s="1">
        <f>IF(B290="", "", "Mus musculus")</f>
        <v>0</v>
      </c>
      <c r="I290" s="1">
        <f>IF(B290="", "", "10090")</f>
        <v>0</v>
      </c>
      <c r="J290" s="2">
        <f>IF(B290="", "", "missing: not provided")</f>
        <v>0</v>
      </c>
      <c r="K290" s="1">
        <f>IF(B290="", "", "g")</f>
        <v>0</v>
      </c>
    </row>
    <row r="291" spans="1:11">
      <c r="A291">
        <f>IF(COUNTBLANK(B291:K291)&lt;&gt;COLUMNS(B291:K291),290,"")</f>
        <v>0</v>
      </c>
      <c r="C291" s="1">
        <f>IF(B291="", "", "urban biome")</f>
        <v>0</v>
      </c>
      <c r="D291" s="1">
        <f>IF(B291="", "", "animal-associated habitat")</f>
        <v>0</v>
      </c>
      <c r="E291" s="2">
        <f>IF(B291="", "", "missing: not provided")</f>
        <v>0</v>
      </c>
      <c r="F291" s="1">
        <f>IF(B291="", "", "weeks")</f>
        <v>0</v>
      </c>
      <c r="G291" s="1">
        <f>IF(B291="", "", "mouse")</f>
        <v>0</v>
      </c>
      <c r="H291" s="1">
        <f>IF(B291="", "", "Mus musculus")</f>
        <v>0</v>
      </c>
      <c r="I291" s="1">
        <f>IF(B291="", "", "10090")</f>
        <v>0</v>
      </c>
      <c r="J291" s="2">
        <f>IF(B291="", "", "missing: not provided")</f>
        <v>0</v>
      </c>
      <c r="K291" s="1">
        <f>IF(B291="", "", "g")</f>
        <v>0</v>
      </c>
    </row>
    <row r="292" spans="1:11">
      <c r="A292">
        <f>IF(COUNTBLANK(B292:K292)&lt;&gt;COLUMNS(B292:K292),291,"")</f>
        <v>0</v>
      </c>
      <c r="C292" s="1">
        <f>IF(B292="", "", "urban biome")</f>
        <v>0</v>
      </c>
      <c r="D292" s="1">
        <f>IF(B292="", "", "animal-associated habitat")</f>
        <v>0</v>
      </c>
      <c r="E292" s="2">
        <f>IF(B292="", "", "missing: not provided")</f>
        <v>0</v>
      </c>
      <c r="F292" s="1">
        <f>IF(B292="", "", "weeks")</f>
        <v>0</v>
      </c>
      <c r="G292" s="1">
        <f>IF(B292="", "", "mouse")</f>
        <v>0</v>
      </c>
      <c r="H292" s="1">
        <f>IF(B292="", "", "Mus musculus")</f>
        <v>0</v>
      </c>
      <c r="I292" s="1">
        <f>IF(B292="", "", "10090")</f>
        <v>0</v>
      </c>
      <c r="J292" s="2">
        <f>IF(B292="", "", "missing: not provided")</f>
        <v>0</v>
      </c>
      <c r="K292" s="1">
        <f>IF(B292="", "", "g")</f>
        <v>0</v>
      </c>
    </row>
    <row r="293" spans="1:11">
      <c r="A293">
        <f>IF(COUNTBLANK(B293:K293)&lt;&gt;COLUMNS(B293:K293),292,"")</f>
        <v>0</v>
      </c>
      <c r="C293" s="1">
        <f>IF(B293="", "", "urban biome")</f>
        <v>0</v>
      </c>
      <c r="D293" s="1">
        <f>IF(B293="", "", "animal-associated habitat")</f>
        <v>0</v>
      </c>
      <c r="E293" s="2">
        <f>IF(B293="", "", "missing: not provided")</f>
        <v>0</v>
      </c>
      <c r="F293" s="1">
        <f>IF(B293="", "", "weeks")</f>
        <v>0</v>
      </c>
      <c r="G293" s="1">
        <f>IF(B293="", "", "mouse")</f>
        <v>0</v>
      </c>
      <c r="H293" s="1">
        <f>IF(B293="", "", "Mus musculus")</f>
        <v>0</v>
      </c>
      <c r="I293" s="1">
        <f>IF(B293="", "", "10090")</f>
        <v>0</v>
      </c>
      <c r="J293" s="2">
        <f>IF(B293="", "", "missing: not provided")</f>
        <v>0</v>
      </c>
      <c r="K293" s="1">
        <f>IF(B293="", "", "g")</f>
        <v>0</v>
      </c>
    </row>
    <row r="294" spans="1:11">
      <c r="A294">
        <f>IF(COUNTBLANK(B294:K294)&lt;&gt;COLUMNS(B294:K294),293,"")</f>
        <v>0</v>
      </c>
      <c r="C294" s="1">
        <f>IF(B294="", "", "urban biome")</f>
        <v>0</v>
      </c>
      <c r="D294" s="1">
        <f>IF(B294="", "", "animal-associated habitat")</f>
        <v>0</v>
      </c>
      <c r="E294" s="2">
        <f>IF(B294="", "", "missing: not provided")</f>
        <v>0</v>
      </c>
      <c r="F294" s="1">
        <f>IF(B294="", "", "weeks")</f>
        <v>0</v>
      </c>
      <c r="G294" s="1">
        <f>IF(B294="", "", "mouse")</f>
        <v>0</v>
      </c>
      <c r="H294" s="1">
        <f>IF(B294="", "", "Mus musculus")</f>
        <v>0</v>
      </c>
      <c r="I294" s="1">
        <f>IF(B294="", "", "10090")</f>
        <v>0</v>
      </c>
      <c r="J294" s="2">
        <f>IF(B294="", "", "missing: not provided")</f>
        <v>0</v>
      </c>
      <c r="K294" s="1">
        <f>IF(B294="", "", "g")</f>
        <v>0</v>
      </c>
    </row>
    <row r="295" spans="1:11">
      <c r="A295">
        <f>IF(COUNTBLANK(B295:K295)&lt;&gt;COLUMNS(B295:K295),294,"")</f>
        <v>0</v>
      </c>
      <c r="C295" s="1">
        <f>IF(B295="", "", "urban biome")</f>
        <v>0</v>
      </c>
      <c r="D295" s="1">
        <f>IF(B295="", "", "animal-associated habitat")</f>
        <v>0</v>
      </c>
      <c r="E295" s="2">
        <f>IF(B295="", "", "missing: not provided")</f>
        <v>0</v>
      </c>
      <c r="F295" s="1">
        <f>IF(B295="", "", "weeks")</f>
        <v>0</v>
      </c>
      <c r="G295" s="1">
        <f>IF(B295="", "", "mouse")</f>
        <v>0</v>
      </c>
      <c r="H295" s="1">
        <f>IF(B295="", "", "Mus musculus")</f>
        <v>0</v>
      </c>
      <c r="I295" s="1">
        <f>IF(B295="", "", "10090")</f>
        <v>0</v>
      </c>
      <c r="J295" s="2">
        <f>IF(B295="", "", "missing: not provided")</f>
        <v>0</v>
      </c>
      <c r="K295" s="1">
        <f>IF(B295="", "", "g")</f>
        <v>0</v>
      </c>
    </row>
    <row r="296" spans="1:11">
      <c r="A296">
        <f>IF(COUNTBLANK(B296:K296)&lt;&gt;COLUMNS(B296:K296),295,"")</f>
        <v>0</v>
      </c>
      <c r="C296" s="1">
        <f>IF(B296="", "", "urban biome")</f>
        <v>0</v>
      </c>
      <c r="D296" s="1">
        <f>IF(B296="", "", "animal-associated habitat")</f>
        <v>0</v>
      </c>
      <c r="E296" s="2">
        <f>IF(B296="", "", "missing: not provided")</f>
        <v>0</v>
      </c>
      <c r="F296" s="1">
        <f>IF(B296="", "", "weeks")</f>
        <v>0</v>
      </c>
      <c r="G296" s="1">
        <f>IF(B296="", "", "mouse")</f>
        <v>0</v>
      </c>
      <c r="H296" s="1">
        <f>IF(B296="", "", "Mus musculus")</f>
        <v>0</v>
      </c>
      <c r="I296" s="1">
        <f>IF(B296="", "", "10090")</f>
        <v>0</v>
      </c>
      <c r="J296" s="2">
        <f>IF(B296="", "", "missing: not provided")</f>
        <v>0</v>
      </c>
      <c r="K296" s="1">
        <f>IF(B296="", "", "g")</f>
        <v>0</v>
      </c>
    </row>
    <row r="297" spans="1:11">
      <c r="A297">
        <f>IF(COUNTBLANK(B297:K297)&lt;&gt;COLUMNS(B297:K297),296,"")</f>
        <v>0</v>
      </c>
      <c r="C297" s="1">
        <f>IF(B297="", "", "urban biome")</f>
        <v>0</v>
      </c>
      <c r="D297" s="1">
        <f>IF(B297="", "", "animal-associated habitat")</f>
        <v>0</v>
      </c>
      <c r="E297" s="2">
        <f>IF(B297="", "", "missing: not provided")</f>
        <v>0</v>
      </c>
      <c r="F297" s="1">
        <f>IF(B297="", "", "weeks")</f>
        <v>0</v>
      </c>
      <c r="G297" s="1">
        <f>IF(B297="", "", "mouse")</f>
        <v>0</v>
      </c>
      <c r="H297" s="1">
        <f>IF(B297="", "", "Mus musculus")</f>
        <v>0</v>
      </c>
      <c r="I297" s="1">
        <f>IF(B297="", "", "10090")</f>
        <v>0</v>
      </c>
      <c r="J297" s="2">
        <f>IF(B297="", "", "missing: not provided")</f>
        <v>0</v>
      </c>
      <c r="K297" s="1">
        <f>IF(B297="", "", "g")</f>
        <v>0</v>
      </c>
    </row>
    <row r="298" spans="1:11">
      <c r="A298">
        <f>IF(COUNTBLANK(B298:K298)&lt;&gt;COLUMNS(B298:K298),297,"")</f>
        <v>0</v>
      </c>
      <c r="C298" s="1">
        <f>IF(B298="", "", "urban biome")</f>
        <v>0</v>
      </c>
      <c r="D298" s="1">
        <f>IF(B298="", "", "animal-associated habitat")</f>
        <v>0</v>
      </c>
      <c r="E298" s="2">
        <f>IF(B298="", "", "missing: not provided")</f>
        <v>0</v>
      </c>
      <c r="F298" s="1">
        <f>IF(B298="", "", "weeks")</f>
        <v>0</v>
      </c>
      <c r="G298" s="1">
        <f>IF(B298="", "", "mouse")</f>
        <v>0</v>
      </c>
      <c r="H298" s="1">
        <f>IF(B298="", "", "Mus musculus")</f>
        <v>0</v>
      </c>
      <c r="I298" s="1">
        <f>IF(B298="", "", "10090")</f>
        <v>0</v>
      </c>
      <c r="J298" s="2">
        <f>IF(B298="", "", "missing: not provided")</f>
        <v>0</v>
      </c>
      <c r="K298" s="1">
        <f>IF(B298="", "", "g")</f>
        <v>0</v>
      </c>
    </row>
    <row r="299" spans="1:11">
      <c r="A299">
        <f>IF(COUNTBLANK(B299:K299)&lt;&gt;COLUMNS(B299:K299),298,"")</f>
        <v>0</v>
      </c>
      <c r="C299" s="1">
        <f>IF(B299="", "", "urban biome")</f>
        <v>0</v>
      </c>
      <c r="D299" s="1">
        <f>IF(B299="", "", "animal-associated habitat")</f>
        <v>0</v>
      </c>
      <c r="E299" s="2">
        <f>IF(B299="", "", "missing: not provided")</f>
        <v>0</v>
      </c>
      <c r="F299" s="1">
        <f>IF(B299="", "", "weeks")</f>
        <v>0</v>
      </c>
      <c r="G299" s="1">
        <f>IF(B299="", "", "mouse")</f>
        <v>0</v>
      </c>
      <c r="H299" s="1">
        <f>IF(B299="", "", "Mus musculus")</f>
        <v>0</v>
      </c>
      <c r="I299" s="1">
        <f>IF(B299="", "", "10090")</f>
        <v>0</v>
      </c>
      <c r="J299" s="2">
        <f>IF(B299="", "", "missing: not provided")</f>
        <v>0</v>
      </c>
      <c r="K299" s="1">
        <f>IF(B299="", "", "g")</f>
        <v>0</v>
      </c>
    </row>
    <row r="300" spans="1:11">
      <c r="A300">
        <f>IF(COUNTBLANK(B300:K300)&lt;&gt;COLUMNS(B300:K300),299,"")</f>
        <v>0</v>
      </c>
      <c r="C300" s="1">
        <f>IF(B300="", "", "urban biome")</f>
        <v>0</v>
      </c>
      <c r="D300" s="1">
        <f>IF(B300="", "", "animal-associated habitat")</f>
        <v>0</v>
      </c>
      <c r="E300" s="2">
        <f>IF(B300="", "", "missing: not provided")</f>
        <v>0</v>
      </c>
      <c r="F300" s="1">
        <f>IF(B300="", "", "weeks")</f>
        <v>0</v>
      </c>
      <c r="G300" s="1">
        <f>IF(B300="", "", "mouse")</f>
        <v>0</v>
      </c>
      <c r="H300" s="1">
        <f>IF(B300="", "", "Mus musculus")</f>
        <v>0</v>
      </c>
      <c r="I300" s="1">
        <f>IF(B300="", "", "10090")</f>
        <v>0</v>
      </c>
      <c r="J300" s="2">
        <f>IF(B300="", "", "missing: not provided")</f>
        <v>0</v>
      </c>
      <c r="K300" s="1">
        <f>IF(B300="", "", "g")</f>
        <v>0</v>
      </c>
    </row>
    <row r="301" spans="1:11">
      <c r="A301">
        <f>IF(COUNTBLANK(B301:K301)&lt;&gt;COLUMNS(B301:K301),300,"")</f>
        <v>0</v>
      </c>
      <c r="C301" s="1">
        <f>IF(B301="", "", "urban biome")</f>
        <v>0</v>
      </c>
      <c r="D301" s="1">
        <f>IF(B301="", "", "animal-associated habitat")</f>
        <v>0</v>
      </c>
      <c r="E301" s="2">
        <f>IF(B301="", "", "missing: not provided")</f>
        <v>0</v>
      </c>
      <c r="F301" s="1">
        <f>IF(B301="", "", "weeks")</f>
        <v>0</v>
      </c>
      <c r="G301" s="1">
        <f>IF(B301="", "", "mouse")</f>
        <v>0</v>
      </c>
      <c r="H301" s="1">
        <f>IF(B301="", "", "Mus musculus")</f>
        <v>0</v>
      </c>
      <c r="I301" s="1">
        <f>IF(B301="", "", "10090")</f>
        <v>0</v>
      </c>
      <c r="J301" s="2">
        <f>IF(B301="", "", "missing: not provided")</f>
        <v>0</v>
      </c>
      <c r="K301" s="1">
        <f>IF(B301="", "", "g")</f>
        <v>0</v>
      </c>
    </row>
    <row r="302" spans="1:11">
      <c r="A302">
        <f>IF(COUNTBLANK(B302:K302)&lt;&gt;COLUMNS(B302:K302),301,"")</f>
        <v>0</v>
      </c>
      <c r="C302" s="1">
        <f>IF(B302="", "", "urban biome")</f>
        <v>0</v>
      </c>
      <c r="D302" s="1">
        <f>IF(B302="", "", "animal-associated habitat")</f>
        <v>0</v>
      </c>
      <c r="E302" s="2">
        <f>IF(B302="", "", "missing: not provided")</f>
        <v>0</v>
      </c>
      <c r="F302" s="1">
        <f>IF(B302="", "", "weeks")</f>
        <v>0</v>
      </c>
      <c r="G302" s="1">
        <f>IF(B302="", "", "mouse")</f>
        <v>0</v>
      </c>
      <c r="H302" s="1">
        <f>IF(B302="", "", "Mus musculus")</f>
        <v>0</v>
      </c>
      <c r="I302" s="1">
        <f>IF(B302="", "", "10090")</f>
        <v>0</v>
      </c>
      <c r="J302" s="2">
        <f>IF(B302="", "", "missing: not provided")</f>
        <v>0</v>
      </c>
      <c r="K302" s="1">
        <f>IF(B302="", "", "g")</f>
        <v>0</v>
      </c>
    </row>
    <row r="303" spans="1:11">
      <c r="A303">
        <f>IF(COUNTBLANK(B303:K303)&lt;&gt;COLUMNS(B303:K303),302,"")</f>
        <v>0</v>
      </c>
      <c r="C303" s="1">
        <f>IF(B303="", "", "urban biome")</f>
        <v>0</v>
      </c>
      <c r="D303" s="1">
        <f>IF(B303="", "", "animal-associated habitat")</f>
        <v>0</v>
      </c>
      <c r="E303" s="2">
        <f>IF(B303="", "", "missing: not provided")</f>
        <v>0</v>
      </c>
      <c r="F303" s="1">
        <f>IF(B303="", "", "weeks")</f>
        <v>0</v>
      </c>
      <c r="G303" s="1">
        <f>IF(B303="", "", "mouse")</f>
        <v>0</v>
      </c>
      <c r="H303" s="1">
        <f>IF(B303="", "", "Mus musculus")</f>
        <v>0</v>
      </c>
      <c r="I303" s="1">
        <f>IF(B303="", "", "10090")</f>
        <v>0</v>
      </c>
      <c r="J303" s="2">
        <f>IF(B303="", "", "missing: not provided")</f>
        <v>0</v>
      </c>
      <c r="K303" s="1">
        <f>IF(B303="", "", "g")</f>
        <v>0</v>
      </c>
    </row>
    <row r="304" spans="1:11">
      <c r="A304">
        <f>IF(COUNTBLANK(B304:K304)&lt;&gt;COLUMNS(B304:K304),303,"")</f>
        <v>0</v>
      </c>
      <c r="C304" s="1">
        <f>IF(B304="", "", "urban biome")</f>
        <v>0</v>
      </c>
      <c r="D304" s="1">
        <f>IF(B304="", "", "animal-associated habitat")</f>
        <v>0</v>
      </c>
      <c r="E304" s="2">
        <f>IF(B304="", "", "missing: not provided")</f>
        <v>0</v>
      </c>
      <c r="F304" s="1">
        <f>IF(B304="", "", "weeks")</f>
        <v>0</v>
      </c>
      <c r="G304" s="1">
        <f>IF(B304="", "", "mouse")</f>
        <v>0</v>
      </c>
      <c r="H304" s="1">
        <f>IF(B304="", "", "Mus musculus")</f>
        <v>0</v>
      </c>
      <c r="I304" s="1">
        <f>IF(B304="", "", "10090")</f>
        <v>0</v>
      </c>
      <c r="J304" s="2">
        <f>IF(B304="", "", "missing: not provided")</f>
        <v>0</v>
      </c>
      <c r="K304" s="1">
        <f>IF(B304="", "", "g")</f>
        <v>0</v>
      </c>
    </row>
    <row r="305" spans="1:11">
      <c r="A305">
        <f>IF(COUNTBLANK(B305:K305)&lt;&gt;COLUMNS(B305:K305),304,"")</f>
        <v>0</v>
      </c>
      <c r="C305" s="1">
        <f>IF(B305="", "", "urban biome")</f>
        <v>0</v>
      </c>
      <c r="D305" s="1">
        <f>IF(B305="", "", "animal-associated habitat")</f>
        <v>0</v>
      </c>
      <c r="E305" s="2">
        <f>IF(B305="", "", "missing: not provided")</f>
        <v>0</v>
      </c>
      <c r="F305" s="1">
        <f>IF(B305="", "", "weeks")</f>
        <v>0</v>
      </c>
      <c r="G305" s="1">
        <f>IF(B305="", "", "mouse")</f>
        <v>0</v>
      </c>
      <c r="H305" s="1">
        <f>IF(B305="", "", "Mus musculus")</f>
        <v>0</v>
      </c>
      <c r="I305" s="1">
        <f>IF(B305="", "", "10090")</f>
        <v>0</v>
      </c>
      <c r="J305" s="2">
        <f>IF(B305="", "", "missing: not provided")</f>
        <v>0</v>
      </c>
      <c r="K305" s="1">
        <f>IF(B305="", "", "g")</f>
        <v>0</v>
      </c>
    </row>
    <row r="306" spans="1:11">
      <c r="A306">
        <f>IF(COUNTBLANK(B306:K306)&lt;&gt;COLUMNS(B306:K306),305,"")</f>
        <v>0</v>
      </c>
      <c r="C306" s="1">
        <f>IF(B306="", "", "urban biome")</f>
        <v>0</v>
      </c>
      <c r="D306" s="1">
        <f>IF(B306="", "", "animal-associated habitat")</f>
        <v>0</v>
      </c>
      <c r="E306" s="2">
        <f>IF(B306="", "", "missing: not provided")</f>
        <v>0</v>
      </c>
      <c r="F306" s="1">
        <f>IF(B306="", "", "weeks")</f>
        <v>0</v>
      </c>
      <c r="G306" s="1">
        <f>IF(B306="", "", "mouse")</f>
        <v>0</v>
      </c>
      <c r="H306" s="1">
        <f>IF(B306="", "", "Mus musculus")</f>
        <v>0</v>
      </c>
      <c r="I306" s="1">
        <f>IF(B306="", "", "10090")</f>
        <v>0</v>
      </c>
      <c r="J306" s="2">
        <f>IF(B306="", "", "missing: not provided")</f>
        <v>0</v>
      </c>
      <c r="K306" s="1">
        <f>IF(B306="", "", "g")</f>
        <v>0</v>
      </c>
    </row>
    <row r="307" spans="1:11">
      <c r="A307">
        <f>IF(COUNTBLANK(B307:K307)&lt;&gt;COLUMNS(B307:K307),306,"")</f>
        <v>0</v>
      </c>
      <c r="C307" s="1">
        <f>IF(B307="", "", "urban biome")</f>
        <v>0</v>
      </c>
      <c r="D307" s="1">
        <f>IF(B307="", "", "animal-associated habitat")</f>
        <v>0</v>
      </c>
      <c r="E307" s="2">
        <f>IF(B307="", "", "missing: not provided")</f>
        <v>0</v>
      </c>
      <c r="F307" s="1">
        <f>IF(B307="", "", "weeks")</f>
        <v>0</v>
      </c>
      <c r="G307" s="1">
        <f>IF(B307="", "", "mouse")</f>
        <v>0</v>
      </c>
      <c r="H307" s="1">
        <f>IF(B307="", "", "Mus musculus")</f>
        <v>0</v>
      </c>
      <c r="I307" s="1">
        <f>IF(B307="", "", "10090")</f>
        <v>0</v>
      </c>
      <c r="J307" s="2">
        <f>IF(B307="", "", "missing: not provided")</f>
        <v>0</v>
      </c>
      <c r="K307" s="1">
        <f>IF(B307="", "", "g")</f>
        <v>0</v>
      </c>
    </row>
    <row r="308" spans="1:11">
      <c r="A308">
        <f>IF(COUNTBLANK(B308:K308)&lt;&gt;COLUMNS(B308:K308),307,"")</f>
        <v>0</v>
      </c>
      <c r="C308" s="1">
        <f>IF(B308="", "", "urban biome")</f>
        <v>0</v>
      </c>
      <c r="D308" s="1">
        <f>IF(B308="", "", "animal-associated habitat")</f>
        <v>0</v>
      </c>
      <c r="E308" s="2">
        <f>IF(B308="", "", "missing: not provided")</f>
        <v>0</v>
      </c>
      <c r="F308" s="1">
        <f>IF(B308="", "", "weeks")</f>
        <v>0</v>
      </c>
      <c r="G308" s="1">
        <f>IF(B308="", "", "mouse")</f>
        <v>0</v>
      </c>
      <c r="H308" s="1">
        <f>IF(B308="", "", "Mus musculus")</f>
        <v>0</v>
      </c>
      <c r="I308" s="1">
        <f>IF(B308="", "", "10090")</f>
        <v>0</v>
      </c>
      <c r="J308" s="2">
        <f>IF(B308="", "", "missing: not provided")</f>
        <v>0</v>
      </c>
      <c r="K308" s="1">
        <f>IF(B308="", "", "g")</f>
        <v>0</v>
      </c>
    </row>
    <row r="309" spans="1:11">
      <c r="A309">
        <f>IF(COUNTBLANK(B309:K309)&lt;&gt;COLUMNS(B309:K309),308,"")</f>
        <v>0</v>
      </c>
      <c r="C309" s="1">
        <f>IF(B309="", "", "urban biome")</f>
        <v>0</v>
      </c>
      <c r="D309" s="1">
        <f>IF(B309="", "", "animal-associated habitat")</f>
        <v>0</v>
      </c>
      <c r="E309" s="2">
        <f>IF(B309="", "", "missing: not provided")</f>
        <v>0</v>
      </c>
      <c r="F309" s="1">
        <f>IF(B309="", "", "weeks")</f>
        <v>0</v>
      </c>
      <c r="G309" s="1">
        <f>IF(B309="", "", "mouse")</f>
        <v>0</v>
      </c>
      <c r="H309" s="1">
        <f>IF(B309="", "", "Mus musculus")</f>
        <v>0</v>
      </c>
      <c r="I309" s="1">
        <f>IF(B309="", "", "10090")</f>
        <v>0</v>
      </c>
      <c r="J309" s="2">
        <f>IF(B309="", "", "missing: not provided")</f>
        <v>0</v>
      </c>
      <c r="K309" s="1">
        <f>IF(B309="", "", "g")</f>
        <v>0</v>
      </c>
    </row>
    <row r="310" spans="1:11">
      <c r="A310">
        <f>IF(COUNTBLANK(B310:K310)&lt;&gt;COLUMNS(B310:K310),309,"")</f>
        <v>0</v>
      </c>
      <c r="C310" s="1">
        <f>IF(B310="", "", "urban biome")</f>
        <v>0</v>
      </c>
      <c r="D310" s="1">
        <f>IF(B310="", "", "animal-associated habitat")</f>
        <v>0</v>
      </c>
      <c r="E310" s="2">
        <f>IF(B310="", "", "missing: not provided")</f>
        <v>0</v>
      </c>
      <c r="F310" s="1">
        <f>IF(B310="", "", "weeks")</f>
        <v>0</v>
      </c>
      <c r="G310" s="1">
        <f>IF(B310="", "", "mouse")</f>
        <v>0</v>
      </c>
      <c r="H310" s="1">
        <f>IF(B310="", "", "Mus musculus")</f>
        <v>0</v>
      </c>
      <c r="I310" s="1">
        <f>IF(B310="", "", "10090")</f>
        <v>0</v>
      </c>
      <c r="J310" s="2">
        <f>IF(B310="", "", "missing: not provided")</f>
        <v>0</v>
      </c>
      <c r="K310" s="1">
        <f>IF(B310="", "", "g")</f>
        <v>0</v>
      </c>
    </row>
    <row r="311" spans="1:11">
      <c r="A311">
        <f>IF(COUNTBLANK(B311:K311)&lt;&gt;COLUMNS(B311:K311),310,"")</f>
        <v>0</v>
      </c>
      <c r="C311" s="1">
        <f>IF(B311="", "", "urban biome")</f>
        <v>0</v>
      </c>
      <c r="D311" s="1">
        <f>IF(B311="", "", "animal-associated habitat")</f>
        <v>0</v>
      </c>
      <c r="E311" s="2">
        <f>IF(B311="", "", "missing: not provided")</f>
        <v>0</v>
      </c>
      <c r="F311" s="1">
        <f>IF(B311="", "", "weeks")</f>
        <v>0</v>
      </c>
      <c r="G311" s="1">
        <f>IF(B311="", "", "mouse")</f>
        <v>0</v>
      </c>
      <c r="H311" s="1">
        <f>IF(B311="", "", "Mus musculus")</f>
        <v>0</v>
      </c>
      <c r="I311" s="1">
        <f>IF(B311="", "", "10090")</f>
        <v>0</v>
      </c>
      <c r="J311" s="2">
        <f>IF(B311="", "", "missing: not provided")</f>
        <v>0</v>
      </c>
      <c r="K311" s="1">
        <f>IF(B311="", "", "g")</f>
        <v>0</v>
      </c>
    </row>
    <row r="312" spans="1:11">
      <c r="A312">
        <f>IF(COUNTBLANK(B312:K312)&lt;&gt;COLUMNS(B312:K312),311,"")</f>
        <v>0</v>
      </c>
      <c r="C312" s="1">
        <f>IF(B312="", "", "urban biome")</f>
        <v>0</v>
      </c>
      <c r="D312" s="1">
        <f>IF(B312="", "", "animal-associated habitat")</f>
        <v>0</v>
      </c>
      <c r="E312" s="2">
        <f>IF(B312="", "", "missing: not provided")</f>
        <v>0</v>
      </c>
      <c r="F312" s="1">
        <f>IF(B312="", "", "weeks")</f>
        <v>0</v>
      </c>
      <c r="G312" s="1">
        <f>IF(B312="", "", "mouse")</f>
        <v>0</v>
      </c>
      <c r="H312" s="1">
        <f>IF(B312="", "", "Mus musculus")</f>
        <v>0</v>
      </c>
      <c r="I312" s="1">
        <f>IF(B312="", "", "10090")</f>
        <v>0</v>
      </c>
      <c r="J312" s="2">
        <f>IF(B312="", "", "missing: not provided")</f>
        <v>0</v>
      </c>
      <c r="K312" s="1">
        <f>IF(B312="", "", "g")</f>
        <v>0</v>
      </c>
    </row>
    <row r="313" spans="1:11">
      <c r="A313">
        <f>IF(COUNTBLANK(B313:K313)&lt;&gt;COLUMNS(B313:K313),312,"")</f>
        <v>0</v>
      </c>
      <c r="C313" s="1">
        <f>IF(B313="", "", "urban biome")</f>
        <v>0</v>
      </c>
      <c r="D313" s="1">
        <f>IF(B313="", "", "animal-associated habitat")</f>
        <v>0</v>
      </c>
      <c r="E313" s="2">
        <f>IF(B313="", "", "missing: not provided")</f>
        <v>0</v>
      </c>
      <c r="F313" s="1">
        <f>IF(B313="", "", "weeks")</f>
        <v>0</v>
      </c>
      <c r="G313" s="1">
        <f>IF(B313="", "", "mouse")</f>
        <v>0</v>
      </c>
      <c r="H313" s="1">
        <f>IF(B313="", "", "Mus musculus")</f>
        <v>0</v>
      </c>
      <c r="I313" s="1">
        <f>IF(B313="", "", "10090")</f>
        <v>0</v>
      </c>
      <c r="J313" s="2">
        <f>IF(B313="", "", "missing: not provided")</f>
        <v>0</v>
      </c>
      <c r="K313" s="1">
        <f>IF(B313="", "", "g")</f>
        <v>0</v>
      </c>
    </row>
    <row r="314" spans="1:11">
      <c r="A314">
        <f>IF(COUNTBLANK(B314:K314)&lt;&gt;COLUMNS(B314:K314),313,"")</f>
        <v>0</v>
      </c>
      <c r="C314" s="1">
        <f>IF(B314="", "", "urban biome")</f>
        <v>0</v>
      </c>
      <c r="D314" s="1">
        <f>IF(B314="", "", "animal-associated habitat")</f>
        <v>0</v>
      </c>
      <c r="E314" s="2">
        <f>IF(B314="", "", "missing: not provided")</f>
        <v>0</v>
      </c>
      <c r="F314" s="1">
        <f>IF(B314="", "", "weeks")</f>
        <v>0</v>
      </c>
      <c r="G314" s="1">
        <f>IF(B314="", "", "mouse")</f>
        <v>0</v>
      </c>
      <c r="H314" s="1">
        <f>IF(B314="", "", "Mus musculus")</f>
        <v>0</v>
      </c>
      <c r="I314" s="1">
        <f>IF(B314="", "", "10090")</f>
        <v>0</v>
      </c>
      <c r="J314" s="2">
        <f>IF(B314="", "", "missing: not provided")</f>
        <v>0</v>
      </c>
      <c r="K314" s="1">
        <f>IF(B314="", "", "g")</f>
        <v>0</v>
      </c>
    </row>
    <row r="315" spans="1:11">
      <c r="A315">
        <f>IF(COUNTBLANK(B315:K315)&lt;&gt;COLUMNS(B315:K315),314,"")</f>
        <v>0</v>
      </c>
      <c r="C315" s="1">
        <f>IF(B315="", "", "urban biome")</f>
        <v>0</v>
      </c>
      <c r="D315" s="1">
        <f>IF(B315="", "", "animal-associated habitat")</f>
        <v>0</v>
      </c>
      <c r="E315" s="2">
        <f>IF(B315="", "", "missing: not provided")</f>
        <v>0</v>
      </c>
      <c r="F315" s="1">
        <f>IF(B315="", "", "weeks")</f>
        <v>0</v>
      </c>
      <c r="G315" s="1">
        <f>IF(B315="", "", "mouse")</f>
        <v>0</v>
      </c>
      <c r="H315" s="1">
        <f>IF(B315="", "", "Mus musculus")</f>
        <v>0</v>
      </c>
      <c r="I315" s="1">
        <f>IF(B315="", "", "10090")</f>
        <v>0</v>
      </c>
      <c r="J315" s="2">
        <f>IF(B315="", "", "missing: not provided")</f>
        <v>0</v>
      </c>
      <c r="K315" s="1">
        <f>IF(B315="", "", "g")</f>
        <v>0</v>
      </c>
    </row>
    <row r="316" spans="1:11">
      <c r="A316">
        <f>IF(COUNTBLANK(B316:K316)&lt;&gt;COLUMNS(B316:K316),315,"")</f>
        <v>0</v>
      </c>
      <c r="C316" s="1">
        <f>IF(B316="", "", "urban biome")</f>
        <v>0</v>
      </c>
      <c r="D316" s="1">
        <f>IF(B316="", "", "animal-associated habitat")</f>
        <v>0</v>
      </c>
      <c r="E316" s="2">
        <f>IF(B316="", "", "missing: not provided")</f>
        <v>0</v>
      </c>
      <c r="F316" s="1">
        <f>IF(B316="", "", "weeks")</f>
        <v>0</v>
      </c>
      <c r="G316" s="1">
        <f>IF(B316="", "", "mouse")</f>
        <v>0</v>
      </c>
      <c r="H316" s="1">
        <f>IF(B316="", "", "Mus musculus")</f>
        <v>0</v>
      </c>
      <c r="I316" s="1">
        <f>IF(B316="", "", "10090")</f>
        <v>0</v>
      </c>
      <c r="J316" s="2">
        <f>IF(B316="", "", "missing: not provided")</f>
        <v>0</v>
      </c>
      <c r="K316" s="1">
        <f>IF(B316="", "", "g")</f>
        <v>0</v>
      </c>
    </row>
    <row r="317" spans="1:11">
      <c r="A317">
        <f>IF(COUNTBLANK(B317:K317)&lt;&gt;COLUMNS(B317:K317),316,"")</f>
        <v>0</v>
      </c>
      <c r="C317" s="1">
        <f>IF(B317="", "", "urban biome")</f>
        <v>0</v>
      </c>
      <c r="D317" s="1">
        <f>IF(B317="", "", "animal-associated habitat")</f>
        <v>0</v>
      </c>
      <c r="E317" s="2">
        <f>IF(B317="", "", "missing: not provided")</f>
        <v>0</v>
      </c>
      <c r="F317" s="1">
        <f>IF(B317="", "", "weeks")</f>
        <v>0</v>
      </c>
      <c r="G317" s="1">
        <f>IF(B317="", "", "mouse")</f>
        <v>0</v>
      </c>
      <c r="H317" s="1">
        <f>IF(B317="", "", "Mus musculus")</f>
        <v>0</v>
      </c>
      <c r="I317" s="1">
        <f>IF(B317="", "", "10090")</f>
        <v>0</v>
      </c>
      <c r="J317" s="2">
        <f>IF(B317="", "", "missing: not provided")</f>
        <v>0</v>
      </c>
      <c r="K317" s="1">
        <f>IF(B317="", "", "g")</f>
        <v>0</v>
      </c>
    </row>
    <row r="318" spans="1:11">
      <c r="A318">
        <f>IF(COUNTBLANK(B318:K318)&lt;&gt;COLUMNS(B318:K318),317,"")</f>
        <v>0</v>
      </c>
      <c r="C318" s="1">
        <f>IF(B318="", "", "urban biome")</f>
        <v>0</v>
      </c>
      <c r="D318" s="1">
        <f>IF(B318="", "", "animal-associated habitat")</f>
        <v>0</v>
      </c>
      <c r="E318" s="2">
        <f>IF(B318="", "", "missing: not provided")</f>
        <v>0</v>
      </c>
      <c r="F318" s="1">
        <f>IF(B318="", "", "weeks")</f>
        <v>0</v>
      </c>
      <c r="G318" s="1">
        <f>IF(B318="", "", "mouse")</f>
        <v>0</v>
      </c>
      <c r="H318" s="1">
        <f>IF(B318="", "", "Mus musculus")</f>
        <v>0</v>
      </c>
      <c r="I318" s="1">
        <f>IF(B318="", "", "10090")</f>
        <v>0</v>
      </c>
      <c r="J318" s="2">
        <f>IF(B318="", "", "missing: not provided")</f>
        <v>0</v>
      </c>
      <c r="K318" s="1">
        <f>IF(B318="", "", "g")</f>
        <v>0</v>
      </c>
    </row>
    <row r="319" spans="1:11">
      <c r="A319">
        <f>IF(COUNTBLANK(B319:K319)&lt;&gt;COLUMNS(B319:K319),318,"")</f>
        <v>0</v>
      </c>
      <c r="C319" s="1">
        <f>IF(B319="", "", "urban biome")</f>
        <v>0</v>
      </c>
      <c r="D319" s="1">
        <f>IF(B319="", "", "animal-associated habitat")</f>
        <v>0</v>
      </c>
      <c r="E319" s="2">
        <f>IF(B319="", "", "missing: not provided")</f>
        <v>0</v>
      </c>
      <c r="F319" s="1">
        <f>IF(B319="", "", "weeks")</f>
        <v>0</v>
      </c>
      <c r="G319" s="1">
        <f>IF(B319="", "", "mouse")</f>
        <v>0</v>
      </c>
      <c r="H319" s="1">
        <f>IF(B319="", "", "Mus musculus")</f>
        <v>0</v>
      </c>
      <c r="I319" s="1">
        <f>IF(B319="", "", "10090")</f>
        <v>0</v>
      </c>
      <c r="J319" s="2">
        <f>IF(B319="", "", "missing: not provided")</f>
        <v>0</v>
      </c>
      <c r="K319" s="1">
        <f>IF(B319="", "", "g")</f>
        <v>0</v>
      </c>
    </row>
    <row r="320" spans="1:11">
      <c r="A320">
        <f>IF(COUNTBLANK(B320:K320)&lt;&gt;COLUMNS(B320:K320),319,"")</f>
        <v>0</v>
      </c>
      <c r="C320" s="1">
        <f>IF(B320="", "", "urban biome")</f>
        <v>0</v>
      </c>
      <c r="D320" s="1">
        <f>IF(B320="", "", "animal-associated habitat")</f>
        <v>0</v>
      </c>
      <c r="E320" s="2">
        <f>IF(B320="", "", "missing: not provided")</f>
        <v>0</v>
      </c>
      <c r="F320" s="1">
        <f>IF(B320="", "", "weeks")</f>
        <v>0</v>
      </c>
      <c r="G320" s="1">
        <f>IF(B320="", "", "mouse")</f>
        <v>0</v>
      </c>
      <c r="H320" s="1">
        <f>IF(B320="", "", "Mus musculus")</f>
        <v>0</v>
      </c>
      <c r="I320" s="1">
        <f>IF(B320="", "", "10090")</f>
        <v>0</v>
      </c>
      <c r="J320" s="2">
        <f>IF(B320="", "", "missing: not provided")</f>
        <v>0</v>
      </c>
      <c r="K320" s="1">
        <f>IF(B320="", "", "g")</f>
        <v>0</v>
      </c>
    </row>
    <row r="321" spans="1:11">
      <c r="A321">
        <f>IF(COUNTBLANK(B321:K321)&lt;&gt;COLUMNS(B321:K321),320,"")</f>
        <v>0</v>
      </c>
      <c r="C321" s="1">
        <f>IF(B321="", "", "urban biome")</f>
        <v>0</v>
      </c>
      <c r="D321" s="1">
        <f>IF(B321="", "", "animal-associated habitat")</f>
        <v>0</v>
      </c>
      <c r="E321" s="2">
        <f>IF(B321="", "", "missing: not provided")</f>
        <v>0</v>
      </c>
      <c r="F321" s="1">
        <f>IF(B321="", "", "weeks")</f>
        <v>0</v>
      </c>
      <c r="G321" s="1">
        <f>IF(B321="", "", "mouse")</f>
        <v>0</v>
      </c>
      <c r="H321" s="1">
        <f>IF(B321="", "", "Mus musculus")</f>
        <v>0</v>
      </c>
      <c r="I321" s="1">
        <f>IF(B321="", "", "10090")</f>
        <v>0</v>
      </c>
      <c r="J321" s="2">
        <f>IF(B321="", "", "missing: not provided")</f>
        <v>0</v>
      </c>
      <c r="K321" s="1">
        <f>IF(B321="", "", "g")</f>
        <v>0</v>
      </c>
    </row>
    <row r="322" spans="1:11">
      <c r="A322">
        <f>IF(COUNTBLANK(B322:K322)&lt;&gt;COLUMNS(B322:K322),321,"")</f>
        <v>0</v>
      </c>
      <c r="C322" s="1">
        <f>IF(B322="", "", "urban biome")</f>
        <v>0</v>
      </c>
      <c r="D322" s="1">
        <f>IF(B322="", "", "animal-associated habitat")</f>
        <v>0</v>
      </c>
      <c r="E322" s="2">
        <f>IF(B322="", "", "missing: not provided")</f>
        <v>0</v>
      </c>
      <c r="F322" s="1">
        <f>IF(B322="", "", "weeks")</f>
        <v>0</v>
      </c>
      <c r="G322" s="1">
        <f>IF(B322="", "", "mouse")</f>
        <v>0</v>
      </c>
      <c r="H322" s="1">
        <f>IF(B322="", "", "Mus musculus")</f>
        <v>0</v>
      </c>
      <c r="I322" s="1">
        <f>IF(B322="", "", "10090")</f>
        <v>0</v>
      </c>
      <c r="J322" s="2">
        <f>IF(B322="", "", "missing: not provided")</f>
        <v>0</v>
      </c>
      <c r="K322" s="1">
        <f>IF(B322="", "", "g")</f>
        <v>0</v>
      </c>
    </row>
    <row r="323" spans="1:11">
      <c r="A323">
        <f>IF(COUNTBLANK(B323:K323)&lt;&gt;COLUMNS(B323:K323),322,"")</f>
        <v>0</v>
      </c>
      <c r="C323" s="1">
        <f>IF(B323="", "", "urban biome")</f>
        <v>0</v>
      </c>
      <c r="D323" s="1">
        <f>IF(B323="", "", "animal-associated habitat")</f>
        <v>0</v>
      </c>
      <c r="E323" s="2">
        <f>IF(B323="", "", "missing: not provided")</f>
        <v>0</v>
      </c>
      <c r="F323" s="1">
        <f>IF(B323="", "", "weeks")</f>
        <v>0</v>
      </c>
      <c r="G323" s="1">
        <f>IF(B323="", "", "mouse")</f>
        <v>0</v>
      </c>
      <c r="H323" s="1">
        <f>IF(B323="", "", "Mus musculus")</f>
        <v>0</v>
      </c>
      <c r="I323" s="1">
        <f>IF(B323="", "", "10090")</f>
        <v>0</v>
      </c>
      <c r="J323" s="2">
        <f>IF(B323="", "", "missing: not provided")</f>
        <v>0</v>
      </c>
      <c r="K323" s="1">
        <f>IF(B323="", "", "g")</f>
        <v>0</v>
      </c>
    </row>
    <row r="324" spans="1:11">
      <c r="A324">
        <f>IF(COUNTBLANK(B324:K324)&lt;&gt;COLUMNS(B324:K324),323,"")</f>
        <v>0</v>
      </c>
      <c r="C324" s="1">
        <f>IF(B324="", "", "urban biome")</f>
        <v>0</v>
      </c>
      <c r="D324" s="1">
        <f>IF(B324="", "", "animal-associated habitat")</f>
        <v>0</v>
      </c>
      <c r="E324" s="2">
        <f>IF(B324="", "", "missing: not provided")</f>
        <v>0</v>
      </c>
      <c r="F324" s="1">
        <f>IF(B324="", "", "weeks")</f>
        <v>0</v>
      </c>
      <c r="G324" s="1">
        <f>IF(B324="", "", "mouse")</f>
        <v>0</v>
      </c>
      <c r="H324" s="1">
        <f>IF(B324="", "", "Mus musculus")</f>
        <v>0</v>
      </c>
      <c r="I324" s="1">
        <f>IF(B324="", "", "10090")</f>
        <v>0</v>
      </c>
      <c r="J324" s="2">
        <f>IF(B324="", "", "missing: not provided")</f>
        <v>0</v>
      </c>
      <c r="K324" s="1">
        <f>IF(B324="", "", "g")</f>
        <v>0</v>
      </c>
    </row>
    <row r="325" spans="1:11">
      <c r="A325">
        <f>IF(COUNTBLANK(B325:K325)&lt;&gt;COLUMNS(B325:K325),324,"")</f>
        <v>0</v>
      </c>
      <c r="C325" s="1">
        <f>IF(B325="", "", "urban biome")</f>
        <v>0</v>
      </c>
      <c r="D325" s="1">
        <f>IF(B325="", "", "animal-associated habitat")</f>
        <v>0</v>
      </c>
      <c r="E325" s="2">
        <f>IF(B325="", "", "missing: not provided")</f>
        <v>0</v>
      </c>
      <c r="F325" s="1">
        <f>IF(B325="", "", "weeks")</f>
        <v>0</v>
      </c>
      <c r="G325" s="1">
        <f>IF(B325="", "", "mouse")</f>
        <v>0</v>
      </c>
      <c r="H325" s="1">
        <f>IF(B325="", "", "Mus musculus")</f>
        <v>0</v>
      </c>
      <c r="I325" s="1">
        <f>IF(B325="", "", "10090")</f>
        <v>0</v>
      </c>
      <c r="J325" s="2">
        <f>IF(B325="", "", "missing: not provided")</f>
        <v>0</v>
      </c>
      <c r="K325" s="1">
        <f>IF(B325="", "", "g")</f>
        <v>0</v>
      </c>
    </row>
    <row r="326" spans="1:11">
      <c r="A326">
        <f>IF(COUNTBLANK(B326:K326)&lt;&gt;COLUMNS(B326:K326),325,"")</f>
        <v>0</v>
      </c>
      <c r="C326" s="1">
        <f>IF(B326="", "", "urban biome")</f>
        <v>0</v>
      </c>
      <c r="D326" s="1">
        <f>IF(B326="", "", "animal-associated habitat")</f>
        <v>0</v>
      </c>
      <c r="E326" s="2">
        <f>IF(B326="", "", "missing: not provided")</f>
        <v>0</v>
      </c>
      <c r="F326" s="1">
        <f>IF(B326="", "", "weeks")</f>
        <v>0</v>
      </c>
      <c r="G326" s="1">
        <f>IF(B326="", "", "mouse")</f>
        <v>0</v>
      </c>
      <c r="H326" s="1">
        <f>IF(B326="", "", "Mus musculus")</f>
        <v>0</v>
      </c>
      <c r="I326" s="1">
        <f>IF(B326="", "", "10090")</f>
        <v>0</v>
      </c>
      <c r="J326" s="2">
        <f>IF(B326="", "", "missing: not provided")</f>
        <v>0</v>
      </c>
      <c r="K326" s="1">
        <f>IF(B326="", "", "g")</f>
        <v>0</v>
      </c>
    </row>
    <row r="327" spans="1:11">
      <c r="A327">
        <f>IF(COUNTBLANK(B327:K327)&lt;&gt;COLUMNS(B327:K327),326,"")</f>
        <v>0</v>
      </c>
      <c r="C327" s="1">
        <f>IF(B327="", "", "urban biome")</f>
        <v>0</v>
      </c>
      <c r="D327" s="1">
        <f>IF(B327="", "", "animal-associated habitat")</f>
        <v>0</v>
      </c>
      <c r="E327" s="2">
        <f>IF(B327="", "", "missing: not provided")</f>
        <v>0</v>
      </c>
      <c r="F327" s="1">
        <f>IF(B327="", "", "weeks")</f>
        <v>0</v>
      </c>
      <c r="G327" s="1">
        <f>IF(B327="", "", "mouse")</f>
        <v>0</v>
      </c>
      <c r="H327" s="1">
        <f>IF(B327="", "", "Mus musculus")</f>
        <v>0</v>
      </c>
      <c r="I327" s="1">
        <f>IF(B327="", "", "10090")</f>
        <v>0</v>
      </c>
      <c r="J327" s="2">
        <f>IF(B327="", "", "missing: not provided")</f>
        <v>0</v>
      </c>
      <c r="K327" s="1">
        <f>IF(B327="", "", "g")</f>
        <v>0</v>
      </c>
    </row>
    <row r="328" spans="1:11">
      <c r="A328">
        <f>IF(COUNTBLANK(B328:K328)&lt;&gt;COLUMNS(B328:K328),327,"")</f>
        <v>0</v>
      </c>
      <c r="C328" s="1">
        <f>IF(B328="", "", "urban biome")</f>
        <v>0</v>
      </c>
      <c r="D328" s="1">
        <f>IF(B328="", "", "animal-associated habitat")</f>
        <v>0</v>
      </c>
      <c r="E328" s="2">
        <f>IF(B328="", "", "missing: not provided")</f>
        <v>0</v>
      </c>
      <c r="F328" s="1">
        <f>IF(B328="", "", "weeks")</f>
        <v>0</v>
      </c>
      <c r="G328" s="1">
        <f>IF(B328="", "", "mouse")</f>
        <v>0</v>
      </c>
      <c r="H328" s="1">
        <f>IF(B328="", "", "Mus musculus")</f>
        <v>0</v>
      </c>
      <c r="I328" s="1">
        <f>IF(B328="", "", "10090")</f>
        <v>0</v>
      </c>
      <c r="J328" s="2">
        <f>IF(B328="", "", "missing: not provided")</f>
        <v>0</v>
      </c>
      <c r="K328" s="1">
        <f>IF(B328="", "", "g")</f>
        <v>0</v>
      </c>
    </row>
    <row r="329" spans="1:11">
      <c r="A329">
        <f>IF(COUNTBLANK(B329:K329)&lt;&gt;COLUMNS(B329:K329),328,"")</f>
        <v>0</v>
      </c>
      <c r="C329" s="1">
        <f>IF(B329="", "", "urban biome")</f>
        <v>0</v>
      </c>
      <c r="D329" s="1">
        <f>IF(B329="", "", "animal-associated habitat")</f>
        <v>0</v>
      </c>
      <c r="E329" s="2">
        <f>IF(B329="", "", "missing: not provided")</f>
        <v>0</v>
      </c>
      <c r="F329" s="1">
        <f>IF(B329="", "", "weeks")</f>
        <v>0</v>
      </c>
      <c r="G329" s="1">
        <f>IF(B329="", "", "mouse")</f>
        <v>0</v>
      </c>
      <c r="H329" s="1">
        <f>IF(B329="", "", "Mus musculus")</f>
        <v>0</v>
      </c>
      <c r="I329" s="1">
        <f>IF(B329="", "", "10090")</f>
        <v>0</v>
      </c>
      <c r="J329" s="2">
        <f>IF(B329="", "", "missing: not provided")</f>
        <v>0</v>
      </c>
      <c r="K329" s="1">
        <f>IF(B329="", "", "g")</f>
        <v>0</v>
      </c>
    </row>
    <row r="330" spans="1:11">
      <c r="A330">
        <f>IF(COUNTBLANK(B330:K330)&lt;&gt;COLUMNS(B330:K330),329,"")</f>
        <v>0</v>
      </c>
      <c r="C330" s="1">
        <f>IF(B330="", "", "urban biome")</f>
        <v>0</v>
      </c>
      <c r="D330" s="1">
        <f>IF(B330="", "", "animal-associated habitat")</f>
        <v>0</v>
      </c>
      <c r="E330" s="2">
        <f>IF(B330="", "", "missing: not provided")</f>
        <v>0</v>
      </c>
      <c r="F330" s="1">
        <f>IF(B330="", "", "weeks")</f>
        <v>0</v>
      </c>
      <c r="G330" s="1">
        <f>IF(B330="", "", "mouse")</f>
        <v>0</v>
      </c>
      <c r="H330" s="1">
        <f>IF(B330="", "", "Mus musculus")</f>
        <v>0</v>
      </c>
      <c r="I330" s="1">
        <f>IF(B330="", "", "10090")</f>
        <v>0</v>
      </c>
      <c r="J330" s="2">
        <f>IF(B330="", "", "missing: not provided")</f>
        <v>0</v>
      </c>
      <c r="K330" s="1">
        <f>IF(B330="", "", "g")</f>
        <v>0</v>
      </c>
    </row>
    <row r="331" spans="1:11">
      <c r="A331">
        <f>IF(COUNTBLANK(B331:K331)&lt;&gt;COLUMNS(B331:K331),330,"")</f>
        <v>0</v>
      </c>
      <c r="C331" s="1">
        <f>IF(B331="", "", "urban biome")</f>
        <v>0</v>
      </c>
      <c r="D331" s="1">
        <f>IF(B331="", "", "animal-associated habitat")</f>
        <v>0</v>
      </c>
      <c r="E331" s="2">
        <f>IF(B331="", "", "missing: not provided")</f>
        <v>0</v>
      </c>
      <c r="F331" s="1">
        <f>IF(B331="", "", "weeks")</f>
        <v>0</v>
      </c>
      <c r="G331" s="1">
        <f>IF(B331="", "", "mouse")</f>
        <v>0</v>
      </c>
      <c r="H331" s="1">
        <f>IF(B331="", "", "Mus musculus")</f>
        <v>0</v>
      </c>
      <c r="I331" s="1">
        <f>IF(B331="", "", "10090")</f>
        <v>0</v>
      </c>
      <c r="J331" s="2">
        <f>IF(B331="", "", "missing: not provided")</f>
        <v>0</v>
      </c>
      <c r="K331" s="1">
        <f>IF(B331="", "", "g")</f>
        <v>0</v>
      </c>
    </row>
    <row r="332" spans="1:11">
      <c r="A332">
        <f>IF(COUNTBLANK(B332:K332)&lt;&gt;COLUMNS(B332:K332),331,"")</f>
        <v>0</v>
      </c>
      <c r="C332" s="1">
        <f>IF(B332="", "", "urban biome")</f>
        <v>0</v>
      </c>
      <c r="D332" s="1">
        <f>IF(B332="", "", "animal-associated habitat")</f>
        <v>0</v>
      </c>
      <c r="E332" s="2">
        <f>IF(B332="", "", "missing: not provided")</f>
        <v>0</v>
      </c>
      <c r="F332" s="1">
        <f>IF(B332="", "", "weeks")</f>
        <v>0</v>
      </c>
      <c r="G332" s="1">
        <f>IF(B332="", "", "mouse")</f>
        <v>0</v>
      </c>
      <c r="H332" s="1">
        <f>IF(B332="", "", "Mus musculus")</f>
        <v>0</v>
      </c>
      <c r="I332" s="1">
        <f>IF(B332="", "", "10090")</f>
        <v>0</v>
      </c>
      <c r="J332" s="2">
        <f>IF(B332="", "", "missing: not provided")</f>
        <v>0</v>
      </c>
      <c r="K332" s="1">
        <f>IF(B332="", "", "g")</f>
        <v>0</v>
      </c>
    </row>
    <row r="333" spans="1:11">
      <c r="A333">
        <f>IF(COUNTBLANK(B333:K333)&lt;&gt;COLUMNS(B333:K333),332,"")</f>
        <v>0</v>
      </c>
      <c r="C333" s="1">
        <f>IF(B333="", "", "urban biome")</f>
        <v>0</v>
      </c>
      <c r="D333" s="1">
        <f>IF(B333="", "", "animal-associated habitat")</f>
        <v>0</v>
      </c>
      <c r="E333" s="2">
        <f>IF(B333="", "", "missing: not provided")</f>
        <v>0</v>
      </c>
      <c r="F333" s="1">
        <f>IF(B333="", "", "weeks")</f>
        <v>0</v>
      </c>
      <c r="G333" s="1">
        <f>IF(B333="", "", "mouse")</f>
        <v>0</v>
      </c>
      <c r="H333" s="1">
        <f>IF(B333="", "", "Mus musculus")</f>
        <v>0</v>
      </c>
      <c r="I333" s="1">
        <f>IF(B333="", "", "10090")</f>
        <v>0</v>
      </c>
      <c r="J333" s="2">
        <f>IF(B333="", "", "missing: not provided")</f>
        <v>0</v>
      </c>
      <c r="K333" s="1">
        <f>IF(B333="", "", "g")</f>
        <v>0</v>
      </c>
    </row>
    <row r="334" spans="1:11">
      <c r="A334">
        <f>IF(COUNTBLANK(B334:K334)&lt;&gt;COLUMNS(B334:K334),333,"")</f>
        <v>0</v>
      </c>
      <c r="C334" s="1">
        <f>IF(B334="", "", "urban biome")</f>
        <v>0</v>
      </c>
      <c r="D334" s="1">
        <f>IF(B334="", "", "animal-associated habitat")</f>
        <v>0</v>
      </c>
      <c r="E334" s="2">
        <f>IF(B334="", "", "missing: not provided")</f>
        <v>0</v>
      </c>
      <c r="F334" s="1">
        <f>IF(B334="", "", "weeks")</f>
        <v>0</v>
      </c>
      <c r="G334" s="1">
        <f>IF(B334="", "", "mouse")</f>
        <v>0</v>
      </c>
      <c r="H334" s="1">
        <f>IF(B334="", "", "Mus musculus")</f>
        <v>0</v>
      </c>
      <c r="I334" s="1">
        <f>IF(B334="", "", "10090")</f>
        <v>0</v>
      </c>
      <c r="J334" s="2">
        <f>IF(B334="", "", "missing: not provided")</f>
        <v>0</v>
      </c>
      <c r="K334" s="1">
        <f>IF(B334="", "", "g")</f>
        <v>0</v>
      </c>
    </row>
    <row r="335" spans="1:11">
      <c r="A335">
        <f>IF(COUNTBLANK(B335:K335)&lt;&gt;COLUMNS(B335:K335),334,"")</f>
        <v>0</v>
      </c>
      <c r="C335" s="1">
        <f>IF(B335="", "", "urban biome")</f>
        <v>0</v>
      </c>
      <c r="D335" s="1">
        <f>IF(B335="", "", "animal-associated habitat")</f>
        <v>0</v>
      </c>
      <c r="E335" s="2">
        <f>IF(B335="", "", "missing: not provided")</f>
        <v>0</v>
      </c>
      <c r="F335" s="1">
        <f>IF(B335="", "", "weeks")</f>
        <v>0</v>
      </c>
      <c r="G335" s="1">
        <f>IF(B335="", "", "mouse")</f>
        <v>0</v>
      </c>
      <c r="H335" s="1">
        <f>IF(B335="", "", "Mus musculus")</f>
        <v>0</v>
      </c>
      <c r="I335" s="1">
        <f>IF(B335="", "", "10090")</f>
        <v>0</v>
      </c>
      <c r="J335" s="2">
        <f>IF(B335="", "", "missing: not provided")</f>
        <v>0</v>
      </c>
      <c r="K335" s="1">
        <f>IF(B335="", "", "g")</f>
        <v>0</v>
      </c>
    </row>
    <row r="336" spans="1:11">
      <c r="A336">
        <f>IF(COUNTBLANK(B336:K336)&lt;&gt;COLUMNS(B336:K336),335,"")</f>
        <v>0</v>
      </c>
      <c r="C336" s="1">
        <f>IF(B336="", "", "urban biome")</f>
        <v>0</v>
      </c>
      <c r="D336" s="1">
        <f>IF(B336="", "", "animal-associated habitat")</f>
        <v>0</v>
      </c>
      <c r="E336" s="2">
        <f>IF(B336="", "", "missing: not provided")</f>
        <v>0</v>
      </c>
      <c r="F336" s="1">
        <f>IF(B336="", "", "weeks")</f>
        <v>0</v>
      </c>
      <c r="G336" s="1">
        <f>IF(B336="", "", "mouse")</f>
        <v>0</v>
      </c>
      <c r="H336" s="1">
        <f>IF(B336="", "", "Mus musculus")</f>
        <v>0</v>
      </c>
      <c r="I336" s="1">
        <f>IF(B336="", "", "10090")</f>
        <v>0</v>
      </c>
      <c r="J336" s="2">
        <f>IF(B336="", "", "missing: not provided")</f>
        <v>0</v>
      </c>
      <c r="K336" s="1">
        <f>IF(B336="", "", "g")</f>
        <v>0</v>
      </c>
    </row>
    <row r="337" spans="1:11">
      <c r="A337">
        <f>IF(COUNTBLANK(B337:K337)&lt;&gt;COLUMNS(B337:K337),336,"")</f>
        <v>0</v>
      </c>
      <c r="C337" s="1">
        <f>IF(B337="", "", "urban biome")</f>
        <v>0</v>
      </c>
      <c r="D337" s="1">
        <f>IF(B337="", "", "animal-associated habitat")</f>
        <v>0</v>
      </c>
      <c r="E337" s="2">
        <f>IF(B337="", "", "missing: not provided")</f>
        <v>0</v>
      </c>
      <c r="F337" s="1">
        <f>IF(B337="", "", "weeks")</f>
        <v>0</v>
      </c>
      <c r="G337" s="1">
        <f>IF(B337="", "", "mouse")</f>
        <v>0</v>
      </c>
      <c r="H337" s="1">
        <f>IF(B337="", "", "Mus musculus")</f>
        <v>0</v>
      </c>
      <c r="I337" s="1">
        <f>IF(B337="", "", "10090")</f>
        <v>0</v>
      </c>
      <c r="J337" s="2">
        <f>IF(B337="", "", "missing: not provided")</f>
        <v>0</v>
      </c>
      <c r="K337" s="1">
        <f>IF(B337="", "", "g")</f>
        <v>0</v>
      </c>
    </row>
    <row r="338" spans="1:11">
      <c r="A338">
        <f>IF(COUNTBLANK(B338:K338)&lt;&gt;COLUMNS(B338:K338),337,"")</f>
        <v>0</v>
      </c>
      <c r="C338" s="1">
        <f>IF(B338="", "", "urban biome")</f>
        <v>0</v>
      </c>
      <c r="D338" s="1">
        <f>IF(B338="", "", "animal-associated habitat")</f>
        <v>0</v>
      </c>
      <c r="E338" s="2">
        <f>IF(B338="", "", "missing: not provided")</f>
        <v>0</v>
      </c>
      <c r="F338" s="1">
        <f>IF(B338="", "", "weeks")</f>
        <v>0</v>
      </c>
      <c r="G338" s="1">
        <f>IF(B338="", "", "mouse")</f>
        <v>0</v>
      </c>
      <c r="H338" s="1">
        <f>IF(B338="", "", "Mus musculus")</f>
        <v>0</v>
      </c>
      <c r="I338" s="1">
        <f>IF(B338="", "", "10090")</f>
        <v>0</v>
      </c>
      <c r="J338" s="2">
        <f>IF(B338="", "", "missing: not provided")</f>
        <v>0</v>
      </c>
      <c r="K338" s="1">
        <f>IF(B338="", "", "g")</f>
        <v>0</v>
      </c>
    </row>
    <row r="339" spans="1:11">
      <c r="A339">
        <f>IF(COUNTBLANK(B339:K339)&lt;&gt;COLUMNS(B339:K339),338,"")</f>
        <v>0</v>
      </c>
      <c r="C339" s="1">
        <f>IF(B339="", "", "urban biome")</f>
        <v>0</v>
      </c>
      <c r="D339" s="1">
        <f>IF(B339="", "", "animal-associated habitat")</f>
        <v>0</v>
      </c>
      <c r="E339" s="2">
        <f>IF(B339="", "", "missing: not provided")</f>
        <v>0</v>
      </c>
      <c r="F339" s="1">
        <f>IF(B339="", "", "weeks")</f>
        <v>0</v>
      </c>
      <c r="G339" s="1">
        <f>IF(B339="", "", "mouse")</f>
        <v>0</v>
      </c>
      <c r="H339" s="1">
        <f>IF(B339="", "", "Mus musculus")</f>
        <v>0</v>
      </c>
      <c r="I339" s="1">
        <f>IF(B339="", "", "10090")</f>
        <v>0</v>
      </c>
      <c r="J339" s="2">
        <f>IF(B339="", "", "missing: not provided")</f>
        <v>0</v>
      </c>
      <c r="K339" s="1">
        <f>IF(B339="", "", "g")</f>
        <v>0</v>
      </c>
    </row>
    <row r="340" spans="1:11">
      <c r="A340">
        <f>IF(COUNTBLANK(B340:K340)&lt;&gt;COLUMNS(B340:K340),339,"")</f>
        <v>0</v>
      </c>
      <c r="C340" s="1">
        <f>IF(B340="", "", "urban biome")</f>
        <v>0</v>
      </c>
      <c r="D340" s="1">
        <f>IF(B340="", "", "animal-associated habitat")</f>
        <v>0</v>
      </c>
      <c r="E340" s="2">
        <f>IF(B340="", "", "missing: not provided")</f>
        <v>0</v>
      </c>
      <c r="F340" s="1">
        <f>IF(B340="", "", "weeks")</f>
        <v>0</v>
      </c>
      <c r="G340" s="1">
        <f>IF(B340="", "", "mouse")</f>
        <v>0</v>
      </c>
      <c r="H340" s="1">
        <f>IF(B340="", "", "Mus musculus")</f>
        <v>0</v>
      </c>
      <c r="I340" s="1">
        <f>IF(B340="", "", "10090")</f>
        <v>0</v>
      </c>
      <c r="J340" s="2">
        <f>IF(B340="", "", "missing: not provided")</f>
        <v>0</v>
      </c>
      <c r="K340" s="1">
        <f>IF(B340="", "", "g")</f>
        <v>0</v>
      </c>
    </row>
    <row r="341" spans="1:11">
      <c r="A341">
        <f>IF(COUNTBLANK(B341:K341)&lt;&gt;COLUMNS(B341:K341),340,"")</f>
        <v>0</v>
      </c>
      <c r="C341" s="1">
        <f>IF(B341="", "", "urban biome")</f>
        <v>0</v>
      </c>
      <c r="D341" s="1">
        <f>IF(B341="", "", "animal-associated habitat")</f>
        <v>0</v>
      </c>
      <c r="E341" s="2">
        <f>IF(B341="", "", "missing: not provided")</f>
        <v>0</v>
      </c>
      <c r="F341" s="1">
        <f>IF(B341="", "", "weeks")</f>
        <v>0</v>
      </c>
      <c r="G341" s="1">
        <f>IF(B341="", "", "mouse")</f>
        <v>0</v>
      </c>
      <c r="H341" s="1">
        <f>IF(B341="", "", "Mus musculus")</f>
        <v>0</v>
      </c>
      <c r="I341" s="1">
        <f>IF(B341="", "", "10090")</f>
        <v>0</v>
      </c>
      <c r="J341" s="2">
        <f>IF(B341="", "", "missing: not provided")</f>
        <v>0</v>
      </c>
      <c r="K341" s="1">
        <f>IF(B341="", "", "g")</f>
        <v>0</v>
      </c>
    </row>
    <row r="342" spans="1:11">
      <c r="A342">
        <f>IF(COUNTBLANK(B342:K342)&lt;&gt;COLUMNS(B342:K342),341,"")</f>
        <v>0</v>
      </c>
      <c r="C342" s="1">
        <f>IF(B342="", "", "urban biome")</f>
        <v>0</v>
      </c>
      <c r="D342" s="1">
        <f>IF(B342="", "", "animal-associated habitat")</f>
        <v>0</v>
      </c>
      <c r="E342" s="2">
        <f>IF(B342="", "", "missing: not provided")</f>
        <v>0</v>
      </c>
      <c r="F342" s="1">
        <f>IF(B342="", "", "weeks")</f>
        <v>0</v>
      </c>
      <c r="G342" s="1">
        <f>IF(B342="", "", "mouse")</f>
        <v>0</v>
      </c>
      <c r="H342" s="1">
        <f>IF(B342="", "", "Mus musculus")</f>
        <v>0</v>
      </c>
      <c r="I342" s="1">
        <f>IF(B342="", "", "10090")</f>
        <v>0</v>
      </c>
      <c r="J342" s="2">
        <f>IF(B342="", "", "missing: not provided")</f>
        <v>0</v>
      </c>
      <c r="K342" s="1">
        <f>IF(B342="", "", "g")</f>
        <v>0</v>
      </c>
    </row>
    <row r="343" spans="1:11">
      <c r="A343">
        <f>IF(COUNTBLANK(B343:K343)&lt;&gt;COLUMNS(B343:K343),342,"")</f>
        <v>0</v>
      </c>
      <c r="C343" s="1">
        <f>IF(B343="", "", "urban biome")</f>
        <v>0</v>
      </c>
      <c r="D343" s="1">
        <f>IF(B343="", "", "animal-associated habitat")</f>
        <v>0</v>
      </c>
      <c r="E343" s="2">
        <f>IF(B343="", "", "missing: not provided")</f>
        <v>0</v>
      </c>
      <c r="F343" s="1">
        <f>IF(B343="", "", "weeks")</f>
        <v>0</v>
      </c>
      <c r="G343" s="1">
        <f>IF(B343="", "", "mouse")</f>
        <v>0</v>
      </c>
      <c r="H343" s="1">
        <f>IF(B343="", "", "Mus musculus")</f>
        <v>0</v>
      </c>
      <c r="I343" s="1">
        <f>IF(B343="", "", "10090")</f>
        <v>0</v>
      </c>
      <c r="J343" s="2">
        <f>IF(B343="", "", "missing: not provided")</f>
        <v>0</v>
      </c>
      <c r="K343" s="1">
        <f>IF(B343="", "", "g")</f>
        <v>0</v>
      </c>
    </row>
    <row r="344" spans="1:11">
      <c r="A344">
        <f>IF(COUNTBLANK(B344:K344)&lt;&gt;COLUMNS(B344:K344),343,"")</f>
        <v>0</v>
      </c>
      <c r="C344" s="1">
        <f>IF(B344="", "", "urban biome")</f>
        <v>0</v>
      </c>
      <c r="D344" s="1">
        <f>IF(B344="", "", "animal-associated habitat")</f>
        <v>0</v>
      </c>
      <c r="E344" s="2">
        <f>IF(B344="", "", "missing: not provided")</f>
        <v>0</v>
      </c>
      <c r="F344" s="1">
        <f>IF(B344="", "", "weeks")</f>
        <v>0</v>
      </c>
      <c r="G344" s="1">
        <f>IF(B344="", "", "mouse")</f>
        <v>0</v>
      </c>
      <c r="H344" s="1">
        <f>IF(B344="", "", "Mus musculus")</f>
        <v>0</v>
      </c>
      <c r="I344" s="1">
        <f>IF(B344="", "", "10090")</f>
        <v>0</v>
      </c>
      <c r="J344" s="2">
        <f>IF(B344="", "", "missing: not provided")</f>
        <v>0</v>
      </c>
      <c r="K344" s="1">
        <f>IF(B344="", "", "g")</f>
        <v>0</v>
      </c>
    </row>
    <row r="345" spans="1:11">
      <c r="A345">
        <f>IF(COUNTBLANK(B345:K345)&lt;&gt;COLUMNS(B345:K345),344,"")</f>
        <v>0</v>
      </c>
      <c r="C345" s="1">
        <f>IF(B345="", "", "urban biome")</f>
        <v>0</v>
      </c>
      <c r="D345" s="1">
        <f>IF(B345="", "", "animal-associated habitat")</f>
        <v>0</v>
      </c>
      <c r="E345" s="2">
        <f>IF(B345="", "", "missing: not provided")</f>
        <v>0</v>
      </c>
      <c r="F345" s="1">
        <f>IF(B345="", "", "weeks")</f>
        <v>0</v>
      </c>
      <c r="G345" s="1">
        <f>IF(B345="", "", "mouse")</f>
        <v>0</v>
      </c>
      <c r="H345" s="1">
        <f>IF(B345="", "", "Mus musculus")</f>
        <v>0</v>
      </c>
      <c r="I345" s="1">
        <f>IF(B345="", "", "10090")</f>
        <v>0</v>
      </c>
      <c r="J345" s="2">
        <f>IF(B345="", "", "missing: not provided")</f>
        <v>0</v>
      </c>
      <c r="K345" s="1">
        <f>IF(B345="", "", "g")</f>
        <v>0</v>
      </c>
    </row>
    <row r="346" spans="1:11">
      <c r="A346">
        <f>IF(COUNTBLANK(B346:K346)&lt;&gt;COLUMNS(B346:K346),345,"")</f>
        <v>0</v>
      </c>
      <c r="C346" s="1">
        <f>IF(B346="", "", "urban biome")</f>
        <v>0</v>
      </c>
      <c r="D346" s="1">
        <f>IF(B346="", "", "animal-associated habitat")</f>
        <v>0</v>
      </c>
      <c r="E346" s="2">
        <f>IF(B346="", "", "missing: not provided")</f>
        <v>0</v>
      </c>
      <c r="F346" s="1">
        <f>IF(B346="", "", "weeks")</f>
        <v>0</v>
      </c>
      <c r="G346" s="1">
        <f>IF(B346="", "", "mouse")</f>
        <v>0</v>
      </c>
      <c r="H346" s="1">
        <f>IF(B346="", "", "Mus musculus")</f>
        <v>0</v>
      </c>
      <c r="I346" s="1">
        <f>IF(B346="", "", "10090")</f>
        <v>0</v>
      </c>
      <c r="J346" s="2">
        <f>IF(B346="", "", "missing: not provided")</f>
        <v>0</v>
      </c>
      <c r="K346" s="1">
        <f>IF(B346="", "", "g")</f>
        <v>0</v>
      </c>
    </row>
    <row r="347" spans="1:11">
      <c r="A347">
        <f>IF(COUNTBLANK(B347:K347)&lt;&gt;COLUMNS(B347:K347),346,"")</f>
        <v>0</v>
      </c>
      <c r="C347" s="1">
        <f>IF(B347="", "", "urban biome")</f>
        <v>0</v>
      </c>
      <c r="D347" s="1">
        <f>IF(B347="", "", "animal-associated habitat")</f>
        <v>0</v>
      </c>
      <c r="E347" s="2">
        <f>IF(B347="", "", "missing: not provided")</f>
        <v>0</v>
      </c>
      <c r="F347" s="1">
        <f>IF(B347="", "", "weeks")</f>
        <v>0</v>
      </c>
      <c r="G347" s="1">
        <f>IF(B347="", "", "mouse")</f>
        <v>0</v>
      </c>
      <c r="H347" s="1">
        <f>IF(B347="", "", "Mus musculus")</f>
        <v>0</v>
      </c>
      <c r="I347" s="1">
        <f>IF(B347="", "", "10090")</f>
        <v>0</v>
      </c>
      <c r="J347" s="2">
        <f>IF(B347="", "", "missing: not provided")</f>
        <v>0</v>
      </c>
      <c r="K347" s="1">
        <f>IF(B347="", "", "g")</f>
        <v>0</v>
      </c>
    </row>
    <row r="348" spans="1:11">
      <c r="A348">
        <f>IF(COUNTBLANK(B348:K348)&lt;&gt;COLUMNS(B348:K348),347,"")</f>
        <v>0</v>
      </c>
      <c r="C348" s="1">
        <f>IF(B348="", "", "urban biome")</f>
        <v>0</v>
      </c>
      <c r="D348" s="1">
        <f>IF(B348="", "", "animal-associated habitat")</f>
        <v>0</v>
      </c>
      <c r="E348" s="2">
        <f>IF(B348="", "", "missing: not provided")</f>
        <v>0</v>
      </c>
      <c r="F348" s="1">
        <f>IF(B348="", "", "weeks")</f>
        <v>0</v>
      </c>
      <c r="G348" s="1">
        <f>IF(B348="", "", "mouse")</f>
        <v>0</v>
      </c>
      <c r="H348" s="1">
        <f>IF(B348="", "", "Mus musculus")</f>
        <v>0</v>
      </c>
      <c r="I348" s="1">
        <f>IF(B348="", "", "10090")</f>
        <v>0</v>
      </c>
      <c r="J348" s="2">
        <f>IF(B348="", "", "missing: not provided")</f>
        <v>0</v>
      </c>
      <c r="K348" s="1">
        <f>IF(B348="", "", "g")</f>
        <v>0</v>
      </c>
    </row>
    <row r="349" spans="1:11">
      <c r="A349">
        <f>IF(COUNTBLANK(B349:K349)&lt;&gt;COLUMNS(B349:K349),348,"")</f>
        <v>0</v>
      </c>
      <c r="C349" s="1">
        <f>IF(B349="", "", "urban biome")</f>
        <v>0</v>
      </c>
      <c r="D349" s="1">
        <f>IF(B349="", "", "animal-associated habitat")</f>
        <v>0</v>
      </c>
      <c r="E349" s="2">
        <f>IF(B349="", "", "missing: not provided")</f>
        <v>0</v>
      </c>
      <c r="F349" s="1">
        <f>IF(B349="", "", "weeks")</f>
        <v>0</v>
      </c>
      <c r="G349" s="1">
        <f>IF(B349="", "", "mouse")</f>
        <v>0</v>
      </c>
      <c r="H349" s="1">
        <f>IF(B349="", "", "Mus musculus")</f>
        <v>0</v>
      </c>
      <c r="I349" s="1">
        <f>IF(B349="", "", "10090")</f>
        <v>0</v>
      </c>
      <c r="J349" s="2">
        <f>IF(B349="", "", "missing: not provided")</f>
        <v>0</v>
      </c>
      <c r="K349" s="1">
        <f>IF(B349="", "", "g")</f>
        <v>0</v>
      </c>
    </row>
    <row r="350" spans="1:11">
      <c r="A350">
        <f>IF(COUNTBLANK(B350:K350)&lt;&gt;COLUMNS(B350:K350),349,"")</f>
        <v>0</v>
      </c>
      <c r="C350" s="1">
        <f>IF(B350="", "", "urban biome")</f>
        <v>0</v>
      </c>
      <c r="D350" s="1">
        <f>IF(B350="", "", "animal-associated habitat")</f>
        <v>0</v>
      </c>
      <c r="E350" s="2">
        <f>IF(B350="", "", "missing: not provided")</f>
        <v>0</v>
      </c>
      <c r="F350" s="1">
        <f>IF(B350="", "", "weeks")</f>
        <v>0</v>
      </c>
      <c r="G350" s="1">
        <f>IF(B350="", "", "mouse")</f>
        <v>0</v>
      </c>
      <c r="H350" s="1">
        <f>IF(B350="", "", "Mus musculus")</f>
        <v>0</v>
      </c>
      <c r="I350" s="1">
        <f>IF(B350="", "", "10090")</f>
        <v>0</v>
      </c>
      <c r="J350" s="2">
        <f>IF(B350="", "", "missing: not provided")</f>
        <v>0</v>
      </c>
      <c r="K350" s="1">
        <f>IF(B350="", "", "g")</f>
        <v>0</v>
      </c>
    </row>
    <row r="351" spans="1:11">
      <c r="A351">
        <f>IF(COUNTBLANK(B351:K351)&lt;&gt;COLUMNS(B351:K351),350,"")</f>
        <v>0</v>
      </c>
      <c r="C351" s="1">
        <f>IF(B351="", "", "urban biome")</f>
        <v>0</v>
      </c>
      <c r="D351" s="1">
        <f>IF(B351="", "", "animal-associated habitat")</f>
        <v>0</v>
      </c>
      <c r="E351" s="2">
        <f>IF(B351="", "", "missing: not provided")</f>
        <v>0</v>
      </c>
      <c r="F351" s="1">
        <f>IF(B351="", "", "weeks")</f>
        <v>0</v>
      </c>
      <c r="G351" s="1">
        <f>IF(B351="", "", "mouse")</f>
        <v>0</v>
      </c>
      <c r="H351" s="1">
        <f>IF(B351="", "", "Mus musculus")</f>
        <v>0</v>
      </c>
      <c r="I351" s="1">
        <f>IF(B351="", "", "10090")</f>
        <v>0</v>
      </c>
      <c r="J351" s="2">
        <f>IF(B351="", "", "missing: not provided")</f>
        <v>0</v>
      </c>
      <c r="K351" s="1">
        <f>IF(B351="", "", "g")</f>
        <v>0</v>
      </c>
    </row>
    <row r="352" spans="1:11">
      <c r="A352">
        <f>IF(COUNTBLANK(B352:K352)&lt;&gt;COLUMNS(B352:K352),351,"")</f>
        <v>0</v>
      </c>
      <c r="C352" s="1">
        <f>IF(B352="", "", "urban biome")</f>
        <v>0</v>
      </c>
      <c r="D352" s="1">
        <f>IF(B352="", "", "animal-associated habitat")</f>
        <v>0</v>
      </c>
      <c r="E352" s="2">
        <f>IF(B352="", "", "missing: not provided")</f>
        <v>0</v>
      </c>
      <c r="F352" s="1">
        <f>IF(B352="", "", "weeks")</f>
        <v>0</v>
      </c>
      <c r="G352" s="1">
        <f>IF(B352="", "", "mouse")</f>
        <v>0</v>
      </c>
      <c r="H352" s="1">
        <f>IF(B352="", "", "Mus musculus")</f>
        <v>0</v>
      </c>
      <c r="I352" s="1">
        <f>IF(B352="", "", "10090")</f>
        <v>0</v>
      </c>
      <c r="J352" s="2">
        <f>IF(B352="", "", "missing: not provided")</f>
        <v>0</v>
      </c>
      <c r="K352" s="1">
        <f>IF(B352="", "", "g")</f>
        <v>0</v>
      </c>
    </row>
    <row r="353" spans="1:11">
      <c r="A353">
        <f>IF(COUNTBLANK(B353:K353)&lt;&gt;COLUMNS(B353:K353),352,"")</f>
        <v>0</v>
      </c>
      <c r="C353" s="1">
        <f>IF(B353="", "", "urban biome")</f>
        <v>0</v>
      </c>
      <c r="D353" s="1">
        <f>IF(B353="", "", "animal-associated habitat")</f>
        <v>0</v>
      </c>
      <c r="E353" s="2">
        <f>IF(B353="", "", "missing: not provided")</f>
        <v>0</v>
      </c>
      <c r="F353" s="1">
        <f>IF(B353="", "", "weeks")</f>
        <v>0</v>
      </c>
      <c r="G353" s="1">
        <f>IF(B353="", "", "mouse")</f>
        <v>0</v>
      </c>
      <c r="H353" s="1">
        <f>IF(B353="", "", "Mus musculus")</f>
        <v>0</v>
      </c>
      <c r="I353" s="1">
        <f>IF(B353="", "", "10090")</f>
        <v>0</v>
      </c>
      <c r="J353" s="2">
        <f>IF(B353="", "", "missing: not provided")</f>
        <v>0</v>
      </c>
      <c r="K353" s="1">
        <f>IF(B353="", "", "g")</f>
        <v>0</v>
      </c>
    </row>
    <row r="354" spans="1:11">
      <c r="A354">
        <f>IF(COUNTBLANK(B354:K354)&lt;&gt;COLUMNS(B354:K354),353,"")</f>
        <v>0</v>
      </c>
      <c r="C354" s="1">
        <f>IF(B354="", "", "urban biome")</f>
        <v>0</v>
      </c>
      <c r="D354" s="1">
        <f>IF(B354="", "", "animal-associated habitat")</f>
        <v>0</v>
      </c>
      <c r="E354" s="2">
        <f>IF(B354="", "", "missing: not provided")</f>
        <v>0</v>
      </c>
      <c r="F354" s="1">
        <f>IF(B354="", "", "weeks")</f>
        <v>0</v>
      </c>
      <c r="G354" s="1">
        <f>IF(B354="", "", "mouse")</f>
        <v>0</v>
      </c>
      <c r="H354" s="1">
        <f>IF(B354="", "", "Mus musculus")</f>
        <v>0</v>
      </c>
      <c r="I354" s="1">
        <f>IF(B354="", "", "10090")</f>
        <v>0</v>
      </c>
      <c r="J354" s="2">
        <f>IF(B354="", "", "missing: not provided")</f>
        <v>0</v>
      </c>
      <c r="K354" s="1">
        <f>IF(B354="", "", "g")</f>
        <v>0</v>
      </c>
    </row>
    <row r="355" spans="1:11">
      <c r="A355">
        <f>IF(COUNTBLANK(B355:K355)&lt;&gt;COLUMNS(B355:K355),354,"")</f>
        <v>0</v>
      </c>
      <c r="C355" s="1">
        <f>IF(B355="", "", "urban biome")</f>
        <v>0</v>
      </c>
      <c r="D355" s="1">
        <f>IF(B355="", "", "animal-associated habitat")</f>
        <v>0</v>
      </c>
      <c r="E355" s="2">
        <f>IF(B355="", "", "missing: not provided")</f>
        <v>0</v>
      </c>
      <c r="F355" s="1">
        <f>IF(B355="", "", "weeks")</f>
        <v>0</v>
      </c>
      <c r="G355" s="1">
        <f>IF(B355="", "", "mouse")</f>
        <v>0</v>
      </c>
      <c r="H355" s="1">
        <f>IF(B355="", "", "Mus musculus")</f>
        <v>0</v>
      </c>
      <c r="I355" s="1">
        <f>IF(B355="", "", "10090")</f>
        <v>0</v>
      </c>
      <c r="J355" s="2">
        <f>IF(B355="", "", "missing: not provided")</f>
        <v>0</v>
      </c>
      <c r="K355" s="1">
        <f>IF(B355="", "", "g")</f>
        <v>0</v>
      </c>
    </row>
    <row r="356" spans="1:11">
      <c r="A356">
        <f>IF(COUNTBLANK(B356:K356)&lt;&gt;COLUMNS(B356:K356),355,"")</f>
        <v>0</v>
      </c>
      <c r="C356" s="1">
        <f>IF(B356="", "", "urban biome")</f>
        <v>0</v>
      </c>
      <c r="D356" s="1">
        <f>IF(B356="", "", "animal-associated habitat")</f>
        <v>0</v>
      </c>
      <c r="E356" s="2">
        <f>IF(B356="", "", "missing: not provided")</f>
        <v>0</v>
      </c>
      <c r="F356" s="1">
        <f>IF(B356="", "", "weeks")</f>
        <v>0</v>
      </c>
      <c r="G356" s="1">
        <f>IF(B356="", "", "mouse")</f>
        <v>0</v>
      </c>
      <c r="H356" s="1">
        <f>IF(B356="", "", "Mus musculus")</f>
        <v>0</v>
      </c>
      <c r="I356" s="1">
        <f>IF(B356="", "", "10090")</f>
        <v>0</v>
      </c>
      <c r="J356" s="2">
        <f>IF(B356="", "", "missing: not provided")</f>
        <v>0</v>
      </c>
      <c r="K356" s="1">
        <f>IF(B356="", "", "g")</f>
        <v>0</v>
      </c>
    </row>
    <row r="357" spans="1:11">
      <c r="A357">
        <f>IF(COUNTBLANK(B357:K357)&lt;&gt;COLUMNS(B357:K357),356,"")</f>
        <v>0</v>
      </c>
      <c r="C357" s="1">
        <f>IF(B357="", "", "urban biome")</f>
        <v>0</v>
      </c>
      <c r="D357" s="1">
        <f>IF(B357="", "", "animal-associated habitat")</f>
        <v>0</v>
      </c>
      <c r="E357" s="2">
        <f>IF(B357="", "", "missing: not provided")</f>
        <v>0</v>
      </c>
      <c r="F357" s="1">
        <f>IF(B357="", "", "weeks")</f>
        <v>0</v>
      </c>
      <c r="G357" s="1">
        <f>IF(B357="", "", "mouse")</f>
        <v>0</v>
      </c>
      <c r="H357" s="1">
        <f>IF(B357="", "", "Mus musculus")</f>
        <v>0</v>
      </c>
      <c r="I357" s="1">
        <f>IF(B357="", "", "10090")</f>
        <v>0</v>
      </c>
      <c r="J357" s="2">
        <f>IF(B357="", "", "missing: not provided")</f>
        <v>0</v>
      </c>
      <c r="K357" s="1">
        <f>IF(B357="", "", "g")</f>
        <v>0</v>
      </c>
    </row>
    <row r="358" spans="1:11">
      <c r="A358">
        <f>IF(COUNTBLANK(B358:K358)&lt;&gt;COLUMNS(B358:K358),357,"")</f>
        <v>0</v>
      </c>
      <c r="C358" s="1">
        <f>IF(B358="", "", "urban biome")</f>
        <v>0</v>
      </c>
      <c r="D358" s="1">
        <f>IF(B358="", "", "animal-associated habitat")</f>
        <v>0</v>
      </c>
      <c r="E358" s="2">
        <f>IF(B358="", "", "missing: not provided")</f>
        <v>0</v>
      </c>
      <c r="F358" s="1">
        <f>IF(B358="", "", "weeks")</f>
        <v>0</v>
      </c>
      <c r="G358" s="1">
        <f>IF(B358="", "", "mouse")</f>
        <v>0</v>
      </c>
      <c r="H358" s="1">
        <f>IF(B358="", "", "Mus musculus")</f>
        <v>0</v>
      </c>
      <c r="I358" s="1">
        <f>IF(B358="", "", "10090")</f>
        <v>0</v>
      </c>
      <c r="J358" s="2">
        <f>IF(B358="", "", "missing: not provided")</f>
        <v>0</v>
      </c>
      <c r="K358" s="1">
        <f>IF(B358="", "", "g")</f>
        <v>0</v>
      </c>
    </row>
    <row r="359" spans="1:11">
      <c r="A359">
        <f>IF(COUNTBLANK(B359:K359)&lt;&gt;COLUMNS(B359:K359),358,"")</f>
        <v>0</v>
      </c>
      <c r="C359" s="1">
        <f>IF(B359="", "", "urban biome")</f>
        <v>0</v>
      </c>
      <c r="D359" s="1">
        <f>IF(B359="", "", "animal-associated habitat")</f>
        <v>0</v>
      </c>
      <c r="E359" s="2">
        <f>IF(B359="", "", "missing: not provided")</f>
        <v>0</v>
      </c>
      <c r="F359" s="1">
        <f>IF(B359="", "", "weeks")</f>
        <v>0</v>
      </c>
      <c r="G359" s="1">
        <f>IF(B359="", "", "mouse")</f>
        <v>0</v>
      </c>
      <c r="H359" s="1">
        <f>IF(B359="", "", "Mus musculus")</f>
        <v>0</v>
      </c>
      <c r="I359" s="1">
        <f>IF(B359="", "", "10090")</f>
        <v>0</v>
      </c>
      <c r="J359" s="2">
        <f>IF(B359="", "", "missing: not provided")</f>
        <v>0</v>
      </c>
      <c r="K359" s="1">
        <f>IF(B359="", "", "g")</f>
        <v>0</v>
      </c>
    </row>
    <row r="360" spans="1:11">
      <c r="A360">
        <f>IF(COUNTBLANK(B360:K360)&lt;&gt;COLUMNS(B360:K360),359,"")</f>
        <v>0</v>
      </c>
      <c r="C360" s="1">
        <f>IF(B360="", "", "urban biome")</f>
        <v>0</v>
      </c>
      <c r="D360" s="1">
        <f>IF(B360="", "", "animal-associated habitat")</f>
        <v>0</v>
      </c>
      <c r="E360" s="2">
        <f>IF(B360="", "", "missing: not provided")</f>
        <v>0</v>
      </c>
      <c r="F360" s="1">
        <f>IF(B360="", "", "weeks")</f>
        <v>0</v>
      </c>
      <c r="G360" s="1">
        <f>IF(B360="", "", "mouse")</f>
        <v>0</v>
      </c>
      <c r="H360" s="1">
        <f>IF(B360="", "", "Mus musculus")</f>
        <v>0</v>
      </c>
      <c r="I360" s="1">
        <f>IF(B360="", "", "10090")</f>
        <v>0</v>
      </c>
      <c r="J360" s="2">
        <f>IF(B360="", "", "missing: not provided")</f>
        <v>0</v>
      </c>
      <c r="K360" s="1">
        <f>IF(B360="", "", "g")</f>
        <v>0</v>
      </c>
    </row>
    <row r="361" spans="1:11">
      <c r="A361">
        <f>IF(COUNTBLANK(B361:K361)&lt;&gt;COLUMNS(B361:K361),360,"")</f>
        <v>0</v>
      </c>
      <c r="C361" s="1">
        <f>IF(B361="", "", "urban biome")</f>
        <v>0</v>
      </c>
      <c r="D361" s="1">
        <f>IF(B361="", "", "animal-associated habitat")</f>
        <v>0</v>
      </c>
      <c r="E361" s="2">
        <f>IF(B361="", "", "missing: not provided")</f>
        <v>0</v>
      </c>
      <c r="F361" s="1">
        <f>IF(B361="", "", "weeks")</f>
        <v>0</v>
      </c>
      <c r="G361" s="1">
        <f>IF(B361="", "", "mouse")</f>
        <v>0</v>
      </c>
      <c r="H361" s="1">
        <f>IF(B361="", "", "Mus musculus")</f>
        <v>0</v>
      </c>
      <c r="I361" s="1">
        <f>IF(B361="", "", "10090")</f>
        <v>0</v>
      </c>
      <c r="J361" s="2">
        <f>IF(B361="", "", "missing: not provided")</f>
        <v>0</v>
      </c>
      <c r="K361" s="1">
        <f>IF(B361="", "", "g")</f>
        <v>0</v>
      </c>
    </row>
    <row r="362" spans="1:11">
      <c r="A362">
        <f>IF(COUNTBLANK(B362:K362)&lt;&gt;COLUMNS(B362:K362),361,"")</f>
        <v>0</v>
      </c>
      <c r="C362" s="1">
        <f>IF(B362="", "", "urban biome")</f>
        <v>0</v>
      </c>
      <c r="D362" s="1">
        <f>IF(B362="", "", "animal-associated habitat")</f>
        <v>0</v>
      </c>
      <c r="E362" s="2">
        <f>IF(B362="", "", "missing: not provided")</f>
        <v>0</v>
      </c>
      <c r="F362" s="1">
        <f>IF(B362="", "", "weeks")</f>
        <v>0</v>
      </c>
      <c r="G362" s="1">
        <f>IF(B362="", "", "mouse")</f>
        <v>0</v>
      </c>
      <c r="H362" s="1">
        <f>IF(B362="", "", "Mus musculus")</f>
        <v>0</v>
      </c>
      <c r="I362" s="1">
        <f>IF(B362="", "", "10090")</f>
        <v>0</v>
      </c>
      <c r="J362" s="2">
        <f>IF(B362="", "", "missing: not provided")</f>
        <v>0</v>
      </c>
      <c r="K362" s="1">
        <f>IF(B362="", "", "g")</f>
        <v>0</v>
      </c>
    </row>
    <row r="363" spans="1:11">
      <c r="A363">
        <f>IF(COUNTBLANK(B363:K363)&lt;&gt;COLUMNS(B363:K363),362,"")</f>
        <v>0</v>
      </c>
      <c r="C363" s="1">
        <f>IF(B363="", "", "urban biome")</f>
        <v>0</v>
      </c>
      <c r="D363" s="1">
        <f>IF(B363="", "", "animal-associated habitat")</f>
        <v>0</v>
      </c>
      <c r="E363" s="2">
        <f>IF(B363="", "", "missing: not provided")</f>
        <v>0</v>
      </c>
      <c r="F363" s="1">
        <f>IF(B363="", "", "weeks")</f>
        <v>0</v>
      </c>
      <c r="G363" s="1">
        <f>IF(B363="", "", "mouse")</f>
        <v>0</v>
      </c>
      <c r="H363" s="1">
        <f>IF(B363="", "", "Mus musculus")</f>
        <v>0</v>
      </c>
      <c r="I363" s="1">
        <f>IF(B363="", "", "10090")</f>
        <v>0</v>
      </c>
      <c r="J363" s="2">
        <f>IF(B363="", "", "missing: not provided")</f>
        <v>0</v>
      </c>
      <c r="K363" s="1">
        <f>IF(B363="", "", "g")</f>
        <v>0</v>
      </c>
    </row>
    <row r="364" spans="1:11">
      <c r="A364">
        <f>IF(COUNTBLANK(B364:K364)&lt;&gt;COLUMNS(B364:K364),363,"")</f>
        <v>0</v>
      </c>
      <c r="C364" s="1">
        <f>IF(B364="", "", "urban biome")</f>
        <v>0</v>
      </c>
      <c r="D364" s="1">
        <f>IF(B364="", "", "animal-associated habitat")</f>
        <v>0</v>
      </c>
      <c r="E364" s="2">
        <f>IF(B364="", "", "missing: not provided")</f>
        <v>0</v>
      </c>
      <c r="F364" s="1">
        <f>IF(B364="", "", "weeks")</f>
        <v>0</v>
      </c>
      <c r="G364" s="1">
        <f>IF(B364="", "", "mouse")</f>
        <v>0</v>
      </c>
      <c r="H364" s="1">
        <f>IF(B364="", "", "Mus musculus")</f>
        <v>0</v>
      </c>
      <c r="I364" s="1">
        <f>IF(B364="", "", "10090")</f>
        <v>0</v>
      </c>
      <c r="J364" s="2">
        <f>IF(B364="", "", "missing: not provided")</f>
        <v>0</v>
      </c>
      <c r="K364" s="1">
        <f>IF(B364="", "", "g")</f>
        <v>0</v>
      </c>
    </row>
    <row r="365" spans="1:11">
      <c r="A365">
        <f>IF(COUNTBLANK(B365:K365)&lt;&gt;COLUMNS(B365:K365),364,"")</f>
        <v>0</v>
      </c>
      <c r="C365" s="1">
        <f>IF(B365="", "", "urban biome")</f>
        <v>0</v>
      </c>
      <c r="D365" s="1">
        <f>IF(B365="", "", "animal-associated habitat")</f>
        <v>0</v>
      </c>
      <c r="E365" s="2">
        <f>IF(B365="", "", "missing: not provided")</f>
        <v>0</v>
      </c>
      <c r="F365" s="1">
        <f>IF(B365="", "", "weeks")</f>
        <v>0</v>
      </c>
      <c r="G365" s="1">
        <f>IF(B365="", "", "mouse")</f>
        <v>0</v>
      </c>
      <c r="H365" s="1">
        <f>IF(B365="", "", "Mus musculus")</f>
        <v>0</v>
      </c>
      <c r="I365" s="1">
        <f>IF(B365="", "", "10090")</f>
        <v>0</v>
      </c>
      <c r="J365" s="2">
        <f>IF(B365="", "", "missing: not provided")</f>
        <v>0</v>
      </c>
      <c r="K365" s="1">
        <f>IF(B365="", "", "g")</f>
        <v>0</v>
      </c>
    </row>
    <row r="366" spans="1:11">
      <c r="A366">
        <f>IF(COUNTBLANK(B366:K366)&lt;&gt;COLUMNS(B366:K366),365,"")</f>
        <v>0</v>
      </c>
      <c r="C366" s="1">
        <f>IF(B366="", "", "urban biome")</f>
        <v>0</v>
      </c>
      <c r="D366" s="1">
        <f>IF(B366="", "", "animal-associated habitat")</f>
        <v>0</v>
      </c>
      <c r="E366" s="2">
        <f>IF(B366="", "", "missing: not provided")</f>
        <v>0</v>
      </c>
      <c r="F366" s="1">
        <f>IF(B366="", "", "weeks")</f>
        <v>0</v>
      </c>
      <c r="G366" s="1">
        <f>IF(B366="", "", "mouse")</f>
        <v>0</v>
      </c>
      <c r="H366" s="1">
        <f>IF(B366="", "", "Mus musculus")</f>
        <v>0</v>
      </c>
      <c r="I366" s="1">
        <f>IF(B366="", "", "10090")</f>
        <v>0</v>
      </c>
      <c r="J366" s="2">
        <f>IF(B366="", "", "missing: not provided")</f>
        <v>0</v>
      </c>
      <c r="K366" s="1">
        <f>IF(B366="", "", "g")</f>
        <v>0</v>
      </c>
    </row>
    <row r="367" spans="1:11">
      <c r="A367">
        <f>IF(COUNTBLANK(B367:K367)&lt;&gt;COLUMNS(B367:K367),366,"")</f>
        <v>0</v>
      </c>
      <c r="C367" s="1">
        <f>IF(B367="", "", "urban biome")</f>
        <v>0</v>
      </c>
      <c r="D367" s="1">
        <f>IF(B367="", "", "animal-associated habitat")</f>
        <v>0</v>
      </c>
      <c r="E367" s="2">
        <f>IF(B367="", "", "missing: not provided")</f>
        <v>0</v>
      </c>
      <c r="F367" s="1">
        <f>IF(B367="", "", "weeks")</f>
        <v>0</v>
      </c>
      <c r="G367" s="1">
        <f>IF(B367="", "", "mouse")</f>
        <v>0</v>
      </c>
      <c r="H367" s="1">
        <f>IF(B367="", "", "Mus musculus")</f>
        <v>0</v>
      </c>
      <c r="I367" s="1">
        <f>IF(B367="", "", "10090")</f>
        <v>0</v>
      </c>
      <c r="J367" s="2">
        <f>IF(B367="", "", "missing: not provided")</f>
        <v>0</v>
      </c>
      <c r="K367" s="1">
        <f>IF(B367="", "", "g")</f>
        <v>0</v>
      </c>
    </row>
    <row r="368" spans="1:11">
      <c r="A368">
        <f>IF(COUNTBLANK(B368:K368)&lt;&gt;COLUMNS(B368:K368),367,"")</f>
        <v>0</v>
      </c>
      <c r="C368" s="1">
        <f>IF(B368="", "", "urban biome")</f>
        <v>0</v>
      </c>
      <c r="D368" s="1">
        <f>IF(B368="", "", "animal-associated habitat")</f>
        <v>0</v>
      </c>
      <c r="E368" s="2">
        <f>IF(B368="", "", "missing: not provided")</f>
        <v>0</v>
      </c>
      <c r="F368" s="1">
        <f>IF(B368="", "", "weeks")</f>
        <v>0</v>
      </c>
      <c r="G368" s="1">
        <f>IF(B368="", "", "mouse")</f>
        <v>0</v>
      </c>
      <c r="H368" s="1">
        <f>IF(B368="", "", "Mus musculus")</f>
        <v>0</v>
      </c>
      <c r="I368" s="1">
        <f>IF(B368="", "", "10090")</f>
        <v>0</v>
      </c>
      <c r="J368" s="2">
        <f>IF(B368="", "", "missing: not provided")</f>
        <v>0</v>
      </c>
      <c r="K368" s="1">
        <f>IF(B368="", "", "g")</f>
        <v>0</v>
      </c>
    </row>
    <row r="369" spans="1:11">
      <c r="A369">
        <f>IF(COUNTBLANK(B369:K369)&lt;&gt;COLUMNS(B369:K369),368,"")</f>
        <v>0</v>
      </c>
      <c r="C369" s="1">
        <f>IF(B369="", "", "urban biome")</f>
        <v>0</v>
      </c>
      <c r="D369" s="1">
        <f>IF(B369="", "", "animal-associated habitat")</f>
        <v>0</v>
      </c>
      <c r="E369" s="2">
        <f>IF(B369="", "", "missing: not provided")</f>
        <v>0</v>
      </c>
      <c r="F369" s="1">
        <f>IF(B369="", "", "weeks")</f>
        <v>0</v>
      </c>
      <c r="G369" s="1">
        <f>IF(B369="", "", "mouse")</f>
        <v>0</v>
      </c>
      <c r="H369" s="1">
        <f>IF(B369="", "", "Mus musculus")</f>
        <v>0</v>
      </c>
      <c r="I369" s="1">
        <f>IF(B369="", "", "10090")</f>
        <v>0</v>
      </c>
      <c r="J369" s="2">
        <f>IF(B369="", "", "missing: not provided")</f>
        <v>0</v>
      </c>
      <c r="K369" s="1">
        <f>IF(B369="", "", "g")</f>
        <v>0</v>
      </c>
    </row>
    <row r="370" spans="1:11">
      <c r="A370">
        <f>IF(COUNTBLANK(B370:K370)&lt;&gt;COLUMNS(B370:K370),369,"")</f>
        <v>0</v>
      </c>
      <c r="C370" s="1">
        <f>IF(B370="", "", "urban biome")</f>
        <v>0</v>
      </c>
      <c r="D370" s="1">
        <f>IF(B370="", "", "animal-associated habitat")</f>
        <v>0</v>
      </c>
      <c r="E370" s="2">
        <f>IF(B370="", "", "missing: not provided")</f>
        <v>0</v>
      </c>
      <c r="F370" s="1">
        <f>IF(B370="", "", "weeks")</f>
        <v>0</v>
      </c>
      <c r="G370" s="1">
        <f>IF(B370="", "", "mouse")</f>
        <v>0</v>
      </c>
      <c r="H370" s="1">
        <f>IF(B370="", "", "Mus musculus")</f>
        <v>0</v>
      </c>
      <c r="I370" s="1">
        <f>IF(B370="", "", "10090")</f>
        <v>0</v>
      </c>
      <c r="J370" s="2">
        <f>IF(B370="", "", "missing: not provided")</f>
        <v>0</v>
      </c>
      <c r="K370" s="1">
        <f>IF(B370="", "", "g")</f>
        <v>0</v>
      </c>
    </row>
    <row r="371" spans="1:11">
      <c r="A371">
        <f>IF(COUNTBLANK(B371:K371)&lt;&gt;COLUMNS(B371:K371),370,"")</f>
        <v>0</v>
      </c>
      <c r="C371" s="1">
        <f>IF(B371="", "", "urban biome")</f>
        <v>0</v>
      </c>
      <c r="D371" s="1">
        <f>IF(B371="", "", "animal-associated habitat")</f>
        <v>0</v>
      </c>
      <c r="E371" s="2">
        <f>IF(B371="", "", "missing: not provided")</f>
        <v>0</v>
      </c>
      <c r="F371" s="1">
        <f>IF(B371="", "", "weeks")</f>
        <v>0</v>
      </c>
      <c r="G371" s="1">
        <f>IF(B371="", "", "mouse")</f>
        <v>0</v>
      </c>
      <c r="H371" s="1">
        <f>IF(B371="", "", "Mus musculus")</f>
        <v>0</v>
      </c>
      <c r="I371" s="1">
        <f>IF(B371="", "", "10090")</f>
        <v>0</v>
      </c>
      <c r="J371" s="2">
        <f>IF(B371="", "", "missing: not provided")</f>
        <v>0</v>
      </c>
      <c r="K371" s="1">
        <f>IF(B371="", "", "g")</f>
        <v>0</v>
      </c>
    </row>
    <row r="372" spans="1:11">
      <c r="A372">
        <f>IF(COUNTBLANK(B372:K372)&lt;&gt;COLUMNS(B372:K372),371,"")</f>
        <v>0</v>
      </c>
      <c r="C372" s="1">
        <f>IF(B372="", "", "urban biome")</f>
        <v>0</v>
      </c>
      <c r="D372" s="1">
        <f>IF(B372="", "", "animal-associated habitat")</f>
        <v>0</v>
      </c>
      <c r="E372" s="2">
        <f>IF(B372="", "", "missing: not provided")</f>
        <v>0</v>
      </c>
      <c r="F372" s="1">
        <f>IF(B372="", "", "weeks")</f>
        <v>0</v>
      </c>
      <c r="G372" s="1">
        <f>IF(B372="", "", "mouse")</f>
        <v>0</v>
      </c>
      <c r="H372" s="1">
        <f>IF(B372="", "", "Mus musculus")</f>
        <v>0</v>
      </c>
      <c r="I372" s="1">
        <f>IF(B372="", "", "10090")</f>
        <v>0</v>
      </c>
      <c r="J372" s="2">
        <f>IF(B372="", "", "missing: not provided")</f>
        <v>0</v>
      </c>
      <c r="K372" s="1">
        <f>IF(B372="", "", "g")</f>
        <v>0</v>
      </c>
    </row>
    <row r="373" spans="1:11">
      <c r="A373">
        <f>IF(COUNTBLANK(B373:K373)&lt;&gt;COLUMNS(B373:K373),372,"")</f>
        <v>0</v>
      </c>
      <c r="C373" s="1">
        <f>IF(B373="", "", "urban biome")</f>
        <v>0</v>
      </c>
      <c r="D373" s="1">
        <f>IF(B373="", "", "animal-associated habitat")</f>
        <v>0</v>
      </c>
      <c r="E373" s="2">
        <f>IF(B373="", "", "missing: not provided")</f>
        <v>0</v>
      </c>
      <c r="F373" s="1">
        <f>IF(B373="", "", "weeks")</f>
        <v>0</v>
      </c>
      <c r="G373" s="1">
        <f>IF(B373="", "", "mouse")</f>
        <v>0</v>
      </c>
      <c r="H373" s="1">
        <f>IF(B373="", "", "Mus musculus")</f>
        <v>0</v>
      </c>
      <c r="I373" s="1">
        <f>IF(B373="", "", "10090")</f>
        <v>0</v>
      </c>
      <c r="J373" s="2">
        <f>IF(B373="", "", "missing: not provided")</f>
        <v>0</v>
      </c>
      <c r="K373" s="1">
        <f>IF(B373="", "", "g")</f>
        <v>0</v>
      </c>
    </row>
    <row r="374" spans="1:11">
      <c r="A374">
        <f>IF(COUNTBLANK(B374:K374)&lt;&gt;COLUMNS(B374:K374),373,"")</f>
        <v>0</v>
      </c>
      <c r="C374" s="1">
        <f>IF(B374="", "", "urban biome")</f>
        <v>0</v>
      </c>
      <c r="D374" s="1">
        <f>IF(B374="", "", "animal-associated habitat")</f>
        <v>0</v>
      </c>
      <c r="E374" s="2">
        <f>IF(B374="", "", "missing: not provided")</f>
        <v>0</v>
      </c>
      <c r="F374" s="1">
        <f>IF(B374="", "", "weeks")</f>
        <v>0</v>
      </c>
      <c r="G374" s="1">
        <f>IF(B374="", "", "mouse")</f>
        <v>0</v>
      </c>
      <c r="H374" s="1">
        <f>IF(B374="", "", "Mus musculus")</f>
        <v>0</v>
      </c>
      <c r="I374" s="1">
        <f>IF(B374="", "", "10090")</f>
        <v>0</v>
      </c>
      <c r="J374" s="2">
        <f>IF(B374="", "", "missing: not provided")</f>
        <v>0</v>
      </c>
      <c r="K374" s="1">
        <f>IF(B374="", "", "g")</f>
        <v>0</v>
      </c>
    </row>
    <row r="375" spans="1:11">
      <c r="A375">
        <f>IF(COUNTBLANK(B375:K375)&lt;&gt;COLUMNS(B375:K375),374,"")</f>
        <v>0</v>
      </c>
      <c r="C375" s="1">
        <f>IF(B375="", "", "urban biome")</f>
        <v>0</v>
      </c>
      <c r="D375" s="1">
        <f>IF(B375="", "", "animal-associated habitat")</f>
        <v>0</v>
      </c>
      <c r="E375" s="2">
        <f>IF(B375="", "", "missing: not provided")</f>
        <v>0</v>
      </c>
      <c r="F375" s="1">
        <f>IF(B375="", "", "weeks")</f>
        <v>0</v>
      </c>
      <c r="G375" s="1">
        <f>IF(B375="", "", "mouse")</f>
        <v>0</v>
      </c>
      <c r="H375" s="1">
        <f>IF(B375="", "", "Mus musculus")</f>
        <v>0</v>
      </c>
      <c r="I375" s="1">
        <f>IF(B375="", "", "10090")</f>
        <v>0</v>
      </c>
      <c r="J375" s="2">
        <f>IF(B375="", "", "missing: not provided")</f>
        <v>0</v>
      </c>
      <c r="K375" s="1">
        <f>IF(B375="", "", "g")</f>
        <v>0</v>
      </c>
    </row>
    <row r="376" spans="1:11">
      <c r="A376">
        <f>IF(COUNTBLANK(B376:K376)&lt;&gt;COLUMNS(B376:K376),375,"")</f>
        <v>0</v>
      </c>
      <c r="C376" s="1">
        <f>IF(B376="", "", "urban biome")</f>
        <v>0</v>
      </c>
      <c r="D376" s="1">
        <f>IF(B376="", "", "animal-associated habitat")</f>
        <v>0</v>
      </c>
      <c r="E376" s="2">
        <f>IF(B376="", "", "missing: not provided")</f>
        <v>0</v>
      </c>
      <c r="F376" s="1">
        <f>IF(B376="", "", "weeks")</f>
        <v>0</v>
      </c>
      <c r="G376" s="1">
        <f>IF(B376="", "", "mouse")</f>
        <v>0</v>
      </c>
      <c r="H376" s="1">
        <f>IF(B376="", "", "Mus musculus")</f>
        <v>0</v>
      </c>
      <c r="I376" s="1">
        <f>IF(B376="", "", "10090")</f>
        <v>0</v>
      </c>
      <c r="J376" s="2">
        <f>IF(B376="", "", "missing: not provided")</f>
        <v>0</v>
      </c>
      <c r="K376" s="1">
        <f>IF(B376="", "", "g")</f>
        <v>0</v>
      </c>
    </row>
    <row r="377" spans="1:11">
      <c r="A377">
        <f>IF(COUNTBLANK(B377:K377)&lt;&gt;COLUMNS(B377:K377),376,"")</f>
        <v>0</v>
      </c>
      <c r="C377" s="1">
        <f>IF(B377="", "", "urban biome")</f>
        <v>0</v>
      </c>
      <c r="D377" s="1">
        <f>IF(B377="", "", "animal-associated habitat")</f>
        <v>0</v>
      </c>
      <c r="E377" s="2">
        <f>IF(B377="", "", "missing: not provided")</f>
        <v>0</v>
      </c>
      <c r="F377" s="1">
        <f>IF(B377="", "", "weeks")</f>
        <v>0</v>
      </c>
      <c r="G377" s="1">
        <f>IF(B377="", "", "mouse")</f>
        <v>0</v>
      </c>
      <c r="H377" s="1">
        <f>IF(B377="", "", "Mus musculus")</f>
        <v>0</v>
      </c>
      <c r="I377" s="1">
        <f>IF(B377="", "", "10090")</f>
        <v>0</v>
      </c>
      <c r="J377" s="2">
        <f>IF(B377="", "", "missing: not provided")</f>
        <v>0</v>
      </c>
      <c r="K377" s="1">
        <f>IF(B377="", "", "g")</f>
        <v>0</v>
      </c>
    </row>
    <row r="378" spans="1:11">
      <c r="A378">
        <f>IF(COUNTBLANK(B378:K378)&lt;&gt;COLUMNS(B378:K378),377,"")</f>
        <v>0</v>
      </c>
      <c r="C378" s="1">
        <f>IF(B378="", "", "urban biome")</f>
        <v>0</v>
      </c>
      <c r="D378" s="1">
        <f>IF(B378="", "", "animal-associated habitat")</f>
        <v>0</v>
      </c>
      <c r="E378" s="2">
        <f>IF(B378="", "", "missing: not provided")</f>
        <v>0</v>
      </c>
      <c r="F378" s="1">
        <f>IF(B378="", "", "weeks")</f>
        <v>0</v>
      </c>
      <c r="G378" s="1">
        <f>IF(B378="", "", "mouse")</f>
        <v>0</v>
      </c>
      <c r="H378" s="1">
        <f>IF(B378="", "", "Mus musculus")</f>
        <v>0</v>
      </c>
      <c r="I378" s="1">
        <f>IF(B378="", "", "10090")</f>
        <v>0</v>
      </c>
      <c r="J378" s="2">
        <f>IF(B378="", "", "missing: not provided")</f>
        <v>0</v>
      </c>
      <c r="K378" s="1">
        <f>IF(B378="", "", "g")</f>
        <v>0</v>
      </c>
    </row>
    <row r="379" spans="1:11">
      <c r="A379">
        <f>IF(COUNTBLANK(B379:K379)&lt;&gt;COLUMNS(B379:K379),378,"")</f>
        <v>0</v>
      </c>
      <c r="C379" s="1">
        <f>IF(B379="", "", "urban biome")</f>
        <v>0</v>
      </c>
      <c r="D379" s="1">
        <f>IF(B379="", "", "animal-associated habitat")</f>
        <v>0</v>
      </c>
      <c r="E379" s="2">
        <f>IF(B379="", "", "missing: not provided")</f>
        <v>0</v>
      </c>
      <c r="F379" s="1">
        <f>IF(B379="", "", "weeks")</f>
        <v>0</v>
      </c>
      <c r="G379" s="1">
        <f>IF(B379="", "", "mouse")</f>
        <v>0</v>
      </c>
      <c r="H379" s="1">
        <f>IF(B379="", "", "Mus musculus")</f>
        <v>0</v>
      </c>
      <c r="I379" s="1">
        <f>IF(B379="", "", "10090")</f>
        <v>0</v>
      </c>
      <c r="J379" s="2">
        <f>IF(B379="", "", "missing: not provided")</f>
        <v>0</v>
      </c>
      <c r="K379" s="1">
        <f>IF(B379="", "", "g")</f>
        <v>0</v>
      </c>
    </row>
    <row r="380" spans="1:11">
      <c r="A380">
        <f>IF(COUNTBLANK(B380:K380)&lt;&gt;COLUMNS(B380:K380),379,"")</f>
        <v>0</v>
      </c>
      <c r="C380" s="1">
        <f>IF(B380="", "", "urban biome")</f>
        <v>0</v>
      </c>
      <c r="D380" s="1">
        <f>IF(B380="", "", "animal-associated habitat")</f>
        <v>0</v>
      </c>
      <c r="E380" s="2">
        <f>IF(B380="", "", "missing: not provided")</f>
        <v>0</v>
      </c>
      <c r="F380" s="1">
        <f>IF(B380="", "", "weeks")</f>
        <v>0</v>
      </c>
      <c r="G380" s="1">
        <f>IF(B380="", "", "mouse")</f>
        <v>0</v>
      </c>
      <c r="H380" s="1">
        <f>IF(B380="", "", "Mus musculus")</f>
        <v>0</v>
      </c>
      <c r="I380" s="1">
        <f>IF(B380="", "", "10090")</f>
        <v>0</v>
      </c>
      <c r="J380" s="2">
        <f>IF(B380="", "", "missing: not provided")</f>
        <v>0</v>
      </c>
      <c r="K380" s="1">
        <f>IF(B380="", "", "g")</f>
        <v>0</v>
      </c>
    </row>
    <row r="381" spans="1:11">
      <c r="A381">
        <f>IF(COUNTBLANK(B381:K381)&lt;&gt;COLUMNS(B381:K381),380,"")</f>
        <v>0</v>
      </c>
      <c r="C381" s="1">
        <f>IF(B381="", "", "urban biome")</f>
        <v>0</v>
      </c>
      <c r="D381" s="1">
        <f>IF(B381="", "", "animal-associated habitat")</f>
        <v>0</v>
      </c>
      <c r="E381" s="2">
        <f>IF(B381="", "", "missing: not provided")</f>
        <v>0</v>
      </c>
      <c r="F381" s="1">
        <f>IF(B381="", "", "weeks")</f>
        <v>0</v>
      </c>
      <c r="G381" s="1">
        <f>IF(B381="", "", "mouse")</f>
        <v>0</v>
      </c>
      <c r="H381" s="1">
        <f>IF(B381="", "", "Mus musculus")</f>
        <v>0</v>
      </c>
      <c r="I381" s="1">
        <f>IF(B381="", "", "10090")</f>
        <v>0</v>
      </c>
      <c r="J381" s="2">
        <f>IF(B381="", "", "missing: not provided")</f>
        <v>0</v>
      </c>
      <c r="K381" s="1">
        <f>IF(B381="", "", "g")</f>
        <v>0</v>
      </c>
    </row>
    <row r="382" spans="1:11">
      <c r="A382">
        <f>IF(COUNTBLANK(B382:K382)&lt;&gt;COLUMNS(B382:K382),381,"")</f>
        <v>0</v>
      </c>
      <c r="C382" s="1">
        <f>IF(B382="", "", "urban biome")</f>
        <v>0</v>
      </c>
      <c r="D382" s="1">
        <f>IF(B382="", "", "animal-associated habitat")</f>
        <v>0</v>
      </c>
      <c r="E382" s="2">
        <f>IF(B382="", "", "missing: not provided")</f>
        <v>0</v>
      </c>
      <c r="F382" s="1">
        <f>IF(B382="", "", "weeks")</f>
        <v>0</v>
      </c>
      <c r="G382" s="1">
        <f>IF(B382="", "", "mouse")</f>
        <v>0</v>
      </c>
      <c r="H382" s="1">
        <f>IF(B382="", "", "Mus musculus")</f>
        <v>0</v>
      </c>
      <c r="I382" s="1">
        <f>IF(B382="", "", "10090")</f>
        <v>0</v>
      </c>
      <c r="J382" s="2">
        <f>IF(B382="", "", "missing: not provided")</f>
        <v>0</v>
      </c>
      <c r="K382" s="1">
        <f>IF(B382="", "", "g")</f>
        <v>0</v>
      </c>
    </row>
    <row r="383" spans="1:11">
      <c r="A383">
        <f>IF(COUNTBLANK(B383:K383)&lt;&gt;COLUMNS(B383:K383),382,"")</f>
        <v>0</v>
      </c>
      <c r="C383" s="1">
        <f>IF(B383="", "", "urban biome")</f>
        <v>0</v>
      </c>
      <c r="D383" s="1">
        <f>IF(B383="", "", "animal-associated habitat")</f>
        <v>0</v>
      </c>
      <c r="E383" s="2">
        <f>IF(B383="", "", "missing: not provided")</f>
        <v>0</v>
      </c>
      <c r="F383" s="1">
        <f>IF(B383="", "", "weeks")</f>
        <v>0</v>
      </c>
      <c r="G383" s="1">
        <f>IF(B383="", "", "mouse")</f>
        <v>0</v>
      </c>
      <c r="H383" s="1">
        <f>IF(B383="", "", "Mus musculus")</f>
        <v>0</v>
      </c>
      <c r="I383" s="1">
        <f>IF(B383="", "", "10090")</f>
        <v>0</v>
      </c>
      <c r="J383" s="2">
        <f>IF(B383="", "", "missing: not provided")</f>
        <v>0</v>
      </c>
      <c r="K383" s="1">
        <f>IF(B383="", "", "g")</f>
        <v>0</v>
      </c>
    </row>
    <row r="384" spans="1:11">
      <c r="A384">
        <f>IF(COUNTBLANK(B384:K384)&lt;&gt;COLUMNS(B384:K384),383,"")</f>
        <v>0</v>
      </c>
      <c r="C384" s="1">
        <f>IF(B384="", "", "urban biome")</f>
        <v>0</v>
      </c>
      <c r="D384" s="1">
        <f>IF(B384="", "", "animal-associated habitat")</f>
        <v>0</v>
      </c>
      <c r="E384" s="2">
        <f>IF(B384="", "", "missing: not provided")</f>
        <v>0</v>
      </c>
      <c r="F384" s="1">
        <f>IF(B384="", "", "weeks")</f>
        <v>0</v>
      </c>
      <c r="G384" s="1">
        <f>IF(B384="", "", "mouse")</f>
        <v>0</v>
      </c>
      <c r="H384" s="1">
        <f>IF(B384="", "", "Mus musculus")</f>
        <v>0</v>
      </c>
      <c r="I384" s="1">
        <f>IF(B384="", "", "10090")</f>
        <v>0</v>
      </c>
      <c r="J384" s="2">
        <f>IF(B384="", "", "missing: not provided")</f>
        <v>0</v>
      </c>
      <c r="K384" s="1">
        <f>IF(B384="", "", "g")</f>
        <v>0</v>
      </c>
    </row>
    <row r="385" spans="1:11">
      <c r="A385">
        <f>IF(COUNTBLANK(B385:K385)&lt;&gt;COLUMNS(B385:K385),384,"")</f>
        <v>0</v>
      </c>
      <c r="C385" s="1">
        <f>IF(B385="", "", "urban biome")</f>
        <v>0</v>
      </c>
      <c r="D385" s="1">
        <f>IF(B385="", "", "animal-associated habitat")</f>
        <v>0</v>
      </c>
      <c r="E385" s="2">
        <f>IF(B385="", "", "missing: not provided")</f>
        <v>0</v>
      </c>
      <c r="F385" s="1">
        <f>IF(B385="", "", "weeks")</f>
        <v>0</v>
      </c>
      <c r="G385" s="1">
        <f>IF(B385="", "", "mouse")</f>
        <v>0</v>
      </c>
      <c r="H385" s="1">
        <f>IF(B385="", "", "Mus musculus")</f>
        <v>0</v>
      </c>
      <c r="I385" s="1">
        <f>IF(B385="", "", "10090")</f>
        <v>0</v>
      </c>
      <c r="J385" s="2">
        <f>IF(B385="", "", "missing: not provided")</f>
        <v>0</v>
      </c>
      <c r="K385" s="1">
        <f>IF(B385="", "", "g")</f>
        <v>0</v>
      </c>
    </row>
    <row r="386" spans="1:11">
      <c r="A386">
        <f>IF(COUNTBLANK(B386:K386)&lt;&gt;COLUMNS(B386:K386),385,"")</f>
        <v>0</v>
      </c>
      <c r="C386" s="1">
        <f>IF(B386="", "", "urban biome")</f>
        <v>0</v>
      </c>
      <c r="D386" s="1">
        <f>IF(B386="", "", "animal-associated habitat")</f>
        <v>0</v>
      </c>
      <c r="E386" s="2">
        <f>IF(B386="", "", "missing: not provided")</f>
        <v>0</v>
      </c>
      <c r="F386" s="1">
        <f>IF(B386="", "", "weeks")</f>
        <v>0</v>
      </c>
      <c r="G386" s="1">
        <f>IF(B386="", "", "mouse")</f>
        <v>0</v>
      </c>
      <c r="H386" s="1">
        <f>IF(B386="", "", "Mus musculus")</f>
        <v>0</v>
      </c>
      <c r="I386" s="1">
        <f>IF(B386="", "", "10090")</f>
        <v>0</v>
      </c>
      <c r="J386" s="2">
        <f>IF(B386="", "", "missing: not provided")</f>
        <v>0</v>
      </c>
      <c r="K386" s="1">
        <f>IF(B386="", "", "g")</f>
        <v>0</v>
      </c>
    </row>
    <row r="387" spans="1:11">
      <c r="A387">
        <f>IF(COUNTBLANK(B387:K387)&lt;&gt;COLUMNS(B387:K387),386,"")</f>
        <v>0</v>
      </c>
      <c r="C387" s="1">
        <f>IF(B387="", "", "urban biome")</f>
        <v>0</v>
      </c>
      <c r="D387" s="1">
        <f>IF(B387="", "", "animal-associated habitat")</f>
        <v>0</v>
      </c>
      <c r="E387" s="2">
        <f>IF(B387="", "", "missing: not provided")</f>
        <v>0</v>
      </c>
      <c r="F387" s="1">
        <f>IF(B387="", "", "weeks")</f>
        <v>0</v>
      </c>
      <c r="G387" s="1">
        <f>IF(B387="", "", "mouse")</f>
        <v>0</v>
      </c>
      <c r="H387" s="1">
        <f>IF(B387="", "", "Mus musculus")</f>
        <v>0</v>
      </c>
      <c r="I387" s="1">
        <f>IF(B387="", "", "10090")</f>
        <v>0</v>
      </c>
      <c r="J387" s="2">
        <f>IF(B387="", "", "missing: not provided")</f>
        <v>0</v>
      </c>
      <c r="K387" s="1">
        <f>IF(B387="", "", "g")</f>
        <v>0</v>
      </c>
    </row>
    <row r="388" spans="1:11">
      <c r="A388">
        <f>IF(COUNTBLANK(B388:K388)&lt;&gt;COLUMNS(B388:K388),387,"")</f>
        <v>0</v>
      </c>
      <c r="C388" s="1">
        <f>IF(B388="", "", "urban biome")</f>
        <v>0</v>
      </c>
      <c r="D388" s="1">
        <f>IF(B388="", "", "animal-associated habitat")</f>
        <v>0</v>
      </c>
      <c r="E388" s="2">
        <f>IF(B388="", "", "missing: not provided")</f>
        <v>0</v>
      </c>
      <c r="F388" s="1">
        <f>IF(B388="", "", "weeks")</f>
        <v>0</v>
      </c>
      <c r="G388" s="1">
        <f>IF(B388="", "", "mouse")</f>
        <v>0</v>
      </c>
      <c r="H388" s="1">
        <f>IF(B388="", "", "Mus musculus")</f>
        <v>0</v>
      </c>
      <c r="I388" s="1">
        <f>IF(B388="", "", "10090")</f>
        <v>0</v>
      </c>
      <c r="J388" s="2">
        <f>IF(B388="", "", "missing: not provided")</f>
        <v>0</v>
      </c>
      <c r="K388" s="1">
        <f>IF(B388="", "", "g")</f>
        <v>0</v>
      </c>
    </row>
    <row r="389" spans="1:11">
      <c r="A389">
        <f>IF(COUNTBLANK(B389:K389)&lt;&gt;COLUMNS(B389:K389),388,"")</f>
        <v>0</v>
      </c>
      <c r="C389" s="1">
        <f>IF(B389="", "", "urban biome")</f>
        <v>0</v>
      </c>
      <c r="D389" s="1">
        <f>IF(B389="", "", "animal-associated habitat")</f>
        <v>0</v>
      </c>
      <c r="E389" s="2">
        <f>IF(B389="", "", "missing: not provided")</f>
        <v>0</v>
      </c>
      <c r="F389" s="1">
        <f>IF(B389="", "", "weeks")</f>
        <v>0</v>
      </c>
      <c r="G389" s="1">
        <f>IF(B389="", "", "mouse")</f>
        <v>0</v>
      </c>
      <c r="H389" s="1">
        <f>IF(B389="", "", "Mus musculus")</f>
        <v>0</v>
      </c>
      <c r="I389" s="1">
        <f>IF(B389="", "", "10090")</f>
        <v>0</v>
      </c>
      <c r="J389" s="2">
        <f>IF(B389="", "", "missing: not provided")</f>
        <v>0</v>
      </c>
      <c r="K389" s="1">
        <f>IF(B389="", "", "g")</f>
        <v>0</v>
      </c>
    </row>
    <row r="390" spans="1:11">
      <c r="A390">
        <f>IF(COUNTBLANK(B390:K390)&lt;&gt;COLUMNS(B390:K390),389,"")</f>
        <v>0</v>
      </c>
      <c r="C390" s="1">
        <f>IF(B390="", "", "urban biome")</f>
        <v>0</v>
      </c>
      <c r="D390" s="1">
        <f>IF(B390="", "", "animal-associated habitat")</f>
        <v>0</v>
      </c>
      <c r="E390" s="2">
        <f>IF(B390="", "", "missing: not provided")</f>
        <v>0</v>
      </c>
      <c r="F390" s="1">
        <f>IF(B390="", "", "weeks")</f>
        <v>0</v>
      </c>
      <c r="G390" s="1">
        <f>IF(B390="", "", "mouse")</f>
        <v>0</v>
      </c>
      <c r="H390" s="1">
        <f>IF(B390="", "", "Mus musculus")</f>
        <v>0</v>
      </c>
      <c r="I390" s="1">
        <f>IF(B390="", "", "10090")</f>
        <v>0</v>
      </c>
      <c r="J390" s="2">
        <f>IF(B390="", "", "missing: not provided")</f>
        <v>0</v>
      </c>
      <c r="K390" s="1">
        <f>IF(B390="", "", "g")</f>
        <v>0</v>
      </c>
    </row>
    <row r="391" spans="1:11">
      <c r="A391">
        <f>IF(COUNTBLANK(B391:K391)&lt;&gt;COLUMNS(B391:K391),390,"")</f>
        <v>0</v>
      </c>
      <c r="C391" s="1">
        <f>IF(B391="", "", "urban biome")</f>
        <v>0</v>
      </c>
      <c r="D391" s="1">
        <f>IF(B391="", "", "animal-associated habitat")</f>
        <v>0</v>
      </c>
      <c r="E391" s="2">
        <f>IF(B391="", "", "missing: not provided")</f>
        <v>0</v>
      </c>
      <c r="F391" s="1">
        <f>IF(B391="", "", "weeks")</f>
        <v>0</v>
      </c>
      <c r="G391" s="1">
        <f>IF(B391="", "", "mouse")</f>
        <v>0</v>
      </c>
      <c r="H391" s="1">
        <f>IF(B391="", "", "Mus musculus")</f>
        <v>0</v>
      </c>
      <c r="I391" s="1">
        <f>IF(B391="", "", "10090")</f>
        <v>0</v>
      </c>
      <c r="J391" s="2">
        <f>IF(B391="", "", "missing: not provided")</f>
        <v>0</v>
      </c>
      <c r="K391" s="1">
        <f>IF(B391="", "", "g")</f>
        <v>0</v>
      </c>
    </row>
    <row r="392" spans="1:11">
      <c r="A392">
        <f>IF(COUNTBLANK(B392:K392)&lt;&gt;COLUMNS(B392:K392),391,"")</f>
        <v>0</v>
      </c>
      <c r="C392" s="1">
        <f>IF(B392="", "", "urban biome")</f>
        <v>0</v>
      </c>
      <c r="D392" s="1">
        <f>IF(B392="", "", "animal-associated habitat")</f>
        <v>0</v>
      </c>
      <c r="E392" s="2">
        <f>IF(B392="", "", "missing: not provided")</f>
        <v>0</v>
      </c>
      <c r="F392" s="1">
        <f>IF(B392="", "", "weeks")</f>
        <v>0</v>
      </c>
      <c r="G392" s="1">
        <f>IF(B392="", "", "mouse")</f>
        <v>0</v>
      </c>
      <c r="H392" s="1">
        <f>IF(B392="", "", "Mus musculus")</f>
        <v>0</v>
      </c>
      <c r="I392" s="1">
        <f>IF(B392="", "", "10090")</f>
        <v>0</v>
      </c>
      <c r="J392" s="2">
        <f>IF(B392="", "", "missing: not provided")</f>
        <v>0</v>
      </c>
      <c r="K392" s="1">
        <f>IF(B392="", "", "g")</f>
        <v>0</v>
      </c>
    </row>
    <row r="393" spans="1:11">
      <c r="A393">
        <f>IF(COUNTBLANK(B393:K393)&lt;&gt;COLUMNS(B393:K393),392,"")</f>
        <v>0</v>
      </c>
      <c r="C393" s="1">
        <f>IF(B393="", "", "urban biome")</f>
        <v>0</v>
      </c>
      <c r="D393" s="1">
        <f>IF(B393="", "", "animal-associated habitat")</f>
        <v>0</v>
      </c>
      <c r="E393" s="2">
        <f>IF(B393="", "", "missing: not provided")</f>
        <v>0</v>
      </c>
      <c r="F393" s="1">
        <f>IF(B393="", "", "weeks")</f>
        <v>0</v>
      </c>
      <c r="G393" s="1">
        <f>IF(B393="", "", "mouse")</f>
        <v>0</v>
      </c>
      <c r="H393" s="1">
        <f>IF(B393="", "", "Mus musculus")</f>
        <v>0</v>
      </c>
      <c r="I393" s="1">
        <f>IF(B393="", "", "10090")</f>
        <v>0</v>
      </c>
      <c r="J393" s="2">
        <f>IF(B393="", "", "missing: not provided")</f>
        <v>0</v>
      </c>
      <c r="K393" s="1">
        <f>IF(B393="", "", "g")</f>
        <v>0</v>
      </c>
    </row>
    <row r="394" spans="1:11">
      <c r="A394">
        <f>IF(COUNTBLANK(B394:K394)&lt;&gt;COLUMNS(B394:K394),393,"")</f>
        <v>0</v>
      </c>
      <c r="C394" s="1">
        <f>IF(B394="", "", "urban biome")</f>
        <v>0</v>
      </c>
      <c r="D394" s="1">
        <f>IF(B394="", "", "animal-associated habitat")</f>
        <v>0</v>
      </c>
      <c r="E394" s="2">
        <f>IF(B394="", "", "missing: not provided")</f>
        <v>0</v>
      </c>
      <c r="F394" s="1">
        <f>IF(B394="", "", "weeks")</f>
        <v>0</v>
      </c>
      <c r="G394" s="1">
        <f>IF(B394="", "", "mouse")</f>
        <v>0</v>
      </c>
      <c r="H394" s="1">
        <f>IF(B394="", "", "Mus musculus")</f>
        <v>0</v>
      </c>
      <c r="I394" s="1">
        <f>IF(B394="", "", "10090")</f>
        <v>0</v>
      </c>
      <c r="J394" s="2">
        <f>IF(B394="", "", "missing: not provided")</f>
        <v>0</v>
      </c>
      <c r="K394" s="1">
        <f>IF(B394="", "", "g")</f>
        <v>0</v>
      </c>
    </row>
    <row r="395" spans="1:11">
      <c r="A395">
        <f>IF(COUNTBLANK(B395:K395)&lt;&gt;COLUMNS(B395:K395),394,"")</f>
        <v>0</v>
      </c>
      <c r="C395" s="1">
        <f>IF(B395="", "", "urban biome")</f>
        <v>0</v>
      </c>
      <c r="D395" s="1">
        <f>IF(B395="", "", "animal-associated habitat")</f>
        <v>0</v>
      </c>
      <c r="E395" s="2">
        <f>IF(B395="", "", "missing: not provided")</f>
        <v>0</v>
      </c>
      <c r="F395" s="1">
        <f>IF(B395="", "", "weeks")</f>
        <v>0</v>
      </c>
      <c r="G395" s="1">
        <f>IF(B395="", "", "mouse")</f>
        <v>0</v>
      </c>
      <c r="H395" s="1">
        <f>IF(B395="", "", "Mus musculus")</f>
        <v>0</v>
      </c>
      <c r="I395" s="1">
        <f>IF(B395="", "", "10090")</f>
        <v>0</v>
      </c>
      <c r="J395" s="2">
        <f>IF(B395="", "", "missing: not provided")</f>
        <v>0</v>
      </c>
      <c r="K395" s="1">
        <f>IF(B395="", "", "g")</f>
        <v>0</v>
      </c>
    </row>
    <row r="396" spans="1:11">
      <c r="A396">
        <f>IF(COUNTBLANK(B396:K396)&lt;&gt;COLUMNS(B396:K396),395,"")</f>
        <v>0</v>
      </c>
      <c r="C396" s="1">
        <f>IF(B396="", "", "urban biome")</f>
        <v>0</v>
      </c>
      <c r="D396" s="1">
        <f>IF(B396="", "", "animal-associated habitat")</f>
        <v>0</v>
      </c>
      <c r="E396" s="2">
        <f>IF(B396="", "", "missing: not provided")</f>
        <v>0</v>
      </c>
      <c r="F396" s="1">
        <f>IF(B396="", "", "weeks")</f>
        <v>0</v>
      </c>
      <c r="G396" s="1">
        <f>IF(B396="", "", "mouse")</f>
        <v>0</v>
      </c>
      <c r="H396" s="1">
        <f>IF(B396="", "", "Mus musculus")</f>
        <v>0</v>
      </c>
      <c r="I396" s="1">
        <f>IF(B396="", "", "10090")</f>
        <v>0</v>
      </c>
      <c r="J396" s="2">
        <f>IF(B396="", "", "missing: not provided")</f>
        <v>0</v>
      </c>
      <c r="K396" s="1">
        <f>IF(B396="", "", "g")</f>
        <v>0</v>
      </c>
    </row>
    <row r="397" spans="1:11">
      <c r="A397">
        <f>IF(COUNTBLANK(B397:K397)&lt;&gt;COLUMNS(B397:K397),396,"")</f>
        <v>0</v>
      </c>
      <c r="C397" s="1">
        <f>IF(B397="", "", "urban biome")</f>
        <v>0</v>
      </c>
      <c r="D397" s="1">
        <f>IF(B397="", "", "animal-associated habitat")</f>
        <v>0</v>
      </c>
      <c r="E397" s="2">
        <f>IF(B397="", "", "missing: not provided")</f>
        <v>0</v>
      </c>
      <c r="F397" s="1">
        <f>IF(B397="", "", "weeks")</f>
        <v>0</v>
      </c>
      <c r="G397" s="1">
        <f>IF(B397="", "", "mouse")</f>
        <v>0</v>
      </c>
      <c r="H397" s="1">
        <f>IF(B397="", "", "Mus musculus")</f>
        <v>0</v>
      </c>
      <c r="I397" s="1">
        <f>IF(B397="", "", "10090")</f>
        <v>0</v>
      </c>
      <c r="J397" s="2">
        <f>IF(B397="", "", "missing: not provided")</f>
        <v>0</v>
      </c>
      <c r="K397" s="1">
        <f>IF(B397="", "", "g")</f>
        <v>0</v>
      </c>
    </row>
    <row r="398" spans="1:11">
      <c r="A398">
        <f>IF(COUNTBLANK(B398:K398)&lt;&gt;COLUMNS(B398:K398),397,"")</f>
        <v>0</v>
      </c>
      <c r="C398" s="1">
        <f>IF(B398="", "", "urban biome")</f>
        <v>0</v>
      </c>
      <c r="D398" s="1">
        <f>IF(B398="", "", "animal-associated habitat")</f>
        <v>0</v>
      </c>
      <c r="E398" s="2">
        <f>IF(B398="", "", "missing: not provided")</f>
        <v>0</v>
      </c>
      <c r="F398" s="1">
        <f>IF(B398="", "", "weeks")</f>
        <v>0</v>
      </c>
      <c r="G398" s="1">
        <f>IF(B398="", "", "mouse")</f>
        <v>0</v>
      </c>
      <c r="H398" s="1">
        <f>IF(B398="", "", "Mus musculus")</f>
        <v>0</v>
      </c>
      <c r="I398" s="1">
        <f>IF(B398="", "", "10090")</f>
        <v>0</v>
      </c>
      <c r="J398" s="2">
        <f>IF(B398="", "", "missing: not provided")</f>
        <v>0</v>
      </c>
      <c r="K398" s="1">
        <f>IF(B398="", "", "g")</f>
        <v>0</v>
      </c>
    </row>
    <row r="399" spans="1:11">
      <c r="A399">
        <f>IF(COUNTBLANK(B399:K399)&lt;&gt;COLUMNS(B399:K399),398,"")</f>
        <v>0</v>
      </c>
      <c r="C399" s="1">
        <f>IF(B399="", "", "urban biome")</f>
        <v>0</v>
      </c>
      <c r="D399" s="1">
        <f>IF(B399="", "", "animal-associated habitat")</f>
        <v>0</v>
      </c>
      <c r="E399" s="2">
        <f>IF(B399="", "", "missing: not provided")</f>
        <v>0</v>
      </c>
      <c r="F399" s="1">
        <f>IF(B399="", "", "weeks")</f>
        <v>0</v>
      </c>
      <c r="G399" s="1">
        <f>IF(B399="", "", "mouse")</f>
        <v>0</v>
      </c>
      <c r="H399" s="1">
        <f>IF(B399="", "", "Mus musculus")</f>
        <v>0</v>
      </c>
      <c r="I399" s="1">
        <f>IF(B399="", "", "10090")</f>
        <v>0</v>
      </c>
      <c r="J399" s="2">
        <f>IF(B399="", "", "missing: not provided")</f>
        <v>0</v>
      </c>
      <c r="K399" s="1">
        <f>IF(B399="", "", "g")</f>
        <v>0</v>
      </c>
    </row>
    <row r="400" spans="1:11">
      <c r="A400">
        <f>IF(COUNTBLANK(B400:K400)&lt;&gt;COLUMNS(B400:K400),399,"")</f>
        <v>0</v>
      </c>
      <c r="C400" s="1">
        <f>IF(B400="", "", "urban biome")</f>
        <v>0</v>
      </c>
      <c r="D400" s="1">
        <f>IF(B400="", "", "animal-associated habitat")</f>
        <v>0</v>
      </c>
      <c r="E400" s="2">
        <f>IF(B400="", "", "missing: not provided")</f>
        <v>0</v>
      </c>
      <c r="F400" s="1">
        <f>IF(B400="", "", "weeks")</f>
        <v>0</v>
      </c>
      <c r="G400" s="1">
        <f>IF(B400="", "", "mouse")</f>
        <v>0</v>
      </c>
      <c r="H400" s="1">
        <f>IF(B400="", "", "Mus musculus")</f>
        <v>0</v>
      </c>
      <c r="I400" s="1">
        <f>IF(B400="", "", "10090")</f>
        <v>0</v>
      </c>
      <c r="J400" s="2">
        <f>IF(B400="", "", "missing: not provided")</f>
        <v>0</v>
      </c>
      <c r="K400" s="1">
        <f>IF(B400="", "", "g")</f>
        <v>0</v>
      </c>
    </row>
    <row r="401" spans="1:11">
      <c r="A401">
        <f>IF(COUNTBLANK(B401:K401)&lt;&gt;COLUMNS(B401:K401),400,"")</f>
        <v>0</v>
      </c>
      <c r="C401" s="1">
        <f>IF(B401="", "", "urban biome")</f>
        <v>0</v>
      </c>
      <c r="D401" s="1">
        <f>IF(B401="", "", "animal-associated habitat")</f>
        <v>0</v>
      </c>
      <c r="E401" s="2">
        <f>IF(B401="", "", "missing: not provided")</f>
        <v>0</v>
      </c>
      <c r="F401" s="1">
        <f>IF(B401="", "", "weeks")</f>
        <v>0</v>
      </c>
      <c r="G401" s="1">
        <f>IF(B401="", "", "mouse")</f>
        <v>0</v>
      </c>
      <c r="H401" s="1">
        <f>IF(B401="", "", "Mus musculus")</f>
        <v>0</v>
      </c>
      <c r="I401" s="1">
        <f>IF(B401="", "", "10090")</f>
        <v>0</v>
      </c>
      <c r="J401" s="2">
        <f>IF(B401="", "", "missing: not provided")</f>
        <v>0</v>
      </c>
      <c r="K401" s="1">
        <f>IF(B401="", "", "g")</f>
        <v>0</v>
      </c>
    </row>
    <row r="402" spans="1:11">
      <c r="A402">
        <f>IF(COUNTBLANK(B402:K402)&lt;&gt;COLUMNS(B402:K402),401,"")</f>
        <v>0</v>
      </c>
      <c r="C402" s="1">
        <f>IF(B402="", "", "urban biome")</f>
        <v>0</v>
      </c>
      <c r="D402" s="1">
        <f>IF(B402="", "", "animal-associated habitat")</f>
        <v>0</v>
      </c>
      <c r="E402" s="2">
        <f>IF(B402="", "", "missing: not provided")</f>
        <v>0</v>
      </c>
      <c r="F402" s="1">
        <f>IF(B402="", "", "weeks")</f>
        <v>0</v>
      </c>
      <c r="G402" s="1">
        <f>IF(B402="", "", "mouse")</f>
        <v>0</v>
      </c>
      <c r="H402" s="1">
        <f>IF(B402="", "", "Mus musculus")</f>
        <v>0</v>
      </c>
      <c r="I402" s="1">
        <f>IF(B402="", "", "10090")</f>
        <v>0</v>
      </c>
      <c r="J402" s="2">
        <f>IF(B402="", "", "missing: not provided")</f>
        <v>0</v>
      </c>
      <c r="K402" s="1">
        <f>IF(B402="", "", "g")</f>
        <v>0</v>
      </c>
    </row>
    <row r="403" spans="1:11">
      <c r="A403">
        <f>IF(COUNTBLANK(B403:K403)&lt;&gt;COLUMNS(B403:K403),402,"")</f>
        <v>0</v>
      </c>
      <c r="C403" s="1">
        <f>IF(B403="", "", "urban biome")</f>
        <v>0</v>
      </c>
      <c r="D403" s="1">
        <f>IF(B403="", "", "animal-associated habitat")</f>
        <v>0</v>
      </c>
      <c r="E403" s="2">
        <f>IF(B403="", "", "missing: not provided")</f>
        <v>0</v>
      </c>
      <c r="F403" s="1">
        <f>IF(B403="", "", "weeks")</f>
        <v>0</v>
      </c>
      <c r="G403" s="1">
        <f>IF(B403="", "", "mouse")</f>
        <v>0</v>
      </c>
      <c r="H403" s="1">
        <f>IF(B403="", "", "Mus musculus")</f>
        <v>0</v>
      </c>
      <c r="I403" s="1">
        <f>IF(B403="", "", "10090")</f>
        <v>0</v>
      </c>
      <c r="J403" s="2">
        <f>IF(B403="", "", "missing: not provided")</f>
        <v>0</v>
      </c>
      <c r="K403" s="1">
        <f>IF(B403="", "", "g")</f>
        <v>0</v>
      </c>
    </row>
    <row r="404" spans="1:11">
      <c r="A404">
        <f>IF(COUNTBLANK(B404:K404)&lt;&gt;COLUMNS(B404:K404),403,"")</f>
        <v>0</v>
      </c>
      <c r="C404" s="1">
        <f>IF(B404="", "", "urban biome")</f>
        <v>0</v>
      </c>
      <c r="D404" s="1">
        <f>IF(B404="", "", "animal-associated habitat")</f>
        <v>0</v>
      </c>
      <c r="E404" s="2">
        <f>IF(B404="", "", "missing: not provided")</f>
        <v>0</v>
      </c>
      <c r="F404" s="1">
        <f>IF(B404="", "", "weeks")</f>
        <v>0</v>
      </c>
      <c r="G404" s="1">
        <f>IF(B404="", "", "mouse")</f>
        <v>0</v>
      </c>
      <c r="H404" s="1">
        <f>IF(B404="", "", "Mus musculus")</f>
        <v>0</v>
      </c>
      <c r="I404" s="1">
        <f>IF(B404="", "", "10090")</f>
        <v>0</v>
      </c>
      <c r="J404" s="2">
        <f>IF(B404="", "", "missing: not provided")</f>
        <v>0</v>
      </c>
      <c r="K404" s="1">
        <f>IF(B404="", "", "g")</f>
        <v>0</v>
      </c>
    </row>
    <row r="405" spans="1:11">
      <c r="A405">
        <f>IF(COUNTBLANK(B405:K405)&lt;&gt;COLUMNS(B405:K405),404,"")</f>
        <v>0</v>
      </c>
      <c r="C405" s="1">
        <f>IF(B405="", "", "urban biome")</f>
        <v>0</v>
      </c>
      <c r="D405" s="1">
        <f>IF(B405="", "", "animal-associated habitat")</f>
        <v>0</v>
      </c>
      <c r="E405" s="2">
        <f>IF(B405="", "", "missing: not provided")</f>
        <v>0</v>
      </c>
      <c r="F405" s="1">
        <f>IF(B405="", "", "weeks")</f>
        <v>0</v>
      </c>
      <c r="G405" s="1">
        <f>IF(B405="", "", "mouse")</f>
        <v>0</v>
      </c>
      <c r="H405" s="1">
        <f>IF(B405="", "", "Mus musculus")</f>
        <v>0</v>
      </c>
      <c r="I405" s="1">
        <f>IF(B405="", "", "10090")</f>
        <v>0</v>
      </c>
      <c r="J405" s="2">
        <f>IF(B405="", "", "missing: not provided")</f>
        <v>0</v>
      </c>
      <c r="K405" s="1">
        <f>IF(B405="", "", "g")</f>
        <v>0</v>
      </c>
    </row>
    <row r="406" spans="1:11">
      <c r="A406">
        <f>IF(COUNTBLANK(B406:K406)&lt;&gt;COLUMNS(B406:K406),405,"")</f>
        <v>0</v>
      </c>
      <c r="C406" s="1">
        <f>IF(B406="", "", "urban biome")</f>
        <v>0</v>
      </c>
      <c r="D406" s="1">
        <f>IF(B406="", "", "animal-associated habitat")</f>
        <v>0</v>
      </c>
      <c r="E406" s="2">
        <f>IF(B406="", "", "missing: not provided")</f>
        <v>0</v>
      </c>
      <c r="F406" s="1">
        <f>IF(B406="", "", "weeks")</f>
        <v>0</v>
      </c>
      <c r="G406" s="1">
        <f>IF(B406="", "", "mouse")</f>
        <v>0</v>
      </c>
      <c r="H406" s="1">
        <f>IF(B406="", "", "Mus musculus")</f>
        <v>0</v>
      </c>
      <c r="I406" s="1">
        <f>IF(B406="", "", "10090")</f>
        <v>0</v>
      </c>
      <c r="J406" s="2">
        <f>IF(B406="", "", "missing: not provided")</f>
        <v>0</v>
      </c>
      <c r="K406" s="1">
        <f>IF(B406="", "", "g")</f>
        <v>0</v>
      </c>
    </row>
    <row r="407" spans="1:11">
      <c r="A407">
        <f>IF(COUNTBLANK(B407:K407)&lt;&gt;COLUMNS(B407:K407),406,"")</f>
        <v>0</v>
      </c>
      <c r="C407" s="1">
        <f>IF(B407="", "", "urban biome")</f>
        <v>0</v>
      </c>
      <c r="D407" s="1">
        <f>IF(B407="", "", "animal-associated habitat")</f>
        <v>0</v>
      </c>
      <c r="E407" s="2">
        <f>IF(B407="", "", "missing: not provided")</f>
        <v>0</v>
      </c>
      <c r="F407" s="1">
        <f>IF(B407="", "", "weeks")</f>
        <v>0</v>
      </c>
      <c r="G407" s="1">
        <f>IF(B407="", "", "mouse")</f>
        <v>0</v>
      </c>
      <c r="H407" s="1">
        <f>IF(B407="", "", "Mus musculus")</f>
        <v>0</v>
      </c>
      <c r="I407" s="1">
        <f>IF(B407="", "", "10090")</f>
        <v>0</v>
      </c>
      <c r="J407" s="2">
        <f>IF(B407="", "", "missing: not provided")</f>
        <v>0</v>
      </c>
      <c r="K407" s="1">
        <f>IF(B407="", "", "g")</f>
        <v>0</v>
      </c>
    </row>
    <row r="408" spans="1:11">
      <c r="A408">
        <f>IF(COUNTBLANK(B408:K408)&lt;&gt;COLUMNS(B408:K408),407,"")</f>
        <v>0</v>
      </c>
      <c r="C408" s="1">
        <f>IF(B408="", "", "urban biome")</f>
        <v>0</v>
      </c>
      <c r="D408" s="1">
        <f>IF(B408="", "", "animal-associated habitat")</f>
        <v>0</v>
      </c>
      <c r="E408" s="2">
        <f>IF(B408="", "", "missing: not provided")</f>
        <v>0</v>
      </c>
      <c r="F408" s="1">
        <f>IF(B408="", "", "weeks")</f>
        <v>0</v>
      </c>
      <c r="G408" s="1">
        <f>IF(B408="", "", "mouse")</f>
        <v>0</v>
      </c>
      <c r="H408" s="1">
        <f>IF(B408="", "", "Mus musculus")</f>
        <v>0</v>
      </c>
      <c r="I408" s="1">
        <f>IF(B408="", "", "10090")</f>
        <v>0</v>
      </c>
      <c r="J408" s="2">
        <f>IF(B408="", "", "missing: not provided")</f>
        <v>0</v>
      </c>
      <c r="K408" s="1">
        <f>IF(B408="", "", "g")</f>
        <v>0</v>
      </c>
    </row>
    <row r="409" spans="1:11">
      <c r="A409">
        <f>IF(COUNTBLANK(B409:K409)&lt;&gt;COLUMNS(B409:K409),408,"")</f>
        <v>0</v>
      </c>
      <c r="C409" s="1">
        <f>IF(B409="", "", "urban biome")</f>
        <v>0</v>
      </c>
      <c r="D409" s="1">
        <f>IF(B409="", "", "animal-associated habitat")</f>
        <v>0</v>
      </c>
      <c r="E409" s="2">
        <f>IF(B409="", "", "missing: not provided")</f>
        <v>0</v>
      </c>
      <c r="F409" s="1">
        <f>IF(B409="", "", "weeks")</f>
        <v>0</v>
      </c>
      <c r="G409" s="1">
        <f>IF(B409="", "", "mouse")</f>
        <v>0</v>
      </c>
      <c r="H409" s="1">
        <f>IF(B409="", "", "Mus musculus")</f>
        <v>0</v>
      </c>
      <c r="I409" s="1">
        <f>IF(B409="", "", "10090")</f>
        <v>0</v>
      </c>
      <c r="J409" s="2">
        <f>IF(B409="", "", "missing: not provided")</f>
        <v>0</v>
      </c>
      <c r="K409" s="1">
        <f>IF(B409="", "", "g")</f>
        <v>0</v>
      </c>
    </row>
    <row r="410" spans="1:11">
      <c r="A410">
        <f>IF(COUNTBLANK(B410:K410)&lt;&gt;COLUMNS(B410:K410),409,"")</f>
        <v>0</v>
      </c>
      <c r="C410" s="1">
        <f>IF(B410="", "", "urban biome")</f>
        <v>0</v>
      </c>
      <c r="D410" s="1">
        <f>IF(B410="", "", "animal-associated habitat")</f>
        <v>0</v>
      </c>
      <c r="E410" s="2">
        <f>IF(B410="", "", "missing: not provided")</f>
        <v>0</v>
      </c>
      <c r="F410" s="1">
        <f>IF(B410="", "", "weeks")</f>
        <v>0</v>
      </c>
      <c r="G410" s="1">
        <f>IF(B410="", "", "mouse")</f>
        <v>0</v>
      </c>
      <c r="H410" s="1">
        <f>IF(B410="", "", "Mus musculus")</f>
        <v>0</v>
      </c>
      <c r="I410" s="1">
        <f>IF(B410="", "", "10090")</f>
        <v>0</v>
      </c>
      <c r="J410" s="2">
        <f>IF(B410="", "", "missing: not provided")</f>
        <v>0</v>
      </c>
      <c r="K410" s="1">
        <f>IF(B410="", "", "g")</f>
        <v>0</v>
      </c>
    </row>
    <row r="411" spans="1:11">
      <c r="A411">
        <f>IF(COUNTBLANK(B411:K411)&lt;&gt;COLUMNS(B411:K411),410,"")</f>
        <v>0</v>
      </c>
      <c r="C411" s="1">
        <f>IF(B411="", "", "urban biome")</f>
        <v>0</v>
      </c>
      <c r="D411" s="1">
        <f>IF(B411="", "", "animal-associated habitat")</f>
        <v>0</v>
      </c>
      <c r="E411" s="2">
        <f>IF(B411="", "", "missing: not provided")</f>
        <v>0</v>
      </c>
      <c r="F411" s="1">
        <f>IF(B411="", "", "weeks")</f>
        <v>0</v>
      </c>
      <c r="G411" s="1">
        <f>IF(B411="", "", "mouse")</f>
        <v>0</v>
      </c>
      <c r="H411" s="1">
        <f>IF(B411="", "", "Mus musculus")</f>
        <v>0</v>
      </c>
      <c r="I411" s="1">
        <f>IF(B411="", "", "10090")</f>
        <v>0</v>
      </c>
      <c r="J411" s="2">
        <f>IF(B411="", "", "missing: not provided")</f>
        <v>0</v>
      </c>
      <c r="K411" s="1">
        <f>IF(B411="", "", "g")</f>
        <v>0</v>
      </c>
    </row>
    <row r="412" spans="1:11">
      <c r="A412">
        <f>IF(COUNTBLANK(B412:K412)&lt;&gt;COLUMNS(B412:K412),411,"")</f>
        <v>0</v>
      </c>
      <c r="C412" s="1">
        <f>IF(B412="", "", "urban biome")</f>
        <v>0</v>
      </c>
      <c r="D412" s="1">
        <f>IF(B412="", "", "animal-associated habitat")</f>
        <v>0</v>
      </c>
      <c r="E412" s="2">
        <f>IF(B412="", "", "missing: not provided")</f>
        <v>0</v>
      </c>
      <c r="F412" s="1">
        <f>IF(B412="", "", "weeks")</f>
        <v>0</v>
      </c>
      <c r="G412" s="1">
        <f>IF(B412="", "", "mouse")</f>
        <v>0</v>
      </c>
      <c r="H412" s="1">
        <f>IF(B412="", "", "Mus musculus")</f>
        <v>0</v>
      </c>
      <c r="I412" s="1">
        <f>IF(B412="", "", "10090")</f>
        <v>0</v>
      </c>
      <c r="J412" s="2">
        <f>IF(B412="", "", "missing: not provided")</f>
        <v>0</v>
      </c>
      <c r="K412" s="1">
        <f>IF(B412="", "", "g")</f>
        <v>0</v>
      </c>
    </row>
    <row r="413" spans="1:11">
      <c r="A413">
        <f>IF(COUNTBLANK(B413:K413)&lt;&gt;COLUMNS(B413:K413),412,"")</f>
        <v>0</v>
      </c>
      <c r="C413" s="1">
        <f>IF(B413="", "", "urban biome")</f>
        <v>0</v>
      </c>
      <c r="D413" s="1">
        <f>IF(B413="", "", "animal-associated habitat")</f>
        <v>0</v>
      </c>
      <c r="E413" s="2">
        <f>IF(B413="", "", "missing: not provided")</f>
        <v>0</v>
      </c>
      <c r="F413" s="1">
        <f>IF(B413="", "", "weeks")</f>
        <v>0</v>
      </c>
      <c r="G413" s="1">
        <f>IF(B413="", "", "mouse")</f>
        <v>0</v>
      </c>
      <c r="H413" s="1">
        <f>IF(B413="", "", "Mus musculus")</f>
        <v>0</v>
      </c>
      <c r="I413" s="1">
        <f>IF(B413="", "", "10090")</f>
        <v>0</v>
      </c>
      <c r="J413" s="2">
        <f>IF(B413="", "", "missing: not provided")</f>
        <v>0</v>
      </c>
      <c r="K413" s="1">
        <f>IF(B413="", "", "g")</f>
        <v>0</v>
      </c>
    </row>
    <row r="414" spans="1:11">
      <c r="A414">
        <f>IF(COUNTBLANK(B414:K414)&lt;&gt;COLUMNS(B414:K414),413,"")</f>
        <v>0</v>
      </c>
      <c r="C414" s="1">
        <f>IF(B414="", "", "urban biome")</f>
        <v>0</v>
      </c>
      <c r="D414" s="1">
        <f>IF(B414="", "", "animal-associated habitat")</f>
        <v>0</v>
      </c>
      <c r="E414" s="2">
        <f>IF(B414="", "", "missing: not provided")</f>
        <v>0</v>
      </c>
      <c r="F414" s="1">
        <f>IF(B414="", "", "weeks")</f>
        <v>0</v>
      </c>
      <c r="G414" s="1">
        <f>IF(B414="", "", "mouse")</f>
        <v>0</v>
      </c>
      <c r="H414" s="1">
        <f>IF(B414="", "", "Mus musculus")</f>
        <v>0</v>
      </c>
      <c r="I414" s="1">
        <f>IF(B414="", "", "10090")</f>
        <v>0</v>
      </c>
      <c r="J414" s="2">
        <f>IF(B414="", "", "missing: not provided")</f>
        <v>0</v>
      </c>
      <c r="K414" s="1">
        <f>IF(B414="", "", "g")</f>
        <v>0</v>
      </c>
    </row>
    <row r="415" spans="1:11">
      <c r="A415">
        <f>IF(COUNTBLANK(B415:K415)&lt;&gt;COLUMNS(B415:K415),414,"")</f>
        <v>0</v>
      </c>
      <c r="C415" s="1">
        <f>IF(B415="", "", "urban biome")</f>
        <v>0</v>
      </c>
      <c r="D415" s="1">
        <f>IF(B415="", "", "animal-associated habitat")</f>
        <v>0</v>
      </c>
      <c r="E415" s="2">
        <f>IF(B415="", "", "missing: not provided")</f>
        <v>0</v>
      </c>
      <c r="F415" s="1">
        <f>IF(B415="", "", "weeks")</f>
        <v>0</v>
      </c>
      <c r="G415" s="1">
        <f>IF(B415="", "", "mouse")</f>
        <v>0</v>
      </c>
      <c r="H415" s="1">
        <f>IF(B415="", "", "Mus musculus")</f>
        <v>0</v>
      </c>
      <c r="I415" s="1">
        <f>IF(B415="", "", "10090")</f>
        <v>0</v>
      </c>
      <c r="J415" s="2">
        <f>IF(B415="", "", "missing: not provided")</f>
        <v>0</v>
      </c>
      <c r="K415" s="1">
        <f>IF(B415="", "", "g")</f>
        <v>0</v>
      </c>
    </row>
    <row r="416" spans="1:11">
      <c r="A416">
        <f>IF(COUNTBLANK(B416:K416)&lt;&gt;COLUMNS(B416:K416),415,"")</f>
        <v>0</v>
      </c>
      <c r="C416" s="1">
        <f>IF(B416="", "", "urban biome")</f>
        <v>0</v>
      </c>
      <c r="D416" s="1">
        <f>IF(B416="", "", "animal-associated habitat")</f>
        <v>0</v>
      </c>
      <c r="E416" s="2">
        <f>IF(B416="", "", "missing: not provided")</f>
        <v>0</v>
      </c>
      <c r="F416" s="1">
        <f>IF(B416="", "", "weeks")</f>
        <v>0</v>
      </c>
      <c r="G416" s="1">
        <f>IF(B416="", "", "mouse")</f>
        <v>0</v>
      </c>
      <c r="H416" s="1">
        <f>IF(B416="", "", "Mus musculus")</f>
        <v>0</v>
      </c>
      <c r="I416" s="1">
        <f>IF(B416="", "", "10090")</f>
        <v>0</v>
      </c>
      <c r="J416" s="2">
        <f>IF(B416="", "", "missing: not provided")</f>
        <v>0</v>
      </c>
      <c r="K416" s="1">
        <f>IF(B416="", "", "g")</f>
        <v>0</v>
      </c>
    </row>
    <row r="417" spans="1:11">
      <c r="A417">
        <f>IF(COUNTBLANK(B417:K417)&lt;&gt;COLUMNS(B417:K417),416,"")</f>
        <v>0</v>
      </c>
      <c r="C417" s="1">
        <f>IF(B417="", "", "urban biome")</f>
        <v>0</v>
      </c>
      <c r="D417" s="1">
        <f>IF(B417="", "", "animal-associated habitat")</f>
        <v>0</v>
      </c>
      <c r="E417" s="2">
        <f>IF(B417="", "", "missing: not provided")</f>
        <v>0</v>
      </c>
      <c r="F417" s="1">
        <f>IF(B417="", "", "weeks")</f>
        <v>0</v>
      </c>
      <c r="G417" s="1">
        <f>IF(B417="", "", "mouse")</f>
        <v>0</v>
      </c>
      <c r="H417" s="1">
        <f>IF(B417="", "", "Mus musculus")</f>
        <v>0</v>
      </c>
      <c r="I417" s="1">
        <f>IF(B417="", "", "10090")</f>
        <v>0</v>
      </c>
      <c r="J417" s="2">
        <f>IF(B417="", "", "missing: not provided")</f>
        <v>0</v>
      </c>
      <c r="K417" s="1">
        <f>IF(B417="", "", "g")</f>
        <v>0</v>
      </c>
    </row>
    <row r="418" spans="1:11">
      <c r="A418">
        <f>IF(COUNTBLANK(B418:K418)&lt;&gt;COLUMNS(B418:K418),417,"")</f>
        <v>0</v>
      </c>
      <c r="C418" s="1">
        <f>IF(B418="", "", "urban biome")</f>
        <v>0</v>
      </c>
      <c r="D418" s="1">
        <f>IF(B418="", "", "animal-associated habitat")</f>
        <v>0</v>
      </c>
      <c r="E418" s="2">
        <f>IF(B418="", "", "missing: not provided")</f>
        <v>0</v>
      </c>
      <c r="F418" s="1">
        <f>IF(B418="", "", "weeks")</f>
        <v>0</v>
      </c>
      <c r="G418" s="1">
        <f>IF(B418="", "", "mouse")</f>
        <v>0</v>
      </c>
      <c r="H418" s="1">
        <f>IF(B418="", "", "Mus musculus")</f>
        <v>0</v>
      </c>
      <c r="I418" s="1">
        <f>IF(B418="", "", "10090")</f>
        <v>0</v>
      </c>
      <c r="J418" s="2">
        <f>IF(B418="", "", "missing: not provided")</f>
        <v>0</v>
      </c>
      <c r="K418" s="1">
        <f>IF(B418="", "", "g")</f>
        <v>0</v>
      </c>
    </row>
    <row r="419" spans="1:11">
      <c r="A419">
        <f>IF(COUNTBLANK(B419:K419)&lt;&gt;COLUMNS(B419:K419),418,"")</f>
        <v>0</v>
      </c>
      <c r="C419" s="1">
        <f>IF(B419="", "", "urban biome")</f>
        <v>0</v>
      </c>
      <c r="D419" s="1">
        <f>IF(B419="", "", "animal-associated habitat")</f>
        <v>0</v>
      </c>
      <c r="E419" s="2">
        <f>IF(B419="", "", "missing: not provided")</f>
        <v>0</v>
      </c>
      <c r="F419" s="1">
        <f>IF(B419="", "", "weeks")</f>
        <v>0</v>
      </c>
      <c r="G419" s="1">
        <f>IF(B419="", "", "mouse")</f>
        <v>0</v>
      </c>
      <c r="H419" s="1">
        <f>IF(B419="", "", "Mus musculus")</f>
        <v>0</v>
      </c>
      <c r="I419" s="1">
        <f>IF(B419="", "", "10090")</f>
        <v>0</v>
      </c>
      <c r="J419" s="2">
        <f>IF(B419="", "", "missing: not provided")</f>
        <v>0</v>
      </c>
      <c r="K419" s="1">
        <f>IF(B419="", "", "g")</f>
        <v>0</v>
      </c>
    </row>
    <row r="420" spans="1:11">
      <c r="A420">
        <f>IF(COUNTBLANK(B420:K420)&lt;&gt;COLUMNS(B420:K420),419,"")</f>
        <v>0</v>
      </c>
      <c r="C420" s="1">
        <f>IF(B420="", "", "urban biome")</f>
        <v>0</v>
      </c>
      <c r="D420" s="1">
        <f>IF(B420="", "", "animal-associated habitat")</f>
        <v>0</v>
      </c>
      <c r="E420" s="2">
        <f>IF(B420="", "", "missing: not provided")</f>
        <v>0</v>
      </c>
      <c r="F420" s="1">
        <f>IF(B420="", "", "weeks")</f>
        <v>0</v>
      </c>
      <c r="G420" s="1">
        <f>IF(B420="", "", "mouse")</f>
        <v>0</v>
      </c>
      <c r="H420" s="1">
        <f>IF(B420="", "", "Mus musculus")</f>
        <v>0</v>
      </c>
      <c r="I420" s="1">
        <f>IF(B420="", "", "10090")</f>
        <v>0</v>
      </c>
      <c r="J420" s="2">
        <f>IF(B420="", "", "missing: not provided")</f>
        <v>0</v>
      </c>
      <c r="K420" s="1">
        <f>IF(B420="", "", "g")</f>
        <v>0</v>
      </c>
    </row>
    <row r="421" spans="1:11">
      <c r="A421">
        <f>IF(COUNTBLANK(B421:K421)&lt;&gt;COLUMNS(B421:K421),420,"")</f>
        <v>0</v>
      </c>
      <c r="C421" s="1">
        <f>IF(B421="", "", "urban biome")</f>
        <v>0</v>
      </c>
      <c r="D421" s="1">
        <f>IF(B421="", "", "animal-associated habitat")</f>
        <v>0</v>
      </c>
      <c r="E421" s="2">
        <f>IF(B421="", "", "missing: not provided")</f>
        <v>0</v>
      </c>
      <c r="F421" s="1">
        <f>IF(B421="", "", "weeks")</f>
        <v>0</v>
      </c>
      <c r="G421" s="1">
        <f>IF(B421="", "", "mouse")</f>
        <v>0</v>
      </c>
      <c r="H421" s="1">
        <f>IF(B421="", "", "Mus musculus")</f>
        <v>0</v>
      </c>
      <c r="I421" s="1">
        <f>IF(B421="", "", "10090")</f>
        <v>0</v>
      </c>
      <c r="J421" s="2">
        <f>IF(B421="", "", "missing: not provided")</f>
        <v>0</v>
      </c>
      <c r="K421" s="1">
        <f>IF(B421="", "", "g")</f>
        <v>0</v>
      </c>
    </row>
    <row r="422" spans="1:11">
      <c r="A422">
        <f>IF(COUNTBLANK(B422:K422)&lt;&gt;COLUMNS(B422:K422),421,"")</f>
        <v>0</v>
      </c>
      <c r="C422" s="1">
        <f>IF(B422="", "", "urban biome")</f>
        <v>0</v>
      </c>
      <c r="D422" s="1">
        <f>IF(B422="", "", "animal-associated habitat")</f>
        <v>0</v>
      </c>
      <c r="E422" s="2">
        <f>IF(B422="", "", "missing: not provided")</f>
        <v>0</v>
      </c>
      <c r="F422" s="1">
        <f>IF(B422="", "", "weeks")</f>
        <v>0</v>
      </c>
      <c r="G422" s="1">
        <f>IF(B422="", "", "mouse")</f>
        <v>0</v>
      </c>
      <c r="H422" s="1">
        <f>IF(B422="", "", "Mus musculus")</f>
        <v>0</v>
      </c>
      <c r="I422" s="1">
        <f>IF(B422="", "", "10090")</f>
        <v>0</v>
      </c>
      <c r="J422" s="2">
        <f>IF(B422="", "", "missing: not provided")</f>
        <v>0</v>
      </c>
      <c r="K422" s="1">
        <f>IF(B422="", "", "g")</f>
        <v>0</v>
      </c>
    </row>
    <row r="423" spans="1:11">
      <c r="A423">
        <f>IF(COUNTBLANK(B423:K423)&lt;&gt;COLUMNS(B423:K423),422,"")</f>
        <v>0</v>
      </c>
      <c r="C423" s="1">
        <f>IF(B423="", "", "urban biome")</f>
        <v>0</v>
      </c>
      <c r="D423" s="1">
        <f>IF(B423="", "", "animal-associated habitat")</f>
        <v>0</v>
      </c>
      <c r="E423" s="2">
        <f>IF(B423="", "", "missing: not provided")</f>
        <v>0</v>
      </c>
      <c r="F423" s="1">
        <f>IF(B423="", "", "weeks")</f>
        <v>0</v>
      </c>
      <c r="G423" s="1">
        <f>IF(B423="", "", "mouse")</f>
        <v>0</v>
      </c>
      <c r="H423" s="1">
        <f>IF(B423="", "", "Mus musculus")</f>
        <v>0</v>
      </c>
      <c r="I423" s="1">
        <f>IF(B423="", "", "10090")</f>
        <v>0</v>
      </c>
      <c r="J423" s="2">
        <f>IF(B423="", "", "missing: not provided")</f>
        <v>0</v>
      </c>
      <c r="K423" s="1">
        <f>IF(B423="", "", "g")</f>
        <v>0</v>
      </c>
    </row>
    <row r="424" spans="1:11">
      <c r="A424">
        <f>IF(COUNTBLANK(B424:K424)&lt;&gt;COLUMNS(B424:K424),423,"")</f>
        <v>0</v>
      </c>
      <c r="C424" s="1">
        <f>IF(B424="", "", "urban biome")</f>
        <v>0</v>
      </c>
      <c r="D424" s="1">
        <f>IF(B424="", "", "animal-associated habitat")</f>
        <v>0</v>
      </c>
      <c r="E424" s="2">
        <f>IF(B424="", "", "missing: not provided")</f>
        <v>0</v>
      </c>
      <c r="F424" s="1">
        <f>IF(B424="", "", "weeks")</f>
        <v>0</v>
      </c>
      <c r="G424" s="1">
        <f>IF(B424="", "", "mouse")</f>
        <v>0</v>
      </c>
      <c r="H424" s="1">
        <f>IF(B424="", "", "Mus musculus")</f>
        <v>0</v>
      </c>
      <c r="I424" s="1">
        <f>IF(B424="", "", "10090")</f>
        <v>0</v>
      </c>
      <c r="J424" s="2">
        <f>IF(B424="", "", "missing: not provided")</f>
        <v>0</v>
      </c>
      <c r="K424" s="1">
        <f>IF(B424="", "", "g")</f>
        <v>0</v>
      </c>
    </row>
    <row r="425" spans="1:11">
      <c r="A425">
        <f>IF(COUNTBLANK(B425:K425)&lt;&gt;COLUMNS(B425:K425),424,"")</f>
        <v>0</v>
      </c>
      <c r="C425" s="1">
        <f>IF(B425="", "", "urban biome")</f>
        <v>0</v>
      </c>
      <c r="D425" s="1">
        <f>IF(B425="", "", "animal-associated habitat")</f>
        <v>0</v>
      </c>
      <c r="E425" s="2">
        <f>IF(B425="", "", "missing: not provided")</f>
        <v>0</v>
      </c>
      <c r="F425" s="1">
        <f>IF(B425="", "", "weeks")</f>
        <v>0</v>
      </c>
      <c r="G425" s="1">
        <f>IF(B425="", "", "mouse")</f>
        <v>0</v>
      </c>
      <c r="H425" s="1">
        <f>IF(B425="", "", "Mus musculus")</f>
        <v>0</v>
      </c>
      <c r="I425" s="1">
        <f>IF(B425="", "", "10090")</f>
        <v>0</v>
      </c>
      <c r="J425" s="2">
        <f>IF(B425="", "", "missing: not provided")</f>
        <v>0</v>
      </c>
      <c r="K425" s="1">
        <f>IF(B425="", "", "g")</f>
        <v>0</v>
      </c>
    </row>
    <row r="426" spans="1:11">
      <c r="A426">
        <f>IF(COUNTBLANK(B426:K426)&lt;&gt;COLUMNS(B426:K426),425,"")</f>
        <v>0</v>
      </c>
      <c r="C426" s="1">
        <f>IF(B426="", "", "urban biome")</f>
        <v>0</v>
      </c>
      <c r="D426" s="1">
        <f>IF(B426="", "", "animal-associated habitat")</f>
        <v>0</v>
      </c>
      <c r="E426" s="2">
        <f>IF(B426="", "", "missing: not provided")</f>
        <v>0</v>
      </c>
      <c r="F426" s="1">
        <f>IF(B426="", "", "weeks")</f>
        <v>0</v>
      </c>
      <c r="G426" s="1">
        <f>IF(B426="", "", "mouse")</f>
        <v>0</v>
      </c>
      <c r="H426" s="1">
        <f>IF(B426="", "", "Mus musculus")</f>
        <v>0</v>
      </c>
      <c r="I426" s="1">
        <f>IF(B426="", "", "10090")</f>
        <v>0</v>
      </c>
      <c r="J426" s="2">
        <f>IF(B426="", "", "missing: not provided")</f>
        <v>0</v>
      </c>
      <c r="K426" s="1">
        <f>IF(B426="", "", "g")</f>
        <v>0</v>
      </c>
    </row>
    <row r="427" spans="1:11">
      <c r="A427">
        <f>IF(COUNTBLANK(B427:K427)&lt;&gt;COLUMNS(B427:K427),426,"")</f>
        <v>0</v>
      </c>
      <c r="C427" s="1">
        <f>IF(B427="", "", "urban biome")</f>
        <v>0</v>
      </c>
      <c r="D427" s="1">
        <f>IF(B427="", "", "animal-associated habitat")</f>
        <v>0</v>
      </c>
      <c r="E427" s="2">
        <f>IF(B427="", "", "missing: not provided")</f>
        <v>0</v>
      </c>
      <c r="F427" s="1">
        <f>IF(B427="", "", "weeks")</f>
        <v>0</v>
      </c>
      <c r="G427" s="1">
        <f>IF(B427="", "", "mouse")</f>
        <v>0</v>
      </c>
      <c r="H427" s="1">
        <f>IF(B427="", "", "Mus musculus")</f>
        <v>0</v>
      </c>
      <c r="I427" s="1">
        <f>IF(B427="", "", "10090")</f>
        <v>0</v>
      </c>
      <c r="J427" s="2">
        <f>IF(B427="", "", "missing: not provided")</f>
        <v>0</v>
      </c>
      <c r="K427" s="1">
        <f>IF(B427="", "", "g")</f>
        <v>0</v>
      </c>
    </row>
    <row r="428" spans="1:11">
      <c r="A428">
        <f>IF(COUNTBLANK(B428:K428)&lt;&gt;COLUMNS(B428:K428),427,"")</f>
        <v>0</v>
      </c>
      <c r="C428" s="1">
        <f>IF(B428="", "", "urban biome")</f>
        <v>0</v>
      </c>
      <c r="D428" s="1">
        <f>IF(B428="", "", "animal-associated habitat")</f>
        <v>0</v>
      </c>
      <c r="E428" s="2">
        <f>IF(B428="", "", "missing: not provided")</f>
        <v>0</v>
      </c>
      <c r="F428" s="1">
        <f>IF(B428="", "", "weeks")</f>
        <v>0</v>
      </c>
      <c r="G428" s="1">
        <f>IF(B428="", "", "mouse")</f>
        <v>0</v>
      </c>
      <c r="H428" s="1">
        <f>IF(B428="", "", "Mus musculus")</f>
        <v>0</v>
      </c>
      <c r="I428" s="1">
        <f>IF(B428="", "", "10090")</f>
        <v>0</v>
      </c>
      <c r="J428" s="2">
        <f>IF(B428="", "", "missing: not provided")</f>
        <v>0</v>
      </c>
      <c r="K428" s="1">
        <f>IF(B428="", "", "g")</f>
        <v>0</v>
      </c>
    </row>
    <row r="429" spans="1:11">
      <c r="A429">
        <f>IF(COUNTBLANK(B429:K429)&lt;&gt;COLUMNS(B429:K429),428,"")</f>
        <v>0</v>
      </c>
      <c r="C429" s="1">
        <f>IF(B429="", "", "urban biome")</f>
        <v>0</v>
      </c>
      <c r="D429" s="1">
        <f>IF(B429="", "", "animal-associated habitat")</f>
        <v>0</v>
      </c>
      <c r="E429" s="2">
        <f>IF(B429="", "", "missing: not provided")</f>
        <v>0</v>
      </c>
      <c r="F429" s="1">
        <f>IF(B429="", "", "weeks")</f>
        <v>0</v>
      </c>
      <c r="G429" s="1">
        <f>IF(B429="", "", "mouse")</f>
        <v>0</v>
      </c>
      <c r="H429" s="1">
        <f>IF(B429="", "", "Mus musculus")</f>
        <v>0</v>
      </c>
      <c r="I429" s="1">
        <f>IF(B429="", "", "10090")</f>
        <v>0</v>
      </c>
      <c r="J429" s="2">
        <f>IF(B429="", "", "missing: not provided")</f>
        <v>0</v>
      </c>
      <c r="K429" s="1">
        <f>IF(B429="", "", "g")</f>
        <v>0</v>
      </c>
    </row>
    <row r="430" spans="1:11">
      <c r="A430">
        <f>IF(COUNTBLANK(B430:K430)&lt;&gt;COLUMNS(B430:K430),429,"")</f>
        <v>0</v>
      </c>
      <c r="C430" s="1">
        <f>IF(B430="", "", "urban biome")</f>
        <v>0</v>
      </c>
      <c r="D430" s="1">
        <f>IF(B430="", "", "animal-associated habitat")</f>
        <v>0</v>
      </c>
      <c r="E430" s="2">
        <f>IF(B430="", "", "missing: not provided")</f>
        <v>0</v>
      </c>
      <c r="F430" s="1">
        <f>IF(B430="", "", "weeks")</f>
        <v>0</v>
      </c>
      <c r="G430" s="1">
        <f>IF(B430="", "", "mouse")</f>
        <v>0</v>
      </c>
      <c r="H430" s="1">
        <f>IF(B430="", "", "Mus musculus")</f>
        <v>0</v>
      </c>
      <c r="I430" s="1">
        <f>IF(B430="", "", "10090")</f>
        <v>0</v>
      </c>
      <c r="J430" s="2">
        <f>IF(B430="", "", "missing: not provided")</f>
        <v>0</v>
      </c>
      <c r="K430" s="1">
        <f>IF(B430="", "", "g")</f>
        <v>0</v>
      </c>
    </row>
    <row r="431" spans="1:11">
      <c r="A431">
        <f>IF(COUNTBLANK(B431:K431)&lt;&gt;COLUMNS(B431:K431),430,"")</f>
        <v>0</v>
      </c>
      <c r="C431" s="1">
        <f>IF(B431="", "", "urban biome")</f>
        <v>0</v>
      </c>
      <c r="D431" s="1">
        <f>IF(B431="", "", "animal-associated habitat")</f>
        <v>0</v>
      </c>
      <c r="E431" s="2">
        <f>IF(B431="", "", "missing: not provided")</f>
        <v>0</v>
      </c>
      <c r="F431" s="1">
        <f>IF(B431="", "", "weeks")</f>
        <v>0</v>
      </c>
      <c r="G431" s="1">
        <f>IF(B431="", "", "mouse")</f>
        <v>0</v>
      </c>
      <c r="H431" s="1">
        <f>IF(B431="", "", "Mus musculus")</f>
        <v>0</v>
      </c>
      <c r="I431" s="1">
        <f>IF(B431="", "", "10090")</f>
        <v>0</v>
      </c>
      <c r="J431" s="2">
        <f>IF(B431="", "", "missing: not provided")</f>
        <v>0</v>
      </c>
      <c r="K431" s="1">
        <f>IF(B431="", "", "g")</f>
        <v>0</v>
      </c>
    </row>
    <row r="432" spans="1:11">
      <c r="A432">
        <f>IF(COUNTBLANK(B432:K432)&lt;&gt;COLUMNS(B432:K432),431,"")</f>
        <v>0</v>
      </c>
      <c r="C432" s="1">
        <f>IF(B432="", "", "urban biome")</f>
        <v>0</v>
      </c>
      <c r="D432" s="1">
        <f>IF(B432="", "", "animal-associated habitat")</f>
        <v>0</v>
      </c>
      <c r="E432" s="2">
        <f>IF(B432="", "", "missing: not provided")</f>
        <v>0</v>
      </c>
      <c r="F432" s="1">
        <f>IF(B432="", "", "weeks")</f>
        <v>0</v>
      </c>
      <c r="G432" s="1">
        <f>IF(B432="", "", "mouse")</f>
        <v>0</v>
      </c>
      <c r="H432" s="1">
        <f>IF(B432="", "", "Mus musculus")</f>
        <v>0</v>
      </c>
      <c r="I432" s="1">
        <f>IF(B432="", "", "10090")</f>
        <v>0</v>
      </c>
      <c r="J432" s="2">
        <f>IF(B432="", "", "missing: not provided")</f>
        <v>0</v>
      </c>
      <c r="K432" s="1">
        <f>IF(B432="", "", "g")</f>
        <v>0</v>
      </c>
    </row>
    <row r="433" spans="1:11">
      <c r="A433">
        <f>IF(COUNTBLANK(B433:K433)&lt;&gt;COLUMNS(B433:K433),432,"")</f>
        <v>0</v>
      </c>
      <c r="C433" s="1">
        <f>IF(B433="", "", "urban biome")</f>
        <v>0</v>
      </c>
      <c r="D433" s="1">
        <f>IF(B433="", "", "animal-associated habitat")</f>
        <v>0</v>
      </c>
      <c r="E433" s="2">
        <f>IF(B433="", "", "missing: not provided")</f>
        <v>0</v>
      </c>
      <c r="F433" s="1">
        <f>IF(B433="", "", "weeks")</f>
        <v>0</v>
      </c>
      <c r="G433" s="1">
        <f>IF(B433="", "", "mouse")</f>
        <v>0</v>
      </c>
      <c r="H433" s="1">
        <f>IF(B433="", "", "Mus musculus")</f>
        <v>0</v>
      </c>
      <c r="I433" s="1">
        <f>IF(B433="", "", "10090")</f>
        <v>0</v>
      </c>
      <c r="J433" s="2">
        <f>IF(B433="", "", "missing: not provided")</f>
        <v>0</v>
      </c>
      <c r="K433" s="1">
        <f>IF(B433="", "", "g")</f>
        <v>0</v>
      </c>
    </row>
    <row r="434" spans="1:11">
      <c r="A434">
        <f>IF(COUNTBLANK(B434:K434)&lt;&gt;COLUMNS(B434:K434),433,"")</f>
        <v>0</v>
      </c>
      <c r="C434" s="1">
        <f>IF(B434="", "", "urban biome")</f>
        <v>0</v>
      </c>
      <c r="D434" s="1">
        <f>IF(B434="", "", "animal-associated habitat")</f>
        <v>0</v>
      </c>
      <c r="E434" s="2">
        <f>IF(B434="", "", "missing: not provided")</f>
        <v>0</v>
      </c>
      <c r="F434" s="1">
        <f>IF(B434="", "", "weeks")</f>
        <v>0</v>
      </c>
      <c r="G434" s="1">
        <f>IF(B434="", "", "mouse")</f>
        <v>0</v>
      </c>
      <c r="H434" s="1">
        <f>IF(B434="", "", "Mus musculus")</f>
        <v>0</v>
      </c>
      <c r="I434" s="1">
        <f>IF(B434="", "", "10090")</f>
        <v>0</v>
      </c>
      <c r="J434" s="2">
        <f>IF(B434="", "", "missing: not provided")</f>
        <v>0</v>
      </c>
      <c r="K434" s="1">
        <f>IF(B434="", "", "g")</f>
        <v>0</v>
      </c>
    </row>
    <row r="435" spans="1:11">
      <c r="A435">
        <f>IF(COUNTBLANK(B435:K435)&lt;&gt;COLUMNS(B435:K435),434,"")</f>
        <v>0</v>
      </c>
      <c r="C435" s="1">
        <f>IF(B435="", "", "urban biome")</f>
        <v>0</v>
      </c>
      <c r="D435" s="1">
        <f>IF(B435="", "", "animal-associated habitat")</f>
        <v>0</v>
      </c>
      <c r="E435" s="2">
        <f>IF(B435="", "", "missing: not provided")</f>
        <v>0</v>
      </c>
      <c r="F435" s="1">
        <f>IF(B435="", "", "weeks")</f>
        <v>0</v>
      </c>
      <c r="G435" s="1">
        <f>IF(B435="", "", "mouse")</f>
        <v>0</v>
      </c>
      <c r="H435" s="1">
        <f>IF(B435="", "", "Mus musculus")</f>
        <v>0</v>
      </c>
      <c r="I435" s="1">
        <f>IF(B435="", "", "10090")</f>
        <v>0</v>
      </c>
      <c r="J435" s="2">
        <f>IF(B435="", "", "missing: not provided")</f>
        <v>0</v>
      </c>
      <c r="K435" s="1">
        <f>IF(B435="", "", "g")</f>
        <v>0</v>
      </c>
    </row>
    <row r="436" spans="1:11">
      <c r="A436">
        <f>IF(COUNTBLANK(B436:K436)&lt;&gt;COLUMNS(B436:K436),435,"")</f>
        <v>0</v>
      </c>
      <c r="C436" s="1">
        <f>IF(B436="", "", "urban biome")</f>
        <v>0</v>
      </c>
      <c r="D436" s="1">
        <f>IF(B436="", "", "animal-associated habitat")</f>
        <v>0</v>
      </c>
      <c r="E436" s="2">
        <f>IF(B436="", "", "missing: not provided")</f>
        <v>0</v>
      </c>
      <c r="F436" s="1">
        <f>IF(B436="", "", "weeks")</f>
        <v>0</v>
      </c>
      <c r="G436" s="1">
        <f>IF(B436="", "", "mouse")</f>
        <v>0</v>
      </c>
      <c r="H436" s="1">
        <f>IF(B436="", "", "Mus musculus")</f>
        <v>0</v>
      </c>
      <c r="I436" s="1">
        <f>IF(B436="", "", "10090")</f>
        <v>0</v>
      </c>
      <c r="J436" s="2">
        <f>IF(B436="", "", "missing: not provided")</f>
        <v>0</v>
      </c>
      <c r="K436" s="1">
        <f>IF(B436="", "", "g")</f>
        <v>0</v>
      </c>
    </row>
    <row r="437" spans="1:11">
      <c r="A437">
        <f>IF(COUNTBLANK(B437:K437)&lt;&gt;COLUMNS(B437:K437),436,"")</f>
        <v>0</v>
      </c>
      <c r="C437" s="1">
        <f>IF(B437="", "", "urban biome")</f>
        <v>0</v>
      </c>
      <c r="D437" s="1">
        <f>IF(B437="", "", "animal-associated habitat")</f>
        <v>0</v>
      </c>
      <c r="E437" s="2">
        <f>IF(B437="", "", "missing: not provided")</f>
        <v>0</v>
      </c>
      <c r="F437" s="1">
        <f>IF(B437="", "", "weeks")</f>
        <v>0</v>
      </c>
      <c r="G437" s="1">
        <f>IF(B437="", "", "mouse")</f>
        <v>0</v>
      </c>
      <c r="H437" s="1">
        <f>IF(B437="", "", "Mus musculus")</f>
        <v>0</v>
      </c>
      <c r="I437" s="1">
        <f>IF(B437="", "", "10090")</f>
        <v>0</v>
      </c>
      <c r="J437" s="2">
        <f>IF(B437="", "", "missing: not provided")</f>
        <v>0</v>
      </c>
      <c r="K437" s="1">
        <f>IF(B437="", "", "g")</f>
        <v>0</v>
      </c>
    </row>
    <row r="438" spans="1:11">
      <c r="A438">
        <f>IF(COUNTBLANK(B438:K438)&lt;&gt;COLUMNS(B438:K438),437,"")</f>
        <v>0</v>
      </c>
      <c r="C438" s="1">
        <f>IF(B438="", "", "urban biome")</f>
        <v>0</v>
      </c>
      <c r="D438" s="1">
        <f>IF(B438="", "", "animal-associated habitat")</f>
        <v>0</v>
      </c>
      <c r="E438" s="2">
        <f>IF(B438="", "", "missing: not provided")</f>
        <v>0</v>
      </c>
      <c r="F438" s="1">
        <f>IF(B438="", "", "weeks")</f>
        <v>0</v>
      </c>
      <c r="G438" s="1">
        <f>IF(B438="", "", "mouse")</f>
        <v>0</v>
      </c>
      <c r="H438" s="1">
        <f>IF(B438="", "", "Mus musculus")</f>
        <v>0</v>
      </c>
      <c r="I438" s="1">
        <f>IF(B438="", "", "10090")</f>
        <v>0</v>
      </c>
      <c r="J438" s="2">
        <f>IF(B438="", "", "missing: not provided")</f>
        <v>0</v>
      </c>
      <c r="K438" s="1">
        <f>IF(B438="", "", "g")</f>
        <v>0</v>
      </c>
    </row>
    <row r="439" spans="1:11">
      <c r="A439">
        <f>IF(COUNTBLANK(B439:K439)&lt;&gt;COLUMNS(B439:K439),438,"")</f>
        <v>0</v>
      </c>
      <c r="C439" s="1">
        <f>IF(B439="", "", "urban biome")</f>
        <v>0</v>
      </c>
      <c r="D439" s="1">
        <f>IF(B439="", "", "animal-associated habitat")</f>
        <v>0</v>
      </c>
      <c r="E439" s="2">
        <f>IF(B439="", "", "missing: not provided")</f>
        <v>0</v>
      </c>
      <c r="F439" s="1">
        <f>IF(B439="", "", "weeks")</f>
        <v>0</v>
      </c>
      <c r="G439" s="1">
        <f>IF(B439="", "", "mouse")</f>
        <v>0</v>
      </c>
      <c r="H439" s="1">
        <f>IF(B439="", "", "Mus musculus")</f>
        <v>0</v>
      </c>
      <c r="I439" s="1">
        <f>IF(B439="", "", "10090")</f>
        <v>0</v>
      </c>
      <c r="J439" s="2">
        <f>IF(B439="", "", "missing: not provided")</f>
        <v>0</v>
      </c>
      <c r="K439" s="1">
        <f>IF(B439="", "", "g")</f>
        <v>0</v>
      </c>
    </row>
    <row r="440" spans="1:11">
      <c r="A440">
        <f>IF(COUNTBLANK(B440:K440)&lt;&gt;COLUMNS(B440:K440),439,"")</f>
        <v>0</v>
      </c>
      <c r="C440" s="1">
        <f>IF(B440="", "", "urban biome")</f>
        <v>0</v>
      </c>
      <c r="D440" s="1">
        <f>IF(B440="", "", "animal-associated habitat")</f>
        <v>0</v>
      </c>
      <c r="E440" s="2">
        <f>IF(B440="", "", "missing: not provided")</f>
        <v>0</v>
      </c>
      <c r="F440" s="1">
        <f>IF(B440="", "", "weeks")</f>
        <v>0</v>
      </c>
      <c r="G440" s="1">
        <f>IF(B440="", "", "mouse")</f>
        <v>0</v>
      </c>
      <c r="H440" s="1">
        <f>IF(B440="", "", "Mus musculus")</f>
        <v>0</v>
      </c>
      <c r="I440" s="1">
        <f>IF(B440="", "", "10090")</f>
        <v>0</v>
      </c>
      <c r="J440" s="2">
        <f>IF(B440="", "", "missing: not provided")</f>
        <v>0</v>
      </c>
      <c r="K440" s="1">
        <f>IF(B440="", "", "g")</f>
        <v>0</v>
      </c>
    </row>
    <row r="441" spans="1:11">
      <c r="A441">
        <f>IF(COUNTBLANK(B441:K441)&lt;&gt;COLUMNS(B441:K441),440,"")</f>
        <v>0</v>
      </c>
      <c r="C441" s="1">
        <f>IF(B441="", "", "urban biome")</f>
        <v>0</v>
      </c>
      <c r="D441" s="1">
        <f>IF(B441="", "", "animal-associated habitat")</f>
        <v>0</v>
      </c>
      <c r="E441" s="2">
        <f>IF(B441="", "", "missing: not provided")</f>
        <v>0</v>
      </c>
      <c r="F441" s="1">
        <f>IF(B441="", "", "weeks")</f>
        <v>0</v>
      </c>
      <c r="G441" s="1">
        <f>IF(B441="", "", "mouse")</f>
        <v>0</v>
      </c>
      <c r="H441" s="1">
        <f>IF(B441="", "", "Mus musculus")</f>
        <v>0</v>
      </c>
      <c r="I441" s="1">
        <f>IF(B441="", "", "10090")</f>
        <v>0</v>
      </c>
      <c r="J441" s="2">
        <f>IF(B441="", "", "missing: not provided")</f>
        <v>0</v>
      </c>
      <c r="K441" s="1">
        <f>IF(B441="", "", "g")</f>
        <v>0</v>
      </c>
    </row>
    <row r="442" spans="1:11">
      <c r="A442">
        <f>IF(COUNTBLANK(B442:K442)&lt;&gt;COLUMNS(B442:K442),441,"")</f>
        <v>0</v>
      </c>
      <c r="C442" s="1">
        <f>IF(B442="", "", "urban biome")</f>
        <v>0</v>
      </c>
      <c r="D442" s="1">
        <f>IF(B442="", "", "animal-associated habitat")</f>
        <v>0</v>
      </c>
      <c r="E442" s="2">
        <f>IF(B442="", "", "missing: not provided")</f>
        <v>0</v>
      </c>
      <c r="F442" s="1">
        <f>IF(B442="", "", "weeks")</f>
        <v>0</v>
      </c>
      <c r="G442" s="1">
        <f>IF(B442="", "", "mouse")</f>
        <v>0</v>
      </c>
      <c r="H442" s="1">
        <f>IF(B442="", "", "Mus musculus")</f>
        <v>0</v>
      </c>
      <c r="I442" s="1">
        <f>IF(B442="", "", "10090")</f>
        <v>0</v>
      </c>
      <c r="J442" s="2">
        <f>IF(B442="", "", "missing: not provided")</f>
        <v>0</v>
      </c>
      <c r="K442" s="1">
        <f>IF(B442="", "", "g")</f>
        <v>0</v>
      </c>
    </row>
    <row r="443" spans="1:11">
      <c r="A443">
        <f>IF(COUNTBLANK(B443:K443)&lt;&gt;COLUMNS(B443:K443),442,"")</f>
        <v>0</v>
      </c>
      <c r="C443" s="1">
        <f>IF(B443="", "", "urban biome")</f>
        <v>0</v>
      </c>
      <c r="D443" s="1">
        <f>IF(B443="", "", "animal-associated habitat")</f>
        <v>0</v>
      </c>
      <c r="E443" s="2">
        <f>IF(B443="", "", "missing: not provided")</f>
        <v>0</v>
      </c>
      <c r="F443" s="1">
        <f>IF(B443="", "", "weeks")</f>
        <v>0</v>
      </c>
      <c r="G443" s="1">
        <f>IF(B443="", "", "mouse")</f>
        <v>0</v>
      </c>
      <c r="H443" s="1">
        <f>IF(B443="", "", "Mus musculus")</f>
        <v>0</v>
      </c>
      <c r="I443" s="1">
        <f>IF(B443="", "", "10090")</f>
        <v>0</v>
      </c>
      <c r="J443" s="2">
        <f>IF(B443="", "", "missing: not provided")</f>
        <v>0</v>
      </c>
      <c r="K443" s="1">
        <f>IF(B443="", "", "g")</f>
        <v>0</v>
      </c>
    </row>
    <row r="444" spans="1:11">
      <c r="A444">
        <f>IF(COUNTBLANK(B444:K444)&lt;&gt;COLUMNS(B444:K444),443,"")</f>
        <v>0</v>
      </c>
      <c r="C444" s="1">
        <f>IF(B444="", "", "urban biome")</f>
        <v>0</v>
      </c>
      <c r="D444" s="1">
        <f>IF(B444="", "", "animal-associated habitat")</f>
        <v>0</v>
      </c>
      <c r="E444" s="2">
        <f>IF(B444="", "", "missing: not provided")</f>
        <v>0</v>
      </c>
      <c r="F444" s="1">
        <f>IF(B444="", "", "weeks")</f>
        <v>0</v>
      </c>
      <c r="G444" s="1">
        <f>IF(B444="", "", "mouse")</f>
        <v>0</v>
      </c>
      <c r="H444" s="1">
        <f>IF(B444="", "", "Mus musculus")</f>
        <v>0</v>
      </c>
      <c r="I444" s="1">
        <f>IF(B444="", "", "10090")</f>
        <v>0</v>
      </c>
      <c r="J444" s="2">
        <f>IF(B444="", "", "missing: not provided")</f>
        <v>0</v>
      </c>
      <c r="K444" s="1">
        <f>IF(B444="", "", "g")</f>
        <v>0</v>
      </c>
    </row>
    <row r="445" spans="1:11">
      <c r="A445">
        <f>IF(COUNTBLANK(B445:K445)&lt;&gt;COLUMNS(B445:K445),444,"")</f>
        <v>0</v>
      </c>
      <c r="C445" s="1">
        <f>IF(B445="", "", "urban biome")</f>
        <v>0</v>
      </c>
      <c r="D445" s="1">
        <f>IF(B445="", "", "animal-associated habitat")</f>
        <v>0</v>
      </c>
      <c r="E445" s="2">
        <f>IF(B445="", "", "missing: not provided")</f>
        <v>0</v>
      </c>
      <c r="F445" s="1">
        <f>IF(B445="", "", "weeks")</f>
        <v>0</v>
      </c>
      <c r="G445" s="1">
        <f>IF(B445="", "", "mouse")</f>
        <v>0</v>
      </c>
      <c r="H445" s="1">
        <f>IF(B445="", "", "Mus musculus")</f>
        <v>0</v>
      </c>
      <c r="I445" s="1">
        <f>IF(B445="", "", "10090")</f>
        <v>0</v>
      </c>
      <c r="J445" s="2">
        <f>IF(B445="", "", "missing: not provided")</f>
        <v>0</v>
      </c>
      <c r="K445" s="1">
        <f>IF(B445="", "", "g")</f>
        <v>0</v>
      </c>
    </row>
    <row r="446" spans="1:11">
      <c r="A446">
        <f>IF(COUNTBLANK(B446:K446)&lt;&gt;COLUMNS(B446:K446),445,"")</f>
        <v>0</v>
      </c>
      <c r="C446" s="1">
        <f>IF(B446="", "", "urban biome")</f>
        <v>0</v>
      </c>
      <c r="D446" s="1">
        <f>IF(B446="", "", "animal-associated habitat")</f>
        <v>0</v>
      </c>
      <c r="E446" s="2">
        <f>IF(B446="", "", "missing: not provided")</f>
        <v>0</v>
      </c>
      <c r="F446" s="1">
        <f>IF(B446="", "", "weeks")</f>
        <v>0</v>
      </c>
      <c r="G446" s="1">
        <f>IF(B446="", "", "mouse")</f>
        <v>0</v>
      </c>
      <c r="H446" s="1">
        <f>IF(B446="", "", "Mus musculus")</f>
        <v>0</v>
      </c>
      <c r="I446" s="1">
        <f>IF(B446="", "", "10090")</f>
        <v>0</v>
      </c>
      <c r="J446" s="2">
        <f>IF(B446="", "", "missing: not provided")</f>
        <v>0</v>
      </c>
      <c r="K446" s="1">
        <f>IF(B446="", "", "g")</f>
        <v>0</v>
      </c>
    </row>
    <row r="447" spans="1:11">
      <c r="A447">
        <f>IF(COUNTBLANK(B447:K447)&lt;&gt;COLUMNS(B447:K447),446,"")</f>
        <v>0</v>
      </c>
      <c r="C447" s="1">
        <f>IF(B447="", "", "urban biome")</f>
        <v>0</v>
      </c>
      <c r="D447" s="1">
        <f>IF(B447="", "", "animal-associated habitat")</f>
        <v>0</v>
      </c>
      <c r="E447" s="2">
        <f>IF(B447="", "", "missing: not provided")</f>
        <v>0</v>
      </c>
      <c r="F447" s="1">
        <f>IF(B447="", "", "weeks")</f>
        <v>0</v>
      </c>
      <c r="G447" s="1">
        <f>IF(B447="", "", "mouse")</f>
        <v>0</v>
      </c>
      <c r="H447" s="1">
        <f>IF(B447="", "", "Mus musculus")</f>
        <v>0</v>
      </c>
      <c r="I447" s="1">
        <f>IF(B447="", "", "10090")</f>
        <v>0</v>
      </c>
      <c r="J447" s="2">
        <f>IF(B447="", "", "missing: not provided")</f>
        <v>0</v>
      </c>
      <c r="K447" s="1">
        <f>IF(B447="", "", "g")</f>
        <v>0</v>
      </c>
    </row>
    <row r="448" spans="1:11">
      <c r="A448">
        <f>IF(COUNTBLANK(B448:K448)&lt;&gt;COLUMNS(B448:K448),447,"")</f>
        <v>0</v>
      </c>
      <c r="C448" s="1">
        <f>IF(B448="", "", "urban biome")</f>
        <v>0</v>
      </c>
      <c r="D448" s="1">
        <f>IF(B448="", "", "animal-associated habitat")</f>
        <v>0</v>
      </c>
      <c r="E448" s="2">
        <f>IF(B448="", "", "missing: not provided")</f>
        <v>0</v>
      </c>
      <c r="F448" s="1">
        <f>IF(B448="", "", "weeks")</f>
        <v>0</v>
      </c>
      <c r="G448" s="1">
        <f>IF(B448="", "", "mouse")</f>
        <v>0</v>
      </c>
      <c r="H448" s="1">
        <f>IF(B448="", "", "Mus musculus")</f>
        <v>0</v>
      </c>
      <c r="I448" s="1">
        <f>IF(B448="", "", "10090")</f>
        <v>0</v>
      </c>
      <c r="J448" s="2">
        <f>IF(B448="", "", "missing: not provided")</f>
        <v>0</v>
      </c>
      <c r="K448" s="1">
        <f>IF(B448="", "", "g")</f>
        <v>0</v>
      </c>
    </row>
    <row r="449" spans="1:11">
      <c r="A449">
        <f>IF(COUNTBLANK(B449:K449)&lt;&gt;COLUMNS(B449:K449),448,"")</f>
        <v>0</v>
      </c>
      <c r="C449" s="1">
        <f>IF(B449="", "", "urban biome")</f>
        <v>0</v>
      </c>
      <c r="D449" s="1">
        <f>IF(B449="", "", "animal-associated habitat")</f>
        <v>0</v>
      </c>
      <c r="E449" s="2">
        <f>IF(B449="", "", "missing: not provided")</f>
        <v>0</v>
      </c>
      <c r="F449" s="1">
        <f>IF(B449="", "", "weeks")</f>
        <v>0</v>
      </c>
      <c r="G449" s="1">
        <f>IF(B449="", "", "mouse")</f>
        <v>0</v>
      </c>
      <c r="H449" s="1">
        <f>IF(B449="", "", "Mus musculus")</f>
        <v>0</v>
      </c>
      <c r="I449" s="1">
        <f>IF(B449="", "", "10090")</f>
        <v>0</v>
      </c>
      <c r="J449" s="2">
        <f>IF(B449="", "", "missing: not provided")</f>
        <v>0</v>
      </c>
      <c r="K449" s="1">
        <f>IF(B449="", "", "g")</f>
        <v>0</v>
      </c>
    </row>
    <row r="450" spans="1:11">
      <c r="A450">
        <f>IF(COUNTBLANK(B450:K450)&lt;&gt;COLUMNS(B450:K450),449,"")</f>
        <v>0</v>
      </c>
      <c r="C450" s="1">
        <f>IF(B450="", "", "urban biome")</f>
        <v>0</v>
      </c>
      <c r="D450" s="1">
        <f>IF(B450="", "", "animal-associated habitat")</f>
        <v>0</v>
      </c>
      <c r="E450" s="2">
        <f>IF(B450="", "", "missing: not provided")</f>
        <v>0</v>
      </c>
      <c r="F450" s="1">
        <f>IF(B450="", "", "weeks")</f>
        <v>0</v>
      </c>
      <c r="G450" s="1">
        <f>IF(B450="", "", "mouse")</f>
        <v>0</v>
      </c>
      <c r="H450" s="1">
        <f>IF(B450="", "", "Mus musculus")</f>
        <v>0</v>
      </c>
      <c r="I450" s="1">
        <f>IF(B450="", "", "10090")</f>
        <v>0</v>
      </c>
      <c r="J450" s="2">
        <f>IF(B450="", "", "missing: not provided")</f>
        <v>0</v>
      </c>
      <c r="K450" s="1">
        <f>IF(B450="", "", "g")</f>
        <v>0</v>
      </c>
    </row>
    <row r="451" spans="1:11">
      <c r="A451">
        <f>IF(COUNTBLANK(B451:K451)&lt;&gt;COLUMNS(B451:K451),450,"")</f>
        <v>0</v>
      </c>
      <c r="C451" s="1">
        <f>IF(B451="", "", "urban biome")</f>
        <v>0</v>
      </c>
      <c r="D451" s="1">
        <f>IF(B451="", "", "animal-associated habitat")</f>
        <v>0</v>
      </c>
      <c r="E451" s="2">
        <f>IF(B451="", "", "missing: not provided")</f>
        <v>0</v>
      </c>
      <c r="F451" s="1">
        <f>IF(B451="", "", "weeks")</f>
        <v>0</v>
      </c>
      <c r="G451" s="1">
        <f>IF(B451="", "", "mouse")</f>
        <v>0</v>
      </c>
      <c r="H451" s="1">
        <f>IF(B451="", "", "Mus musculus")</f>
        <v>0</v>
      </c>
      <c r="I451" s="1">
        <f>IF(B451="", "", "10090")</f>
        <v>0</v>
      </c>
      <c r="J451" s="2">
        <f>IF(B451="", "", "missing: not provided")</f>
        <v>0</v>
      </c>
      <c r="K451" s="1">
        <f>IF(B451="", "", "g")</f>
        <v>0</v>
      </c>
    </row>
    <row r="452" spans="1:11">
      <c r="A452">
        <f>IF(COUNTBLANK(B452:K452)&lt;&gt;COLUMNS(B452:K452),451,"")</f>
        <v>0</v>
      </c>
      <c r="C452" s="1">
        <f>IF(B452="", "", "urban biome")</f>
        <v>0</v>
      </c>
      <c r="D452" s="1">
        <f>IF(B452="", "", "animal-associated habitat")</f>
        <v>0</v>
      </c>
      <c r="E452" s="2">
        <f>IF(B452="", "", "missing: not provided")</f>
        <v>0</v>
      </c>
      <c r="F452" s="1">
        <f>IF(B452="", "", "weeks")</f>
        <v>0</v>
      </c>
      <c r="G452" s="1">
        <f>IF(B452="", "", "mouse")</f>
        <v>0</v>
      </c>
      <c r="H452" s="1">
        <f>IF(B452="", "", "Mus musculus")</f>
        <v>0</v>
      </c>
      <c r="I452" s="1">
        <f>IF(B452="", "", "10090")</f>
        <v>0</v>
      </c>
      <c r="J452" s="2">
        <f>IF(B452="", "", "missing: not provided")</f>
        <v>0</v>
      </c>
      <c r="K452" s="1">
        <f>IF(B452="", "", "g")</f>
        <v>0</v>
      </c>
    </row>
    <row r="453" spans="1:11">
      <c r="A453">
        <f>IF(COUNTBLANK(B453:K453)&lt;&gt;COLUMNS(B453:K453),452,"")</f>
        <v>0</v>
      </c>
      <c r="C453" s="1">
        <f>IF(B453="", "", "urban biome")</f>
        <v>0</v>
      </c>
      <c r="D453" s="1">
        <f>IF(B453="", "", "animal-associated habitat")</f>
        <v>0</v>
      </c>
      <c r="E453" s="2">
        <f>IF(B453="", "", "missing: not provided")</f>
        <v>0</v>
      </c>
      <c r="F453" s="1">
        <f>IF(B453="", "", "weeks")</f>
        <v>0</v>
      </c>
      <c r="G453" s="1">
        <f>IF(B453="", "", "mouse")</f>
        <v>0</v>
      </c>
      <c r="H453" s="1">
        <f>IF(B453="", "", "Mus musculus")</f>
        <v>0</v>
      </c>
      <c r="I453" s="1">
        <f>IF(B453="", "", "10090")</f>
        <v>0</v>
      </c>
      <c r="J453" s="2">
        <f>IF(B453="", "", "missing: not provided")</f>
        <v>0</v>
      </c>
      <c r="K453" s="1">
        <f>IF(B453="", "", "g")</f>
        <v>0</v>
      </c>
    </row>
    <row r="454" spans="1:11">
      <c r="A454">
        <f>IF(COUNTBLANK(B454:K454)&lt;&gt;COLUMNS(B454:K454),453,"")</f>
        <v>0</v>
      </c>
      <c r="C454" s="1">
        <f>IF(B454="", "", "urban biome")</f>
        <v>0</v>
      </c>
      <c r="D454" s="1">
        <f>IF(B454="", "", "animal-associated habitat")</f>
        <v>0</v>
      </c>
      <c r="E454" s="2">
        <f>IF(B454="", "", "missing: not provided")</f>
        <v>0</v>
      </c>
      <c r="F454" s="1">
        <f>IF(B454="", "", "weeks")</f>
        <v>0</v>
      </c>
      <c r="G454" s="1">
        <f>IF(B454="", "", "mouse")</f>
        <v>0</v>
      </c>
      <c r="H454" s="1">
        <f>IF(B454="", "", "Mus musculus")</f>
        <v>0</v>
      </c>
      <c r="I454" s="1">
        <f>IF(B454="", "", "10090")</f>
        <v>0</v>
      </c>
      <c r="J454" s="2">
        <f>IF(B454="", "", "missing: not provided")</f>
        <v>0</v>
      </c>
      <c r="K454" s="1">
        <f>IF(B454="", "", "g")</f>
        <v>0</v>
      </c>
    </row>
    <row r="455" spans="1:11">
      <c r="A455">
        <f>IF(COUNTBLANK(B455:K455)&lt;&gt;COLUMNS(B455:K455),454,"")</f>
        <v>0</v>
      </c>
      <c r="C455" s="1">
        <f>IF(B455="", "", "urban biome")</f>
        <v>0</v>
      </c>
      <c r="D455" s="1">
        <f>IF(B455="", "", "animal-associated habitat")</f>
        <v>0</v>
      </c>
      <c r="E455" s="2">
        <f>IF(B455="", "", "missing: not provided")</f>
        <v>0</v>
      </c>
      <c r="F455" s="1">
        <f>IF(B455="", "", "weeks")</f>
        <v>0</v>
      </c>
      <c r="G455" s="1">
        <f>IF(B455="", "", "mouse")</f>
        <v>0</v>
      </c>
      <c r="H455" s="1">
        <f>IF(B455="", "", "Mus musculus")</f>
        <v>0</v>
      </c>
      <c r="I455" s="1">
        <f>IF(B455="", "", "10090")</f>
        <v>0</v>
      </c>
      <c r="J455" s="2">
        <f>IF(B455="", "", "missing: not provided")</f>
        <v>0</v>
      </c>
      <c r="K455" s="1">
        <f>IF(B455="", "", "g")</f>
        <v>0</v>
      </c>
    </row>
    <row r="456" spans="1:11">
      <c r="A456">
        <f>IF(COUNTBLANK(B456:K456)&lt;&gt;COLUMNS(B456:K456),455,"")</f>
        <v>0</v>
      </c>
      <c r="C456" s="1">
        <f>IF(B456="", "", "urban biome")</f>
        <v>0</v>
      </c>
      <c r="D456" s="1">
        <f>IF(B456="", "", "animal-associated habitat")</f>
        <v>0</v>
      </c>
      <c r="E456" s="2">
        <f>IF(B456="", "", "missing: not provided")</f>
        <v>0</v>
      </c>
      <c r="F456" s="1">
        <f>IF(B456="", "", "weeks")</f>
        <v>0</v>
      </c>
      <c r="G456" s="1">
        <f>IF(B456="", "", "mouse")</f>
        <v>0</v>
      </c>
      <c r="H456" s="1">
        <f>IF(B456="", "", "Mus musculus")</f>
        <v>0</v>
      </c>
      <c r="I456" s="1">
        <f>IF(B456="", "", "10090")</f>
        <v>0</v>
      </c>
      <c r="J456" s="2">
        <f>IF(B456="", "", "missing: not provided")</f>
        <v>0</v>
      </c>
      <c r="K456" s="1">
        <f>IF(B456="", "", "g")</f>
        <v>0</v>
      </c>
    </row>
    <row r="457" spans="1:11">
      <c r="A457">
        <f>IF(COUNTBLANK(B457:K457)&lt;&gt;COLUMNS(B457:K457),456,"")</f>
        <v>0</v>
      </c>
      <c r="C457" s="1">
        <f>IF(B457="", "", "urban biome")</f>
        <v>0</v>
      </c>
      <c r="D457" s="1">
        <f>IF(B457="", "", "animal-associated habitat")</f>
        <v>0</v>
      </c>
      <c r="E457" s="2">
        <f>IF(B457="", "", "missing: not provided")</f>
        <v>0</v>
      </c>
      <c r="F457" s="1">
        <f>IF(B457="", "", "weeks")</f>
        <v>0</v>
      </c>
      <c r="G457" s="1">
        <f>IF(B457="", "", "mouse")</f>
        <v>0</v>
      </c>
      <c r="H457" s="1">
        <f>IF(B457="", "", "Mus musculus")</f>
        <v>0</v>
      </c>
      <c r="I457" s="1">
        <f>IF(B457="", "", "10090")</f>
        <v>0</v>
      </c>
      <c r="J457" s="2">
        <f>IF(B457="", "", "missing: not provided")</f>
        <v>0</v>
      </c>
      <c r="K457" s="1">
        <f>IF(B457="", "", "g")</f>
        <v>0</v>
      </c>
    </row>
    <row r="458" spans="1:11">
      <c r="A458">
        <f>IF(COUNTBLANK(B458:K458)&lt;&gt;COLUMNS(B458:K458),457,"")</f>
        <v>0</v>
      </c>
      <c r="C458" s="1">
        <f>IF(B458="", "", "urban biome")</f>
        <v>0</v>
      </c>
      <c r="D458" s="1">
        <f>IF(B458="", "", "animal-associated habitat")</f>
        <v>0</v>
      </c>
      <c r="E458" s="2">
        <f>IF(B458="", "", "missing: not provided")</f>
        <v>0</v>
      </c>
      <c r="F458" s="1">
        <f>IF(B458="", "", "weeks")</f>
        <v>0</v>
      </c>
      <c r="G458" s="1">
        <f>IF(B458="", "", "mouse")</f>
        <v>0</v>
      </c>
      <c r="H458" s="1">
        <f>IF(B458="", "", "Mus musculus")</f>
        <v>0</v>
      </c>
      <c r="I458" s="1">
        <f>IF(B458="", "", "10090")</f>
        <v>0</v>
      </c>
      <c r="J458" s="2">
        <f>IF(B458="", "", "missing: not provided")</f>
        <v>0</v>
      </c>
      <c r="K458" s="1">
        <f>IF(B458="", "", "g")</f>
        <v>0</v>
      </c>
    </row>
    <row r="459" spans="1:11">
      <c r="A459">
        <f>IF(COUNTBLANK(B459:K459)&lt;&gt;COLUMNS(B459:K459),458,"")</f>
        <v>0</v>
      </c>
      <c r="C459" s="1">
        <f>IF(B459="", "", "urban biome")</f>
        <v>0</v>
      </c>
      <c r="D459" s="1">
        <f>IF(B459="", "", "animal-associated habitat")</f>
        <v>0</v>
      </c>
      <c r="E459" s="2">
        <f>IF(B459="", "", "missing: not provided")</f>
        <v>0</v>
      </c>
      <c r="F459" s="1">
        <f>IF(B459="", "", "weeks")</f>
        <v>0</v>
      </c>
      <c r="G459" s="1">
        <f>IF(B459="", "", "mouse")</f>
        <v>0</v>
      </c>
      <c r="H459" s="1">
        <f>IF(B459="", "", "Mus musculus")</f>
        <v>0</v>
      </c>
      <c r="I459" s="1">
        <f>IF(B459="", "", "10090")</f>
        <v>0</v>
      </c>
      <c r="J459" s="2">
        <f>IF(B459="", "", "missing: not provided")</f>
        <v>0</v>
      </c>
      <c r="K459" s="1">
        <f>IF(B459="", "", "g")</f>
        <v>0</v>
      </c>
    </row>
    <row r="460" spans="1:11">
      <c r="A460">
        <f>IF(COUNTBLANK(B460:K460)&lt;&gt;COLUMNS(B460:K460),459,"")</f>
        <v>0</v>
      </c>
      <c r="C460" s="1">
        <f>IF(B460="", "", "urban biome")</f>
        <v>0</v>
      </c>
      <c r="D460" s="1">
        <f>IF(B460="", "", "animal-associated habitat")</f>
        <v>0</v>
      </c>
      <c r="E460" s="2">
        <f>IF(B460="", "", "missing: not provided")</f>
        <v>0</v>
      </c>
      <c r="F460" s="1">
        <f>IF(B460="", "", "weeks")</f>
        <v>0</v>
      </c>
      <c r="G460" s="1">
        <f>IF(B460="", "", "mouse")</f>
        <v>0</v>
      </c>
      <c r="H460" s="1">
        <f>IF(B460="", "", "Mus musculus")</f>
        <v>0</v>
      </c>
      <c r="I460" s="1">
        <f>IF(B460="", "", "10090")</f>
        <v>0</v>
      </c>
      <c r="J460" s="2">
        <f>IF(B460="", "", "missing: not provided")</f>
        <v>0</v>
      </c>
      <c r="K460" s="1">
        <f>IF(B460="", "", "g")</f>
        <v>0</v>
      </c>
    </row>
    <row r="461" spans="1:11">
      <c r="A461">
        <f>IF(COUNTBLANK(B461:K461)&lt;&gt;COLUMNS(B461:K461),460,"")</f>
        <v>0</v>
      </c>
      <c r="C461" s="1">
        <f>IF(B461="", "", "urban biome")</f>
        <v>0</v>
      </c>
      <c r="D461" s="1">
        <f>IF(B461="", "", "animal-associated habitat")</f>
        <v>0</v>
      </c>
      <c r="E461" s="2">
        <f>IF(B461="", "", "missing: not provided")</f>
        <v>0</v>
      </c>
      <c r="F461" s="1">
        <f>IF(B461="", "", "weeks")</f>
        <v>0</v>
      </c>
      <c r="G461" s="1">
        <f>IF(B461="", "", "mouse")</f>
        <v>0</v>
      </c>
      <c r="H461" s="1">
        <f>IF(B461="", "", "Mus musculus")</f>
        <v>0</v>
      </c>
      <c r="I461" s="1">
        <f>IF(B461="", "", "10090")</f>
        <v>0</v>
      </c>
      <c r="J461" s="2">
        <f>IF(B461="", "", "missing: not provided")</f>
        <v>0</v>
      </c>
      <c r="K461" s="1">
        <f>IF(B461="", "", "g")</f>
        <v>0</v>
      </c>
    </row>
    <row r="462" spans="1:11">
      <c r="A462">
        <f>IF(COUNTBLANK(B462:K462)&lt;&gt;COLUMNS(B462:K462),461,"")</f>
        <v>0</v>
      </c>
      <c r="C462" s="1">
        <f>IF(B462="", "", "urban biome")</f>
        <v>0</v>
      </c>
      <c r="D462" s="1">
        <f>IF(B462="", "", "animal-associated habitat")</f>
        <v>0</v>
      </c>
      <c r="E462" s="2">
        <f>IF(B462="", "", "missing: not provided")</f>
        <v>0</v>
      </c>
      <c r="F462" s="1">
        <f>IF(B462="", "", "weeks")</f>
        <v>0</v>
      </c>
      <c r="G462" s="1">
        <f>IF(B462="", "", "mouse")</f>
        <v>0</v>
      </c>
      <c r="H462" s="1">
        <f>IF(B462="", "", "Mus musculus")</f>
        <v>0</v>
      </c>
      <c r="I462" s="1">
        <f>IF(B462="", "", "10090")</f>
        <v>0</v>
      </c>
      <c r="J462" s="2">
        <f>IF(B462="", "", "missing: not provided")</f>
        <v>0</v>
      </c>
      <c r="K462" s="1">
        <f>IF(B462="", "", "g")</f>
        <v>0</v>
      </c>
    </row>
    <row r="463" spans="1:11">
      <c r="A463">
        <f>IF(COUNTBLANK(B463:K463)&lt;&gt;COLUMNS(B463:K463),462,"")</f>
        <v>0</v>
      </c>
      <c r="C463" s="1">
        <f>IF(B463="", "", "urban biome")</f>
        <v>0</v>
      </c>
      <c r="D463" s="1">
        <f>IF(B463="", "", "animal-associated habitat")</f>
        <v>0</v>
      </c>
      <c r="E463" s="2">
        <f>IF(B463="", "", "missing: not provided")</f>
        <v>0</v>
      </c>
      <c r="F463" s="1">
        <f>IF(B463="", "", "weeks")</f>
        <v>0</v>
      </c>
      <c r="G463" s="1">
        <f>IF(B463="", "", "mouse")</f>
        <v>0</v>
      </c>
      <c r="H463" s="1">
        <f>IF(B463="", "", "Mus musculus")</f>
        <v>0</v>
      </c>
      <c r="I463" s="1">
        <f>IF(B463="", "", "10090")</f>
        <v>0</v>
      </c>
      <c r="J463" s="2">
        <f>IF(B463="", "", "missing: not provided")</f>
        <v>0</v>
      </c>
      <c r="K463" s="1">
        <f>IF(B463="", "", "g")</f>
        <v>0</v>
      </c>
    </row>
    <row r="464" spans="1:11">
      <c r="A464">
        <f>IF(COUNTBLANK(B464:K464)&lt;&gt;COLUMNS(B464:K464),463,"")</f>
        <v>0</v>
      </c>
      <c r="C464" s="1">
        <f>IF(B464="", "", "urban biome")</f>
        <v>0</v>
      </c>
      <c r="D464" s="1">
        <f>IF(B464="", "", "animal-associated habitat")</f>
        <v>0</v>
      </c>
      <c r="E464" s="2">
        <f>IF(B464="", "", "missing: not provided")</f>
        <v>0</v>
      </c>
      <c r="F464" s="1">
        <f>IF(B464="", "", "weeks")</f>
        <v>0</v>
      </c>
      <c r="G464" s="1">
        <f>IF(B464="", "", "mouse")</f>
        <v>0</v>
      </c>
      <c r="H464" s="1">
        <f>IF(B464="", "", "Mus musculus")</f>
        <v>0</v>
      </c>
      <c r="I464" s="1">
        <f>IF(B464="", "", "10090")</f>
        <v>0</v>
      </c>
      <c r="J464" s="2">
        <f>IF(B464="", "", "missing: not provided")</f>
        <v>0</v>
      </c>
      <c r="K464" s="1">
        <f>IF(B464="", "", "g")</f>
        <v>0</v>
      </c>
    </row>
    <row r="465" spans="1:11">
      <c r="A465">
        <f>IF(COUNTBLANK(B465:K465)&lt;&gt;COLUMNS(B465:K465),464,"")</f>
        <v>0</v>
      </c>
      <c r="C465" s="1">
        <f>IF(B465="", "", "urban biome")</f>
        <v>0</v>
      </c>
      <c r="D465" s="1">
        <f>IF(B465="", "", "animal-associated habitat")</f>
        <v>0</v>
      </c>
      <c r="E465" s="2">
        <f>IF(B465="", "", "missing: not provided")</f>
        <v>0</v>
      </c>
      <c r="F465" s="1">
        <f>IF(B465="", "", "weeks")</f>
        <v>0</v>
      </c>
      <c r="G465" s="1">
        <f>IF(B465="", "", "mouse")</f>
        <v>0</v>
      </c>
      <c r="H465" s="1">
        <f>IF(B465="", "", "Mus musculus")</f>
        <v>0</v>
      </c>
      <c r="I465" s="1">
        <f>IF(B465="", "", "10090")</f>
        <v>0</v>
      </c>
      <c r="J465" s="2">
        <f>IF(B465="", "", "missing: not provided")</f>
        <v>0</v>
      </c>
      <c r="K465" s="1">
        <f>IF(B465="", "", "g")</f>
        <v>0</v>
      </c>
    </row>
    <row r="466" spans="1:11">
      <c r="A466">
        <f>IF(COUNTBLANK(B466:K466)&lt;&gt;COLUMNS(B466:K466),465,"")</f>
        <v>0</v>
      </c>
      <c r="C466" s="1">
        <f>IF(B466="", "", "urban biome")</f>
        <v>0</v>
      </c>
      <c r="D466" s="1">
        <f>IF(B466="", "", "animal-associated habitat")</f>
        <v>0</v>
      </c>
      <c r="E466" s="2">
        <f>IF(B466="", "", "missing: not provided")</f>
        <v>0</v>
      </c>
      <c r="F466" s="1">
        <f>IF(B466="", "", "weeks")</f>
        <v>0</v>
      </c>
      <c r="G466" s="1">
        <f>IF(B466="", "", "mouse")</f>
        <v>0</v>
      </c>
      <c r="H466" s="1">
        <f>IF(B466="", "", "Mus musculus")</f>
        <v>0</v>
      </c>
      <c r="I466" s="1">
        <f>IF(B466="", "", "10090")</f>
        <v>0</v>
      </c>
      <c r="J466" s="2">
        <f>IF(B466="", "", "missing: not provided")</f>
        <v>0</v>
      </c>
      <c r="K466" s="1">
        <f>IF(B466="", "", "g")</f>
        <v>0</v>
      </c>
    </row>
    <row r="467" spans="1:11">
      <c r="A467">
        <f>IF(COUNTBLANK(B467:K467)&lt;&gt;COLUMNS(B467:K467),466,"")</f>
        <v>0</v>
      </c>
      <c r="C467" s="1">
        <f>IF(B467="", "", "urban biome")</f>
        <v>0</v>
      </c>
      <c r="D467" s="1">
        <f>IF(B467="", "", "animal-associated habitat")</f>
        <v>0</v>
      </c>
      <c r="E467" s="2">
        <f>IF(B467="", "", "missing: not provided")</f>
        <v>0</v>
      </c>
      <c r="F467" s="1">
        <f>IF(B467="", "", "weeks")</f>
        <v>0</v>
      </c>
      <c r="G467" s="1">
        <f>IF(B467="", "", "mouse")</f>
        <v>0</v>
      </c>
      <c r="H467" s="1">
        <f>IF(B467="", "", "Mus musculus")</f>
        <v>0</v>
      </c>
      <c r="I467" s="1">
        <f>IF(B467="", "", "10090")</f>
        <v>0</v>
      </c>
      <c r="J467" s="2">
        <f>IF(B467="", "", "missing: not provided")</f>
        <v>0</v>
      </c>
      <c r="K467" s="1">
        <f>IF(B467="", "", "g")</f>
        <v>0</v>
      </c>
    </row>
    <row r="468" spans="1:11">
      <c r="A468">
        <f>IF(COUNTBLANK(B468:K468)&lt;&gt;COLUMNS(B468:K468),467,"")</f>
        <v>0</v>
      </c>
      <c r="C468" s="1">
        <f>IF(B468="", "", "urban biome")</f>
        <v>0</v>
      </c>
      <c r="D468" s="1">
        <f>IF(B468="", "", "animal-associated habitat")</f>
        <v>0</v>
      </c>
      <c r="E468" s="2">
        <f>IF(B468="", "", "missing: not provided")</f>
        <v>0</v>
      </c>
      <c r="F468" s="1">
        <f>IF(B468="", "", "weeks")</f>
        <v>0</v>
      </c>
      <c r="G468" s="1">
        <f>IF(B468="", "", "mouse")</f>
        <v>0</v>
      </c>
      <c r="H468" s="1">
        <f>IF(B468="", "", "Mus musculus")</f>
        <v>0</v>
      </c>
      <c r="I468" s="1">
        <f>IF(B468="", "", "10090")</f>
        <v>0</v>
      </c>
      <c r="J468" s="2">
        <f>IF(B468="", "", "missing: not provided")</f>
        <v>0</v>
      </c>
      <c r="K468" s="1">
        <f>IF(B468="", "", "g")</f>
        <v>0</v>
      </c>
    </row>
    <row r="469" spans="1:11">
      <c r="A469">
        <f>IF(COUNTBLANK(B469:K469)&lt;&gt;COLUMNS(B469:K469),468,"")</f>
        <v>0</v>
      </c>
      <c r="C469" s="1">
        <f>IF(B469="", "", "urban biome")</f>
        <v>0</v>
      </c>
      <c r="D469" s="1">
        <f>IF(B469="", "", "animal-associated habitat")</f>
        <v>0</v>
      </c>
      <c r="E469" s="2">
        <f>IF(B469="", "", "missing: not provided")</f>
        <v>0</v>
      </c>
      <c r="F469" s="1">
        <f>IF(B469="", "", "weeks")</f>
        <v>0</v>
      </c>
      <c r="G469" s="1">
        <f>IF(B469="", "", "mouse")</f>
        <v>0</v>
      </c>
      <c r="H469" s="1">
        <f>IF(B469="", "", "Mus musculus")</f>
        <v>0</v>
      </c>
      <c r="I469" s="1">
        <f>IF(B469="", "", "10090")</f>
        <v>0</v>
      </c>
      <c r="J469" s="2">
        <f>IF(B469="", "", "missing: not provided")</f>
        <v>0</v>
      </c>
      <c r="K469" s="1">
        <f>IF(B469="", "", "g")</f>
        <v>0</v>
      </c>
    </row>
    <row r="470" spans="1:11">
      <c r="A470">
        <f>IF(COUNTBLANK(B470:K470)&lt;&gt;COLUMNS(B470:K470),469,"")</f>
        <v>0</v>
      </c>
      <c r="C470" s="1">
        <f>IF(B470="", "", "urban biome")</f>
        <v>0</v>
      </c>
      <c r="D470" s="1">
        <f>IF(B470="", "", "animal-associated habitat")</f>
        <v>0</v>
      </c>
      <c r="E470" s="2">
        <f>IF(B470="", "", "missing: not provided")</f>
        <v>0</v>
      </c>
      <c r="F470" s="1">
        <f>IF(B470="", "", "weeks")</f>
        <v>0</v>
      </c>
      <c r="G470" s="1">
        <f>IF(B470="", "", "mouse")</f>
        <v>0</v>
      </c>
      <c r="H470" s="1">
        <f>IF(B470="", "", "Mus musculus")</f>
        <v>0</v>
      </c>
      <c r="I470" s="1">
        <f>IF(B470="", "", "10090")</f>
        <v>0</v>
      </c>
      <c r="J470" s="2">
        <f>IF(B470="", "", "missing: not provided")</f>
        <v>0</v>
      </c>
      <c r="K470" s="1">
        <f>IF(B470="", "", "g")</f>
        <v>0</v>
      </c>
    </row>
    <row r="471" spans="1:11">
      <c r="A471">
        <f>IF(COUNTBLANK(B471:K471)&lt;&gt;COLUMNS(B471:K471),470,"")</f>
        <v>0</v>
      </c>
      <c r="C471" s="1">
        <f>IF(B471="", "", "urban biome")</f>
        <v>0</v>
      </c>
      <c r="D471" s="1">
        <f>IF(B471="", "", "animal-associated habitat")</f>
        <v>0</v>
      </c>
      <c r="E471" s="2">
        <f>IF(B471="", "", "missing: not provided")</f>
        <v>0</v>
      </c>
      <c r="F471" s="1">
        <f>IF(B471="", "", "weeks")</f>
        <v>0</v>
      </c>
      <c r="G471" s="1">
        <f>IF(B471="", "", "mouse")</f>
        <v>0</v>
      </c>
      <c r="H471" s="1">
        <f>IF(B471="", "", "Mus musculus")</f>
        <v>0</v>
      </c>
      <c r="I471" s="1">
        <f>IF(B471="", "", "10090")</f>
        <v>0</v>
      </c>
      <c r="J471" s="2">
        <f>IF(B471="", "", "missing: not provided")</f>
        <v>0</v>
      </c>
      <c r="K471" s="1">
        <f>IF(B471="", "", "g")</f>
        <v>0</v>
      </c>
    </row>
    <row r="472" spans="1:11">
      <c r="A472">
        <f>IF(COUNTBLANK(B472:K472)&lt;&gt;COLUMNS(B472:K472),471,"")</f>
        <v>0</v>
      </c>
      <c r="C472" s="1">
        <f>IF(B472="", "", "urban biome")</f>
        <v>0</v>
      </c>
      <c r="D472" s="1">
        <f>IF(B472="", "", "animal-associated habitat")</f>
        <v>0</v>
      </c>
      <c r="E472" s="2">
        <f>IF(B472="", "", "missing: not provided")</f>
        <v>0</v>
      </c>
      <c r="F472" s="1">
        <f>IF(B472="", "", "weeks")</f>
        <v>0</v>
      </c>
      <c r="G472" s="1">
        <f>IF(B472="", "", "mouse")</f>
        <v>0</v>
      </c>
      <c r="H472" s="1">
        <f>IF(B472="", "", "Mus musculus")</f>
        <v>0</v>
      </c>
      <c r="I472" s="1">
        <f>IF(B472="", "", "10090")</f>
        <v>0</v>
      </c>
      <c r="J472" s="2">
        <f>IF(B472="", "", "missing: not provided")</f>
        <v>0</v>
      </c>
      <c r="K472" s="1">
        <f>IF(B472="", "", "g")</f>
        <v>0</v>
      </c>
    </row>
    <row r="473" spans="1:11">
      <c r="A473">
        <f>IF(COUNTBLANK(B473:K473)&lt;&gt;COLUMNS(B473:K473),472,"")</f>
        <v>0</v>
      </c>
      <c r="C473" s="1">
        <f>IF(B473="", "", "urban biome")</f>
        <v>0</v>
      </c>
      <c r="D473" s="1">
        <f>IF(B473="", "", "animal-associated habitat")</f>
        <v>0</v>
      </c>
      <c r="E473" s="2">
        <f>IF(B473="", "", "missing: not provided")</f>
        <v>0</v>
      </c>
      <c r="F473" s="1">
        <f>IF(B473="", "", "weeks")</f>
        <v>0</v>
      </c>
      <c r="G473" s="1">
        <f>IF(B473="", "", "mouse")</f>
        <v>0</v>
      </c>
      <c r="H473" s="1">
        <f>IF(B473="", "", "Mus musculus")</f>
        <v>0</v>
      </c>
      <c r="I473" s="1">
        <f>IF(B473="", "", "10090")</f>
        <v>0</v>
      </c>
      <c r="J473" s="2">
        <f>IF(B473="", "", "missing: not provided")</f>
        <v>0</v>
      </c>
      <c r="K473" s="1">
        <f>IF(B473="", "", "g")</f>
        <v>0</v>
      </c>
    </row>
    <row r="474" spans="1:11">
      <c r="A474">
        <f>IF(COUNTBLANK(B474:K474)&lt;&gt;COLUMNS(B474:K474),473,"")</f>
        <v>0</v>
      </c>
      <c r="C474" s="1">
        <f>IF(B474="", "", "urban biome")</f>
        <v>0</v>
      </c>
      <c r="D474" s="1">
        <f>IF(B474="", "", "animal-associated habitat")</f>
        <v>0</v>
      </c>
      <c r="E474" s="2">
        <f>IF(B474="", "", "missing: not provided")</f>
        <v>0</v>
      </c>
      <c r="F474" s="1">
        <f>IF(B474="", "", "weeks")</f>
        <v>0</v>
      </c>
      <c r="G474" s="1">
        <f>IF(B474="", "", "mouse")</f>
        <v>0</v>
      </c>
      <c r="H474" s="1">
        <f>IF(B474="", "", "Mus musculus")</f>
        <v>0</v>
      </c>
      <c r="I474" s="1">
        <f>IF(B474="", "", "10090")</f>
        <v>0</v>
      </c>
      <c r="J474" s="2">
        <f>IF(B474="", "", "missing: not provided")</f>
        <v>0</v>
      </c>
      <c r="K474" s="1">
        <f>IF(B474="", "", "g")</f>
        <v>0</v>
      </c>
    </row>
    <row r="475" spans="1:11">
      <c r="A475">
        <f>IF(COUNTBLANK(B475:K475)&lt;&gt;COLUMNS(B475:K475),474,"")</f>
        <v>0</v>
      </c>
      <c r="C475" s="1">
        <f>IF(B475="", "", "urban biome")</f>
        <v>0</v>
      </c>
      <c r="D475" s="1">
        <f>IF(B475="", "", "animal-associated habitat")</f>
        <v>0</v>
      </c>
      <c r="E475" s="2">
        <f>IF(B475="", "", "missing: not provided")</f>
        <v>0</v>
      </c>
      <c r="F475" s="1">
        <f>IF(B475="", "", "weeks")</f>
        <v>0</v>
      </c>
      <c r="G475" s="1">
        <f>IF(B475="", "", "mouse")</f>
        <v>0</v>
      </c>
      <c r="H475" s="1">
        <f>IF(B475="", "", "Mus musculus")</f>
        <v>0</v>
      </c>
      <c r="I475" s="1">
        <f>IF(B475="", "", "10090")</f>
        <v>0</v>
      </c>
      <c r="J475" s="2">
        <f>IF(B475="", "", "missing: not provided")</f>
        <v>0</v>
      </c>
      <c r="K475" s="1">
        <f>IF(B475="", "", "g")</f>
        <v>0</v>
      </c>
    </row>
    <row r="476" spans="1:11">
      <c r="A476">
        <f>IF(COUNTBLANK(B476:K476)&lt;&gt;COLUMNS(B476:K476),475,"")</f>
        <v>0</v>
      </c>
      <c r="C476" s="1">
        <f>IF(B476="", "", "urban biome")</f>
        <v>0</v>
      </c>
      <c r="D476" s="1">
        <f>IF(B476="", "", "animal-associated habitat")</f>
        <v>0</v>
      </c>
      <c r="E476" s="2">
        <f>IF(B476="", "", "missing: not provided")</f>
        <v>0</v>
      </c>
      <c r="F476" s="1">
        <f>IF(B476="", "", "weeks")</f>
        <v>0</v>
      </c>
      <c r="G476" s="1">
        <f>IF(B476="", "", "mouse")</f>
        <v>0</v>
      </c>
      <c r="H476" s="1">
        <f>IF(B476="", "", "Mus musculus")</f>
        <v>0</v>
      </c>
      <c r="I476" s="1">
        <f>IF(B476="", "", "10090")</f>
        <v>0</v>
      </c>
      <c r="J476" s="2">
        <f>IF(B476="", "", "missing: not provided")</f>
        <v>0</v>
      </c>
      <c r="K476" s="1">
        <f>IF(B476="", "", "g")</f>
        <v>0</v>
      </c>
    </row>
    <row r="477" spans="1:11">
      <c r="A477">
        <f>IF(COUNTBLANK(B477:K477)&lt;&gt;COLUMNS(B477:K477),476,"")</f>
        <v>0</v>
      </c>
      <c r="C477" s="1">
        <f>IF(B477="", "", "urban biome")</f>
        <v>0</v>
      </c>
      <c r="D477" s="1">
        <f>IF(B477="", "", "animal-associated habitat")</f>
        <v>0</v>
      </c>
      <c r="E477" s="2">
        <f>IF(B477="", "", "missing: not provided")</f>
        <v>0</v>
      </c>
      <c r="F477" s="1">
        <f>IF(B477="", "", "weeks")</f>
        <v>0</v>
      </c>
      <c r="G477" s="1">
        <f>IF(B477="", "", "mouse")</f>
        <v>0</v>
      </c>
      <c r="H477" s="1">
        <f>IF(B477="", "", "Mus musculus")</f>
        <v>0</v>
      </c>
      <c r="I477" s="1">
        <f>IF(B477="", "", "10090")</f>
        <v>0</v>
      </c>
      <c r="J477" s="2">
        <f>IF(B477="", "", "missing: not provided")</f>
        <v>0</v>
      </c>
      <c r="K477" s="1">
        <f>IF(B477="", "", "g")</f>
        <v>0</v>
      </c>
    </row>
    <row r="478" spans="1:11">
      <c r="A478">
        <f>IF(COUNTBLANK(B478:K478)&lt;&gt;COLUMNS(B478:K478),477,"")</f>
        <v>0</v>
      </c>
      <c r="C478" s="1">
        <f>IF(B478="", "", "urban biome")</f>
        <v>0</v>
      </c>
      <c r="D478" s="1">
        <f>IF(B478="", "", "animal-associated habitat")</f>
        <v>0</v>
      </c>
      <c r="E478" s="2">
        <f>IF(B478="", "", "missing: not provided")</f>
        <v>0</v>
      </c>
      <c r="F478" s="1">
        <f>IF(B478="", "", "weeks")</f>
        <v>0</v>
      </c>
      <c r="G478" s="1">
        <f>IF(B478="", "", "mouse")</f>
        <v>0</v>
      </c>
      <c r="H478" s="1">
        <f>IF(B478="", "", "Mus musculus")</f>
        <v>0</v>
      </c>
      <c r="I478" s="1">
        <f>IF(B478="", "", "10090")</f>
        <v>0</v>
      </c>
      <c r="J478" s="2">
        <f>IF(B478="", "", "missing: not provided")</f>
        <v>0</v>
      </c>
      <c r="K478" s="1">
        <f>IF(B478="", "", "g")</f>
        <v>0</v>
      </c>
    </row>
    <row r="479" spans="1:11">
      <c r="A479">
        <f>IF(COUNTBLANK(B479:K479)&lt;&gt;COLUMNS(B479:K479),478,"")</f>
        <v>0</v>
      </c>
      <c r="C479" s="1">
        <f>IF(B479="", "", "urban biome")</f>
        <v>0</v>
      </c>
      <c r="D479" s="1">
        <f>IF(B479="", "", "animal-associated habitat")</f>
        <v>0</v>
      </c>
      <c r="E479" s="2">
        <f>IF(B479="", "", "missing: not provided")</f>
        <v>0</v>
      </c>
      <c r="F479" s="1">
        <f>IF(B479="", "", "weeks")</f>
        <v>0</v>
      </c>
      <c r="G479" s="1">
        <f>IF(B479="", "", "mouse")</f>
        <v>0</v>
      </c>
      <c r="H479" s="1">
        <f>IF(B479="", "", "Mus musculus")</f>
        <v>0</v>
      </c>
      <c r="I479" s="1">
        <f>IF(B479="", "", "10090")</f>
        <v>0</v>
      </c>
      <c r="J479" s="2">
        <f>IF(B479="", "", "missing: not provided")</f>
        <v>0</v>
      </c>
      <c r="K479" s="1">
        <f>IF(B479="", "", "g")</f>
        <v>0</v>
      </c>
    </row>
    <row r="480" spans="1:11">
      <c r="A480">
        <f>IF(COUNTBLANK(B480:K480)&lt;&gt;COLUMNS(B480:K480),479,"")</f>
        <v>0</v>
      </c>
      <c r="C480" s="1">
        <f>IF(B480="", "", "urban biome")</f>
        <v>0</v>
      </c>
      <c r="D480" s="1">
        <f>IF(B480="", "", "animal-associated habitat")</f>
        <v>0</v>
      </c>
      <c r="E480" s="2">
        <f>IF(B480="", "", "missing: not provided")</f>
        <v>0</v>
      </c>
      <c r="F480" s="1">
        <f>IF(B480="", "", "weeks")</f>
        <v>0</v>
      </c>
      <c r="G480" s="1">
        <f>IF(B480="", "", "mouse")</f>
        <v>0</v>
      </c>
      <c r="H480" s="1">
        <f>IF(B480="", "", "Mus musculus")</f>
        <v>0</v>
      </c>
      <c r="I480" s="1">
        <f>IF(B480="", "", "10090")</f>
        <v>0</v>
      </c>
      <c r="J480" s="2">
        <f>IF(B480="", "", "missing: not provided")</f>
        <v>0</v>
      </c>
      <c r="K480" s="1">
        <f>IF(B480="", "", "g")</f>
        <v>0</v>
      </c>
    </row>
    <row r="481" spans="1:11">
      <c r="A481">
        <f>IF(COUNTBLANK(B481:K481)&lt;&gt;COLUMNS(B481:K481),480,"")</f>
        <v>0</v>
      </c>
      <c r="C481" s="1">
        <f>IF(B481="", "", "urban biome")</f>
        <v>0</v>
      </c>
      <c r="D481" s="1">
        <f>IF(B481="", "", "animal-associated habitat")</f>
        <v>0</v>
      </c>
      <c r="E481" s="2">
        <f>IF(B481="", "", "missing: not provided")</f>
        <v>0</v>
      </c>
      <c r="F481" s="1">
        <f>IF(B481="", "", "weeks")</f>
        <v>0</v>
      </c>
      <c r="G481" s="1">
        <f>IF(B481="", "", "mouse")</f>
        <v>0</v>
      </c>
      <c r="H481" s="1">
        <f>IF(B481="", "", "Mus musculus")</f>
        <v>0</v>
      </c>
      <c r="I481" s="1">
        <f>IF(B481="", "", "10090")</f>
        <v>0</v>
      </c>
      <c r="J481" s="2">
        <f>IF(B481="", "", "missing: not provided")</f>
        <v>0</v>
      </c>
      <c r="K481" s="1">
        <f>IF(B481="", "", "g")</f>
        <v>0</v>
      </c>
    </row>
    <row r="482" spans="1:11">
      <c r="A482">
        <f>IF(COUNTBLANK(B482:K482)&lt;&gt;COLUMNS(B482:K482),481,"")</f>
        <v>0</v>
      </c>
      <c r="C482" s="1">
        <f>IF(B482="", "", "urban biome")</f>
        <v>0</v>
      </c>
      <c r="D482" s="1">
        <f>IF(B482="", "", "animal-associated habitat")</f>
        <v>0</v>
      </c>
      <c r="E482" s="2">
        <f>IF(B482="", "", "missing: not provided")</f>
        <v>0</v>
      </c>
      <c r="F482" s="1">
        <f>IF(B482="", "", "weeks")</f>
        <v>0</v>
      </c>
      <c r="G482" s="1">
        <f>IF(B482="", "", "mouse")</f>
        <v>0</v>
      </c>
      <c r="H482" s="1">
        <f>IF(B482="", "", "Mus musculus")</f>
        <v>0</v>
      </c>
      <c r="I482" s="1">
        <f>IF(B482="", "", "10090")</f>
        <v>0</v>
      </c>
      <c r="J482" s="2">
        <f>IF(B482="", "", "missing: not provided")</f>
        <v>0</v>
      </c>
      <c r="K482" s="1">
        <f>IF(B482="", "", "g")</f>
        <v>0</v>
      </c>
    </row>
    <row r="483" spans="1:11">
      <c r="A483">
        <f>IF(COUNTBLANK(B483:K483)&lt;&gt;COLUMNS(B483:K483),482,"")</f>
        <v>0</v>
      </c>
      <c r="C483" s="1">
        <f>IF(B483="", "", "urban biome")</f>
        <v>0</v>
      </c>
      <c r="D483" s="1">
        <f>IF(B483="", "", "animal-associated habitat")</f>
        <v>0</v>
      </c>
      <c r="E483" s="2">
        <f>IF(B483="", "", "missing: not provided")</f>
        <v>0</v>
      </c>
      <c r="F483" s="1">
        <f>IF(B483="", "", "weeks")</f>
        <v>0</v>
      </c>
      <c r="G483" s="1">
        <f>IF(B483="", "", "mouse")</f>
        <v>0</v>
      </c>
      <c r="H483" s="1">
        <f>IF(B483="", "", "Mus musculus")</f>
        <v>0</v>
      </c>
      <c r="I483" s="1">
        <f>IF(B483="", "", "10090")</f>
        <v>0</v>
      </c>
      <c r="J483" s="2">
        <f>IF(B483="", "", "missing: not provided")</f>
        <v>0</v>
      </c>
      <c r="K483" s="1">
        <f>IF(B483="", "", "g")</f>
        <v>0</v>
      </c>
    </row>
    <row r="484" spans="1:11">
      <c r="A484">
        <f>IF(COUNTBLANK(B484:K484)&lt;&gt;COLUMNS(B484:K484),483,"")</f>
        <v>0</v>
      </c>
      <c r="C484" s="1">
        <f>IF(B484="", "", "urban biome")</f>
        <v>0</v>
      </c>
      <c r="D484" s="1">
        <f>IF(B484="", "", "animal-associated habitat")</f>
        <v>0</v>
      </c>
      <c r="E484" s="2">
        <f>IF(B484="", "", "missing: not provided")</f>
        <v>0</v>
      </c>
      <c r="F484" s="1">
        <f>IF(B484="", "", "weeks")</f>
        <v>0</v>
      </c>
      <c r="G484" s="1">
        <f>IF(B484="", "", "mouse")</f>
        <v>0</v>
      </c>
      <c r="H484" s="1">
        <f>IF(B484="", "", "Mus musculus")</f>
        <v>0</v>
      </c>
      <c r="I484" s="1">
        <f>IF(B484="", "", "10090")</f>
        <v>0</v>
      </c>
      <c r="J484" s="2">
        <f>IF(B484="", "", "missing: not provided")</f>
        <v>0</v>
      </c>
      <c r="K484" s="1">
        <f>IF(B484="", "", "g")</f>
        <v>0</v>
      </c>
    </row>
    <row r="485" spans="1:11">
      <c r="A485">
        <f>IF(COUNTBLANK(B485:K485)&lt;&gt;COLUMNS(B485:K485),484,"")</f>
        <v>0</v>
      </c>
      <c r="C485" s="1">
        <f>IF(B485="", "", "urban biome")</f>
        <v>0</v>
      </c>
      <c r="D485" s="1">
        <f>IF(B485="", "", "animal-associated habitat")</f>
        <v>0</v>
      </c>
      <c r="E485" s="2">
        <f>IF(B485="", "", "missing: not provided")</f>
        <v>0</v>
      </c>
      <c r="F485" s="1">
        <f>IF(B485="", "", "weeks")</f>
        <v>0</v>
      </c>
      <c r="G485" s="1">
        <f>IF(B485="", "", "mouse")</f>
        <v>0</v>
      </c>
      <c r="H485" s="1">
        <f>IF(B485="", "", "Mus musculus")</f>
        <v>0</v>
      </c>
      <c r="I485" s="1">
        <f>IF(B485="", "", "10090")</f>
        <v>0</v>
      </c>
      <c r="J485" s="2">
        <f>IF(B485="", "", "missing: not provided")</f>
        <v>0</v>
      </c>
      <c r="K485" s="1">
        <f>IF(B485="", "", "g")</f>
        <v>0</v>
      </c>
    </row>
    <row r="486" spans="1:11">
      <c r="A486">
        <f>IF(COUNTBLANK(B486:K486)&lt;&gt;COLUMNS(B486:K486),485,"")</f>
        <v>0</v>
      </c>
      <c r="C486" s="1">
        <f>IF(B486="", "", "urban biome")</f>
        <v>0</v>
      </c>
      <c r="D486" s="1">
        <f>IF(B486="", "", "animal-associated habitat")</f>
        <v>0</v>
      </c>
      <c r="E486" s="2">
        <f>IF(B486="", "", "missing: not provided")</f>
        <v>0</v>
      </c>
      <c r="F486" s="1">
        <f>IF(B486="", "", "weeks")</f>
        <v>0</v>
      </c>
      <c r="G486" s="1">
        <f>IF(B486="", "", "mouse")</f>
        <v>0</v>
      </c>
      <c r="H486" s="1">
        <f>IF(B486="", "", "Mus musculus")</f>
        <v>0</v>
      </c>
      <c r="I486" s="1">
        <f>IF(B486="", "", "10090")</f>
        <v>0</v>
      </c>
      <c r="J486" s="2">
        <f>IF(B486="", "", "missing: not provided")</f>
        <v>0</v>
      </c>
      <c r="K486" s="1">
        <f>IF(B486="", "", "g")</f>
        <v>0</v>
      </c>
    </row>
    <row r="487" spans="1:11">
      <c r="A487">
        <f>IF(COUNTBLANK(B487:K487)&lt;&gt;COLUMNS(B487:K487),486,"")</f>
        <v>0</v>
      </c>
      <c r="C487" s="1">
        <f>IF(B487="", "", "urban biome")</f>
        <v>0</v>
      </c>
      <c r="D487" s="1">
        <f>IF(B487="", "", "animal-associated habitat")</f>
        <v>0</v>
      </c>
      <c r="E487" s="2">
        <f>IF(B487="", "", "missing: not provided")</f>
        <v>0</v>
      </c>
      <c r="F487" s="1">
        <f>IF(B487="", "", "weeks")</f>
        <v>0</v>
      </c>
      <c r="G487" s="1">
        <f>IF(B487="", "", "mouse")</f>
        <v>0</v>
      </c>
      <c r="H487" s="1">
        <f>IF(B487="", "", "Mus musculus")</f>
        <v>0</v>
      </c>
      <c r="I487" s="1">
        <f>IF(B487="", "", "10090")</f>
        <v>0</v>
      </c>
      <c r="J487" s="2">
        <f>IF(B487="", "", "missing: not provided")</f>
        <v>0</v>
      </c>
      <c r="K487" s="1">
        <f>IF(B487="", "", "g")</f>
        <v>0</v>
      </c>
    </row>
    <row r="488" spans="1:11">
      <c r="A488">
        <f>IF(COUNTBLANK(B488:K488)&lt;&gt;COLUMNS(B488:K488),487,"")</f>
        <v>0</v>
      </c>
      <c r="C488" s="1">
        <f>IF(B488="", "", "urban biome")</f>
        <v>0</v>
      </c>
      <c r="D488" s="1">
        <f>IF(B488="", "", "animal-associated habitat")</f>
        <v>0</v>
      </c>
      <c r="E488" s="2">
        <f>IF(B488="", "", "missing: not provided")</f>
        <v>0</v>
      </c>
      <c r="F488" s="1">
        <f>IF(B488="", "", "weeks")</f>
        <v>0</v>
      </c>
      <c r="G488" s="1">
        <f>IF(B488="", "", "mouse")</f>
        <v>0</v>
      </c>
      <c r="H488" s="1">
        <f>IF(B488="", "", "Mus musculus")</f>
        <v>0</v>
      </c>
      <c r="I488" s="1">
        <f>IF(B488="", "", "10090")</f>
        <v>0</v>
      </c>
      <c r="J488" s="2">
        <f>IF(B488="", "", "missing: not provided")</f>
        <v>0</v>
      </c>
      <c r="K488" s="1">
        <f>IF(B488="", "", "g")</f>
        <v>0</v>
      </c>
    </row>
    <row r="489" spans="1:11">
      <c r="A489">
        <f>IF(COUNTBLANK(B489:K489)&lt;&gt;COLUMNS(B489:K489),488,"")</f>
        <v>0</v>
      </c>
      <c r="C489" s="1">
        <f>IF(B489="", "", "urban biome")</f>
        <v>0</v>
      </c>
      <c r="D489" s="1">
        <f>IF(B489="", "", "animal-associated habitat")</f>
        <v>0</v>
      </c>
      <c r="E489" s="2">
        <f>IF(B489="", "", "missing: not provided")</f>
        <v>0</v>
      </c>
      <c r="F489" s="1">
        <f>IF(B489="", "", "weeks")</f>
        <v>0</v>
      </c>
      <c r="G489" s="1">
        <f>IF(B489="", "", "mouse")</f>
        <v>0</v>
      </c>
      <c r="H489" s="1">
        <f>IF(B489="", "", "Mus musculus")</f>
        <v>0</v>
      </c>
      <c r="I489" s="1">
        <f>IF(B489="", "", "10090")</f>
        <v>0</v>
      </c>
      <c r="J489" s="2">
        <f>IF(B489="", "", "missing: not provided")</f>
        <v>0</v>
      </c>
      <c r="K489" s="1">
        <f>IF(B489="", "", "g")</f>
        <v>0</v>
      </c>
    </row>
    <row r="490" spans="1:11">
      <c r="A490">
        <f>IF(COUNTBLANK(B490:K490)&lt;&gt;COLUMNS(B490:K490),489,"")</f>
        <v>0</v>
      </c>
      <c r="C490" s="1">
        <f>IF(B490="", "", "urban biome")</f>
        <v>0</v>
      </c>
      <c r="D490" s="1">
        <f>IF(B490="", "", "animal-associated habitat")</f>
        <v>0</v>
      </c>
      <c r="E490" s="2">
        <f>IF(B490="", "", "missing: not provided")</f>
        <v>0</v>
      </c>
      <c r="F490" s="1">
        <f>IF(B490="", "", "weeks")</f>
        <v>0</v>
      </c>
      <c r="G490" s="1">
        <f>IF(B490="", "", "mouse")</f>
        <v>0</v>
      </c>
      <c r="H490" s="1">
        <f>IF(B490="", "", "Mus musculus")</f>
        <v>0</v>
      </c>
      <c r="I490" s="1">
        <f>IF(B490="", "", "10090")</f>
        <v>0</v>
      </c>
      <c r="J490" s="2">
        <f>IF(B490="", "", "missing: not provided")</f>
        <v>0</v>
      </c>
      <c r="K490" s="1">
        <f>IF(B490="", "", "g")</f>
        <v>0</v>
      </c>
    </row>
    <row r="491" spans="1:11">
      <c r="A491">
        <f>IF(COUNTBLANK(B491:K491)&lt;&gt;COLUMNS(B491:K491),490,"")</f>
        <v>0</v>
      </c>
      <c r="C491" s="1">
        <f>IF(B491="", "", "urban biome")</f>
        <v>0</v>
      </c>
      <c r="D491" s="1">
        <f>IF(B491="", "", "animal-associated habitat")</f>
        <v>0</v>
      </c>
      <c r="E491" s="2">
        <f>IF(B491="", "", "missing: not provided")</f>
        <v>0</v>
      </c>
      <c r="F491" s="1">
        <f>IF(B491="", "", "weeks")</f>
        <v>0</v>
      </c>
      <c r="G491" s="1">
        <f>IF(B491="", "", "mouse")</f>
        <v>0</v>
      </c>
      <c r="H491" s="1">
        <f>IF(B491="", "", "Mus musculus")</f>
        <v>0</v>
      </c>
      <c r="I491" s="1">
        <f>IF(B491="", "", "10090")</f>
        <v>0</v>
      </c>
      <c r="J491" s="2">
        <f>IF(B491="", "", "missing: not provided")</f>
        <v>0</v>
      </c>
      <c r="K491" s="1">
        <f>IF(B491="", "", "g")</f>
        <v>0</v>
      </c>
    </row>
    <row r="492" spans="1:11">
      <c r="A492">
        <f>IF(COUNTBLANK(B492:K492)&lt;&gt;COLUMNS(B492:K492),491,"")</f>
        <v>0</v>
      </c>
      <c r="C492" s="1">
        <f>IF(B492="", "", "urban biome")</f>
        <v>0</v>
      </c>
      <c r="D492" s="1">
        <f>IF(B492="", "", "animal-associated habitat")</f>
        <v>0</v>
      </c>
      <c r="E492" s="2">
        <f>IF(B492="", "", "missing: not provided")</f>
        <v>0</v>
      </c>
      <c r="F492" s="1">
        <f>IF(B492="", "", "weeks")</f>
        <v>0</v>
      </c>
      <c r="G492" s="1">
        <f>IF(B492="", "", "mouse")</f>
        <v>0</v>
      </c>
      <c r="H492" s="1">
        <f>IF(B492="", "", "Mus musculus")</f>
        <v>0</v>
      </c>
      <c r="I492" s="1">
        <f>IF(B492="", "", "10090")</f>
        <v>0</v>
      </c>
      <c r="J492" s="2">
        <f>IF(B492="", "", "missing: not provided")</f>
        <v>0</v>
      </c>
      <c r="K492" s="1">
        <f>IF(B492="", "", "g")</f>
        <v>0</v>
      </c>
    </row>
    <row r="493" spans="1:11">
      <c r="A493">
        <f>IF(COUNTBLANK(B493:K493)&lt;&gt;COLUMNS(B493:K493),492,"")</f>
        <v>0</v>
      </c>
      <c r="C493" s="1">
        <f>IF(B493="", "", "urban biome")</f>
        <v>0</v>
      </c>
      <c r="D493" s="1">
        <f>IF(B493="", "", "animal-associated habitat")</f>
        <v>0</v>
      </c>
      <c r="E493" s="2">
        <f>IF(B493="", "", "missing: not provided")</f>
        <v>0</v>
      </c>
      <c r="F493" s="1">
        <f>IF(B493="", "", "weeks")</f>
        <v>0</v>
      </c>
      <c r="G493" s="1">
        <f>IF(B493="", "", "mouse")</f>
        <v>0</v>
      </c>
      <c r="H493" s="1">
        <f>IF(B493="", "", "Mus musculus")</f>
        <v>0</v>
      </c>
      <c r="I493" s="1">
        <f>IF(B493="", "", "10090")</f>
        <v>0</v>
      </c>
      <c r="J493" s="2">
        <f>IF(B493="", "", "missing: not provided")</f>
        <v>0</v>
      </c>
      <c r="K493" s="1">
        <f>IF(B493="", "", "g")</f>
        <v>0</v>
      </c>
    </row>
    <row r="494" spans="1:11">
      <c r="A494">
        <f>IF(COUNTBLANK(B494:K494)&lt;&gt;COLUMNS(B494:K494),493,"")</f>
        <v>0</v>
      </c>
      <c r="C494" s="1">
        <f>IF(B494="", "", "urban biome")</f>
        <v>0</v>
      </c>
      <c r="D494" s="1">
        <f>IF(B494="", "", "animal-associated habitat")</f>
        <v>0</v>
      </c>
      <c r="E494" s="2">
        <f>IF(B494="", "", "missing: not provided")</f>
        <v>0</v>
      </c>
      <c r="F494" s="1">
        <f>IF(B494="", "", "weeks")</f>
        <v>0</v>
      </c>
      <c r="G494" s="1">
        <f>IF(B494="", "", "mouse")</f>
        <v>0</v>
      </c>
      <c r="H494" s="1">
        <f>IF(B494="", "", "Mus musculus")</f>
        <v>0</v>
      </c>
      <c r="I494" s="1">
        <f>IF(B494="", "", "10090")</f>
        <v>0</v>
      </c>
      <c r="J494" s="2">
        <f>IF(B494="", "", "missing: not provided")</f>
        <v>0</v>
      </c>
      <c r="K494" s="1">
        <f>IF(B494="", "", "g")</f>
        <v>0</v>
      </c>
    </row>
    <row r="495" spans="1:11">
      <c r="A495">
        <f>IF(COUNTBLANK(B495:K495)&lt;&gt;COLUMNS(B495:K495),494,"")</f>
        <v>0</v>
      </c>
      <c r="C495" s="1">
        <f>IF(B495="", "", "urban biome")</f>
        <v>0</v>
      </c>
      <c r="D495" s="1">
        <f>IF(B495="", "", "animal-associated habitat")</f>
        <v>0</v>
      </c>
      <c r="E495" s="2">
        <f>IF(B495="", "", "missing: not provided")</f>
        <v>0</v>
      </c>
      <c r="F495" s="1">
        <f>IF(B495="", "", "weeks")</f>
        <v>0</v>
      </c>
      <c r="G495" s="1">
        <f>IF(B495="", "", "mouse")</f>
        <v>0</v>
      </c>
      <c r="H495" s="1">
        <f>IF(B495="", "", "Mus musculus")</f>
        <v>0</v>
      </c>
      <c r="I495" s="1">
        <f>IF(B495="", "", "10090")</f>
        <v>0</v>
      </c>
      <c r="J495" s="2">
        <f>IF(B495="", "", "missing: not provided")</f>
        <v>0</v>
      </c>
      <c r="K495" s="1">
        <f>IF(B495="", "", "g")</f>
        <v>0</v>
      </c>
    </row>
    <row r="496" spans="1:11">
      <c r="A496">
        <f>IF(COUNTBLANK(B496:K496)&lt;&gt;COLUMNS(B496:K496),495,"")</f>
        <v>0</v>
      </c>
      <c r="C496" s="1">
        <f>IF(B496="", "", "urban biome")</f>
        <v>0</v>
      </c>
      <c r="D496" s="1">
        <f>IF(B496="", "", "animal-associated habitat")</f>
        <v>0</v>
      </c>
      <c r="E496" s="2">
        <f>IF(B496="", "", "missing: not provided")</f>
        <v>0</v>
      </c>
      <c r="F496" s="1">
        <f>IF(B496="", "", "weeks")</f>
        <v>0</v>
      </c>
      <c r="G496" s="1">
        <f>IF(B496="", "", "mouse")</f>
        <v>0</v>
      </c>
      <c r="H496" s="1">
        <f>IF(B496="", "", "Mus musculus")</f>
        <v>0</v>
      </c>
      <c r="I496" s="1">
        <f>IF(B496="", "", "10090")</f>
        <v>0</v>
      </c>
      <c r="J496" s="2">
        <f>IF(B496="", "", "missing: not provided")</f>
        <v>0</v>
      </c>
      <c r="K496" s="1">
        <f>IF(B496="", "", "g")</f>
        <v>0</v>
      </c>
    </row>
    <row r="497" spans="1:11">
      <c r="A497">
        <f>IF(COUNTBLANK(B497:K497)&lt;&gt;COLUMNS(B497:K497),496,"")</f>
        <v>0</v>
      </c>
      <c r="C497" s="1">
        <f>IF(B497="", "", "urban biome")</f>
        <v>0</v>
      </c>
      <c r="D497" s="1">
        <f>IF(B497="", "", "animal-associated habitat")</f>
        <v>0</v>
      </c>
      <c r="E497" s="2">
        <f>IF(B497="", "", "missing: not provided")</f>
        <v>0</v>
      </c>
      <c r="F497" s="1">
        <f>IF(B497="", "", "weeks")</f>
        <v>0</v>
      </c>
      <c r="G497" s="1">
        <f>IF(B497="", "", "mouse")</f>
        <v>0</v>
      </c>
      <c r="H497" s="1">
        <f>IF(B497="", "", "Mus musculus")</f>
        <v>0</v>
      </c>
      <c r="I497" s="1">
        <f>IF(B497="", "", "10090")</f>
        <v>0</v>
      </c>
      <c r="J497" s="2">
        <f>IF(B497="", "", "missing: not provided")</f>
        <v>0</v>
      </c>
      <c r="K497" s="1">
        <f>IF(B497="", "", "g")</f>
        <v>0</v>
      </c>
    </row>
    <row r="498" spans="1:11">
      <c r="A498">
        <f>IF(COUNTBLANK(B498:K498)&lt;&gt;COLUMNS(B498:K498),497,"")</f>
        <v>0</v>
      </c>
      <c r="C498" s="1">
        <f>IF(B498="", "", "urban biome")</f>
        <v>0</v>
      </c>
      <c r="D498" s="1">
        <f>IF(B498="", "", "animal-associated habitat")</f>
        <v>0</v>
      </c>
      <c r="E498" s="2">
        <f>IF(B498="", "", "missing: not provided")</f>
        <v>0</v>
      </c>
      <c r="F498" s="1">
        <f>IF(B498="", "", "weeks")</f>
        <v>0</v>
      </c>
      <c r="G498" s="1">
        <f>IF(B498="", "", "mouse")</f>
        <v>0</v>
      </c>
      <c r="H498" s="1">
        <f>IF(B498="", "", "Mus musculus")</f>
        <v>0</v>
      </c>
      <c r="I498" s="1">
        <f>IF(B498="", "", "10090")</f>
        <v>0</v>
      </c>
      <c r="J498" s="2">
        <f>IF(B498="", "", "missing: not provided")</f>
        <v>0</v>
      </c>
      <c r="K498" s="1">
        <f>IF(B498="", "", "g")</f>
        <v>0</v>
      </c>
    </row>
    <row r="499" spans="1:11">
      <c r="A499">
        <f>IF(COUNTBLANK(B499:K499)&lt;&gt;COLUMNS(B499:K499),498,"")</f>
        <v>0</v>
      </c>
      <c r="C499" s="1">
        <f>IF(B499="", "", "urban biome")</f>
        <v>0</v>
      </c>
      <c r="D499" s="1">
        <f>IF(B499="", "", "animal-associated habitat")</f>
        <v>0</v>
      </c>
      <c r="E499" s="2">
        <f>IF(B499="", "", "missing: not provided")</f>
        <v>0</v>
      </c>
      <c r="F499" s="1">
        <f>IF(B499="", "", "weeks")</f>
        <v>0</v>
      </c>
      <c r="G499" s="1">
        <f>IF(B499="", "", "mouse")</f>
        <v>0</v>
      </c>
      <c r="H499" s="1">
        <f>IF(B499="", "", "Mus musculus")</f>
        <v>0</v>
      </c>
      <c r="I499" s="1">
        <f>IF(B499="", "", "10090")</f>
        <v>0</v>
      </c>
      <c r="J499" s="2">
        <f>IF(B499="", "", "missing: not provided")</f>
        <v>0</v>
      </c>
      <c r="K499" s="1">
        <f>IF(B499="", "", "g")</f>
        <v>0</v>
      </c>
    </row>
    <row r="500" spans="1:11">
      <c r="A500">
        <f>IF(COUNTBLANK(B500:K500)&lt;&gt;COLUMNS(B500:K500),499,"")</f>
        <v>0</v>
      </c>
      <c r="C500" s="1">
        <f>IF(B500="", "", "urban biome")</f>
        <v>0</v>
      </c>
      <c r="D500" s="1">
        <f>IF(B500="", "", "animal-associated habitat")</f>
        <v>0</v>
      </c>
      <c r="E500" s="2">
        <f>IF(B500="", "", "missing: not provided")</f>
        <v>0</v>
      </c>
      <c r="F500" s="1">
        <f>IF(B500="", "", "weeks")</f>
        <v>0</v>
      </c>
      <c r="G500" s="1">
        <f>IF(B500="", "", "mouse")</f>
        <v>0</v>
      </c>
      <c r="H500" s="1">
        <f>IF(B500="", "", "Mus musculus")</f>
        <v>0</v>
      </c>
      <c r="I500" s="1">
        <f>IF(B500="", "", "10090")</f>
        <v>0</v>
      </c>
      <c r="J500" s="2">
        <f>IF(B500="", "", "missing: not provided")</f>
        <v>0</v>
      </c>
      <c r="K500" s="1">
        <f>IF(B500="", "", "g")</f>
        <v>0</v>
      </c>
    </row>
    <row r="501" spans="1:11">
      <c r="A501">
        <f>IF(COUNTBLANK(B501:K501)&lt;&gt;COLUMNS(B501:K501),500,"")</f>
        <v>0</v>
      </c>
      <c r="C501" s="1">
        <f>IF(B501="", "", "urban biome")</f>
        <v>0</v>
      </c>
      <c r="D501" s="1">
        <f>IF(B501="", "", "animal-associated habitat")</f>
        <v>0</v>
      </c>
      <c r="E501" s="2">
        <f>IF(B501="", "", "missing: not provided")</f>
        <v>0</v>
      </c>
      <c r="F501" s="1">
        <f>IF(B501="", "", "weeks")</f>
        <v>0</v>
      </c>
      <c r="G501" s="1">
        <f>IF(B501="", "", "mouse")</f>
        <v>0</v>
      </c>
      <c r="H501" s="1">
        <f>IF(B501="", "", "Mus musculus")</f>
        <v>0</v>
      </c>
      <c r="I501" s="1">
        <f>IF(B501="", "", "10090")</f>
        <v>0</v>
      </c>
      <c r="J501" s="2">
        <f>IF(B501="", "", "missing: not provided")</f>
        <v>0</v>
      </c>
      <c r="K501" s="1">
        <f>IF(B501="", "", "g")</f>
        <v>0</v>
      </c>
    </row>
    <row r="502" spans="1:11">
      <c r="A502">
        <f>IF(COUNTBLANK(B502:K502)&lt;&gt;COLUMNS(B502:K502),501,"")</f>
        <v>0</v>
      </c>
      <c r="C502" s="1">
        <f>IF(B502="", "", "urban biome")</f>
        <v>0</v>
      </c>
      <c r="D502" s="1">
        <f>IF(B502="", "", "animal-associated habitat")</f>
        <v>0</v>
      </c>
      <c r="E502" s="2">
        <f>IF(B502="", "", "missing: not provided")</f>
        <v>0</v>
      </c>
      <c r="F502" s="1">
        <f>IF(B502="", "", "weeks")</f>
        <v>0</v>
      </c>
      <c r="G502" s="1">
        <f>IF(B502="", "", "mouse")</f>
        <v>0</v>
      </c>
      <c r="H502" s="1">
        <f>IF(B502="", "", "Mus musculus")</f>
        <v>0</v>
      </c>
      <c r="I502" s="1">
        <f>IF(B502="", "", "10090")</f>
        <v>0</v>
      </c>
      <c r="J502" s="2">
        <f>IF(B502="", "", "missing: not provided")</f>
        <v>0</v>
      </c>
      <c r="K502" s="1">
        <f>IF(B502="", "", "g")</f>
        <v>0</v>
      </c>
    </row>
    <row r="503" spans="1:11">
      <c r="A503">
        <f>IF(COUNTBLANK(B503:K503)&lt;&gt;COLUMNS(B503:K503),502,"")</f>
        <v>0</v>
      </c>
      <c r="C503" s="1">
        <f>IF(B503="", "", "urban biome")</f>
        <v>0</v>
      </c>
      <c r="D503" s="1">
        <f>IF(B503="", "", "animal-associated habitat")</f>
        <v>0</v>
      </c>
      <c r="E503" s="2">
        <f>IF(B503="", "", "missing: not provided")</f>
        <v>0</v>
      </c>
      <c r="F503" s="1">
        <f>IF(B503="", "", "weeks")</f>
        <v>0</v>
      </c>
      <c r="G503" s="1">
        <f>IF(B503="", "", "mouse")</f>
        <v>0</v>
      </c>
      <c r="H503" s="1">
        <f>IF(B503="", "", "Mus musculus")</f>
        <v>0</v>
      </c>
      <c r="I503" s="1">
        <f>IF(B503="", "", "10090")</f>
        <v>0</v>
      </c>
      <c r="J503" s="2">
        <f>IF(B503="", "", "missing: not provided")</f>
        <v>0</v>
      </c>
      <c r="K503" s="1">
        <f>IF(B503="", "", "g")</f>
        <v>0</v>
      </c>
    </row>
    <row r="504" spans="1:11">
      <c r="A504">
        <f>IF(COUNTBLANK(B504:K504)&lt;&gt;COLUMNS(B504:K504),503,"")</f>
        <v>0</v>
      </c>
      <c r="C504" s="1">
        <f>IF(B504="", "", "urban biome")</f>
        <v>0</v>
      </c>
      <c r="D504" s="1">
        <f>IF(B504="", "", "animal-associated habitat")</f>
        <v>0</v>
      </c>
      <c r="E504" s="2">
        <f>IF(B504="", "", "missing: not provided")</f>
        <v>0</v>
      </c>
      <c r="F504" s="1">
        <f>IF(B504="", "", "weeks")</f>
        <v>0</v>
      </c>
      <c r="G504" s="1">
        <f>IF(B504="", "", "mouse")</f>
        <v>0</v>
      </c>
      <c r="H504" s="1">
        <f>IF(B504="", "", "Mus musculus")</f>
        <v>0</v>
      </c>
      <c r="I504" s="1">
        <f>IF(B504="", "", "10090")</f>
        <v>0</v>
      </c>
      <c r="J504" s="2">
        <f>IF(B504="", "", "missing: not provided")</f>
        <v>0</v>
      </c>
      <c r="K504" s="1">
        <f>IF(B504="", "", "g")</f>
        <v>0</v>
      </c>
    </row>
    <row r="505" spans="1:11">
      <c r="A505">
        <f>IF(COUNTBLANK(B505:K505)&lt;&gt;COLUMNS(B505:K505),504,"")</f>
        <v>0</v>
      </c>
      <c r="C505" s="1">
        <f>IF(B505="", "", "urban biome")</f>
        <v>0</v>
      </c>
      <c r="D505" s="1">
        <f>IF(B505="", "", "animal-associated habitat")</f>
        <v>0</v>
      </c>
      <c r="E505" s="2">
        <f>IF(B505="", "", "missing: not provided")</f>
        <v>0</v>
      </c>
      <c r="F505" s="1">
        <f>IF(B505="", "", "weeks")</f>
        <v>0</v>
      </c>
      <c r="G505" s="1">
        <f>IF(B505="", "", "mouse")</f>
        <v>0</v>
      </c>
      <c r="H505" s="1">
        <f>IF(B505="", "", "Mus musculus")</f>
        <v>0</v>
      </c>
      <c r="I505" s="1">
        <f>IF(B505="", "", "10090")</f>
        <v>0</v>
      </c>
      <c r="J505" s="2">
        <f>IF(B505="", "", "missing: not provided")</f>
        <v>0</v>
      </c>
      <c r="K505" s="1">
        <f>IF(B505="", "", "g")</f>
        <v>0</v>
      </c>
    </row>
    <row r="506" spans="1:11">
      <c r="A506">
        <f>IF(COUNTBLANK(B506:K506)&lt;&gt;COLUMNS(B506:K506),505,"")</f>
        <v>0</v>
      </c>
      <c r="C506" s="1">
        <f>IF(B506="", "", "urban biome")</f>
        <v>0</v>
      </c>
      <c r="D506" s="1">
        <f>IF(B506="", "", "animal-associated habitat")</f>
        <v>0</v>
      </c>
      <c r="E506" s="2">
        <f>IF(B506="", "", "missing: not provided")</f>
        <v>0</v>
      </c>
      <c r="F506" s="1">
        <f>IF(B506="", "", "weeks")</f>
        <v>0</v>
      </c>
      <c r="G506" s="1">
        <f>IF(B506="", "", "mouse")</f>
        <v>0</v>
      </c>
      <c r="H506" s="1">
        <f>IF(B506="", "", "Mus musculus")</f>
        <v>0</v>
      </c>
      <c r="I506" s="1">
        <f>IF(B506="", "", "10090")</f>
        <v>0</v>
      </c>
      <c r="J506" s="2">
        <f>IF(B506="", "", "missing: not provided")</f>
        <v>0</v>
      </c>
      <c r="K506" s="1">
        <f>IF(B506="", "", "g")</f>
        <v>0</v>
      </c>
    </row>
    <row r="507" spans="1:11">
      <c r="A507">
        <f>IF(COUNTBLANK(B507:K507)&lt;&gt;COLUMNS(B507:K507),506,"")</f>
        <v>0</v>
      </c>
      <c r="C507" s="1">
        <f>IF(B507="", "", "urban biome")</f>
        <v>0</v>
      </c>
      <c r="D507" s="1">
        <f>IF(B507="", "", "animal-associated habitat")</f>
        <v>0</v>
      </c>
      <c r="E507" s="2">
        <f>IF(B507="", "", "missing: not provided")</f>
        <v>0</v>
      </c>
      <c r="F507" s="1">
        <f>IF(B507="", "", "weeks")</f>
        <v>0</v>
      </c>
      <c r="G507" s="1">
        <f>IF(B507="", "", "mouse")</f>
        <v>0</v>
      </c>
      <c r="H507" s="1">
        <f>IF(B507="", "", "Mus musculus")</f>
        <v>0</v>
      </c>
      <c r="I507" s="1">
        <f>IF(B507="", "", "10090")</f>
        <v>0</v>
      </c>
      <c r="J507" s="2">
        <f>IF(B507="", "", "missing: not provided")</f>
        <v>0</v>
      </c>
      <c r="K507" s="1">
        <f>IF(B507="", "", "g")</f>
        <v>0</v>
      </c>
    </row>
    <row r="508" spans="1:11">
      <c r="A508">
        <f>IF(COUNTBLANK(B508:K508)&lt;&gt;COLUMNS(B508:K508),507,"")</f>
        <v>0</v>
      </c>
      <c r="C508" s="1">
        <f>IF(B508="", "", "urban biome")</f>
        <v>0</v>
      </c>
      <c r="D508" s="1">
        <f>IF(B508="", "", "animal-associated habitat")</f>
        <v>0</v>
      </c>
      <c r="E508" s="2">
        <f>IF(B508="", "", "missing: not provided")</f>
        <v>0</v>
      </c>
      <c r="F508" s="1">
        <f>IF(B508="", "", "weeks")</f>
        <v>0</v>
      </c>
      <c r="G508" s="1">
        <f>IF(B508="", "", "mouse")</f>
        <v>0</v>
      </c>
      <c r="H508" s="1">
        <f>IF(B508="", "", "Mus musculus")</f>
        <v>0</v>
      </c>
      <c r="I508" s="1">
        <f>IF(B508="", "", "10090")</f>
        <v>0</v>
      </c>
      <c r="J508" s="2">
        <f>IF(B508="", "", "missing: not provided")</f>
        <v>0</v>
      </c>
      <c r="K508" s="1">
        <f>IF(B508="", "", "g")</f>
        <v>0</v>
      </c>
    </row>
    <row r="509" spans="1:11">
      <c r="A509">
        <f>IF(COUNTBLANK(B509:K509)&lt;&gt;COLUMNS(B509:K509),508,"")</f>
        <v>0</v>
      </c>
      <c r="C509" s="1">
        <f>IF(B509="", "", "urban biome")</f>
        <v>0</v>
      </c>
      <c r="D509" s="1">
        <f>IF(B509="", "", "animal-associated habitat")</f>
        <v>0</v>
      </c>
      <c r="E509" s="2">
        <f>IF(B509="", "", "missing: not provided")</f>
        <v>0</v>
      </c>
      <c r="F509" s="1">
        <f>IF(B509="", "", "weeks")</f>
        <v>0</v>
      </c>
      <c r="G509" s="1">
        <f>IF(B509="", "", "mouse")</f>
        <v>0</v>
      </c>
      <c r="H509" s="1">
        <f>IF(B509="", "", "Mus musculus")</f>
        <v>0</v>
      </c>
      <c r="I509" s="1">
        <f>IF(B509="", "", "10090")</f>
        <v>0</v>
      </c>
      <c r="J509" s="2">
        <f>IF(B509="", "", "missing: not provided")</f>
        <v>0</v>
      </c>
      <c r="K509" s="1">
        <f>IF(B509="", "", "g")</f>
        <v>0</v>
      </c>
    </row>
    <row r="510" spans="1:11">
      <c r="A510">
        <f>IF(COUNTBLANK(B510:K510)&lt;&gt;COLUMNS(B510:K510),509,"")</f>
        <v>0</v>
      </c>
      <c r="C510" s="1">
        <f>IF(B510="", "", "urban biome")</f>
        <v>0</v>
      </c>
      <c r="D510" s="1">
        <f>IF(B510="", "", "animal-associated habitat")</f>
        <v>0</v>
      </c>
      <c r="E510" s="2">
        <f>IF(B510="", "", "missing: not provided")</f>
        <v>0</v>
      </c>
      <c r="F510" s="1">
        <f>IF(B510="", "", "weeks")</f>
        <v>0</v>
      </c>
      <c r="G510" s="1">
        <f>IF(B510="", "", "mouse")</f>
        <v>0</v>
      </c>
      <c r="H510" s="1">
        <f>IF(B510="", "", "Mus musculus")</f>
        <v>0</v>
      </c>
      <c r="I510" s="1">
        <f>IF(B510="", "", "10090")</f>
        <v>0</v>
      </c>
      <c r="J510" s="2">
        <f>IF(B510="", "", "missing: not provided")</f>
        <v>0</v>
      </c>
      <c r="K510" s="1">
        <f>IF(B510="", "", "g")</f>
        <v>0</v>
      </c>
    </row>
    <row r="511" spans="1:11">
      <c r="A511">
        <f>IF(COUNTBLANK(B511:K511)&lt;&gt;COLUMNS(B511:K511),510,"")</f>
        <v>0</v>
      </c>
      <c r="C511" s="1">
        <f>IF(B511="", "", "urban biome")</f>
        <v>0</v>
      </c>
      <c r="D511" s="1">
        <f>IF(B511="", "", "animal-associated habitat")</f>
        <v>0</v>
      </c>
      <c r="E511" s="2">
        <f>IF(B511="", "", "missing: not provided")</f>
        <v>0</v>
      </c>
      <c r="F511" s="1">
        <f>IF(B511="", "", "weeks")</f>
        <v>0</v>
      </c>
      <c r="G511" s="1">
        <f>IF(B511="", "", "mouse")</f>
        <v>0</v>
      </c>
      <c r="H511" s="1">
        <f>IF(B511="", "", "Mus musculus")</f>
        <v>0</v>
      </c>
      <c r="I511" s="1">
        <f>IF(B511="", "", "10090")</f>
        <v>0</v>
      </c>
      <c r="J511" s="2">
        <f>IF(B511="", "", "missing: not provided")</f>
        <v>0</v>
      </c>
      <c r="K511" s="1">
        <f>IF(B511="", "", "g")</f>
        <v>0</v>
      </c>
    </row>
    <row r="512" spans="1:11">
      <c r="A512">
        <f>IF(COUNTBLANK(B512:K512)&lt;&gt;COLUMNS(B512:K512),511,"")</f>
        <v>0</v>
      </c>
      <c r="C512" s="1">
        <f>IF(B512="", "", "urban biome")</f>
        <v>0</v>
      </c>
      <c r="D512" s="1">
        <f>IF(B512="", "", "animal-associated habitat")</f>
        <v>0</v>
      </c>
      <c r="E512" s="2">
        <f>IF(B512="", "", "missing: not provided")</f>
        <v>0</v>
      </c>
      <c r="F512" s="1">
        <f>IF(B512="", "", "weeks")</f>
        <v>0</v>
      </c>
      <c r="G512" s="1">
        <f>IF(B512="", "", "mouse")</f>
        <v>0</v>
      </c>
      <c r="H512" s="1">
        <f>IF(B512="", "", "Mus musculus")</f>
        <v>0</v>
      </c>
      <c r="I512" s="1">
        <f>IF(B512="", "", "10090")</f>
        <v>0</v>
      </c>
      <c r="J512" s="2">
        <f>IF(B512="", "", "missing: not provided")</f>
        <v>0</v>
      </c>
      <c r="K512" s="1">
        <f>IF(B512="", "", "g")</f>
        <v>0</v>
      </c>
    </row>
    <row r="513" spans="1:11">
      <c r="A513">
        <f>IF(COUNTBLANK(B513:K513)&lt;&gt;COLUMNS(B513:K513),512,"")</f>
        <v>0</v>
      </c>
      <c r="C513" s="1">
        <f>IF(B513="", "", "urban biome")</f>
        <v>0</v>
      </c>
      <c r="D513" s="1">
        <f>IF(B513="", "", "animal-associated habitat")</f>
        <v>0</v>
      </c>
      <c r="E513" s="2">
        <f>IF(B513="", "", "missing: not provided")</f>
        <v>0</v>
      </c>
      <c r="F513" s="1">
        <f>IF(B513="", "", "weeks")</f>
        <v>0</v>
      </c>
      <c r="G513" s="1">
        <f>IF(B513="", "", "mouse")</f>
        <v>0</v>
      </c>
      <c r="H513" s="1">
        <f>IF(B513="", "", "Mus musculus")</f>
        <v>0</v>
      </c>
      <c r="I513" s="1">
        <f>IF(B513="", "", "10090")</f>
        <v>0</v>
      </c>
      <c r="J513" s="2">
        <f>IF(B513="", "", "missing: not provided")</f>
        <v>0</v>
      </c>
      <c r="K513" s="1">
        <f>IF(B513="", "", "g")</f>
        <v>0</v>
      </c>
    </row>
    <row r="514" spans="1:11">
      <c r="A514">
        <f>IF(COUNTBLANK(B514:K514)&lt;&gt;COLUMNS(B514:K514),513,"")</f>
        <v>0</v>
      </c>
      <c r="C514" s="1">
        <f>IF(B514="", "", "urban biome")</f>
        <v>0</v>
      </c>
      <c r="D514" s="1">
        <f>IF(B514="", "", "animal-associated habitat")</f>
        <v>0</v>
      </c>
      <c r="E514" s="2">
        <f>IF(B514="", "", "missing: not provided")</f>
        <v>0</v>
      </c>
      <c r="F514" s="1">
        <f>IF(B514="", "", "weeks")</f>
        <v>0</v>
      </c>
      <c r="G514" s="1">
        <f>IF(B514="", "", "mouse")</f>
        <v>0</v>
      </c>
      <c r="H514" s="1">
        <f>IF(B514="", "", "Mus musculus")</f>
        <v>0</v>
      </c>
      <c r="I514" s="1">
        <f>IF(B514="", "", "10090")</f>
        <v>0</v>
      </c>
      <c r="J514" s="2">
        <f>IF(B514="", "", "missing: not provided")</f>
        <v>0</v>
      </c>
      <c r="K514" s="1">
        <f>IF(B514="", "", "g")</f>
        <v>0</v>
      </c>
    </row>
    <row r="515" spans="1:11">
      <c r="A515">
        <f>IF(COUNTBLANK(B515:K515)&lt;&gt;COLUMNS(B515:K515),514,"")</f>
        <v>0</v>
      </c>
      <c r="C515" s="1">
        <f>IF(B515="", "", "urban biome")</f>
        <v>0</v>
      </c>
      <c r="D515" s="1">
        <f>IF(B515="", "", "animal-associated habitat")</f>
        <v>0</v>
      </c>
      <c r="E515" s="2">
        <f>IF(B515="", "", "missing: not provided")</f>
        <v>0</v>
      </c>
      <c r="F515" s="1">
        <f>IF(B515="", "", "weeks")</f>
        <v>0</v>
      </c>
      <c r="G515" s="1">
        <f>IF(B515="", "", "mouse")</f>
        <v>0</v>
      </c>
      <c r="H515" s="1">
        <f>IF(B515="", "", "Mus musculus")</f>
        <v>0</v>
      </c>
      <c r="I515" s="1">
        <f>IF(B515="", "", "10090")</f>
        <v>0</v>
      </c>
      <c r="J515" s="2">
        <f>IF(B515="", "", "missing: not provided")</f>
        <v>0</v>
      </c>
      <c r="K515" s="1">
        <f>IF(B515="", "", "g")</f>
        <v>0</v>
      </c>
    </row>
    <row r="516" spans="1:11">
      <c r="A516">
        <f>IF(COUNTBLANK(B516:K516)&lt;&gt;COLUMNS(B516:K516),515,"")</f>
        <v>0</v>
      </c>
      <c r="C516" s="1">
        <f>IF(B516="", "", "urban biome")</f>
        <v>0</v>
      </c>
      <c r="D516" s="1">
        <f>IF(B516="", "", "animal-associated habitat")</f>
        <v>0</v>
      </c>
      <c r="E516" s="2">
        <f>IF(B516="", "", "missing: not provided")</f>
        <v>0</v>
      </c>
      <c r="F516" s="1">
        <f>IF(B516="", "", "weeks")</f>
        <v>0</v>
      </c>
      <c r="G516" s="1">
        <f>IF(B516="", "", "mouse")</f>
        <v>0</v>
      </c>
      <c r="H516" s="1">
        <f>IF(B516="", "", "Mus musculus")</f>
        <v>0</v>
      </c>
      <c r="I516" s="1">
        <f>IF(B516="", "", "10090")</f>
        <v>0</v>
      </c>
      <c r="J516" s="2">
        <f>IF(B516="", "", "missing: not provided")</f>
        <v>0</v>
      </c>
      <c r="K516" s="1">
        <f>IF(B516="", "", "g")</f>
        <v>0</v>
      </c>
    </row>
    <row r="517" spans="1:11">
      <c r="A517">
        <f>IF(COUNTBLANK(B517:K517)&lt;&gt;COLUMNS(B517:K517),516,"")</f>
        <v>0</v>
      </c>
      <c r="C517" s="1">
        <f>IF(B517="", "", "urban biome")</f>
        <v>0</v>
      </c>
      <c r="D517" s="1">
        <f>IF(B517="", "", "animal-associated habitat")</f>
        <v>0</v>
      </c>
      <c r="E517" s="2">
        <f>IF(B517="", "", "missing: not provided")</f>
        <v>0</v>
      </c>
      <c r="F517" s="1">
        <f>IF(B517="", "", "weeks")</f>
        <v>0</v>
      </c>
      <c r="G517" s="1">
        <f>IF(B517="", "", "mouse")</f>
        <v>0</v>
      </c>
      <c r="H517" s="1">
        <f>IF(B517="", "", "Mus musculus")</f>
        <v>0</v>
      </c>
      <c r="I517" s="1">
        <f>IF(B517="", "", "10090")</f>
        <v>0</v>
      </c>
      <c r="J517" s="2">
        <f>IF(B517="", "", "missing: not provided")</f>
        <v>0</v>
      </c>
      <c r="K517" s="1">
        <f>IF(B517="", "", "g")</f>
        <v>0</v>
      </c>
    </row>
    <row r="518" spans="1:11">
      <c r="A518">
        <f>IF(COUNTBLANK(B518:K518)&lt;&gt;COLUMNS(B518:K518),517,"")</f>
        <v>0</v>
      </c>
      <c r="C518" s="1">
        <f>IF(B518="", "", "urban biome")</f>
        <v>0</v>
      </c>
      <c r="D518" s="1">
        <f>IF(B518="", "", "animal-associated habitat")</f>
        <v>0</v>
      </c>
      <c r="E518" s="2">
        <f>IF(B518="", "", "missing: not provided")</f>
        <v>0</v>
      </c>
      <c r="F518" s="1">
        <f>IF(B518="", "", "weeks")</f>
        <v>0</v>
      </c>
      <c r="G518" s="1">
        <f>IF(B518="", "", "mouse")</f>
        <v>0</v>
      </c>
      <c r="H518" s="1">
        <f>IF(B518="", "", "Mus musculus")</f>
        <v>0</v>
      </c>
      <c r="I518" s="1">
        <f>IF(B518="", "", "10090")</f>
        <v>0</v>
      </c>
      <c r="J518" s="2">
        <f>IF(B518="", "", "missing: not provided")</f>
        <v>0</v>
      </c>
      <c r="K518" s="1">
        <f>IF(B518="", "", "g")</f>
        <v>0</v>
      </c>
    </row>
    <row r="519" spans="1:11">
      <c r="A519">
        <f>IF(COUNTBLANK(B519:K519)&lt;&gt;COLUMNS(B519:K519),518,"")</f>
        <v>0</v>
      </c>
      <c r="C519" s="1">
        <f>IF(B519="", "", "urban biome")</f>
        <v>0</v>
      </c>
      <c r="D519" s="1">
        <f>IF(B519="", "", "animal-associated habitat")</f>
        <v>0</v>
      </c>
      <c r="E519" s="2">
        <f>IF(B519="", "", "missing: not provided")</f>
        <v>0</v>
      </c>
      <c r="F519" s="1">
        <f>IF(B519="", "", "weeks")</f>
        <v>0</v>
      </c>
      <c r="G519" s="1">
        <f>IF(B519="", "", "mouse")</f>
        <v>0</v>
      </c>
      <c r="H519" s="1">
        <f>IF(B519="", "", "Mus musculus")</f>
        <v>0</v>
      </c>
      <c r="I519" s="1">
        <f>IF(B519="", "", "10090")</f>
        <v>0</v>
      </c>
      <c r="J519" s="2">
        <f>IF(B519="", "", "missing: not provided")</f>
        <v>0</v>
      </c>
      <c r="K519" s="1">
        <f>IF(B519="", "", "g")</f>
        <v>0</v>
      </c>
    </row>
    <row r="520" spans="1:11">
      <c r="A520">
        <f>IF(COUNTBLANK(B520:K520)&lt;&gt;COLUMNS(B520:K520),519,"")</f>
        <v>0</v>
      </c>
      <c r="C520" s="1">
        <f>IF(B520="", "", "urban biome")</f>
        <v>0</v>
      </c>
      <c r="D520" s="1">
        <f>IF(B520="", "", "animal-associated habitat")</f>
        <v>0</v>
      </c>
      <c r="E520" s="2">
        <f>IF(B520="", "", "missing: not provided")</f>
        <v>0</v>
      </c>
      <c r="F520" s="1">
        <f>IF(B520="", "", "weeks")</f>
        <v>0</v>
      </c>
      <c r="G520" s="1">
        <f>IF(B520="", "", "mouse")</f>
        <v>0</v>
      </c>
      <c r="H520" s="1">
        <f>IF(B520="", "", "Mus musculus")</f>
        <v>0</v>
      </c>
      <c r="I520" s="1">
        <f>IF(B520="", "", "10090")</f>
        <v>0</v>
      </c>
      <c r="J520" s="2">
        <f>IF(B520="", "", "missing: not provided")</f>
        <v>0</v>
      </c>
      <c r="K520" s="1">
        <f>IF(B520="", "", "g")</f>
        <v>0</v>
      </c>
    </row>
    <row r="521" spans="1:11">
      <c r="A521">
        <f>IF(COUNTBLANK(B521:K521)&lt;&gt;COLUMNS(B521:K521),520,"")</f>
        <v>0</v>
      </c>
      <c r="C521" s="1">
        <f>IF(B521="", "", "urban biome")</f>
        <v>0</v>
      </c>
      <c r="D521" s="1">
        <f>IF(B521="", "", "animal-associated habitat")</f>
        <v>0</v>
      </c>
      <c r="E521" s="2">
        <f>IF(B521="", "", "missing: not provided")</f>
        <v>0</v>
      </c>
      <c r="F521" s="1">
        <f>IF(B521="", "", "weeks")</f>
        <v>0</v>
      </c>
      <c r="G521" s="1">
        <f>IF(B521="", "", "mouse")</f>
        <v>0</v>
      </c>
      <c r="H521" s="1">
        <f>IF(B521="", "", "Mus musculus")</f>
        <v>0</v>
      </c>
      <c r="I521" s="1">
        <f>IF(B521="", "", "10090")</f>
        <v>0</v>
      </c>
      <c r="J521" s="2">
        <f>IF(B521="", "", "missing: not provided")</f>
        <v>0</v>
      </c>
      <c r="K521" s="1">
        <f>IF(B521="", "", "g")</f>
        <v>0</v>
      </c>
    </row>
    <row r="522" spans="1:11">
      <c r="A522">
        <f>IF(COUNTBLANK(B522:K522)&lt;&gt;COLUMNS(B522:K522),521,"")</f>
        <v>0</v>
      </c>
      <c r="C522" s="1">
        <f>IF(B522="", "", "urban biome")</f>
        <v>0</v>
      </c>
      <c r="D522" s="1">
        <f>IF(B522="", "", "animal-associated habitat")</f>
        <v>0</v>
      </c>
      <c r="E522" s="2">
        <f>IF(B522="", "", "missing: not provided")</f>
        <v>0</v>
      </c>
      <c r="F522" s="1">
        <f>IF(B522="", "", "weeks")</f>
        <v>0</v>
      </c>
      <c r="G522" s="1">
        <f>IF(B522="", "", "mouse")</f>
        <v>0</v>
      </c>
      <c r="H522" s="1">
        <f>IF(B522="", "", "Mus musculus")</f>
        <v>0</v>
      </c>
      <c r="I522" s="1">
        <f>IF(B522="", "", "10090")</f>
        <v>0</v>
      </c>
      <c r="J522" s="2">
        <f>IF(B522="", "", "missing: not provided")</f>
        <v>0</v>
      </c>
      <c r="K522" s="1">
        <f>IF(B522="", "", "g")</f>
        <v>0</v>
      </c>
    </row>
    <row r="523" spans="1:11">
      <c r="A523">
        <f>IF(COUNTBLANK(B523:K523)&lt;&gt;COLUMNS(B523:K523),522,"")</f>
        <v>0</v>
      </c>
      <c r="C523" s="1">
        <f>IF(B523="", "", "urban biome")</f>
        <v>0</v>
      </c>
      <c r="D523" s="1">
        <f>IF(B523="", "", "animal-associated habitat")</f>
        <v>0</v>
      </c>
      <c r="E523" s="2">
        <f>IF(B523="", "", "missing: not provided")</f>
        <v>0</v>
      </c>
      <c r="F523" s="1">
        <f>IF(B523="", "", "weeks")</f>
        <v>0</v>
      </c>
      <c r="G523" s="1">
        <f>IF(B523="", "", "mouse")</f>
        <v>0</v>
      </c>
      <c r="H523" s="1">
        <f>IF(B523="", "", "Mus musculus")</f>
        <v>0</v>
      </c>
      <c r="I523" s="1">
        <f>IF(B523="", "", "10090")</f>
        <v>0</v>
      </c>
      <c r="J523" s="2">
        <f>IF(B523="", "", "missing: not provided")</f>
        <v>0</v>
      </c>
      <c r="K523" s="1">
        <f>IF(B523="", "", "g")</f>
        <v>0</v>
      </c>
    </row>
    <row r="524" spans="1:11">
      <c r="A524">
        <f>IF(COUNTBLANK(B524:K524)&lt;&gt;COLUMNS(B524:K524),523,"")</f>
        <v>0</v>
      </c>
      <c r="C524" s="1">
        <f>IF(B524="", "", "urban biome")</f>
        <v>0</v>
      </c>
      <c r="D524" s="1">
        <f>IF(B524="", "", "animal-associated habitat")</f>
        <v>0</v>
      </c>
      <c r="E524" s="2">
        <f>IF(B524="", "", "missing: not provided")</f>
        <v>0</v>
      </c>
      <c r="F524" s="1">
        <f>IF(B524="", "", "weeks")</f>
        <v>0</v>
      </c>
      <c r="G524" s="1">
        <f>IF(B524="", "", "mouse")</f>
        <v>0</v>
      </c>
      <c r="H524" s="1">
        <f>IF(B524="", "", "Mus musculus")</f>
        <v>0</v>
      </c>
      <c r="I524" s="1">
        <f>IF(B524="", "", "10090")</f>
        <v>0</v>
      </c>
      <c r="J524" s="2">
        <f>IF(B524="", "", "missing: not provided")</f>
        <v>0</v>
      </c>
      <c r="K524" s="1">
        <f>IF(B524="", "", "g")</f>
        <v>0</v>
      </c>
    </row>
    <row r="525" spans="1:11">
      <c r="A525">
        <f>IF(COUNTBLANK(B525:K525)&lt;&gt;COLUMNS(B525:K525),524,"")</f>
        <v>0</v>
      </c>
      <c r="C525" s="1">
        <f>IF(B525="", "", "urban biome")</f>
        <v>0</v>
      </c>
      <c r="D525" s="1">
        <f>IF(B525="", "", "animal-associated habitat")</f>
        <v>0</v>
      </c>
      <c r="E525" s="2">
        <f>IF(B525="", "", "missing: not provided")</f>
        <v>0</v>
      </c>
      <c r="F525" s="1">
        <f>IF(B525="", "", "weeks")</f>
        <v>0</v>
      </c>
      <c r="G525" s="1">
        <f>IF(B525="", "", "mouse")</f>
        <v>0</v>
      </c>
      <c r="H525" s="1">
        <f>IF(B525="", "", "Mus musculus")</f>
        <v>0</v>
      </c>
      <c r="I525" s="1">
        <f>IF(B525="", "", "10090")</f>
        <v>0</v>
      </c>
      <c r="J525" s="2">
        <f>IF(B525="", "", "missing: not provided")</f>
        <v>0</v>
      </c>
      <c r="K525" s="1">
        <f>IF(B525="", "", "g")</f>
        <v>0</v>
      </c>
    </row>
    <row r="526" spans="1:11">
      <c r="A526">
        <f>IF(COUNTBLANK(B526:K526)&lt;&gt;COLUMNS(B526:K526),525,"")</f>
        <v>0</v>
      </c>
      <c r="C526" s="1">
        <f>IF(B526="", "", "urban biome")</f>
        <v>0</v>
      </c>
      <c r="D526" s="1">
        <f>IF(B526="", "", "animal-associated habitat")</f>
        <v>0</v>
      </c>
      <c r="E526" s="2">
        <f>IF(B526="", "", "missing: not provided")</f>
        <v>0</v>
      </c>
      <c r="F526" s="1">
        <f>IF(B526="", "", "weeks")</f>
        <v>0</v>
      </c>
      <c r="G526" s="1">
        <f>IF(B526="", "", "mouse")</f>
        <v>0</v>
      </c>
      <c r="H526" s="1">
        <f>IF(B526="", "", "Mus musculus")</f>
        <v>0</v>
      </c>
      <c r="I526" s="1">
        <f>IF(B526="", "", "10090")</f>
        <v>0</v>
      </c>
      <c r="J526" s="2">
        <f>IF(B526="", "", "missing: not provided")</f>
        <v>0</v>
      </c>
      <c r="K526" s="1">
        <f>IF(B526="", "", "g")</f>
        <v>0</v>
      </c>
    </row>
    <row r="527" spans="1:11">
      <c r="A527">
        <f>IF(COUNTBLANK(B527:K527)&lt;&gt;COLUMNS(B527:K527),526,"")</f>
        <v>0</v>
      </c>
      <c r="C527" s="1">
        <f>IF(B527="", "", "urban biome")</f>
        <v>0</v>
      </c>
      <c r="D527" s="1">
        <f>IF(B527="", "", "animal-associated habitat")</f>
        <v>0</v>
      </c>
      <c r="E527" s="2">
        <f>IF(B527="", "", "missing: not provided")</f>
        <v>0</v>
      </c>
      <c r="F527" s="1">
        <f>IF(B527="", "", "weeks")</f>
        <v>0</v>
      </c>
      <c r="G527" s="1">
        <f>IF(B527="", "", "mouse")</f>
        <v>0</v>
      </c>
      <c r="H527" s="1">
        <f>IF(B527="", "", "Mus musculus")</f>
        <v>0</v>
      </c>
      <c r="I527" s="1">
        <f>IF(B527="", "", "10090")</f>
        <v>0</v>
      </c>
      <c r="J527" s="2">
        <f>IF(B527="", "", "missing: not provided")</f>
        <v>0</v>
      </c>
      <c r="K527" s="1">
        <f>IF(B527="", "", "g")</f>
        <v>0</v>
      </c>
    </row>
    <row r="528" spans="1:11">
      <c r="A528">
        <f>IF(COUNTBLANK(B528:K528)&lt;&gt;COLUMNS(B528:K528),527,"")</f>
        <v>0</v>
      </c>
      <c r="C528" s="1">
        <f>IF(B528="", "", "urban biome")</f>
        <v>0</v>
      </c>
      <c r="D528" s="1">
        <f>IF(B528="", "", "animal-associated habitat")</f>
        <v>0</v>
      </c>
      <c r="E528" s="2">
        <f>IF(B528="", "", "missing: not provided")</f>
        <v>0</v>
      </c>
      <c r="F528" s="1">
        <f>IF(B528="", "", "weeks")</f>
        <v>0</v>
      </c>
      <c r="G528" s="1">
        <f>IF(B528="", "", "mouse")</f>
        <v>0</v>
      </c>
      <c r="H528" s="1">
        <f>IF(B528="", "", "Mus musculus")</f>
        <v>0</v>
      </c>
      <c r="I528" s="1">
        <f>IF(B528="", "", "10090")</f>
        <v>0</v>
      </c>
      <c r="J528" s="2">
        <f>IF(B528="", "", "missing: not provided")</f>
        <v>0</v>
      </c>
      <c r="K528" s="1">
        <f>IF(B528="", "", "g")</f>
        <v>0</v>
      </c>
    </row>
    <row r="529" spans="1:11">
      <c r="A529">
        <f>IF(COUNTBLANK(B529:K529)&lt;&gt;COLUMNS(B529:K529),528,"")</f>
        <v>0</v>
      </c>
      <c r="C529" s="1">
        <f>IF(B529="", "", "urban biome")</f>
        <v>0</v>
      </c>
      <c r="D529" s="1">
        <f>IF(B529="", "", "animal-associated habitat")</f>
        <v>0</v>
      </c>
      <c r="E529" s="2">
        <f>IF(B529="", "", "missing: not provided")</f>
        <v>0</v>
      </c>
      <c r="F529" s="1">
        <f>IF(B529="", "", "weeks")</f>
        <v>0</v>
      </c>
      <c r="G529" s="1">
        <f>IF(B529="", "", "mouse")</f>
        <v>0</v>
      </c>
      <c r="H529" s="1">
        <f>IF(B529="", "", "Mus musculus")</f>
        <v>0</v>
      </c>
      <c r="I529" s="1">
        <f>IF(B529="", "", "10090")</f>
        <v>0</v>
      </c>
      <c r="J529" s="2">
        <f>IF(B529="", "", "missing: not provided")</f>
        <v>0</v>
      </c>
      <c r="K529" s="1">
        <f>IF(B529="", "", "g")</f>
        <v>0</v>
      </c>
    </row>
    <row r="530" spans="1:11">
      <c r="A530">
        <f>IF(COUNTBLANK(B530:K530)&lt;&gt;COLUMNS(B530:K530),529,"")</f>
        <v>0</v>
      </c>
      <c r="C530" s="1">
        <f>IF(B530="", "", "urban biome")</f>
        <v>0</v>
      </c>
      <c r="D530" s="1">
        <f>IF(B530="", "", "animal-associated habitat")</f>
        <v>0</v>
      </c>
      <c r="E530" s="2">
        <f>IF(B530="", "", "missing: not provided")</f>
        <v>0</v>
      </c>
      <c r="F530" s="1">
        <f>IF(B530="", "", "weeks")</f>
        <v>0</v>
      </c>
      <c r="G530" s="1">
        <f>IF(B530="", "", "mouse")</f>
        <v>0</v>
      </c>
      <c r="H530" s="1">
        <f>IF(B530="", "", "Mus musculus")</f>
        <v>0</v>
      </c>
      <c r="I530" s="1">
        <f>IF(B530="", "", "10090")</f>
        <v>0</v>
      </c>
      <c r="J530" s="2">
        <f>IF(B530="", "", "missing: not provided")</f>
        <v>0</v>
      </c>
      <c r="K530" s="1">
        <f>IF(B530="", "", "g")</f>
        <v>0</v>
      </c>
    </row>
    <row r="531" spans="1:11">
      <c r="A531">
        <f>IF(COUNTBLANK(B531:K531)&lt;&gt;COLUMNS(B531:K531),530,"")</f>
        <v>0</v>
      </c>
      <c r="C531" s="1">
        <f>IF(B531="", "", "urban biome")</f>
        <v>0</v>
      </c>
      <c r="D531" s="1">
        <f>IF(B531="", "", "animal-associated habitat")</f>
        <v>0</v>
      </c>
      <c r="E531" s="2">
        <f>IF(B531="", "", "missing: not provided")</f>
        <v>0</v>
      </c>
      <c r="F531" s="1">
        <f>IF(B531="", "", "weeks")</f>
        <v>0</v>
      </c>
      <c r="G531" s="1">
        <f>IF(B531="", "", "mouse")</f>
        <v>0</v>
      </c>
      <c r="H531" s="1">
        <f>IF(B531="", "", "Mus musculus")</f>
        <v>0</v>
      </c>
      <c r="I531" s="1">
        <f>IF(B531="", "", "10090")</f>
        <v>0</v>
      </c>
      <c r="J531" s="2">
        <f>IF(B531="", "", "missing: not provided")</f>
        <v>0</v>
      </c>
      <c r="K531" s="1">
        <f>IF(B531="", "", "g")</f>
        <v>0</v>
      </c>
    </row>
    <row r="532" spans="1:11">
      <c r="A532">
        <f>IF(COUNTBLANK(B532:K532)&lt;&gt;COLUMNS(B532:K532),531,"")</f>
        <v>0</v>
      </c>
      <c r="C532" s="1">
        <f>IF(B532="", "", "urban biome")</f>
        <v>0</v>
      </c>
      <c r="D532" s="1">
        <f>IF(B532="", "", "animal-associated habitat")</f>
        <v>0</v>
      </c>
      <c r="E532" s="2">
        <f>IF(B532="", "", "missing: not provided")</f>
        <v>0</v>
      </c>
      <c r="F532" s="1">
        <f>IF(B532="", "", "weeks")</f>
        <v>0</v>
      </c>
      <c r="G532" s="1">
        <f>IF(B532="", "", "mouse")</f>
        <v>0</v>
      </c>
      <c r="H532" s="1">
        <f>IF(B532="", "", "Mus musculus")</f>
        <v>0</v>
      </c>
      <c r="I532" s="1">
        <f>IF(B532="", "", "10090")</f>
        <v>0</v>
      </c>
      <c r="J532" s="2">
        <f>IF(B532="", "", "missing: not provided")</f>
        <v>0</v>
      </c>
      <c r="K532" s="1">
        <f>IF(B532="", "", "g")</f>
        <v>0</v>
      </c>
    </row>
    <row r="533" spans="1:11">
      <c r="A533">
        <f>IF(COUNTBLANK(B533:K533)&lt;&gt;COLUMNS(B533:K533),532,"")</f>
        <v>0</v>
      </c>
      <c r="C533" s="1">
        <f>IF(B533="", "", "urban biome")</f>
        <v>0</v>
      </c>
      <c r="D533" s="1">
        <f>IF(B533="", "", "animal-associated habitat")</f>
        <v>0</v>
      </c>
      <c r="E533" s="2">
        <f>IF(B533="", "", "missing: not provided")</f>
        <v>0</v>
      </c>
      <c r="F533" s="1">
        <f>IF(B533="", "", "weeks")</f>
        <v>0</v>
      </c>
      <c r="G533" s="1">
        <f>IF(B533="", "", "mouse")</f>
        <v>0</v>
      </c>
      <c r="H533" s="1">
        <f>IF(B533="", "", "Mus musculus")</f>
        <v>0</v>
      </c>
      <c r="I533" s="1">
        <f>IF(B533="", "", "10090")</f>
        <v>0</v>
      </c>
      <c r="J533" s="2">
        <f>IF(B533="", "", "missing: not provided")</f>
        <v>0</v>
      </c>
      <c r="K533" s="1">
        <f>IF(B533="", "", "g")</f>
        <v>0</v>
      </c>
    </row>
    <row r="534" spans="1:11">
      <c r="A534">
        <f>IF(COUNTBLANK(B534:K534)&lt;&gt;COLUMNS(B534:K534),533,"")</f>
        <v>0</v>
      </c>
      <c r="C534" s="1">
        <f>IF(B534="", "", "urban biome")</f>
        <v>0</v>
      </c>
      <c r="D534" s="1">
        <f>IF(B534="", "", "animal-associated habitat")</f>
        <v>0</v>
      </c>
      <c r="E534" s="2">
        <f>IF(B534="", "", "missing: not provided")</f>
        <v>0</v>
      </c>
      <c r="F534" s="1">
        <f>IF(B534="", "", "weeks")</f>
        <v>0</v>
      </c>
      <c r="G534" s="1">
        <f>IF(B534="", "", "mouse")</f>
        <v>0</v>
      </c>
      <c r="H534" s="1">
        <f>IF(B534="", "", "Mus musculus")</f>
        <v>0</v>
      </c>
      <c r="I534" s="1">
        <f>IF(B534="", "", "10090")</f>
        <v>0</v>
      </c>
      <c r="J534" s="2">
        <f>IF(B534="", "", "missing: not provided")</f>
        <v>0</v>
      </c>
      <c r="K534" s="1">
        <f>IF(B534="", "", "g")</f>
        <v>0</v>
      </c>
    </row>
    <row r="535" spans="1:11">
      <c r="A535">
        <f>IF(COUNTBLANK(B535:K535)&lt;&gt;COLUMNS(B535:K535),534,"")</f>
        <v>0</v>
      </c>
      <c r="C535" s="1">
        <f>IF(B535="", "", "urban biome")</f>
        <v>0</v>
      </c>
      <c r="D535" s="1">
        <f>IF(B535="", "", "animal-associated habitat")</f>
        <v>0</v>
      </c>
      <c r="E535" s="2">
        <f>IF(B535="", "", "missing: not provided")</f>
        <v>0</v>
      </c>
      <c r="F535" s="1">
        <f>IF(B535="", "", "weeks")</f>
        <v>0</v>
      </c>
      <c r="G535" s="1">
        <f>IF(B535="", "", "mouse")</f>
        <v>0</v>
      </c>
      <c r="H535" s="1">
        <f>IF(B535="", "", "Mus musculus")</f>
        <v>0</v>
      </c>
      <c r="I535" s="1">
        <f>IF(B535="", "", "10090")</f>
        <v>0</v>
      </c>
      <c r="J535" s="2">
        <f>IF(B535="", "", "missing: not provided")</f>
        <v>0</v>
      </c>
      <c r="K535" s="1">
        <f>IF(B535="", "", "g")</f>
        <v>0</v>
      </c>
    </row>
    <row r="536" spans="1:11">
      <c r="A536">
        <f>IF(COUNTBLANK(B536:K536)&lt;&gt;COLUMNS(B536:K536),535,"")</f>
        <v>0</v>
      </c>
      <c r="C536" s="1">
        <f>IF(B536="", "", "urban biome")</f>
        <v>0</v>
      </c>
      <c r="D536" s="1">
        <f>IF(B536="", "", "animal-associated habitat")</f>
        <v>0</v>
      </c>
      <c r="E536" s="2">
        <f>IF(B536="", "", "missing: not provided")</f>
        <v>0</v>
      </c>
      <c r="F536" s="1">
        <f>IF(B536="", "", "weeks")</f>
        <v>0</v>
      </c>
      <c r="G536" s="1">
        <f>IF(B536="", "", "mouse")</f>
        <v>0</v>
      </c>
      <c r="H536" s="1">
        <f>IF(B536="", "", "Mus musculus")</f>
        <v>0</v>
      </c>
      <c r="I536" s="1">
        <f>IF(B536="", "", "10090")</f>
        <v>0</v>
      </c>
      <c r="J536" s="2">
        <f>IF(B536="", "", "missing: not provided")</f>
        <v>0</v>
      </c>
      <c r="K536" s="1">
        <f>IF(B536="", "", "g")</f>
        <v>0</v>
      </c>
    </row>
    <row r="537" spans="1:11">
      <c r="A537">
        <f>IF(COUNTBLANK(B537:K537)&lt;&gt;COLUMNS(B537:K537),536,"")</f>
        <v>0</v>
      </c>
      <c r="C537" s="1">
        <f>IF(B537="", "", "urban biome")</f>
        <v>0</v>
      </c>
      <c r="D537" s="1">
        <f>IF(B537="", "", "animal-associated habitat")</f>
        <v>0</v>
      </c>
      <c r="E537" s="2">
        <f>IF(B537="", "", "missing: not provided")</f>
        <v>0</v>
      </c>
      <c r="F537" s="1">
        <f>IF(B537="", "", "weeks")</f>
        <v>0</v>
      </c>
      <c r="G537" s="1">
        <f>IF(B537="", "", "mouse")</f>
        <v>0</v>
      </c>
      <c r="H537" s="1">
        <f>IF(B537="", "", "Mus musculus")</f>
        <v>0</v>
      </c>
      <c r="I537" s="1">
        <f>IF(B537="", "", "10090")</f>
        <v>0</v>
      </c>
      <c r="J537" s="2">
        <f>IF(B537="", "", "missing: not provided")</f>
        <v>0</v>
      </c>
      <c r="K537" s="1">
        <f>IF(B537="", "", "g")</f>
        <v>0</v>
      </c>
    </row>
    <row r="538" spans="1:11">
      <c r="A538">
        <f>IF(COUNTBLANK(B538:K538)&lt;&gt;COLUMNS(B538:K538),537,"")</f>
        <v>0</v>
      </c>
      <c r="C538" s="1">
        <f>IF(B538="", "", "urban biome")</f>
        <v>0</v>
      </c>
      <c r="D538" s="1">
        <f>IF(B538="", "", "animal-associated habitat")</f>
        <v>0</v>
      </c>
      <c r="E538" s="2">
        <f>IF(B538="", "", "missing: not provided")</f>
        <v>0</v>
      </c>
      <c r="F538" s="1">
        <f>IF(B538="", "", "weeks")</f>
        <v>0</v>
      </c>
      <c r="G538" s="1">
        <f>IF(B538="", "", "mouse")</f>
        <v>0</v>
      </c>
      <c r="H538" s="1">
        <f>IF(B538="", "", "Mus musculus")</f>
        <v>0</v>
      </c>
      <c r="I538" s="1">
        <f>IF(B538="", "", "10090")</f>
        <v>0</v>
      </c>
      <c r="J538" s="2">
        <f>IF(B538="", "", "missing: not provided")</f>
        <v>0</v>
      </c>
      <c r="K538" s="1">
        <f>IF(B538="", "", "g")</f>
        <v>0</v>
      </c>
    </row>
    <row r="539" spans="1:11">
      <c r="A539">
        <f>IF(COUNTBLANK(B539:K539)&lt;&gt;COLUMNS(B539:K539),538,"")</f>
        <v>0</v>
      </c>
      <c r="C539" s="1">
        <f>IF(B539="", "", "urban biome")</f>
        <v>0</v>
      </c>
      <c r="D539" s="1">
        <f>IF(B539="", "", "animal-associated habitat")</f>
        <v>0</v>
      </c>
      <c r="E539" s="2">
        <f>IF(B539="", "", "missing: not provided")</f>
        <v>0</v>
      </c>
      <c r="F539" s="1">
        <f>IF(B539="", "", "weeks")</f>
        <v>0</v>
      </c>
      <c r="G539" s="1">
        <f>IF(B539="", "", "mouse")</f>
        <v>0</v>
      </c>
      <c r="H539" s="1">
        <f>IF(B539="", "", "Mus musculus")</f>
        <v>0</v>
      </c>
      <c r="I539" s="1">
        <f>IF(B539="", "", "10090")</f>
        <v>0</v>
      </c>
      <c r="J539" s="2">
        <f>IF(B539="", "", "missing: not provided")</f>
        <v>0</v>
      </c>
      <c r="K539" s="1">
        <f>IF(B539="", "", "g")</f>
        <v>0</v>
      </c>
    </row>
    <row r="540" spans="1:11">
      <c r="A540">
        <f>IF(COUNTBLANK(B540:K540)&lt;&gt;COLUMNS(B540:K540),539,"")</f>
        <v>0</v>
      </c>
      <c r="C540" s="1">
        <f>IF(B540="", "", "urban biome")</f>
        <v>0</v>
      </c>
      <c r="D540" s="1">
        <f>IF(B540="", "", "animal-associated habitat")</f>
        <v>0</v>
      </c>
      <c r="E540" s="2">
        <f>IF(B540="", "", "missing: not provided")</f>
        <v>0</v>
      </c>
      <c r="F540" s="1">
        <f>IF(B540="", "", "weeks")</f>
        <v>0</v>
      </c>
      <c r="G540" s="1">
        <f>IF(B540="", "", "mouse")</f>
        <v>0</v>
      </c>
      <c r="H540" s="1">
        <f>IF(B540="", "", "Mus musculus")</f>
        <v>0</v>
      </c>
      <c r="I540" s="1">
        <f>IF(B540="", "", "10090")</f>
        <v>0</v>
      </c>
      <c r="J540" s="2">
        <f>IF(B540="", "", "missing: not provided")</f>
        <v>0</v>
      </c>
      <c r="K540" s="1">
        <f>IF(B540="", "", "g")</f>
        <v>0</v>
      </c>
    </row>
    <row r="541" spans="1:11">
      <c r="A541">
        <f>IF(COUNTBLANK(B541:K541)&lt;&gt;COLUMNS(B541:K541),540,"")</f>
        <v>0</v>
      </c>
      <c r="C541" s="1">
        <f>IF(B541="", "", "urban biome")</f>
        <v>0</v>
      </c>
      <c r="D541" s="1">
        <f>IF(B541="", "", "animal-associated habitat")</f>
        <v>0</v>
      </c>
      <c r="E541" s="2">
        <f>IF(B541="", "", "missing: not provided")</f>
        <v>0</v>
      </c>
      <c r="F541" s="1">
        <f>IF(B541="", "", "weeks")</f>
        <v>0</v>
      </c>
      <c r="G541" s="1">
        <f>IF(B541="", "", "mouse")</f>
        <v>0</v>
      </c>
      <c r="H541" s="1">
        <f>IF(B541="", "", "Mus musculus")</f>
        <v>0</v>
      </c>
      <c r="I541" s="1">
        <f>IF(B541="", "", "10090")</f>
        <v>0</v>
      </c>
      <c r="J541" s="2">
        <f>IF(B541="", "", "missing: not provided")</f>
        <v>0</v>
      </c>
      <c r="K541" s="1">
        <f>IF(B541="", "", "g")</f>
        <v>0</v>
      </c>
    </row>
    <row r="542" spans="1:11">
      <c r="A542">
        <f>IF(COUNTBLANK(B542:K542)&lt;&gt;COLUMNS(B542:K542),541,"")</f>
        <v>0</v>
      </c>
      <c r="C542" s="1">
        <f>IF(B542="", "", "urban biome")</f>
        <v>0</v>
      </c>
      <c r="D542" s="1">
        <f>IF(B542="", "", "animal-associated habitat")</f>
        <v>0</v>
      </c>
      <c r="E542" s="2">
        <f>IF(B542="", "", "missing: not provided")</f>
        <v>0</v>
      </c>
      <c r="F542" s="1">
        <f>IF(B542="", "", "weeks")</f>
        <v>0</v>
      </c>
      <c r="G542" s="1">
        <f>IF(B542="", "", "mouse")</f>
        <v>0</v>
      </c>
      <c r="H542" s="1">
        <f>IF(B542="", "", "Mus musculus")</f>
        <v>0</v>
      </c>
      <c r="I542" s="1">
        <f>IF(B542="", "", "10090")</f>
        <v>0</v>
      </c>
      <c r="J542" s="2">
        <f>IF(B542="", "", "missing: not provided")</f>
        <v>0</v>
      </c>
      <c r="K542" s="1">
        <f>IF(B542="", "", "g")</f>
        <v>0</v>
      </c>
    </row>
    <row r="543" spans="1:11">
      <c r="A543">
        <f>IF(COUNTBLANK(B543:K543)&lt;&gt;COLUMNS(B543:K543),542,"")</f>
        <v>0</v>
      </c>
      <c r="C543" s="1">
        <f>IF(B543="", "", "urban biome")</f>
        <v>0</v>
      </c>
      <c r="D543" s="1">
        <f>IF(B543="", "", "animal-associated habitat")</f>
        <v>0</v>
      </c>
      <c r="E543" s="2">
        <f>IF(B543="", "", "missing: not provided")</f>
        <v>0</v>
      </c>
      <c r="F543" s="1">
        <f>IF(B543="", "", "weeks")</f>
        <v>0</v>
      </c>
      <c r="G543" s="1">
        <f>IF(B543="", "", "mouse")</f>
        <v>0</v>
      </c>
      <c r="H543" s="1">
        <f>IF(B543="", "", "Mus musculus")</f>
        <v>0</v>
      </c>
      <c r="I543" s="1">
        <f>IF(B543="", "", "10090")</f>
        <v>0</v>
      </c>
      <c r="J543" s="2">
        <f>IF(B543="", "", "missing: not provided")</f>
        <v>0</v>
      </c>
      <c r="K543" s="1">
        <f>IF(B543="", "", "g")</f>
        <v>0</v>
      </c>
    </row>
    <row r="544" spans="1:11">
      <c r="A544">
        <f>IF(COUNTBLANK(B544:K544)&lt;&gt;COLUMNS(B544:K544),543,"")</f>
        <v>0</v>
      </c>
      <c r="C544" s="1">
        <f>IF(B544="", "", "urban biome")</f>
        <v>0</v>
      </c>
      <c r="D544" s="1">
        <f>IF(B544="", "", "animal-associated habitat")</f>
        <v>0</v>
      </c>
      <c r="E544" s="2">
        <f>IF(B544="", "", "missing: not provided")</f>
        <v>0</v>
      </c>
      <c r="F544" s="1">
        <f>IF(B544="", "", "weeks")</f>
        <v>0</v>
      </c>
      <c r="G544" s="1">
        <f>IF(B544="", "", "mouse")</f>
        <v>0</v>
      </c>
      <c r="H544" s="1">
        <f>IF(B544="", "", "Mus musculus")</f>
        <v>0</v>
      </c>
      <c r="I544" s="1">
        <f>IF(B544="", "", "10090")</f>
        <v>0</v>
      </c>
      <c r="J544" s="2">
        <f>IF(B544="", "", "missing: not provided")</f>
        <v>0</v>
      </c>
      <c r="K544" s="1">
        <f>IF(B544="", "", "g")</f>
        <v>0</v>
      </c>
    </row>
    <row r="545" spans="1:11">
      <c r="A545">
        <f>IF(COUNTBLANK(B545:K545)&lt;&gt;COLUMNS(B545:K545),544,"")</f>
        <v>0</v>
      </c>
      <c r="C545" s="1">
        <f>IF(B545="", "", "urban biome")</f>
        <v>0</v>
      </c>
      <c r="D545" s="1">
        <f>IF(B545="", "", "animal-associated habitat")</f>
        <v>0</v>
      </c>
      <c r="E545" s="2">
        <f>IF(B545="", "", "missing: not provided")</f>
        <v>0</v>
      </c>
      <c r="F545" s="1">
        <f>IF(B545="", "", "weeks")</f>
        <v>0</v>
      </c>
      <c r="G545" s="1">
        <f>IF(B545="", "", "mouse")</f>
        <v>0</v>
      </c>
      <c r="H545" s="1">
        <f>IF(B545="", "", "Mus musculus")</f>
        <v>0</v>
      </c>
      <c r="I545" s="1">
        <f>IF(B545="", "", "10090")</f>
        <v>0</v>
      </c>
      <c r="J545" s="2">
        <f>IF(B545="", "", "missing: not provided")</f>
        <v>0</v>
      </c>
      <c r="K545" s="1">
        <f>IF(B545="", "", "g")</f>
        <v>0</v>
      </c>
    </row>
    <row r="546" spans="1:11">
      <c r="A546">
        <f>IF(COUNTBLANK(B546:K546)&lt;&gt;COLUMNS(B546:K546),545,"")</f>
        <v>0</v>
      </c>
      <c r="C546" s="1">
        <f>IF(B546="", "", "urban biome")</f>
        <v>0</v>
      </c>
      <c r="D546" s="1">
        <f>IF(B546="", "", "animal-associated habitat")</f>
        <v>0</v>
      </c>
      <c r="E546" s="2">
        <f>IF(B546="", "", "missing: not provided")</f>
        <v>0</v>
      </c>
      <c r="F546" s="1">
        <f>IF(B546="", "", "weeks")</f>
        <v>0</v>
      </c>
      <c r="G546" s="1">
        <f>IF(B546="", "", "mouse")</f>
        <v>0</v>
      </c>
      <c r="H546" s="1">
        <f>IF(B546="", "", "Mus musculus")</f>
        <v>0</v>
      </c>
      <c r="I546" s="1">
        <f>IF(B546="", "", "10090")</f>
        <v>0</v>
      </c>
      <c r="J546" s="2">
        <f>IF(B546="", "", "missing: not provided")</f>
        <v>0</v>
      </c>
      <c r="K546" s="1">
        <f>IF(B546="", "", "g")</f>
        <v>0</v>
      </c>
    </row>
    <row r="547" spans="1:11">
      <c r="A547">
        <f>IF(COUNTBLANK(B547:K547)&lt;&gt;COLUMNS(B547:K547),546,"")</f>
        <v>0</v>
      </c>
      <c r="C547" s="1">
        <f>IF(B547="", "", "urban biome")</f>
        <v>0</v>
      </c>
      <c r="D547" s="1">
        <f>IF(B547="", "", "animal-associated habitat")</f>
        <v>0</v>
      </c>
      <c r="E547" s="2">
        <f>IF(B547="", "", "missing: not provided")</f>
        <v>0</v>
      </c>
      <c r="F547" s="1">
        <f>IF(B547="", "", "weeks")</f>
        <v>0</v>
      </c>
      <c r="G547" s="1">
        <f>IF(B547="", "", "mouse")</f>
        <v>0</v>
      </c>
      <c r="H547" s="1">
        <f>IF(B547="", "", "Mus musculus")</f>
        <v>0</v>
      </c>
      <c r="I547" s="1">
        <f>IF(B547="", "", "10090")</f>
        <v>0</v>
      </c>
      <c r="J547" s="2">
        <f>IF(B547="", "", "missing: not provided")</f>
        <v>0</v>
      </c>
      <c r="K547" s="1">
        <f>IF(B547="", "", "g")</f>
        <v>0</v>
      </c>
    </row>
    <row r="548" spans="1:11">
      <c r="A548">
        <f>IF(COUNTBLANK(B548:K548)&lt;&gt;COLUMNS(B548:K548),547,"")</f>
        <v>0</v>
      </c>
      <c r="C548" s="1">
        <f>IF(B548="", "", "urban biome")</f>
        <v>0</v>
      </c>
      <c r="D548" s="1">
        <f>IF(B548="", "", "animal-associated habitat")</f>
        <v>0</v>
      </c>
      <c r="E548" s="2">
        <f>IF(B548="", "", "missing: not provided")</f>
        <v>0</v>
      </c>
      <c r="F548" s="1">
        <f>IF(B548="", "", "weeks")</f>
        <v>0</v>
      </c>
      <c r="G548" s="1">
        <f>IF(B548="", "", "mouse")</f>
        <v>0</v>
      </c>
      <c r="H548" s="1">
        <f>IF(B548="", "", "Mus musculus")</f>
        <v>0</v>
      </c>
      <c r="I548" s="1">
        <f>IF(B548="", "", "10090")</f>
        <v>0</v>
      </c>
      <c r="J548" s="2">
        <f>IF(B548="", "", "missing: not provided")</f>
        <v>0</v>
      </c>
      <c r="K548" s="1">
        <f>IF(B548="", "", "g")</f>
        <v>0</v>
      </c>
    </row>
    <row r="549" spans="1:11">
      <c r="A549">
        <f>IF(COUNTBLANK(B549:K549)&lt;&gt;COLUMNS(B549:K549),548,"")</f>
        <v>0</v>
      </c>
      <c r="C549" s="1">
        <f>IF(B549="", "", "urban biome")</f>
        <v>0</v>
      </c>
      <c r="D549" s="1">
        <f>IF(B549="", "", "animal-associated habitat")</f>
        <v>0</v>
      </c>
      <c r="E549" s="2">
        <f>IF(B549="", "", "missing: not provided")</f>
        <v>0</v>
      </c>
      <c r="F549" s="1">
        <f>IF(B549="", "", "weeks")</f>
        <v>0</v>
      </c>
      <c r="G549" s="1">
        <f>IF(B549="", "", "mouse")</f>
        <v>0</v>
      </c>
      <c r="H549" s="1">
        <f>IF(B549="", "", "Mus musculus")</f>
        <v>0</v>
      </c>
      <c r="I549" s="1">
        <f>IF(B549="", "", "10090")</f>
        <v>0</v>
      </c>
      <c r="J549" s="2">
        <f>IF(B549="", "", "missing: not provided")</f>
        <v>0</v>
      </c>
      <c r="K549" s="1">
        <f>IF(B549="", "", "g")</f>
        <v>0</v>
      </c>
    </row>
    <row r="550" spans="1:11">
      <c r="A550">
        <f>IF(COUNTBLANK(B550:K550)&lt;&gt;COLUMNS(B550:K550),549,"")</f>
        <v>0</v>
      </c>
      <c r="C550" s="1">
        <f>IF(B550="", "", "urban biome")</f>
        <v>0</v>
      </c>
      <c r="D550" s="1">
        <f>IF(B550="", "", "animal-associated habitat")</f>
        <v>0</v>
      </c>
      <c r="E550" s="2">
        <f>IF(B550="", "", "missing: not provided")</f>
        <v>0</v>
      </c>
      <c r="F550" s="1">
        <f>IF(B550="", "", "weeks")</f>
        <v>0</v>
      </c>
      <c r="G550" s="1">
        <f>IF(B550="", "", "mouse")</f>
        <v>0</v>
      </c>
      <c r="H550" s="1">
        <f>IF(B550="", "", "Mus musculus")</f>
        <v>0</v>
      </c>
      <c r="I550" s="1">
        <f>IF(B550="", "", "10090")</f>
        <v>0</v>
      </c>
      <c r="J550" s="2">
        <f>IF(B550="", "", "missing: not provided")</f>
        <v>0</v>
      </c>
      <c r="K550" s="1">
        <f>IF(B550="", "", "g")</f>
        <v>0</v>
      </c>
    </row>
    <row r="551" spans="1:11">
      <c r="A551">
        <f>IF(COUNTBLANK(B551:K551)&lt;&gt;COLUMNS(B551:K551),550,"")</f>
        <v>0</v>
      </c>
      <c r="C551" s="1">
        <f>IF(B551="", "", "urban biome")</f>
        <v>0</v>
      </c>
      <c r="D551" s="1">
        <f>IF(B551="", "", "animal-associated habitat")</f>
        <v>0</v>
      </c>
      <c r="E551" s="2">
        <f>IF(B551="", "", "missing: not provided")</f>
        <v>0</v>
      </c>
      <c r="F551" s="1">
        <f>IF(B551="", "", "weeks")</f>
        <v>0</v>
      </c>
      <c r="G551" s="1">
        <f>IF(B551="", "", "mouse")</f>
        <v>0</v>
      </c>
      <c r="H551" s="1">
        <f>IF(B551="", "", "Mus musculus")</f>
        <v>0</v>
      </c>
      <c r="I551" s="1">
        <f>IF(B551="", "", "10090")</f>
        <v>0</v>
      </c>
      <c r="J551" s="2">
        <f>IF(B551="", "", "missing: not provided")</f>
        <v>0</v>
      </c>
      <c r="K551" s="1">
        <f>IF(B551="", "", "g")</f>
        <v>0</v>
      </c>
    </row>
    <row r="552" spans="1:11">
      <c r="A552">
        <f>IF(COUNTBLANK(B552:K552)&lt;&gt;COLUMNS(B552:K552),551,"")</f>
        <v>0</v>
      </c>
      <c r="C552" s="1">
        <f>IF(B552="", "", "urban biome")</f>
        <v>0</v>
      </c>
      <c r="D552" s="1">
        <f>IF(B552="", "", "animal-associated habitat")</f>
        <v>0</v>
      </c>
      <c r="E552" s="2">
        <f>IF(B552="", "", "missing: not provided")</f>
        <v>0</v>
      </c>
      <c r="F552" s="1">
        <f>IF(B552="", "", "weeks")</f>
        <v>0</v>
      </c>
      <c r="G552" s="1">
        <f>IF(B552="", "", "mouse")</f>
        <v>0</v>
      </c>
      <c r="H552" s="1">
        <f>IF(B552="", "", "Mus musculus")</f>
        <v>0</v>
      </c>
      <c r="I552" s="1">
        <f>IF(B552="", "", "10090")</f>
        <v>0</v>
      </c>
      <c r="J552" s="2">
        <f>IF(B552="", "", "missing: not provided")</f>
        <v>0</v>
      </c>
      <c r="K552" s="1">
        <f>IF(B552="", "", "g")</f>
        <v>0</v>
      </c>
    </row>
    <row r="553" spans="1:11">
      <c r="A553">
        <f>IF(COUNTBLANK(B553:K553)&lt;&gt;COLUMNS(B553:K553),552,"")</f>
        <v>0</v>
      </c>
      <c r="C553" s="1">
        <f>IF(B553="", "", "urban biome")</f>
        <v>0</v>
      </c>
      <c r="D553" s="1">
        <f>IF(B553="", "", "animal-associated habitat")</f>
        <v>0</v>
      </c>
      <c r="E553" s="2">
        <f>IF(B553="", "", "missing: not provided")</f>
        <v>0</v>
      </c>
      <c r="F553" s="1">
        <f>IF(B553="", "", "weeks")</f>
        <v>0</v>
      </c>
      <c r="G553" s="1">
        <f>IF(B553="", "", "mouse")</f>
        <v>0</v>
      </c>
      <c r="H553" s="1">
        <f>IF(B553="", "", "Mus musculus")</f>
        <v>0</v>
      </c>
      <c r="I553" s="1">
        <f>IF(B553="", "", "10090")</f>
        <v>0</v>
      </c>
      <c r="J553" s="2">
        <f>IF(B553="", "", "missing: not provided")</f>
        <v>0</v>
      </c>
      <c r="K553" s="1">
        <f>IF(B553="", "", "g")</f>
        <v>0</v>
      </c>
    </row>
    <row r="554" spans="1:11">
      <c r="A554">
        <f>IF(COUNTBLANK(B554:K554)&lt;&gt;COLUMNS(B554:K554),553,"")</f>
        <v>0</v>
      </c>
      <c r="C554" s="1">
        <f>IF(B554="", "", "urban biome")</f>
        <v>0</v>
      </c>
      <c r="D554" s="1">
        <f>IF(B554="", "", "animal-associated habitat")</f>
        <v>0</v>
      </c>
      <c r="E554" s="2">
        <f>IF(B554="", "", "missing: not provided")</f>
        <v>0</v>
      </c>
      <c r="F554" s="1">
        <f>IF(B554="", "", "weeks")</f>
        <v>0</v>
      </c>
      <c r="G554" s="1">
        <f>IF(B554="", "", "mouse")</f>
        <v>0</v>
      </c>
      <c r="H554" s="1">
        <f>IF(B554="", "", "Mus musculus")</f>
        <v>0</v>
      </c>
      <c r="I554" s="1">
        <f>IF(B554="", "", "10090")</f>
        <v>0</v>
      </c>
      <c r="J554" s="2">
        <f>IF(B554="", "", "missing: not provided")</f>
        <v>0</v>
      </c>
      <c r="K554" s="1">
        <f>IF(B554="", "", "g")</f>
        <v>0</v>
      </c>
    </row>
    <row r="555" spans="1:11">
      <c r="A555">
        <f>IF(COUNTBLANK(B555:K555)&lt;&gt;COLUMNS(B555:K555),554,"")</f>
        <v>0</v>
      </c>
      <c r="C555" s="1">
        <f>IF(B555="", "", "urban biome")</f>
        <v>0</v>
      </c>
      <c r="D555" s="1">
        <f>IF(B555="", "", "animal-associated habitat")</f>
        <v>0</v>
      </c>
      <c r="E555" s="2">
        <f>IF(B555="", "", "missing: not provided")</f>
        <v>0</v>
      </c>
      <c r="F555" s="1">
        <f>IF(B555="", "", "weeks")</f>
        <v>0</v>
      </c>
      <c r="G555" s="1">
        <f>IF(B555="", "", "mouse")</f>
        <v>0</v>
      </c>
      <c r="H555" s="1">
        <f>IF(B555="", "", "Mus musculus")</f>
        <v>0</v>
      </c>
      <c r="I555" s="1">
        <f>IF(B555="", "", "10090")</f>
        <v>0</v>
      </c>
      <c r="J555" s="2">
        <f>IF(B555="", "", "missing: not provided")</f>
        <v>0</v>
      </c>
      <c r="K555" s="1">
        <f>IF(B555="", "", "g")</f>
        <v>0</v>
      </c>
    </row>
    <row r="556" spans="1:11">
      <c r="A556">
        <f>IF(COUNTBLANK(B556:K556)&lt;&gt;COLUMNS(B556:K556),555,"")</f>
        <v>0</v>
      </c>
      <c r="C556" s="1">
        <f>IF(B556="", "", "urban biome")</f>
        <v>0</v>
      </c>
      <c r="D556" s="1">
        <f>IF(B556="", "", "animal-associated habitat")</f>
        <v>0</v>
      </c>
      <c r="E556" s="2">
        <f>IF(B556="", "", "missing: not provided")</f>
        <v>0</v>
      </c>
      <c r="F556" s="1">
        <f>IF(B556="", "", "weeks")</f>
        <v>0</v>
      </c>
      <c r="G556" s="1">
        <f>IF(B556="", "", "mouse")</f>
        <v>0</v>
      </c>
      <c r="H556" s="1">
        <f>IF(B556="", "", "Mus musculus")</f>
        <v>0</v>
      </c>
      <c r="I556" s="1">
        <f>IF(B556="", "", "10090")</f>
        <v>0</v>
      </c>
      <c r="J556" s="2">
        <f>IF(B556="", "", "missing: not provided")</f>
        <v>0</v>
      </c>
      <c r="K556" s="1">
        <f>IF(B556="", "", "g")</f>
        <v>0</v>
      </c>
    </row>
    <row r="557" spans="1:11">
      <c r="A557">
        <f>IF(COUNTBLANK(B557:K557)&lt;&gt;COLUMNS(B557:K557),556,"")</f>
        <v>0</v>
      </c>
      <c r="C557" s="1">
        <f>IF(B557="", "", "urban biome")</f>
        <v>0</v>
      </c>
      <c r="D557" s="1">
        <f>IF(B557="", "", "animal-associated habitat")</f>
        <v>0</v>
      </c>
      <c r="E557" s="2">
        <f>IF(B557="", "", "missing: not provided")</f>
        <v>0</v>
      </c>
      <c r="F557" s="1">
        <f>IF(B557="", "", "weeks")</f>
        <v>0</v>
      </c>
      <c r="G557" s="1">
        <f>IF(B557="", "", "mouse")</f>
        <v>0</v>
      </c>
      <c r="H557" s="1">
        <f>IF(B557="", "", "Mus musculus")</f>
        <v>0</v>
      </c>
      <c r="I557" s="1">
        <f>IF(B557="", "", "10090")</f>
        <v>0</v>
      </c>
      <c r="J557" s="2">
        <f>IF(B557="", "", "missing: not provided")</f>
        <v>0</v>
      </c>
      <c r="K557" s="1">
        <f>IF(B557="", "", "g")</f>
        <v>0</v>
      </c>
    </row>
    <row r="558" spans="1:11">
      <c r="A558">
        <f>IF(COUNTBLANK(B558:K558)&lt;&gt;COLUMNS(B558:K558),557,"")</f>
        <v>0</v>
      </c>
      <c r="C558" s="1">
        <f>IF(B558="", "", "urban biome")</f>
        <v>0</v>
      </c>
      <c r="D558" s="1">
        <f>IF(B558="", "", "animal-associated habitat")</f>
        <v>0</v>
      </c>
      <c r="E558" s="2">
        <f>IF(B558="", "", "missing: not provided")</f>
        <v>0</v>
      </c>
      <c r="F558" s="1">
        <f>IF(B558="", "", "weeks")</f>
        <v>0</v>
      </c>
      <c r="G558" s="1">
        <f>IF(B558="", "", "mouse")</f>
        <v>0</v>
      </c>
      <c r="H558" s="1">
        <f>IF(B558="", "", "Mus musculus")</f>
        <v>0</v>
      </c>
      <c r="I558" s="1">
        <f>IF(B558="", "", "10090")</f>
        <v>0</v>
      </c>
      <c r="J558" s="2">
        <f>IF(B558="", "", "missing: not provided")</f>
        <v>0</v>
      </c>
      <c r="K558" s="1">
        <f>IF(B558="", "", "g")</f>
        <v>0</v>
      </c>
    </row>
    <row r="559" spans="1:11">
      <c r="A559">
        <f>IF(COUNTBLANK(B559:K559)&lt;&gt;COLUMNS(B559:K559),558,"")</f>
        <v>0</v>
      </c>
      <c r="C559" s="1">
        <f>IF(B559="", "", "urban biome")</f>
        <v>0</v>
      </c>
      <c r="D559" s="1">
        <f>IF(B559="", "", "animal-associated habitat")</f>
        <v>0</v>
      </c>
      <c r="E559" s="2">
        <f>IF(B559="", "", "missing: not provided")</f>
        <v>0</v>
      </c>
      <c r="F559" s="1">
        <f>IF(B559="", "", "weeks")</f>
        <v>0</v>
      </c>
      <c r="G559" s="1">
        <f>IF(B559="", "", "mouse")</f>
        <v>0</v>
      </c>
      <c r="H559" s="1">
        <f>IF(B559="", "", "Mus musculus")</f>
        <v>0</v>
      </c>
      <c r="I559" s="1">
        <f>IF(B559="", "", "10090")</f>
        <v>0</v>
      </c>
      <c r="J559" s="2">
        <f>IF(B559="", "", "missing: not provided")</f>
        <v>0</v>
      </c>
      <c r="K559" s="1">
        <f>IF(B559="", "", "g")</f>
        <v>0</v>
      </c>
    </row>
    <row r="560" spans="1:11">
      <c r="A560">
        <f>IF(COUNTBLANK(B560:K560)&lt;&gt;COLUMNS(B560:K560),559,"")</f>
        <v>0</v>
      </c>
      <c r="C560" s="1">
        <f>IF(B560="", "", "urban biome")</f>
        <v>0</v>
      </c>
      <c r="D560" s="1">
        <f>IF(B560="", "", "animal-associated habitat")</f>
        <v>0</v>
      </c>
      <c r="E560" s="2">
        <f>IF(B560="", "", "missing: not provided")</f>
        <v>0</v>
      </c>
      <c r="F560" s="1">
        <f>IF(B560="", "", "weeks")</f>
        <v>0</v>
      </c>
      <c r="G560" s="1">
        <f>IF(B560="", "", "mouse")</f>
        <v>0</v>
      </c>
      <c r="H560" s="1">
        <f>IF(B560="", "", "Mus musculus")</f>
        <v>0</v>
      </c>
      <c r="I560" s="1">
        <f>IF(B560="", "", "10090")</f>
        <v>0</v>
      </c>
      <c r="J560" s="2">
        <f>IF(B560="", "", "missing: not provided")</f>
        <v>0</v>
      </c>
      <c r="K560" s="1">
        <f>IF(B560="", "", "g")</f>
        <v>0</v>
      </c>
    </row>
    <row r="561" spans="1:11">
      <c r="A561">
        <f>IF(COUNTBLANK(B561:K561)&lt;&gt;COLUMNS(B561:K561),560,"")</f>
        <v>0</v>
      </c>
      <c r="C561" s="1">
        <f>IF(B561="", "", "urban biome")</f>
        <v>0</v>
      </c>
      <c r="D561" s="1">
        <f>IF(B561="", "", "animal-associated habitat")</f>
        <v>0</v>
      </c>
      <c r="E561" s="2">
        <f>IF(B561="", "", "missing: not provided")</f>
        <v>0</v>
      </c>
      <c r="F561" s="1">
        <f>IF(B561="", "", "weeks")</f>
        <v>0</v>
      </c>
      <c r="G561" s="1">
        <f>IF(B561="", "", "mouse")</f>
        <v>0</v>
      </c>
      <c r="H561" s="1">
        <f>IF(B561="", "", "Mus musculus")</f>
        <v>0</v>
      </c>
      <c r="I561" s="1">
        <f>IF(B561="", "", "10090")</f>
        <v>0</v>
      </c>
      <c r="J561" s="2">
        <f>IF(B561="", "", "missing: not provided")</f>
        <v>0</v>
      </c>
      <c r="K561" s="1">
        <f>IF(B561="", "", "g")</f>
        <v>0</v>
      </c>
    </row>
    <row r="562" spans="1:11">
      <c r="A562">
        <f>IF(COUNTBLANK(B562:K562)&lt;&gt;COLUMNS(B562:K562),561,"")</f>
        <v>0</v>
      </c>
      <c r="C562" s="1">
        <f>IF(B562="", "", "urban biome")</f>
        <v>0</v>
      </c>
      <c r="D562" s="1">
        <f>IF(B562="", "", "animal-associated habitat")</f>
        <v>0</v>
      </c>
      <c r="E562" s="2">
        <f>IF(B562="", "", "missing: not provided")</f>
        <v>0</v>
      </c>
      <c r="F562" s="1">
        <f>IF(B562="", "", "weeks")</f>
        <v>0</v>
      </c>
      <c r="G562" s="1">
        <f>IF(B562="", "", "mouse")</f>
        <v>0</v>
      </c>
      <c r="H562" s="1">
        <f>IF(B562="", "", "Mus musculus")</f>
        <v>0</v>
      </c>
      <c r="I562" s="1">
        <f>IF(B562="", "", "10090")</f>
        <v>0</v>
      </c>
      <c r="J562" s="2">
        <f>IF(B562="", "", "missing: not provided")</f>
        <v>0</v>
      </c>
      <c r="K562" s="1">
        <f>IF(B562="", "", "g")</f>
        <v>0</v>
      </c>
    </row>
    <row r="563" spans="1:11">
      <c r="A563">
        <f>IF(COUNTBLANK(B563:K563)&lt;&gt;COLUMNS(B563:K563),562,"")</f>
        <v>0</v>
      </c>
      <c r="C563" s="1">
        <f>IF(B563="", "", "urban biome")</f>
        <v>0</v>
      </c>
      <c r="D563" s="1">
        <f>IF(B563="", "", "animal-associated habitat")</f>
        <v>0</v>
      </c>
      <c r="E563" s="2">
        <f>IF(B563="", "", "missing: not provided")</f>
        <v>0</v>
      </c>
      <c r="F563" s="1">
        <f>IF(B563="", "", "weeks")</f>
        <v>0</v>
      </c>
      <c r="G563" s="1">
        <f>IF(B563="", "", "mouse")</f>
        <v>0</v>
      </c>
      <c r="H563" s="1">
        <f>IF(B563="", "", "Mus musculus")</f>
        <v>0</v>
      </c>
      <c r="I563" s="1">
        <f>IF(B563="", "", "10090")</f>
        <v>0</v>
      </c>
      <c r="J563" s="2">
        <f>IF(B563="", "", "missing: not provided")</f>
        <v>0</v>
      </c>
      <c r="K563" s="1">
        <f>IF(B563="", "", "g")</f>
        <v>0</v>
      </c>
    </row>
    <row r="564" spans="1:11">
      <c r="A564">
        <f>IF(COUNTBLANK(B564:K564)&lt;&gt;COLUMNS(B564:K564),563,"")</f>
        <v>0</v>
      </c>
      <c r="C564" s="1">
        <f>IF(B564="", "", "urban biome")</f>
        <v>0</v>
      </c>
      <c r="D564" s="1">
        <f>IF(B564="", "", "animal-associated habitat")</f>
        <v>0</v>
      </c>
      <c r="E564" s="2">
        <f>IF(B564="", "", "missing: not provided")</f>
        <v>0</v>
      </c>
      <c r="F564" s="1">
        <f>IF(B564="", "", "weeks")</f>
        <v>0</v>
      </c>
      <c r="G564" s="1">
        <f>IF(B564="", "", "mouse")</f>
        <v>0</v>
      </c>
      <c r="H564" s="1">
        <f>IF(B564="", "", "Mus musculus")</f>
        <v>0</v>
      </c>
      <c r="I564" s="1">
        <f>IF(B564="", "", "10090")</f>
        <v>0</v>
      </c>
      <c r="J564" s="2">
        <f>IF(B564="", "", "missing: not provided")</f>
        <v>0</v>
      </c>
      <c r="K564" s="1">
        <f>IF(B564="", "", "g")</f>
        <v>0</v>
      </c>
    </row>
    <row r="565" spans="1:11">
      <c r="A565">
        <f>IF(COUNTBLANK(B565:K565)&lt;&gt;COLUMNS(B565:K565),564,"")</f>
        <v>0</v>
      </c>
      <c r="C565" s="1">
        <f>IF(B565="", "", "urban biome")</f>
        <v>0</v>
      </c>
      <c r="D565" s="1">
        <f>IF(B565="", "", "animal-associated habitat")</f>
        <v>0</v>
      </c>
      <c r="E565" s="2">
        <f>IF(B565="", "", "missing: not provided")</f>
        <v>0</v>
      </c>
      <c r="F565" s="1">
        <f>IF(B565="", "", "weeks")</f>
        <v>0</v>
      </c>
      <c r="G565" s="1">
        <f>IF(B565="", "", "mouse")</f>
        <v>0</v>
      </c>
      <c r="H565" s="1">
        <f>IF(B565="", "", "Mus musculus")</f>
        <v>0</v>
      </c>
      <c r="I565" s="1">
        <f>IF(B565="", "", "10090")</f>
        <v>0</v>
      </c>
      <c r="J565" s="2">
        <f>IF(B565="", "", "missing: not provided")</f>
        <v>0</v>
      </c>
      <c r="K565" s="1">
        <f>IF(B565="", "", "g")</f>
        <v>0</v>
      </c>
    </row>
    <row r="566" spans="1:11">
      <c r="A566">
        <f>IF(COUNTBLANK(B566:K566)&lt;&gt;COLUMNS(B566:K566),565,"")</f>
        <v>0</v>
      </c>
      <c r="C566" s="1">
        <f>IF(B566="", "", "urban biome")</f>
        <v>0</v>
      </c>
      <c r="D566" s="1">
        <f>IF(B566="", "", "animal-associated habitat")</f>
        <v>0</v>
      </c>
      <c r="E566" s="2">
        <f>IF(B566="", "", "missing: not provided")</f>
        <v>0</v>
      </c>
      <c r="F566" s="1">
        <f>IF(B566="", "", "weeks")</f>
        <v>0</v>
      </c>
      <c r="G566" s="1">
        <f>IF(B566="", "", "mouse")</f>
        <v>0</v>
      </c>
      <c r="H566" s="1">
        <f>IF(B566="", "", "Mus musculus")</f>
        <v>0</v>
      </c>
      <c r="I566" s="1">
        <f>IF(B566="", "", "10090")</f>
        <v>0</v>
      </c>
      <c r="J566" s="2">
        <f>IF(B566="", "", "missing: not provided")</f>
        <v>0</v>
      </c>
      <c r="K566" s="1">
        <f>IF(B566="", "", "g")</f>
        <v>0</v>
      </c>
    </row>
    <row r="567" spans="1:11">
      <c r="A567">
        <f>IF(COUNTBLANK(B567:K567)&lt;&gt;COLUMNS(B567:K567),566,"")</f>
        <v>0</v>
      </c>
      <c r="C567" s="1">
        <f>IF(B567="", "", "urban biome")</f>
        <v>0</v>
      </c>
      <c r="D567" s="1">
        <f>IF(B567="", "", "animal-associated habitat")</f>
        <v>0</v>
      </c>
      <c r="E567" s="2">
        <f>IF(B567="", "", "missing: not provided")</f>
        <v>0</v>
      </c>
      <c r="F567" s="1">
        <f>IF(B567="", "", "weeks")</f>
        <v>0</v>
      </c>
      <c r="G567" s="1">
        <f>IF(B567="", "", "mouse")</f>
        <v>0</v>
      </c>
      <c r="H567" s="1">
        <f>IF(B567="", "", "Mus musculus")</f>
        <v>0</v>
      </c>
      <c r="I567" s="1">
        <f>IF(B567="", "", "10090")</f>
        <v>0</v>
      </c>
      <c r="J567" s="2">
        <f>IF(B567="", "", "missing: not provided")</f>
        <v>0</v>
      </c>
      <c r="K567" s="1">
        <f>IF(B567="", "", "g")</f>
        <v>0</v>
      </c>
    </row>
    <row r="568" spans="1:11">
      <c r="A568">
        <f>IF(COUNTBLANK(B568:K568)&lt;&gt;COLUMNS(B568:K568),567,"")</f>
        <v>0</v>
      </c>
      <c r="C568" s="1">
        <f>IF(B568="", "", "urban biome")</f>
        <v>0</v>
      </c>
      <c r="D568" s="1">
        <f>IF(B568="", "", "animal-associated habitat")</f>
        <v>0</v>
      </c>
      <c r="E568" s="2">
        <f>IF(B568="", "", "missing: not provided")</f>
        <v>0</v>
      </c>
      <c r="F568" s="1">
        <f>IF(B568="", "", "weeks")</f>
        <v>0</v>
      </c>
      <c r="G568" s="1">
        <f>IF(B568="", "", "mouse")</f>
        <v>0</v>
      </c>
      <c r="H568" s="1">
        <f>IF(B568="", "", "Mus musculus")</f>
        <v>0</v>
      </c>
      <c r="I568" s="1">
        <f>IF(B568="", "", "10090")</f>
        <v>0</v>
      </c>
      <c r="J568" s="2">
        <f>IF(B568="", "", "missing: not provided")</f>
        <v>0</v>
      </c>
      <c r="K568" s="1">
        <f>IF(B568="", "", "g")</f>
        <v>0</v>
      </c>
    </row>
    <row r="569" spans="1:11">
      <c r="A569">
        <f>IF(COUNTBLANK(B569:K569)&lt;&gt;COLUMNS(B569:K569),568,"")</f>
        <v>0</v>
      </c>
      <c r="C569" s="1">
        <f>IF(B569="", "", "urban biome")</f>
        <v>0</v>
      </c>
      <c r="D569" s="1">
        <f>IF(B569="", "", "animal-associated habitat")</f>
        <v>0</v>
      </c>
      <c r="E569" s="2">
        <f>IF(B569="", "", "missing: not provided")</f>
        <v>0</v>
      </c>
      <c r="F569" s="1">
        <f>IF(B569="", "", "weeks")</f>
        <v>0</v>
      </c>
      <c r="G569" s="1">
        <f>IF(B569="", "", "mouse")</f>
        <v>0</v>
      </c>
      <c r="H569" s="1">
        <f>IF(B569="", "", "Mus musculus")</f>
        <v>0</v>
      </c>
      <c r="I569" s="1">
        <f>IF(B569="", "", "10090")</f>
        <v>0</v>
      </c>
      <c r="J569" s="2">
        <f>IF(B569="", "", "missing: not provided")</f>
        <v>0</v>
      </c>
      <c r="K569" s="1">
        <f>IF(B569="", "", "g")</f>
        <v>0</v>
      </c>
    </row>
    <row r="570" spans="1:11">
      <c r="A570">
        <f>IF(COUNTBLANK(B570:K570)&lt;&gt;COLUMNS(B570:K570),569,"")</f>
        <v>0</v>
      </c>
      <c r="C570" s="1">
        <f>IF(B570="", "", "urban biome")</f>
        <v>0</v>
      </c>
      <c r="D570" s="1">
        <f>IF(B570="", "", "animal-associated habitat")</f>
        <v>0</v>
      </c>
      <c r="E570" s="2">
        <f>IF(B570="", "", "missing: not provided")</f>
        <v>0</v>
      </c>
      <c r="F570" s="1">
        <f>IF(B570="", "", "weeks")</f>
        <v>0</v>
      </c>
      <c r="G570" s="1">
        <f>IF(B570="", "", "mouse")</f>
        <v>0</v>
      </c>
      <c r="H570" s="1">
        <f>IF(B570="", "", "Mus musculus")</f>
        <v>0</v>
      </c>
      <c r="I570" s="1">
        <f>IF(B570="", "", "10090")</f>
        <v>0</v>
      </c>
      <c r="J570" s="2">
        <f>IF(B570="", "", "missing: not provided")</f>
        <v>0</v>
      </c>
      <c r="K570" s="1">
        <f>IF(B570="", "", "g")</f>
        <v>0</v>
      </c>
    </row>
    <row r="571" spans="1:11">
      <c r="A571">
        <f>IF(COUNTBLANK(B571:K571)&lt;&gt;COLUMNS(B571:K571),570,"")</f>
        <v>0</v>
      </c>
      <c r="C571" s="1">
        <f>IF(B571="", "", "urban biome")</f>
        <v>0</v>
      </c>
      <c r="D571" s="1">
        <f>IF(B571="", "", "animal-associated habitat")</f>
        <v>0</v>
      </c>
      <c r="E571" s="2">
        <f>IF(B571="", "", "missing: not provided")</f>
        <v>0</v>
      </c>
      <c r="F571" s="1">
        <f>IF(B571="", "", "weeks")</f>
        <v>0</v>
      </c>
      <c r="G571" s="1">
        <f>IF(B571="", "", "mouse")</f>
        <v>0</v>
      </c>
      <c r="H571" s="1">
        <f>IF(B571="", "", "Mus musculus")</f>
        <v>0</v>
      </c>
      <c r="I571" s="1">
        <f>IF(B571="", "", "10090")</f>
        <v>0</v>
      </c>
      <c r="J571" s="2">
        <f>IF(B571="", "", "missing: not provided")</f>
        <v>0</v>
      </c>
      <c r="K571" s="1">
        <f>IF(B571="", "", "g")</f>
        <v>0</v>
      </c>
    </row>
    <row r="572" spans="1:11">
      <c r="A572">
        <f>IF(COUNTBLANK(B572:K572)&lt;&gt;COLUMNS(B572:K572),571,"")</f>
        <v>0</v>
      </c>
      <c r="C572" s="1">
        <f>IF(B572="", "", "urban biome")</f>
        <v>0</v>
      </c>
      <c r="D572" s="1">
        <f>IF(B572="", "", "animal-associated habitat")</f>
        <v>0</v>
      </c>
      <c r="E572" s="2">
        <f>IF(B572="", "", "missing: not provided")</f>
        <v>0</v>
      </c>
      <c r="F572" s="1">
        <f>IF(B572="", "", "weeks")</f>
        <v>0</v>
      </c>
      <c r="G572" s="1">
        <f>IF(B572="", "", "mouse")</f>
        <v>0</v>
      </c>
      <c r="H572" s="1">
        <f>IF(B572="", "", "Mus musculus")</f>
        <v>0</v>
      </c>
      <c r="I572" s="1">
        <f>IF(B572="", "", "10090")</f>
        <v>0</v>
      </c>
      <c r="J572" s="2">
        <f>IF(B572="", "", "missing: not provided")</f>
        <v>0</v>
      </c>
      <c r="K572" s="1">
        <f>IF(B572="", "", "g")</f>
        <v>0</v>
      </c>
    </row>
    <row r="573" spans="1:11">
      <c r="A573">
        <f>IF(COUNTBLANK(B573:K573)&lt;&gt;COLUMNS(B573:K573),572,"")</f>
        <v>0</v>
      </c>
      <c r="C573" s="1">
        <f>IF(B573="", "", "urban biome")</f>
        <v>0</v>
      </c>
      <c r="D573" s="1">
        <f>IF(B573="", "", "animal-associated habitat")</f>
        <v>0</v>
      </c>
      <c r="E573" s="2">
        <f>IF(B573="", "", "missing: not provided")</f>
        <v>0</v>
      </c>
      <c r="F573" s="1">
        <f>IF(B573="", "", "weeks")</f>
        <v>0</v>
      </c>
      <c r="G573" s="1">
        <f>IF(B573="", "", "mouse")</f>
        <v>0</v>
      </c>
      <c r="H573" s="1">
        <f>IF(B573="", "", "Mus musculus")</f>
        <v>0</v>
      </c>
      <c r="I573" s="1">
        <f>IF(B573="", "", "10090")</f>
        <v>0</v>
      </c>
      <c r="J573" s="2">
        <f>IF(B573="", "", "missing: not provided")</f>
        <v>0</v>
      </c>
      <c r="K573" s="1">
        <f>IF(B573="", "", "g")</f>
        <v>0</v>
      </c>
    </row>
    <row r="574" spans="1:11">
      <c r="A574">
        <f>IF(COUNTBLANK(B574:K574)&lt;&gt;COLUMNS(B574:K574),573,"")</f>
        <v>0</v>
      </c>
      <c r="C574" s="1">
        <f>IF(B574="", "", "urban biome")</f>
        <v>0</v>
      </c>
      <c r="D574" s="1">
        <f>IF(B574="", "", "animal-associated habitat")</f>
        <v>0</v>
      </c>
      <c r="E574" s="2">
        <f>IF(B574="", "", "missing: not provided")</f>
        <v>0</v>
      </c>
      <c r="F574" s="1">
        <f>IF(B574="", "", "weeks")</f>
        <v>0</v>
      </c>
      <c r="G574" s="1">
        <f>IF(B574="", "", "mouse")</f>
        <v>0</v>
      </c>
      <c r="H574" s="1">
        <f>IF(B574="", "", "Mus musculus")</f>
        <v>0</v>
      </c>
      <c r="I574" s="1">
        <f>IF(B574="", "", "10090")</f>
        <v>0</v>
      </c>
      <c r="J574" s="2">
        <f>IF(B574="", "", "missing: not provided")</f>
        <v>0</v>
      </c>
      <c r="K574" s="1">
        <f>IF(B574="", "", "g")</f>
        <v>0</v>
      </c>
    </row>
    <row r="575" spans="1:11">
      <c r="A575">
        <f>IF(COUNTBLANK(B575:K575)&lt;&gt;COLUMNS(B575:K575),574,"")</f>
        <v>0</v>
      </c>
      <c r="C575" s="1">
        <f>IF(B575="", "", "urban biome")</f>
        <v>0</v>
      </c>
      <c r="D575" s="1">
        <f>IF(B575="", "", "animal-associated habitat")</f>
        <v>0</v>
      </c>
      <c r="E575" s="2">
        <f>IF(B575="", "", "missing: not provided")</f>
        <v>0</v>
      </c>
      <c r="F575" s="1">
        <f>IF(B575="", "", "weeks")</f>
        <v>0</v>
      </c>
      <c r="G575" s="1">
        <f>IF(B575="", "", "mouse")</f>
        <v>0</v>
      </c>
      <c r="H575" s="1">
        <f>IF(B575="", "", "Mus musculus")</f>
        <v>0</v>
      </c>
      <c r="I575" s="1">
        <f>IF(B575="", "", "10090")</f>
        <v>0</v>
      </c>
      <c r="J575" s="2">
        <f>IF(B575="", "", "missing: not provided")</f>
        <v>0</v>
      </c>
      <c r="K575" s="1">
        <f>IF(B575="", "", "g")</f>
        <v>0</v>
      </c>
    </row>
    <row r="576" spans="1:11">
      <c r="A576">
        <f>IF(COUNTBLANK(B576:K576)&lt;&gt;COLUMNS(B576:K576),575,"")</f>
        <v>0</v>
      </c>
      <c r="C576" s="1">
        <f>IF(B576="", "", "urban biome")</f>
        <v>0</v>
      </c>
      <c r="D576" s="1">
        <f>IF(B576="", "", "animal-associated habitat")</f>
        <v>0</v>
      </c>
      <c r="E576" s="2">
        <f>IF(B576="", "", "missing: not provided")</f>
        <v>0</v>
      </c>
      <c r="F576" s="1">
        <f>IF(B576="", "", "weeks")</f>
        <v>0</v>
      </c>
      <c r="G576" s="1">
        <f>IF(B576="", "", "mouse")</f>
        <v>0</v>
      </c>
      <c r="H576" s="1">
        <f>IF(B576="", "", "Mus musculus")</f>
        <v>0</v>
      </c>
      <c r="I576" s="1">
        <f>IF(B576="", "", "10090")</f>
        <v>0</v>
      </c>
      <c r="J576" s="2">
        <f>IF(B576="", "", "missing: not provided")</f>
        <v>0</v>
      </c>
      <c r="K576" s="1">
        <f>IF(B576="", "", "g")</f>
        <v>0</v>
      </c>
    </row>
    <row r="577" spans="1:11">
      <c r="A577">
        <f>IF(COUNTBLANK(B577:K577)&lt;&gt;COLUMNS(B577:K577),576,"")</f>
        <v>0</v>
      </c>
      <c r="C577" s="1">
        <f>IF(B577="", "", "urban biome")</f>
        <v>0</v>
      </c>
      <c r="D577" s="1">
        <f>IF(B577="", "", "animal-associated habitat")</f>
        <v>0</v>
      </c>
      <c r="E577" s="2">
        <f>IF(B577="", "", "missing: not provided")</f>
        <v>0</v>
      </c>
      <c r="F577" s="1">
        <f>IF(B577="", "", "weeks")</f>
        <v>0</v>
      </c>
      <c r="G577" s="1">
        <f>IF(B577="", "", "mouse")</f>
        <v>0</v>
      </c>
      <c r="H577" s="1">
        <f>IF(B577="", "", "Mus musculus")</f>
        <v>0</v>
      </c>
      <c r="I577" s="1">
        <f>IF(B577="", "", "10090")</f>
        <v>0</v>
      </c>
      <c r="J577" s="2">
        <f>IF(B577="", "", "missing: not provided")</f>
        <v>0</v>
      </c>
      <c r="K577" s="1">
        <f>IF(B577="", "", "g")</f>
        <v>0</v>
      </c>
    </row>
    <row r="578" spans="1:11">
      <c r="A578">
        <f>IF(COUNTBLANK(B578:K578)&lt;&gt;COLUMNS(B578:K578),577,"")</f>
        <v>0</v>
      </c>
      <c r="C578" s="1">
        <f>IF(B578="", "", "urban biome")</f>
        <v>0</v>
      </c>
      <c r="D578" s="1">
        <f>IF(B578="", "", "animal-associated habitat")</f>
        <v>0</v>
      </c>
      <c r="E578" s="2">
        <f>IF(B578="", "", "missing: not provided")</f>
        <v>0</v>
      </c>
      <c r="F578" s="1">
        <f>IF(B578="", "", "weeks")</f>
        <v>0</v>
      </c>
      <c r="G578" s="1">
        <f>IF(B578="", "", "mouse")</f>
        <v>0</v>
      </c>
      <c r="H578" s="1">
        <f>IF(B578="", "", "Mus musculus")</f>
        <v>0</v>
      </c>
      <c r="I578" s="1">
        <f>IF(B578="", "", "10090")</f>
        <v>0</v>
      </c>
      <c r="J578" s="2">
        <f>IF(B578="", "", "missing: not provided")</f>
        <v>0</v>
      </c>
      <c r="K578" s="1">
        <f>IF(B578="", "", "g")</f>
        <v>0</v>
      </c>
    </row>
    <row r="579" spans="1:11">
      <c r="A579">
        <f>IF(COUNTBLANK(B579:K579)&lt;&gt;COLUMNS(B579:K579),578,"")</f>
        <v>0</v>
      </c>
      <c r="C579" s="1">
        <f>IF(B579="", "", "urban biome")</f>
        <v>0</v>
      </c>
      <c r="D579" s="1">
        <f>IF(B579="", "", "animal-associated habitat")</f>
        <v>0</v>
      </c>
      <c r="E579" s="2">
        <f>IF(B579="", "", "missing: not provided")</f>
        <v>0</v>
      </c>
      <c r="F579" s="1">
        <f>IF(B579="", "", "weeks")</f>
        <v>0</v>
      </c>
      <c r="G579" s="1">
        <f>IF(B579="", "", "mouse")</f>
        <v>0</v>
      </c>
      <c r="H579" s="1">
        <f>IF(B579="", "", "Mus musculus")</f>
        <v>0</v>
      </c>
      <c r="I579" s="1">
        <f>IF(B579="", "", "10090")</f>
        <v>0</v>
      </c>
      <c r="J579" s="2">
        <f>IF(B579="", "", "missing: not provided")</f>
        <v>0</v>
      </c>
      <c r="K579" s="1">
        <f>IF(B579="", "", "g")</f>
        <v>0</v>
      </c>
    </row>
    <row r="580" spans="1:11">
      <c r="A580">
        <f>IF(COUNTBLANK(B580:K580)&lt;&gt;COLUMNS(B580:K580),579,"")</f>
        <v>0</v>
      </c>
      <c r="C580" s="1">
        <f>IF(B580="", "", "urban biome")</f>
        <v>0</v>
      </c>
      <c r="D580" s="1">
        <f>IF(B580="", "", "animal-associated habitat")</f>
        <v>0</v>
      </c>
      <c r="E580" s="2">
        <f>IF(B580="", "", "missing: not provided")</f>
        <v>0</v>
      </c>
      <c r="F580" s="1">
        <f>IF(B580="", "", "weeks")</f>
        <v>0</v>
      </c>
      <c r="G580" s="1">
        <f>IF(B580="", "", "mouse")</f>
        <v>0</v>
      </c>
      <c r="H580" s="1">
        <f>IF(B580="", "", "Mus musculus")</f>
        <v>0</v>
      </c>
      <c r="I580" s="1">
        <f>IF(B580="", "", "10090")</f>
        <v>0</v>
      </c>
      <c r="J580" s="2">
        <f>IF(B580="", "", "missing: not provided")</f>
        <v>0</v>
      </c>
      <c r="K580" s="1">
        <f>IF(B580="", "", "g")</f>
        <v>0</v>
      </c>
    </row>
    <row r="581" spans="1:11">
      <c r="A581">
        <f>IF(COUNTBLANK(B581:K581)&lt;&gt;COLUMNS(B581:K581),580,"")</f>
        <v>0</v>
      </c>
      <c r="C581" s="1">
        <f>IF(B581="", "", "urban biome")</f>
        <v>0</v>
      </c>
      <c r="D581" s="1">
        <f>IF(B581="", "", "animal-associated habitat")</f>
        <v>0</v>
      </c>
      <c r="E581" s="2">
        <f>IF(B581="", "", "missing: not provided")</f>
        <v>0</v>
      </c>
      <c r="F581" s="1">
        <f>IF(B581="", "", "weeks")</f>
        <v>0</v>
      </c>
      <c r="G581" s="1">
        <f>IF(B581="", "", "mouse")</f>
        <v>0</v>
      </c>
      <c r="H581" s="1">
        <f>IF(B581="", "", "Mus musculus")</f>
        <v>0</v>
      </c>
      <c r="I581" s="1">
        <f>IF(B581="", "", "10090")</f>
        <v>0</v>
      </c>
      <c r="J581" s="2">
        <f>IF(B581="", "", "missing: not provided")</f>
        <v>0</v>
      </c>
      <c r="K581" s="1">
        <f>IF(B581="", "", "g")</f>
        <v>0</v>
      </c>
    </row>
    <row r="582" spans="1:11">
      <c r="A582">
        <f>IF(COUNTBLANK(B582:K582)&lt;&gt;COLUMNS(B582:K582),581,"")</f>
        <v>0</v>
      </c>
      <c r="C582" s="1">
        <f>IF(B582="", "", "urban biome")</f>
        <v>0</v>
      </c>
      <c r="D582" s="1">
        <f>IF(B582="", "", "animal-associated habitat")</f>
        <v>0</v>
      </c>
      <c r="E582" s="2">
        <f>IF(B582="", "", "missing: not provided")</f>
        <v>0</v>
      </c>
      <c r="F582" s="1">
        <f>IF(B582="", "", "weeks")</f>
        <v>0</v>
      </c>
      <c r="G582" s="1">
        <f>IF(B582="", "", "mouse")</f>
        <v>0</v>
      </c>
      <c r="H582" s="1">
        <f>IF(B582="", "", "Mus musculus")</f>
        <v>0</v>
      </c>
      <c r="I582" s="1">
        <f>IF(B582="", "", "10090")</f>
        <v>0</v>
      </c>
      <c r="J582" s="2">
        <f>IF(B582="", "", "missing: not provided")</f>
        <v>0</v>
      </c>
      <c r="K582" s="1">
        <f>IF(B582="", "", "g")</f>
        <v>0</v>
      </c>
    </row>
    <row r="583" spans="1:11">
      <c r="A583">
        <f>IF(COUNTBLANK(B583:K583)&lt;&gt;COLUMNS(B583:K583),582,"")</f>
        <v>0</v>
      </c>
      <c r="C583" s="1">
        <f>IF(B583="", "", "urban biome")</f>
        <v>0</v>
      </c>
      <c r="D583" s="1">
        <f>IF(B583="", "", "animal-associated habitat")</f>
        <v>0</v>
      </c>
      <c r="E583" s="2">
        <f>IF(B583="", "", "missing: not provided")</f>
        <v>0</v>
      </c>
      <c r="F583" s="1">
        <f>IF(B583="", "", "weeks")</f>
        <v>0</v>
      </c>
      <c r="G583" s="1">
        <f>IF(B583="", "", "mouse")</f>
        <v>0</v>
      </c>
      <c r="H583" s="1">
        <f>IF(B583="", "", "Mus musculus")</f>
        <v>0</v>
      </c>
      <c r="I583" s="1">
        <f>IF(B583="", "", "10090")</f>
        <v>0</v>
      </c>
      <c r="J583" s="2">
        <f>IF(B583="", "", "missing: not provided")</f>
        <v>0</v>
      </c>
      <c r="K583" s="1">
        <f>IF(B583="", "", "g")</f>
        <v>0</v>
      </c>
    </row>
    <row r="584" spans="1:11">
      <c r="A584">
        <f>IF(COUNTBLANK(B584:K584)&lt;&gt;COLUMNS(B584:K584),583,"")</f>
        <v>0</v>
      </c>
      <c r="C584" s="1">
        <f>IF(B584="", "", "urban biome")</f>
        <v>0</v>
      </c>
      <c r="D584" s="1">
        <f>IF(B584="", "", "animal-associated habitat")</f>
        <v>0</v>
      </c>
      <c r="E584" s="2">
        <f>IF(B584="", "", "missing: not provided")</f>
        <v>0</v>
      </c>
      <c r="F584" s="1">
        <f>IF(B584="", "", "weeks")</f>
        <v>0</v>
      </c>
      <c r="G584" s="1">
        <f>IF(B584="", "", "mouse")</f>
        <v>0</v>
      </c>
      <c r="H584" s="1">
        <f>IF(B584="", "", "Mus musculus")</f>
        <v>0</v>
      </c>
      <c r="I584" s="1">
        <f>IF(B584="", "", "10090")</f>
        <v>0</v>
      </c>
      <c r="J584" s="2">
        <f>IF(B584="", "", "missing: not provided")</f>
        <v>0</v>
      </c>
      <c r="K584" s="1">
        <f>IF(B584="", "", "g")</f>
        <v>0</v>
      </c>
    </row>
    <row r="585" spans="1:11">
      <c r="A585">
        <f>IF(COUNTBLANK(B585:K585)&lt;&gt;COLUMNS(B585:K585),584,"")</f>
        <v>0</v>
      </c>
      <c r="C585" s="1">
        <f>IF(B585="", "", "urban biome")</f>
        <v>0</v>
      </c>
      <c r="D585" s="1">
        <f>IF(B585="", "", "animal-associated habitat")</f>
        <v>0</v>
      </c>
      <c r="E585" s="2">
        <f>IF(B585="", "", "missing: not provided")</f>
        <v>0</v>
      </c>
      <c r="F585" s="1">
        <f>IF(B585="", "", "weeks")</f>
        <v>0</v>
      </c>
      <c r="G585" s="1">
        <f>IF(B585="", "", "mouse")</f>
        <v>0</v>
      </c>
      <c r="H585" s="1">
        <f>IF(B585="", "", "Mus musculus")</f>
        <v>0</v>
      </c>
      <c r="I585" s="1">
        <f>IF(B585="", "", "10090")</f>
        <v>0</v>
      </c>
      <c r="J585" s="2">
        <f>IF(B585="", "", "missing: not provided")</f>
        <v>0</v>
      </c>
      <c r="K585" s="1">
        <f>IF(B585="", "", "g")</f>
        <v>0</v>
      </c>
    </row>
    <row r="586" spans="1:11">
      <c r="A586">
        <f>IF(COUNTBLANK(B586:K586)&lt;&gt;COLUMNS(B586:K586),585,"")</f>
        <v>0</v>
      </c>
      <c r="C586" s="1">
        <f>IF(B586="", "", "urban biome")</f>
        <v>0</v>
      </c>
      <c r="D586" s="1">
        <f>IF(B586="", "", "animal-associated habitat")</f>
        <v>0</v>
      </c>
      <c r="E586" s="2">
        <f>IF(B586="", "", "missing: not provided")</f>
        <v>0</v>
      </c>
      <c r="F586" s="1">
        <f>IF(B586="", "", "weeks")</f>
        <v>0</v>
      </c>
      <c r="G586" s="1">
        <f>IF(B586="", "", "mouse")</f>
        <v>0</v>
      </c>
      <c r="H586" s="1">
        <f>IF(B586="", "", "Mus musculus")</f>
        <v>0</v>
      </c>
      <c r="I586" s="1">
        <f>IF(B586="", "", "10090")</f>
        <v>0</v>
      </c>
      <c r="J586" s="2">
        <f>IF(B586="", "", "missing: not provided")</f>
        <v>0</v>
      </c>
      <c r="K586" s="1">
        <f>IF(B586="", "", "g")</f>
        <v>0</v>
      </c>
    </row>
    <row r="587" spans="1:11">
      <c r="A587">
        <f>IF(COUNTBLANK(B587:K587)&lt;&gt;COLUMNS(B587:K587),586,"")</f>
        <v>0</v>
      </c>
      <c r="C587" s="1">
        <f>IF(B587="", "", "urban biome")</f>
        <v>0</v>
      </c>
      <c r="D587" s="1">
        <f>IF(B587="", "", "animal-associated habitat")</f>
        <v>0</v>
      </c>
      <c r="E587" s="2">
        <f>IF(B587="", "", "missing: not provided")</f>
        <v>0</v>
      </c>
      <c r="F587" s="1">
        <f>IF(B587="", "", "weeks")</f>
        <v>0</v>
      </c>
      <c r="G587" s="1">
        <f>IF(B587="", "", "mouse")</f>
        <v>0</v>
      </c>
      <c r="H587" s="1">
        <f>IF(B587="", "", "Mus musculus")</f>
        <v>0</v>
      </c>
      <c r="I587" s="1">
        <f>IF(B587="", "", "10090")</f>
        <v>0</v>
      </c>
      <c r="J587" s="2">
        <f>IF(B587="", "", "missing: not provided")</f>
        <v>0</v>
      </c>
      <c r="K587" s="1">
        <f>IF(B587="", "", "g")</f>
        <v>0</v>
      </c>
    </row>
    <row r="588" spans="1:11">
      <c r="A588">
        <f>IF(COUNTBLANK(B588:K588)&lt;&gt;COLUMNS(B588:K588),587,"")</f>
        <v>0</v>
      </c>
      <c r="C588" s="1">
        <f>IF(B588="", "", "urban biome")</f>
        <v>0</v>
      </c>
      <c r="D588" s="1">
        <f>IF(B588="", "", "animal-associated habitat")</f>
        <v>0</v>
      </c>
      <c r="E588" s="2">
        <f>IF(B588="", "", "missing: not provided")</f>
        <v>0</v>
      </c>
      <c r="F588" s="1">
        <f>IF(B588="", "", "weeks")</f>
        <v>0</v>
      </c>
      <c r="G588" s="1">
        <f>IF(B588="", "", "mouse")</f>
        <v>0</v>
      </c>
      <c r="H588" s="1">
        <f>IF(B588="", "", "Mus musculus")</f>
        <v>0</v>
      </c>
      <c r="I588" s="1">
        <f>IF(B588="", "", "10090")</f>
        <v>0</v>
      </c>
      <c r="J588" s="2">
        <f>IF(B588="", "", "missing: not provided")</f>
        <v>0</v>
      </c>
      <c r="K588" s="1">
        <f>IF(B588="", "", "g")</f>
        <v>0</v>
      </c>
    </row>
    <row r="589" spans="1:11">
      <c r="A589">
        <f>IF(COUNTBLANK(B589:K589)&lt;&gt;COLUMNS(B589:K589),588,"")</f>
        <v>0</v>
      </c>
      <c r="C589" s="1">
        <f>IF(B589="", "", "urban biome")</f>
        <v>0</v>
      </c>
      <c r="D589" s="1">
        <f>IF(B589="", "", "animal-associated habitat")</f>
        <v>0</v>
      </c>
      <c r="E589" s="2">
        <f>IF(B589="", "", "missing: not provided")</f>
        <v>0</v>
      </c>
      <c r="F589" s="1">
        <f>IF(B589="", "", "weeks")</f>
        <v>0</v>
      </c>
      <c r="G589" s="1">
        <f>IF(B589="", "", "mouse")</f>
        <v>0</v>
      </c>
      <c r="H589" s="1">
        <f>IF(B589="", "", "Mus musculus")</f>
        <v>0</v>
      </c>
      <c r="I589" s="1">
        <f>IF(B589="", "", "10090")</f>
        <v>0</v>
      </c>
      <c r="J589" s="2">
        <f>IF(B589="", "", "missing: not provided")</f>
        <v>0</v>
      </c>
      <c r="K589" s="1">
        <f>IF(B589="", "", "g")</f>
        <v>0</v>
      </c>
    </row>
    <row r="590" spans="1:11">
      <c r="A590">
        <f>IF(COUNTBLANK(B590:K590)&lt;&gt;COLUMNS(B590:K590),589,"")</f>
        <v>0</v>
      </c>
      <c r="C590" s="1">
        <f>IF(B590="", "", "urban biome")</f>
        <v>0</v>
      </c>
      <c r="D590" s="1">
        <f>IF(B590="", "", "animal-associated habitat")</f>
        <v>0</v>
      </c>
      <c r="E590" s="2">
        <f>IF(B590="", "", "missing: not provided")</f>
        <v>0</v>
      </c>
      <c r="F590" s="1">
        <f>IF(B590="", "", "weeks")</f>
        <v>0</v>
      </c>
      <c r="G590" s="1">
        <f>IF(B590="", "", "mouse")</f>
        <v>0</v>
      </c>
      <c r="H590" s="1">
        <f>IF(B590="", "", "Mus musculus")</f>
        <v>0</v>
      </c>
      <c r="I590" s="1">
        <f>IF(B590="", "", "10090")</f>
        <v>0</v>
      </c>
      <c r="J590" s="2">
        <f>IF(B590="", "", "missing: not provided")</f>
        <v>0</v>
      </c>
      <c r="K590" s="1">
        <f>IF(B590="", "", "g")</f>
        <v>0</v>
      </c>
    </row>
    <row r="591" spans="1:11">
      <c r="A591">
        <f>IF(COUNTBLANK(B591:K591)&lt;&gt;COLUMNS(B591:K591),590,"")</f>
        <v>0</v>
      </c>
      <c r="C591" s="1">
        <f>IF(B591="", "", "urban biome")</f>
        <v>0</v>
      </c>
      <c r="D591" s="1">
        <f>IF(B591="", "", "animal-associated habitat")</f>
        <v>0</v>
      </c>
      <c r="E591" s="2">
        <f>IF(B591="", "", "missing: not provided")</f>
        <v>0</v>
      </c>
      <c r="F591" s="1">
        <f>IF(B591="", "", "weeks")</f>
        <v>0</v>
      </c>
      <c r="G591" s="1">
        <f>IF(B591="", "", "mouse")</f>
        <v>0</v>
      </c>
      <c r="H591" s="1">
        <f>IF(B591="", "", "Mus musculus")</f>
        <v>0</v>
      </c>
      <c r="I591" s="1">
        <f>IF(B591="", "", "10090")</f>
        <v>0</v>
      </c>
      <c r="J591" s="2">
        <f>IF(B591="", "", "missing: not provided")</f>
        <v>0</v>
      </c>
      <c r="K591" s="1">
        <f>IF(B591="", "", "g")</f>
        <v>0</v>
      </c>
    </row>
    <row r="592" spans="1:11">
      <c r="A592">
        <f>IF(COUNTBLANK(B592:K592)&lt;&gt;COLUMNS(B592:K592),591,"")</f>
        <v>0</v>
      </c>
      <c r="C592" s="1">
        <f>IF(B592="", "", "urban biome")</f>
        <v>0</v>
      </c>
      <c r="D592" s="1">
        <f>IF(B592="", "", "animal-associated habitat")</f>
        <v>0</v>
      </c>
      <c r="E592" s="2">
        <f>IF(B592="", "", "missing: not provided")</f>
        <v>0</v>
      </c>
      <c r="F592" s="1">
        <f>IF(B592="", "", "weeks")</f>
        <v>0</v>
      </c>
      <c r="G592" s="1">
        <f>IF(B592="", "", "mouse")</f>
        <v>0</v>
      </c>
      <c r="H592" s="1">
        <f>IF(B592="", "", "Mus musculus")</f>
        <v>0</v>
      </c>
      <c r="I592" s="1">
        <f>IF(B592="", "", "10090")</f>
        <v>0</v>
      </c>
      <c r="J592" s="2">
        <f>IF(B592="", "", "missing: not provided")</f>
        <v>0</v>
      </c>
      <c r="K592" s="1">
        <f>IF(B592="", "", "g")</f>
        <v>0</v>
      </c>
    </row>
    <row r="593" spans="1:11">
      <c r="A593">
        <f>IF(COUNTBLANK(B593:K593)&lt;&gt;COLUMNS(B593:K593),592,"")</f>
        <v>0</v>
      </c>
      <c r="C593" s="1">
        <f>IF(B593="", "", "urban biome")</f>
        <v>0</v>
      </c>
      <c r="D593" s="1">
        <f>IF(B593="", "", "animal-associated habitat")</f>
        <v>0</v>
      </c>
      <c r="E593" s="2">
        <f>IF(B593="", "", "missing: not provided")</f>
        <v>0</v>
      </c>
      <c r="F593" s="1">
        <f>IF(B593="", "", "weeks")</f>
        <v>0</v>
      </c>
      <c r="G593" s="1">
        <f>IF(B593="", "", "mouse")</f>
        <v>0</v>
      </c>
      <c r="H593" s="1">
        <f>IF(B593="", "", "Mus musculus")</f>
        <v>0</v>
      </c>
      <c r="I593" s="1">
        <f>IF(B593="", "", "10090")</f>
        <v>0</v>
      </c>
      <c r="J593" s="2">
        <f>IF(B593="", "", "missing: not provided")</f>
        <v>0</v>
      </c>
      <c r="K593" s="1">
        <f>IF(B593="", "", "g")</f>
        <v>0</v>
      </c>
    </row>
    <row r="594" spans="1:11">
      <c r="A594">
        <f>IF(COUNTBLANK(B594:K594)&lt;&gt;COLUMNS(B594:K594),593,"")</f>
        <v>0</v>
      </c>
      <c r="C594" s="1">
        <f>IF(B594="", "", "urban biome")</f>
        <v>0</v>
      </c>
      <c r="D594" s="1">
        <f>IF(B594="", "", "animal-associated habitat")</f>
        <v>0</v>
      </c>
      <c r="E594" s="2">
        <f>IF(B594="", "", "missing: not provided")</f>
        <v>0</v>
      </c>
      <c r="F594" s="1">
        <f>IF(B594="", "", "weeks")</f>
        <v>0</v>
      </c>
      <c r="G594" s="1">
        <f>IF(B594="", "", "mouse")</f>
        <v>0</v>
      </c>
      <c r="H594" s="1">
        <f>IF(B594="", "", "Mus musculus")</f>
        <v>0</v>
      </c>
      <c r="I594" s="1">
        <f>IF(B594="", "", "10090")</f>
        <v>0</v>
      </c>
      <c r="J594" s="2">
        <f>IF(B594="", "", "missing: not provided")</f>
        <v>0</v>
      </c>
      <c r="K594" s="1">
        <f>IF(B594="", "", "g")</f>
        <v>0</v>
      </c>
    </row>
    <row r="595" spans="1:11">
      <c r="A595">
        <f>IF(COUNTBLANK(B595:K595)&lt;&gt;COLUMNS(B595:K595),594,"")</f>
        <v>0</v>
      </c>
      <c r="C595" s="1">
        <f>IF(B595="", "", "urban biome")</f>
        <v>0</v>
      </c>
      <c r="D595" s="1">
        <f>IF(B595="", "", "animal-associated habitat")</f>
        <v>0</v>
      </c>
      <c r="E595" s="2">
        <f>IF(B595="", "", "missing: not provided")</f>
        <v>0</v>
      </c>
      <c r="F595" s="1">
        <f>IF(B595="", "", "weeks")</f>
        <v>0</v>
      </c>
      <c r="G595" s="1">
        <f>IF(B595="", "", "mouse")</f>
        <v>0</v>
      </c>
      <c r="H595" s="1">
        <f>IF(B595="", "", "Mus musculus")</f>
        <v>0</v>
      </c>
      <c r="I595" s="1">
        <f>IF(B595="", "", "10090")</f>
        <v>0</v>
      </c>
      <c r="J595" s="2">
        <f>IF(B595="", "", "missing: not provided")</f>
        <v>0</v>
      </c>
      <c r="K595" s="1">
        <f>IF(B595="", "", "g")</f>
        <v>0</v>
      </c>
    </row>
    <row r="596" spans="1:11">
      <c r="A596">
        <f>IF(COUNTBLANK(B596:K596)&lt;&gt;COLUMNS(B596:K596),595,"")</f>
        <v>0</v>
      </c>
      <c r="C596" s="1">
        <f>IF(B596="", "", "urban biome")</f>
        <v>0</v>
      </c>
      <c r="D596" s="1">
        <f>IF(B596="", "", "animal-associated habitat")</f>
        <v>0</v>
      </c>
      <c r="E596" s="2">
        <f>IF(B596="", "", "missing: not provided")</f>
        <v>0</v>
      </c>
      <c r="F596" s="1">
        <f>IF(B596="", "", "weeks")</f>
        <v>0</v>
      </c>
      <c r="G596" s="1">
        <f>IF(B596="", "", "mouse")</f>
        <v>0</v>
      </c>
      <c r="H596" s="1">
        <f>IF(B596="", "", "Mus musculus")</f>
        <v>0</v>
      </c>
      <c r="I596" s="1">
        <f>IF(B596="", "", "10090")</f>
        <v>0</v>
      </c>
      <c r="J596" s="2">
        <f>IF(B596="", "", "missing: not provided")</f>
        <v>0</v>
      </c>
      <c r="K596" s="1">
        <f>IF(B596="", "", "g")</f>
        <v>0</v>
      </c>
    </row>
    <row r="597" spans="1:11">
      <c r="A597">
        <f>IF(COUNTBLANK(B597:K597)&lt;&gt;COLUMNS(B597:K597),596,"")</f>
        <v>0</v>
      </c>
      <c r="C597" s="1">
        <f>IF(B597="", "", "urban biome")</f>
        <v>0</v>
      </c>
      <c r="D597" s="1">
        <f>IF(B597="", "", "animal-associated habitat")</f>
        <v>0</v>
      </c>
      <c r="E597" s="2">
        <f>IF(B597="", "", "missing: not provided")</f>
        <v>0</v>
      </c>
      <c r="F597" s="1">
        <f>IF(B597="", "", "weeks")</f>
        <v>0</v>
      </c>
      <c r="G597" s="1">
        <f>IF(B597="", "", "mouse")</f>
        <v>0</v>
      </c>
      <c r="H597" s="1">
        <f>IF(B597="", "", "Mus musculus")</f>
        <v>0</v>
      </c>
      <c r="I597" s="1">
        <f>IF(B597="", "", "10090")</f>
        <v>0</v>
      </c>
      <c r="J597" s="2">
        <f>IF(B597="", "", "missing: not provided")</f>
        <v>0</v>
      </c>
      <c r="K597" s="1">
        <f>IF(B597="", "", "g")</f>
        <v>0</v>
      </c>
    </row>
    <row r="598" spans="1:11">
      <c r="A598">
        <f>IF(COUNTBLANK(B598:K598)&lt;&gt;COLUMNS(B598:K598),597,"")</f>
        <v>0</v>
      </c>
      <c r="C598" s="1">
        <f>IF(B598="", "", "urban biome")</f>
        <v>0</v>
      </c>
      <c r="D598" s="1">
        <f>IF(B598="", "", "animal-associated habitat")</f>
        <v>0</v>
      </c>
      <c r="E598" s="2">
        <f>IF(B598="", "", "missing: not provided")</f>
        <v>0</v>
      </c>
      <c r="F598" s="1">
        <f>IF(B598="", "", "weeks")</f>
        <v>0</v>
      </c>
      <c r="G598" s="1">
        <f>IF(B598="", "", "mouse")</f>
        <v>0</v>
      </c>
      <c r="H598" s="1">
        <f>IF(B598="", "", "Mus musculus")</f>
        <v>0</v>
      </c>
      <c r="I598" s="1">
        <f>IF(B598="", "", "10090")</f>
        <v>0</v>
      </c>
      <c r="J598" s="2">
        <f>IF(B598="", "", "missing: not provided")</f>
        <v>0</v>
      </c>
      <c r="K598" s="1">
        <f>IF(B598="", "", "g")</f>
        <v>0</v>
      </c>
    </row>
    <row r="599" spans="1:11">
      <c r="A599">
        <f>IF(COUNTBLANK(B599:K599)&lt;&gt;COLUMNS(B599:K599),598,"")</f>
        <v>0</v>
      </c>
      <c r="C599" s="1">
        <f>IF(B599="", "", "urban biome")</f>
        <v>0</v>
      </c>
      <c r="D599" s="1">
        <f>IF(B599="", "", "animal-associated habitat")</f>
        <v>0</v>
      </c>
      <c r="E599" s="2">
        <f>IF(B599="", "", "missing: not provided")</f>
        <v>0</v>
      </c>
      <c r="F599" s="1">
        <f>IF(B599="", "", "weeks")</f>
        <v>0</v>
      </c>
      <c r="G599" s="1">
        <f>IF(B599="", "", "mouse")</f>
        <v>0</v>
      </c>
      <c r="H599" s="1">
        <f>IF(B599="", "", "Mus musculus")</f>
        <v>0</v>
      </c>
      <c r="I599" s="1">
        <f>IF(B599="", "", "10090")</f>
        <v>0</v>
      </c>
      <c r="J599" s="2">
        <f>IF(B599="", "", "missing: not provided")</f>
        <v>0</v>
      </c>
      <c r="K599" s="1">
        <f>IF(B599="", "", "g")</f>
        <v>0</v>
      </c>
    </row>
    <row r="600" spans="1:11">
      <c r="A600">
        <f>IF(COUNTBLANK(B600:K600)&lt;&gt;COLUMNS(B600:K600),599,"")</f>
        <v>0</v>
      </c>
      <c r="C600" s="1">
        <f>IF(B600="", "", "urban biome")</f>
        <v>0</v>
      </c>
      <c r="D600" s="1">
        <f>IF(B600="", "", "animal-associated habitat")</f>
        <v>0</v>
      </c>
      <c r="E600" s="2">
        <f>IF(B600="", "", "missing: not provided")</f>
        <v>0</v>
      </c>
      <c r="F600" s="1">
        <f>IF(B600="", "", "weeks")</f>
        <v>0</v>
      </c>
      <c r="G600" s="1">
        <f>IF(B600="", "", "mouse")</f>
        <v>0</v>
      </c>
      <c r="H600" s="1">
        <f>IF(B600="", "", "Mus musculus")</f>
        <v>0</v>
      </c>
      <c r="I600" s="1">
        <f>IF(B600="", "", "10090")</f>
        <v>0</v>
      </c>
      <c r="J600" s="2">
        <f>IF(B600="", "", "missing: not provided")</f>
        <v>0</v>
      </c>
      <c r="K600" s="1">
        <f>IF(B600="", "", "g")</f>
        <v>0</v>
      </c>
    </row>
    <row r="601" spans="1:11">
      <c r="A601">
        <f>IF(COUNTBLANK(B601:K601)&lt;&gt;COLUMNS(B601:K601),600,"")</f>
        <v>0</v>
      </c>
      <c r="C601" s="1">
        <f>IF(B601="", "", "urban biome")</f>
        <v>0</v>
      </c>
      <c r="D601" s="1">
        <f>IF(B601="", "", "animal-associated habitat")</f>
        <v>0</v>
      </c>
      <c r="E601" s="2">
        <f>IF(B601="", "", "missing: not provided")</f>
        <v>0</v>
      </c>
      <c r="F601" s="1">
        <f>IF(B601="", "", "weeks")</f>
        <v>0</v>
      </c>
      <c r="G601" s="1">
        <f>IF(B601="", "", "mouse")</f>
        <v>0</v>
      </c>
      <c r="H601" s="1">
        <f>IF(B601="", "", "Mus musculus")</f>
        <v>0</v>
      </c>
      <c r="I601" s="1">
        <f>IF(B601="", "", "10090")</f>
        <v>0</v>
      </c>
      <c r="J601" s="2">
        <f>IF(B601="", "", "missing: not provided")</f>
        <v>0</v>
      </c>
      <c r="K601" s="1">
        <f>IF(B601="", "", "g")</f>
        <v>0</v>
      </c>
    </row>
    <row r="602" spans="1:11">
      <c r="A602">
        <f>IF(COUNTBLANK(B602:K602)&lt;&gt;COLUMNS(B602:K602),601,"")</f>
        <v>0</v>
      </c>
      <c r="C602" s="1">
        <f>IF(B602="", "", "urban biome")</f>
        <v>0</v>
      </c>
      <c r="D602" s="1">
        <f>IF(B602="", "", "animal-associated habitat")</f>
        <v>0</v>
      </c>
      <c r="E602" s="2">
        <f>IF(B602="", "", "missing: not provided")</f>
        <v>0</v>
      </c>
      <c r="F602" s="1">
        <f>IF(B602="", "", "weeks")</f>
        <v>0</v>
      </c>
      <c r="G602" s="1">
        <f>IF(B602="", "", "mouse")</f>
        <v>0</v>
      </c>
      <c r="H602" s="1">
        <f>IF(B602="", "", "Mus musculus")</f>
        <v>0</v>
      </c>
      <c r="I602" s="1">
        <f>IF(B602="", "", "10090")</f>
        <v>0</v>
      </c>
      <c r="J602" s="2">
        <f>IF(B602="", "", "missing: not provided")</f>
        <v>0</v>
      </c>
      <c r="K602" s="1">
        <f>IF(B602="", "", "g")</f>
        <v>0</v>
      </c>
    </row>
    <row r="603" spans="1:11">
      <c r="A603">
        <f>IF(COUNTBLANK(B603:K603)&lt;&gt;COLUMNS(B603:K603),602,"")</f>
        <v>0</v>
      </c>
      <c r="C603" s="1">
        <f>IF(B603="", "", "urban biome")</f>
        <v>0</v>
      </c>
      <c r="D603" s="1">
        <f>IF(B603="", "", "animal-associated habitat")</f>
        <v>0</v>
      </c>
      <c r="E603" s="2">
        <f>IF(B603="", "", "missing: not provided")</f>
        <v>0</v>
      </c>
      <c r="F603" s="1">
        <f>IF(B603="", "", "weeks")</f>
        <v>0</v>
      </c>
      <c r="G603" s="1">
        <f>IF(B603="", "", "mouse")</f>
        <v>0</v>
      </c>
      <c r="H603" s="1">
        <f>IF(B603="", "", "Mus musculus")</f>
        <v>0</v>
      </c>
      <c r="I603" s="1">
        <f>IF(B603="", "", "10090")</f>
        <v>0</v>
      </c>
      <c r="J603" s="2">
        <f>IF(B603="", "", "missing: not provided")</f>
        <v>0</v>
      </c>
      <c r="K603" s="1">
        <f>IF(B603="", "", "g")</f>
        <v>0</v>
      </c>
    </row>
    <row r="604" spans="1:11">
      <c r="A604">
        <f>IF(COUNTBLANK(B604:K604)&lt;&gt;COLUMNS(B604:K604),603,"")</f>
        <v>0</v>
      </c>
      <c r="C604" s="1">
        <f>IF(B604="", "", "urban biome")</f>
        <v>0</v>
      </c>
      <c r="D604" s="1">
        <f>IF(B604="", "", "animal-associated habitat")</f>
        <v>0</v>
      </c>
      <c r="E604" s="2">
        <f>IF(B604="", "", "missing: not provided")</f>
        <v>0</v>
      </c>
      <c r="F604" s="1">
        <f>IF(B604="", "", "weeks")</f>
        <v>0</v>
      </c>
      <c r="G604" s="1">
        <f>IF(B604="", "", "mouse")</f>
        <v>0</v>
      </c>
      <c r="H604" s="1">
        <f>IF(B604="", "", "Mus musculus")</f>
        <v>0</v>
      </c>
      <c r="I604" s="1">
        <f>IF(B604="", "", "10090")</f>
        <v>0</v>
      </c>
      <c r="J604" s="2">
        <f>IF(B604="", "", "missing: not provided")</f>
        <v>0</v>
      </c>
      <c r="K604" s="1">
        <f>IF(B604="", "", "g")</f>
        <v>0</v>
      </c>
    </row>
    <row r="605" spans="1:11">
      <c r="A605">
        <f>IF(COUNTBLANK(B605:K605)&lt;&gt;COLUMNS(B605:K605),604,"")</f>
        <v>0</v>
      </c>
      <c r="C605" s="1">
        <f>IF(B605="", "", "urban biome")</f>
        <v>0</v>
      </c>
      <c r="D605" s="1">
        <f>IF(B605="", "", "animal-associated habitat")</f>
        <v>0</v>
      </c>
      <c r="E605" s="2">
        <f>IF(B605="", "", "missing: not provided")</f>
        <v>0</v>
      </c>
      <c r="F605" s="1">
        <f>IF(B605="", "", "weeks")</f>
        <v>0</v>
      </c>
      <c r="G605" s="1">
        <f>IF(B605="", "", "mouse")</f>
        <v>0</v>
      </c>
      <c r="H605" s="1">
        <f>IF(B605="", "", "Mus musculus")</f>
        <v>0</v>
      </c>
      <c r="I605" s="1">
        <f>IF(B605="", "", "10090")</f>
        <v>0</v>
      </c>
      <c r="J605" s="2">
        <f>IF(B605="", "", "missing: not provided")</f>
        <v>0</v>
      </c>
      <c r="K605" s="1">
        <f>IF(B605="", "", "g")</f>
        <v>0</v>
      </c>
    </row>
    <row r="606" spans="1:11">
      <c r="A606">
        <f>IF(COUNTBLANK(B606:K606)&lt;&gt;COLUMNS(B606:K606),605,"")</f>
        <v>0</v>
      </c>
      <c r="C606" s="1">
        <f>IF(B606="", "", "urban biome")</f>
        <v>0</v>
      </c>
      <c r="D606" s="1">
        <f>IF(B606="", "", "animal-associated habitat")</f>
        <v>0</v>
      </c>
      <c r="E606" s="2">
        <f>IF(B606="", "", "missing: not provided")</f>
        <v>0</v>
      </c>
      <c r="F606" s="1">
        <f>IF(B606="", "", "weeks")</f>
        <v>0</v>
      </c>
      <c r="G606" s="1">
        <f>IF(B606="", "", "mouse")</f>
        <v>0</v>
      </c>
      <c r="H606" s="1">
        <f>IF(B606="", "", "Mus musculus")</f>
        <v>0</v>
      </c>
      <c r="I606" s="1">
        <f>IF(B606="", "", "10090")</f>
        <v>0</v>
      </c>
      <c r="J606" s="2">
        <f>IF(B606="", "", "missing: not provided")</f>
        <v>0</v>
      </c>
      <c r="K606" s="1">
        <f>IF(B606="", "", "g")</f>
        <v>0</v>
      </c>
    </row>
    <row r="607" spans="1:11">
      <c r="A607">
        <f>IF(COUNTBLANK(B607:K607)&lt;&gt;COLUMNS(B607:K607),606,"")</f>
        <v>0</v>
      </c>
      <c r="C607" s="1">
        <f>IF(B607="", "", "urban biome")</f>
        <v>0</v>
      </c>
      <c r="D607" s="1">
        <f>IF(B607="", "", "animal-associated habitat")</f>
        <v>0</v>
      </c>
      <c r="E607" s="2">
        <f>IF(B607="", "", "missing: not provided")</f>
        <v>0</v>
      </c>
      <c r="F607" s="1">
        <f>IF(B607="", "", "weeks")</f>
        <v>0</v>
      </c>
      <c r="G607" s="1">
        <f>IF(B607="", "", "mouse")</f>
        <v>0</v>
      </c>
      <c r="H607" s="1">
        <f>IF(B607="", "", "Mus musculus")</f>
        <v>0</v>
      </c>
      <c r="I607" s="1">
        <f>IF(B607="", "", "10090")</f>
        <v>0</v>
      </c>
      <c r="J607" s="2">
        <f>IF(B607="", "", "missing: not provided")</f>
        <v>0</v>
      </c>
      <c r="K607" s="1">
        <f>IF(B607="", "", "g")</f>
        <v>0</v>
      </c>
    </row>
    <row r="608" spans="1:11">
      <c r="A608">
        <f>IF(COUNTBLANK(B608:K608)&lt;&gt;COLUMNS(B608:K608),607,"")</f>
        <v>0</v>
      </c>
      <c r="C608" s="1">
        <f>IF(B608="", "", "urban biome")</f>
        <v>0</v>
      </c>
      <c r="D608" s="1">
        <f>IF(B608="", "", "animal-associated habitat")</f>
        <v>0</v>
      </c>
      <c r="E608" s="2">
        <f>IF(B608="", "", "missing: not provided")</f>
        <v>0</v>
      </c>
      <c r="F608" s="1">
        <f>IF(B608="", "", "weeks")</f>
        <v>0</v>
      </c>
      <c r="G608" s="1">
        <f>IF(B608="", "", "mouse")</f>
        <v>0</v>
      </c>
      <c r="H608" s="1">
        <f>IF(B608="", "", "Mus musculus")</f>
        <v>0</v>
      </c>
      <c r="I608" s="1">
        <f>IF(B608="", "", "10090")</f>
        <v>0</v>
      </c>
      <c r="J608" s="2">
        <f>IF(B608="", "", "missing: not provided")</f>
        <v>0</v>
      </c>
      <c r="K608" s="1">
        <f>IF(B608="", "", "g")</f>
        <v>0</v>
      </c>
    </row>
    <row r="609" spans="1:11">
      <c r="A609">
        <f>IF(COUNTBLANK(B609:K609)&lt;&gt;COLUMNS(B609:K609),608,"")</f>
        <v>0</v>
      </c>
      <c r="C609" s="1">
        <f>IF(B609="", "", "urban biome")</f>
        <v>0</v>
      </c>
      <c r="D609" s="1">
        <f>IF(B609="", "", "animal-associated habitat")</f>
        <v>0</v>
      </c>
      <c r="E609" s="2">
        <f>IF(B609="", "", "missing: not provided")</f>
        <v>0</v>
      </c>
      <c r="F609" s="1">
        <f>IF(B609="", "", "weeks")</f>
        <v>0</v>
      </c>
      <c r="G609" s="1">
        <f>IF(B609="", "", "mouse")</f>
        <v>0</v>
      </c>
      <c r="H609" s="1">
        <f>IF(B609="", "", "Mus musculus")</f>
        <v>0</v>
      </c>
      <c r="I609" s="1">
        <f>IF(B609="", "", "10090")</f>
        <v>0</v>
      </c>
      <c r="J609" s="2">
        <f>IF(B609="", "", "missing: not provided")</f>
        <v>0</v>
      </c>
      <c r="K609" s="1">
        <f>IF(B609="", "", "g")</f>
        <v>0</v>
      </c>
    </row>
    <row r="610" spans="1:11">
      <c r="A610">
        <f>IF(COUNTBLANK(B610:K610)&lt;&gt;COLUMNS(B610:K610),609,"")</f>
        <v>0</v>
      </c>
      <c r="C610" s="1">
        <f>IF(B610="", "", "urban biome")</f>
        <v>0</v>
      </c>
      <c r="D610" s="1">
        <f>IF(B610="", "", "animal-associated habitat")</f>
        <v>0</v>
      </c>
      <c r="E610" s="2">
        <f>IF(B610="", "", "missing: not provided")</f>
        <v>0</v>
      </c>
      <c r="F610" s="1">
        <f>IF(B610="", "", "weeks")</f>
        <v>0</v>
      </c>
      <c r="G610" s="1">
        <f>IF(B610="", "", "mouse")</f>
        <v>0</v>
      </c>
      <c r="H610" s="1">
        <f>IF(B610="", "", "Mus musculus")</f>
        <v>0</v>
      </c>
      <c r="I610" s="1">
        <f>IF(B610="", "", "10090")</f>
        <v>0</v>
      </c>
      <c r="J610" s="2">
        <f>IF(B610="", "", "missing: not provided")</f>
        <v>0</v>
      </c>
      <c r="K610" s="1">
        <f>IF(B610="", "", "g")</f>
        <v>0</v>
      </c>
    </row>
    <row r="611" spans="1:11">
      <c r="A611">
        <f>IF(COUNTBLANK(B611:K611)&lt;&gt;COLUMNS(B611:K611),610,"")</f>
        <v>0</v>
      </c>
      <c r="C611" s="1">
        <f>IF(B611="", "", "urban biome")</f>
        <v>0</v>
      </c>
      <c r="D611" s="1">
        <f>IF(B611="", "", "animal-associated habitat")</f>
        <v>0</v>
      </c>
      <c r="E611" s="2">
        <f>IF(B611="", "", "missing: not provided")</f>
        <v>0</v>
      </c>
      <c r="F611" s="1">
        <f>IF(B611="", "", "weeks")</f>
        <v>0</v>
      </c>
      <c r="G611" s="1">
        <f>IF(B611="", "", "mouse")</f>
        <v>0</v>
      </c>
      <c r="H611" s="1">
        <f>IF(B611="", "", "Mus musculus")</f>
        <v>0</v>
      </c>
      <c r="I611" s="1">
        <f>IF(B611="", "", "10090")</f>
        <v>0</v>
      </c>
      <c r="J611" s="2">
        <f>IF(B611="", "", "missing: not provided")</f>
        <v>0</v>
      </c>
      <c r="K611" s="1">
        <f>IF(B611="", "", "g")</f>
        <v>0</v>
      </c>
    </row>
    <row r="612" spans="1:11">
      <c r="A612">
        <f>IF(COUNTBLANK(B612:K612)&lt;&gt;COLUMNS(B612:K612),611,"")</f>
        <v>0</v>
      </c>
      <c r="C612" s="1">
        <f>IF(B612="", "", "urban biome")</f>
        <v>0</v>
      </c>
      <c r="D612" s="1">
        <f>IF(B612="", "", "animal-associated habitat")</f>
        <v>0</v>
      </c>
      <c r="E612" s="2">
        <f>IF(B612="", "", "missing: not provided")</f>
        <v>0</v>
      </c>
      <c r="F612" s="1">
        <f>IF(B612="", "", "weeks")</f>
        <v>0</v>
      </c>
      <c r="G612" s="1">
        <f>IF(B612="", "", "mouse")</f>
        <v>0</v>
      </c>
      <c r="H612" s="1">
        <f>IF(B612="", "", "Mus musculus")</f>
        <v>0</v>
      </c>
      <c r="I612" s="1">
        <f>IF(B612="", "", "10090")</f>
        <v>0</v>
      </c>
      <c r="J612" s="2">
        <f>IF(B612="", "", "missing: not provided")</f>
        <v>0</v>
      </c>
      <c r="K612" s="1">
        <f>IF(B612="", "", "g")</f>
        <v>0</v>
      </c>
    </row>
    <row r="613" spans="1:11">
      <c r="A613">
        <f>IF(COUNTBLANK(B613:K613)&lt;&gt;COLUMNS(B613:K613),612,"")</f>
        <v>0</v>
      </c>
      <c r="C613" s="1">
        <f>IF(B613="", "", "urban biome")</f>
        <v>0</v>
      </c>
      <c r="D613" s="1">
        <f>IF(B613="", "", "animal-associated habitat")</f>
        <v>0</v>
      </c>
      <c r="E613" s="2">
        <f>IF(B613="", "", "missing: not provided")</f>
        <v>0</v>
      </c>
      <c r="F613" s="1">
        <f>IF(B613="", "", "weeks")</f>
        <v>0</v>
      </c>
      <c r="G613" s="1">
        <f>IF(B613="", "", "mouse")</f>
        <v>0</v>
      </c>
      <c r="H613" s="1">
        <f>IF(B613="", "", "Mus musculus")</f>
        <v>0</v>
      </c>
      <c r="I613" s="1">
        <f>IF(B613="", "", "10090")</f>
        <v>0</v>
      </c>
      <c r="J613" s="2">
        <f>IF(B613="", "", "missing: not provided")</f>
        <v>0</v>
      </c>
      <c r="K613" s="1">
        <f>IF(B613="", "", "g")</f>
        <v>0</v>
      </c>
    </row>
    <row r="614" spans="1:11">
      <c r="A614">
        <f>IF(COUNTBLANK(B614:K614)&lt;&gt;COLUMNS(B614:K614),613,"")</f>
        <v>0</v>
      </c>
      <c r="C614" s="1">
        <f>IF(B614="", "", "urban biome")</f>
        <v>0</v>
      </c>
      <c r="D614" s="1">
        <f>IF(B614="", "", "animal-associated habitat")</f>
        <v>0</v>
      </c>
      <c r="E614" s="2">
        <f>IF(B614="", "", "missing: not provided")</f>
        <v>0</v>
      </c>
      <c r="F614" s="1">
        <f>IF(B614="", "", "weeks")</f>
        <v>0</v>
      </c>
      <c r="G614" s="1">
        <f>IF(B614="", "", "mouse")</f>
        <v>0</v>
      </c>
      <c r="H614" s="1">
        <f>IF(B614="", "", "Mus musculus")</f>
        <v>0</v>
      </c>
      <c r="I614" s="1">
        <f>IF(B614="", "", "10090")</f>
        <v>0</v>
      </c>
      <c r="J614" s="2">
        <f>IF(B614="", "", "missing: not provided")</f>
        <v>0</v>
      </c>
      <c r="K614" s="1">
        <f>IF(B614="", "", "g")</f>
        <v>0</v>
      </c>
    </row>
    <row r="615" spans="1:11">
      <c r="A615">
        <f>IF(COUNTBLANK(B615:K615)&lt;&gt;COLUMNS(B615:K615),614,"")</f>
        <v>0</v>
      </c>
      <c r="C615" s="1">
        <f>IF(B615="", "", "urban biome")</f>
        <v>0</v>
      </c>
      <c r="D615" s="1">
        <f>IF(B615="", "", "animal-associated habitat")</f>
        <v>0</v>
      </c>
      <c r="E615" s="2">
        <f>IF(B615="", "", "missing: not provided")</f>
        <v>0</v>
      </c>
      <c r="F615" s="1">
        <f>IF(B615="", "", "weeks")</f>
        <v>0</v>
      </c>
      <c r="G615" s="1">
        <f>IF(B615="", "", "mouse")</f>
        <v>0</v>
      </c>
      <c r="H615" s="1">
        <f>IF(B615="", "", "Mus musculus")</f>
        <v>0</v>
      </c>
      <c r="I615" s="1">
        <f>IF(B615="", "", "10090")</f>
        <v>0</v>
      </c>
      <c r="J615" s="2">
        <f>IF(B615="", "", "missing: not provided")</f>
        <v>0</v>
      </c>
      <c r="K615" s="1">
        <f>IF(B615="", "", "g")</f>
        <v>0</v>
      </c>
    </row>
    <row r="616" spans="1:11">
      <c r="A616">
        <f>IF(COUNTBLANK(B616:K616)&lt;&gt;COLUMNS(B616:K616),615,"")</f>
        <v>0</v>
      </c>
      <c r="C616" s="1">
        <f>IF(B616="", "", "urban biome")</f>
        <v>0</v>
      </c>
      <c r="D616" s="1">
        <f>IF(B616="", "", "animal-associated habitat")</f>
        <v>0</v>
      </c>
      <c r="E616" s="2">
        <f>IF(B616="", "", "missing: not provided")</f>
        <v>0</v>
      </c>
      <c r="F616" s="1">
        <f>IF(B616="", "", "weeks")</f>
        <v>0</v>
      </c>
      <c r="G616" s="1">
        <f>IF(B616="", "", "mouse")</f>
        <v>0</v>
      </c>
      <c r="H616" s="1">
        <f>IF(B616="", "", "Mus musculus")</f>
        <v>0</v>
      </c>
      <c r="I616" s="1">
        <f>IF(B616="", "", "10090")</f>
        <v>0</v>
      </c>
      <c r="J616" s="2">
        <f>IF(B616="", "", "missing: not provided")</f>
        <v>0</v>
      </c>
      <c r="K616" s="1">
        <f>IF(B616="", "", "g")</f>
        <v>0</v>
      </c>
    </row>
    <row r="617" spans="1:11">
      <c r="A617">
        <f>IF(COUNTBLANK(B617:K617)&lt;&gt;COLUMNS(B617:K617),616,"")</f>
        <v>0</v>
      </c>
      <c r="C617" s="1">
        <f>IF(B617="", "", "urban biome")</f>
        <v>0</v>
      </c>
      <c r="D617" s="1">
        <f>IF(B617="", "", "animal-associated habitat")</f>
        <v>0</v>
      </c>
      <c r="E617" s="2">
        <f>IF(B617="", "", "missing: not provided")</f>
        <v>0</v>
      </c>
      <c r="F617" s="1">
        <f>IF(B617="", "", "weeks")</f>
        <v>0</v>
      </c>
      <c r="G617" s="1">
        <f>IF(B617="", "", "mouse")</f>
        <v>0</v>
      </c>
      <c r="H617" s="1">
        <f>IF(B617="", "", "Mus musculus")</f>
        <v>0</v>
      </c>
      <c r="I617" s="1">
        <f>IF(B617="", "", "10090")</f>
        <v>0</v>
      </c>
      <c r="J617" s="2">
        <f>IF(B617="", "", "missing: not provided")</f>
        <v>0</v>
      </c>
      <c r="K617" s="1">
        <f>IF(B617="", "", "g")</f>
        <v>0</v>
      </c>
    </row>
    <row r="618" spans="1:11">
      <c r="A618">
        <f>IF(COUNTBLANK(B618:K618)&lt;&gt;COLUMNS(B618:K618),617,"")</f>
        <v>0</v>
      </c>
      <c r="C618" s="1">
        <f>IF(B618="", "", "urban biome")</f>
        <v>0</v>
      </c>
      <c r="D618" s="1">
        <f>IF(B618="", "", "animal-associated habitat")</f>
        <v>0</v>
      </c>
      <c r="E618" s="2">
        <f>IF(B618="", "", "missing: not provided")</f>
        <v>0</v>
      </c>
      <c r="F618" s="1">
        <f>IF(B618="", "", "weeks")</f>
        <v>0</v>
      </c>
      <c r="G618" s="1">
        <f>IF(B618="", "", "mouse")</f>
        <v>0</v>
      </c>
      <c r="H618" s="1">
        <f>IF(B618="", "", "Mus musculus")</f>
        <v>0</v>
      </c>
      <c r="I618" s="1">
        <f>IF(B618="", "", "10090")</f>
        <v>0</v>
      </c>
      <c r="J618" s="2">
        <f>IF(B618="", "", "missing: not provided")</f>
        <v>0</v>
      </c>
      <c r="K618" s="1">
        <f>IF(B618="", "", "g")</f>
        <v>0</v>
      </c>
    </row>
    <row r="619" spans="1:11">
      <c r="A619">
        <f>IF(COUNTBLANK(B619:K619)&lt;&gt;COLUMNS(B619:K619),618,"")</f>
        <v>0</v>
      </c>
      <c r="C619" s="1">
        <f>IF(B619="", "", "urban biome")</f>
        <v>0</v>
      </c>
      <c r="D619" s="1">
        <f>IF(B619="", "", "animal-associated habitat")</f>
        <v>0</v>
      </c>
      <c r="E619" s="2">
        <f>IF(B619="", "", "missing: not provided")</f>
        <v>0</v>
      </c>
      <c r="F619" s="1">
        <f>IF(B619="", "", "weeks")</f>
        <v>0</v>
      </c>
      <c r="G619" s="1">
        <f>IF(B619="", "", "mouse")</f>
        <v>0</v>
      </c>
      <c r="H619" s="1">
        <f>IF(B619="", "", "Mus musculus")</f>
        <v>0</v>
      </c>
      <c r="I619" s="1">
        <f>IF(B619="", "", "10090")</f>
        <v>0</v>
      </c>
      <c r="J619" s="2">
        <f>IF(B619="", "", "missing: not provided")</f>
        <v>0</v>
      </c>
      <c r="K619" s="1">
        <f>IF(B619="", "", "g")</f>
        <v>0</v>
      </c>
    </row>
    <row r="620" spans="1:11">
      <c r="A620">
        <f>IF(COUNTBLANK(B620:K620)&lt;&gt;COLUMNS(B620:K620),619,"")</f>
        <v>0</v>
      </c>
      <c r="C620" s="1">
        <f>IF(B620="", "", "urban biome")</f>
        <v>0</v>
      </c>
      <c r="D620" s="1">
        <f>IF(B620="", "", "animal-associated habitat")</f>
        <v>0</v>
      </c>
      <c r="E620" s="2">
        <f>IF(B620="", "", "missing: not provided")</f>
        <v>0</v>
      </c>
      <c r="F620" s="1">
        <f>IF(B620="", "", "weeks")</f>
        <v>0</v>
      </c>
      <c r="G620" s="1">
        <f>IF(B620="", "", "mouse")</f>
        <v>0</v>
      </c>
      <c r="H620" s="1">
        <f>IF(B620="", "", "Mus musculus")</f>
        <v>0</v>
      </c>
      <c r="I620" s="1">
        <f>IF(B620="", "", "10090")</f>
        <v>0</v>
      </c>
      <c r="J620" s="2">
        <f>IF(B620="", "", "missing: not provided")</f>
        <v>0</v>
      </c>
      <c r="K620" s="1">
        <f>IF(B620="", "", "g")</f>
        <v>0</v>
      </c>
    </row>
    <row r="621" spans="1:11">
      <c r="A621">
        <f>IF(COUNTBLANK(B621:K621)&lt;&gt;COLUMNS(B621:K621),620,"")</f>
        <v>0</v>
      </c>
      <c r="C621" s="1">
        <f>IF(B621="", "", "urban biome")</f>
        <v>0</v>
      </c>
      <c r="D621" s="1">
        <f>IF(B621="", "", "animal-associated habitat")</f>
        <v>0</v>
      </c>
      <c r="E621" s="2">
        <f>IF(B621="", "", "missing: not provided")</f>
        <v>0</v>
      </c>
      <c r="F621" s="1">
        <f>IF(B621="", "", "weeks")</f>
        <v>0</v>
      </c>
      <c r="G621" s="1">
        <f>IF(B621="", "", "mouse")</f>
        <v>0</v>
      </c>
      <c r="H621" s="1">
        <f>IF(B621="", "", "Mus musculus")</f>
        <v>0</v>
      </c>
      <c r="I621" s="1">
        <f>IF(B621="", "", "10090")</f>
        <v>0</v>
      </c>
      <c r="J621" s="2">
        <f>IF(B621="", "", "missing: not provided")</f>
        <v>0</v>
      </c>
      <c r="K621" s="1">
        <f>IF(B621="", "", "g")</f>
        <v>0</v>
      </c>
    </row>
    <row r="622" spans="1:11">
      <c r="A622">
        <f>IF(COUNTBLANK(B622:K622)&lt;&gt;COLUMNS(B622:K622),621,"")</f>
        <v>0</v>
      </c>
      <c r="C622" s="1">
        <f>IF(B622="", "", "urban biome")</f>
        <v>0</v>
      </c>
      <c r="D622" s="1">
        <f>IF(B622="", "", "animal-associated habitat")</f>
        <v>0</v>
      </c>
      <c r="E622" s="2">
        <f>IF(B622="", "", "missing: not provided")</f>
        <v>0</v>
      </c>
      <c r="F622" s="1">
        <f>IF(B622="", "", "weeks")</f>
        <v>0</v>
      </c>
      <c r="G622" s="1">
        <f>IF(B622="", "", "mouse")</f>
        <v>0</v>
      </c>
      <c r="H622" s="1">
        <f>IF(B622="", "", "Mus musculus")</f>
        <v>0</v>
      </c>
      <c r="I622" s="1">
        <f>IF(B622="", "", "10090")</f>
        <v>0</v>
      </c>
      <c r="J622" s="2">
        <f>IF(B622="", "", "missing: not provided")</f>
        <v>0</v>
      </c>
      <c r="K622" s="1">
        <f>IF(B622="", "", "g")</f>
        <v>0</v>
      </c>
    </row>
    <row r="623" spans="1:11">
      <c r="A623">
        <f>IF(COUNTBLANK(B623:K623)&lt;&gt;COLUMNS(B623:K623),622,"")</f>
        <v>0</v>
      </c>
      <c r="C623" s="1">
        <f>IF(B623="", "", "urban biome")</f>
        <v>0</v>
      </c>
      <c r="D623" s="1">
        <f>IF(B623="", "", "animal-associated habitat")</f>
        <v>0</v>
      </c>
      <c r="E623" s="2">
        <f>IF(B623="", "", "missing: not provided")</f>
        <v>0</v>
      </c>
      <c r="F623" s="1">
        <f>IF(B623="", "", "weeks")</f>
        <v>0</v>
      </c>
      <c r="G623" s="1">
        <f>IF(B623="", "", "mouse")</f>
        <v>0</v>
      </c>
      <c r="H623" s="1">
        <f>IF(B623="", "", "Mus musculus")</f>
        <v>0</v>
      </c>
      <c r="I623" s="1">
        <f>IF(B623="", "", "10090")</f>
        <v>0</v>
      </c>
      <c r="J623" s="2">
        <f>IF(B623="", "", "missing: not provided")</f>
        <v>0</v>
      </c>
      <c r="K623" s="1">
        <f>IF(B623="", "", "g")</f>
        <v>0</v>
      </c>
    </row>
    <row r="624" spans="1:11">
      <c r="A624">
        <f>IF(COUNTBLANK(B624:K624)&lt;&gt;COLUMNS(B624:K624),623,"")</f>
        <v>0</v>
      </c>
      <c r="C624" s="1">
        <f>IF(B624="", "", "urban biome")</f>
        <v>0</v>
      </c>
      <c r="D624" s="1">
        <f>IF(B624="", "", "animal-associated habitat")</f>
        <v>0</v>
      </c>
      <c r="E624" s="2">
        <f>IF(B624="", "", "missing: not provided")</f>
        <v>0</v>
      </c>
      <c r="F624" s="1">
        <f>IF(B624="", "", "weeks")</f>
        <v>0</v>
      </c>
      <c r="G624" s="1">
        <f>IF(B624="", "", "mouse")</f>
        <v>0</v>
      </c>
      <c r="H624" s="1">
        <f>IF(B624="", "", "Mus musculus")</f>
        <v>0</v>
      </c>
      <c r="I624" s="1">
        <f>IF(B624="", "", "10090")</f>
        <v>0</v>
      </c>
      <c r="J624" s="2">
        <f>IF(B624="", "", "missing: not provided")</f>
        <v>0</v>
      </c>
      <c r="K624" s="1">
        <f>IF(B624="", "", "g")</f>
        <v>0</v>
      </c>
    </row>
    <row r="625" spans="1:11">
      <c r="A625">
        <f>IF(COUNTBLANK(B625:K625)&lt;&gt;COLUMNS(B625:K625),624,"")</f>
        <v>0</v>
      </c>
      <c r="C625" s="1">
        <f>IF(B625="", "", "urban biome")</f>
        <v>0</v>
      </c>
      <c r="D625" s="1">
        <f>IF(B625="", "", "animal-associated habitat")</f>
        <v>0</v>
      </c>
      <c r="E625" s="2">
        <f>IF(B625="", "", "missing: not provided")</f>
        <v>0</v>
      </c>
      <c r="F625" s="1">
        <f>IF(B625="", "", "weeks")</f>
        <v>0</v>
      </c>
      <c r="G625" s="1">
        <f>IF(B625="", "", "mouse")</f>
        <v>0</v>
      </c>
      <c r="H625" s="1">
        <f>IF(B625="", "", "Mus musculus")</f>
        <v>0</v>
      </c>
      <c r="I625" s="1">
        <f>IF(B625="", "", "10090")</f>
        <v>0</v>
      </c>
      <c r="J625" s="2">
        <f>IF(B625="", "", "missing: not provided")</f>
        <v>0</v>
      </c>
      <c r="K625" s="1">
        <f>IF(B625="", "", "g")</f>
        <v>0</v>
      </c>
    </row>
    <row r="626" spans="1:11">
      <c r="A626">
        <f>IF(COUNTBLANK(B626:K626)&lt;&gt;COLUMNS(B626:K626),625,"")</f>
        <v>0</v>
      </c>
      <c r="C626" s="1">
        <f>IF(B626="", "", "urban biome")</f>
        <v>0</v>
      </c>
      <c r="D626" s="1">
        <f>IF(B626="", "", "animal-associated habitat")</f>
        <v>0</v>
      </c>
      <c r="E626" s="2">
        <f>IF(B626="", "", "missing: not provided")</f>
        <v>0</v>
      </c>
      <c r="F626" s="1">
        <f>IF(B626="", "", "weeks")</f>
        <v>0</v>
      </c>
      <c r="G626" s="1">
        <f>IF(B626="", "", "mouse")</f>
        <v>0</v>
      </c>
      <c r="H626" s="1">
        <f>IF(B626="", "", "Mus musculus")</f>
        <v>0</v>
      </c>
      <c r="I626" s="1">
        <f>IF(B626="", "", "10090")</f>
        <v>0</v>
      </c>
      <c r="J626" s="2">
        <f>IF(B626="", "", "missing: not provided")</f>
        <v>0</v>
      </c>
      <c r="K626" s="1">
        <f>IF(B626="", "", "g")</f>
        <v>0</v>
      </c>
    </row>
    <row r="627" spans="1:11">
      <c r="A627">
        <f>IF(COUNTBLANK(B627:K627)&lt;&gt;COLUMNS(B627:K627),626,"")</f>
        <v>0</v>
      </c>
      <c r="C627" s="1">
        <f>IF(B627="", "", "urban biome")</f>
        <v>0</v>
      </c>
      <c r="D627" s="1">
        <f>IF(B627="", "", "animal-associated habitat")</f>
        <v>0</v>
      </c>
      <c r="E627" s="2">
        <f>IF(B627="", "", "missing: not provided")</f>
        <v>0</v>
      </c>
      <c r="F627" s="1">
        <f>IF(B627="", "", "weeks")</f>
        <v>0</v>
      </c>
      <c r="G627" s="1">
        <f>IF(B627="", "", "mouse")</f>
        <v>0</v>
      </c>
      <c r="H627" s="1">
        <f>IF(B627="", "", "Mus musculus")</f>
        <v>0</v>
      </c>
      <c r="I627" s="1">
        <f>IF(B627="", "", "10090")</f>
        <v>0</v>
      </c>
      <c r="J627" s="2">
        <f>IF(B627="", "", "missing: not provided")</f>
        <v>0</v>
      </c>
      <c r="K627" s="1">
        <f>IF(B627="", "", "g")</f>
        <v>0</v>
      </c>
    </row>
    <row r="628" spans="1:11">
      <c r="A628">
        <f>IF(COUNTBLANK(B628:K628)&lt;&gt;COLUMNS(B628:K628),627,"")</f>
        <v>0</v>
      </c>
      <c r="C628" s="1">
        <f>IF(B628="", "", "urban biome")</f>
        <v>0</v>
      </c>
      <c r="D628" s="1">
        <f>IF(B628="", "", "animal-associated habitat")</f>
        <v>0</v>
      </c>
      <c r="E628" s="2">
        <f>IF(B628="", "", "missing: not provided")</f>
        <v>0</v>
      </c>
      <c r="F628" s="1">
        <f>IF(B628="", "", "weeks")</f>
        <v>0</v>
      </c>
      <c r="G628" s="1">
        <f>IF(B628="", "", "mouse")</f>
        <v>0</v>
      </c>
      <c r="H628" s="1">
        <f>IF(B628="", "", "Mus musculus")</f>
        <v>0</v>
      </c>
      <c r="I628" s="1">
        <f>IF(B628="", "", "10090")</f>
        <v>0</v>
      </c>
      <c r="J628" s="2">
        <f>IF(B628="", "", "missing: not provided")</f>
        <v>0</v>
      </c>
      <c r="K628" s="1">
        <f>IF(B628="", "", "g")</f>
        <v>0</v>
      </c>
    </row>
    <row r="629" spans="1:11">
      <c r="A629">
        <f>IF(COUNTBLANK(B629:K629)&lt;&gt;COLUMNS(B629:K629),628,"")</f>
        <v>0</v>
      </c>
      <c r="C629" s="1">
        <f>IF(B629="", "", "urban biome")</f>
        <v>0</v>
      </c>
      <c r="D629" s="1">
        <f>IF(B629="", "", "animal-associated habitat")</f>
        <v>0</v>
      </c>
      <c r="E629" s="2">
        <f>IF(B629="", "", "missing: not provided")</f>
        <v>0</v>
      </c>
      <c r="F629" s="1">
        <f>IF(B629="", "", "weeks")</f>
        <v>0</v>
      </c>
      <c r="G629" s="1">
        <f>IF(B629="", "", "mouse")</f>
        <v>0</v>
      </c>
      <c r="H629" s="1">
        <f>IF(B629="", "", "Mus musculus")</f>
        <v>0</v>
      </c>
      <c r="I629" s="1">
        <f>IF(B629="", "", "10090")</f>
        <v>0</v>
      </c>
      <c r="J629" s="2">
        <f>IF(B629="", "", "missing: not provided")</f>
        <v>0</v>
      </c>
      <c r="K629" s="1">
        <f>IF(B629="", "", "g")</f>
        <v>0</v>
      </c>
    </row>
    <row r="630" spans="1:11">
      <c r="A630">
        <f>IF(COUNTBLANK(B630:K630)&lt;&gt;COLUMNS(B630:K630),629,"")</f>
        <v>0</v>
      </c>
      <c r="C630" s="1">
        <f>IF(B630="", "", "urban biome")</f>
        <v>0</v>
      </c>
      <c r="D630" s="1">
        <f>IF(B630="", "", "animal-associated habitat")</f>
        <v>0</v>
      </c>
      <c r="E630" s="2">
        <f>IF(B630="", "", "missing: not provided")</f>
        <v>0</v>
      </c>
      <c r="F630" s="1">
        <f>IF(B630="", "", "weeks")</f>
        <v>0</v>
      </c>
      <c r="G630" s="1">
        <f>IF(B630="", "", "mouse")</f>
        <v>0</v>
      </c>
      <c r="H630" s="1">
        <f>IF(B630="", "", "Mus musculus")</f>
        <v>0</v>
      </c>
      <c r="I630" s="1">
        <f>IF(B630="", "", "10090")</f>
        <v>0</v>
      </c>
      <c r="J630" s="2">
        <f>IF(B630="", "", "missing: not provided")</f>
        <v>0</v>
      </c>
      <c r="K630" s="1">
        <f>IF(B630="", "", "g")</f>
        <v>0</v>
      </c>
    </row>
    <row r="631" spans="1:11">
      <c r="A631">
        <f>IF(COUNTBLANK(B631:K631)&lt;&gt;COLUMNS(B631:K631),630,"")</f>
        <v>0</v>
      </c>
      <c r="C631" s="1">
        <f>IF(B631="", "", "urban biome")</f>
        <v>0</v>
      </c>
      <c r="D631" s="1">
        <f>IF(B631="", "", "animal-associated habitat")</f>
        <v>0</v>
      </c>
      <c r="E631" s="2">
        <f>IF(B631="", "", "missing: not provided")</f>
        <v>0</v>
      </c>
      <c r="F631" s="1">
        <f>IF(B631="", "", "weeks")</f>
        <v>0</v>
      </c>
      <c r="G631" s="1">
        <f>IF(B631="", "", "mouse")</f>
        <v>0</v>
      </c>
      <c r="H631" s="1">
        <f>IF(B631="", "", "Mus musculus")</f>
        <v>0</v>
      </c>
      <c r="I631" s="1">
        <f>IF(B631="", "", "10090")</f>
        <v>0</v>
      </c>
      <c r="J631" s="2">
        <f>IF(B631="", "", "missing: not provided")</f>
        <v>0</v>
      </c>
      <c r="K631" s="1">
        <f>IF(B631="", "", "g")</f>
        <v>0</v>
      </c>
    </row>
    <row r="632" spans="1:11">
      <c r="A632">
        <f>IF(COUNTBLANK(B632:K632)&lt;&gt;COLUMNS(B632:K632),631,"")</f>
        <v>0</v>
      </c>
      <c r="C632" s="1">
        <f>IF(B632="", "", "urban biome")</f>
        <v>0</v>
      </c>
      <c r="D632" s="1">
        <f>IF(B632="", "", "animal-associated habitat")</f>
        <v>0</v>
      </c>
      <c r="E632" s="2">
        <f>IF(B632="", "", "missing: not provided")</f>
        <v>0</v>
      </c>
      <c r="F632" s="1">
        <f>IF(B632="", "", "weeks")</f>
        <v>0</v>
      </c>
      <c r="G632" s="1">
        <f>IF(B632="", "", "mouse")</f>
        <v>0</v>
      </c>
      <c r="H632" s="1">
        <f>IF(B632="", "", "Mus musculus")</f>
        <v>0</v>
      </c>
      <c r="I632" s="1">
        <f>IF(B632="", "", "10090")</f>
        <v>0</v>
      </c>
      <c r="J632" s="2">
        <f>IF(B632="", "", "missing: not provided")</f>
        <v>0</v>
      </c>
      <c r="K632" s="1">
        <f>IF(B632="", "", "g")</f>
        <v>0</v>
      </c>
    </row>
    <row r="633" spans="1:11">
      <c r="A633">
        <f>IF(COUNTBLANK(B633:K633)&lt;&gt;COLUMNS(B633:K633),632,"")</f>
        <v>0</v>
      </c>
      <c r="C633" s="1">
        <f>IF(B633="", "", "urban biome")</f>
        <v>0</v>
      </c>
      <c r="D633" s="1">
        <f>IF(B633="", "", "animal-associated habitat")</f>
        <v>0</v>
      </c>
      <c r="E633" s="2">
        <f>IF(B633="", "", "missing: not provided")</f>
        <v>0</v>
      </c>
      <c r="F633" s="1">
        <f>IF(B633="", "", "weeks")</f>
        <v>0</v>
      </c>
      <c r="G633" s="1">
        <f>IF(B633="", "", "mouse")</f>
        <v>0</v>
      </c>
      <c r="H633" s="1">
        <f>IF(B633="", "", "Mus musculus")</f>
        <v>0</v>
      </c>
      <c r="I633" s="1">
        <f>IF(B633="", "", "10090")</f>
        <v>0</v>
      </c>
      <c r="J633" s="2">
        <f>IF(B633="", "", "missing: not provided")</f>
        <v>0</v>
      </c>
      <c r="K633" s="1">
        <f>IF(B633="", "", "g")</f>
        <v>0</v>
      </c>
    </row>
    <row r="634" spans="1:11">
      <c r="A634">
        <f>IF(COUNTBLANK(B634:K634)&lt;&gt;COLUMNS(B634:K634),633,"")</f>
        <v>0</v>
      </c>
      <c r="C634" s="1">
        <f>IF(B634="", "", "urban biome")</f>
        <v>0</v>
      </c>
      <c r="D634" s="1">
        <f>IF(B634="", "", "animal-associated habitat")</f>
        <v>0</v>
      </c>
      <c r="E634" s="2">
        <f>IF(B634="", "", "missing: not provided")</f>
        <v>0</v>
      </c>
      <c r="F634" s="1">
        <f>IF(B634="", "", "weeks")</f>
        <v>0</v>
      </c>
      <c r="G634" s="1">
        <f>IF(B634="", "", "mouse")</f>
        <v>0</v>
      </c>
      <c r="H634" s="1">
        <f>IF(B634="", "", "Mus musculus")</f>
        <v>0</v>
      </c>
      <c r="I634" s="1">
        <f>IF(B634="", "", "10090")</f>
        <v>0</v>
      </c>
      <c r="J634" s="2">
        <f>IF(B634="", "", "missing: not provided")</f>
        <v>0</v>
      </c>
      <c r="K634" s="1">
        <f>IF(B634="", "", "g")</f>
        <v>0</v>
      </c>
    </row>
    <row r="635" spans="1:11">
      <c r="A635">
        <f>IF(COUNTBLANK(B635:K635)&lt;&gt;COLUMNS(B635:K635),634,"")</f>
        <v>0</v>
      </c>
      <c r="C635" s="1">
        <f>IF(B635="", "", "urban biome")</f>
        <v>0</v>
      </c>
      <c r="D635" s="1">
        <f>IF(B635="", "", "animal-associated habitat")</f>
        <v>0</v>
      </c>
      <c r="E635" s="2">
        <f>IF(B635="", "", "missing: not provided")</f>
        <v>0</v>
      </c>
      <c r="F635" s="1">
        <f>IF(B635="", "", "weeks")</f>
        <v>0</v>
      </c>
      <c r="G635" s="1">
        <f>IF(B635="", "", "mouse")</f>
        <v>0</v>
      </c>
      <c r="H635" s="1">
        <f>IF(B635="", "", "Mus musculus")</f>
        <v>0</v>
      </c>
      <c r="I635" s="1">
        <f>IF(B635="", "", "10090")</f>
        <v>0</v>
      </c>
      <c r="J635" s="2">
        <f>IF(B635="", "", "missing: not provided")</f>
        <v>0</v>
      </c>
      <c r="K635" s="1">
        <f>IF(B635="", "", "g")</f>
        <v>0</v>
      </c>
    </row>
    <row r="636" spans="1:11">
      <c r="A636">
        <f>IF(COUNTBLANK(B636:K636)&lt;&gt;COLUMNS(B636:K636),635,"")</f>
        <v>0</v>
      </c>
      <c r="C636" s="1">
        <f>IF(B636="", "", "urban biome")</f>
        <v>0</v>
      </c>
      <c r="D636" s="1">
        <f>IF(B636="", "", "animal-associated habitat")</f>
        <v>0</v>
      </c>
      <c r="E636" s="2">
        <f>IF(B636="", "", "missing: not provided")</f>
        <v>0</v>
      </c>
      <c r="F636" s="1">
        <f>IF(B636="", "", "weeks")</f>
        <v>0</v>
      </c>
      <c r="G636" s="1">
        <f>IF(B636="", "", "mouse")</f>
        <v>0</v>
      </c>
      <c r="H636" s="1">
        <f>IF(B636="", "", "Mus musculus")</f>
        <v>0</v>
      </c>
      <c r="I636" s="1">
        <f>IF(B636="", "", "10090")</f>
        <v>0</v>
      </c>
      <c r="J636" s="2">
        <f>IF(B636="", "", "missing: not provided")</f>
        <v>0</v>
      </c>
      <c r="K636" s="1">
        <f>IF(B636="", "", "g")</f>
        <v>0</v>
      </c>
    </row>
    <row r="637" spans="1:11">
      <c r="A637">
        <f>IF(COUNTBLANK(B637:K637)&lt;&gt;COLUMNS(B637:K637),636,"")</f>
        <v>0</v>
      </c>
      <c r="C637" s="1">
        <f>IF(B637="", "", "urban biome")</f>
        <v>0</v>
      </c>
      <c r="D637" s="1">
        <f>IF(B637="", "", "animal-associated habitat")</f>
        <v>0</v>
      </c>
      <c r="E637" s="2">
        <f>IF(B637="", "", "missing: not provided")</f>
        <v>0</v>
      </c>
      <c r="F637" s="1">
        <f>IF(B637="", "", "weeks")</f>
        <v>0</v>
      </c>
      <c r="G637" s="1">
        <f>IF(B637="", "", "mouse")</f>
        <v>0</v>
      </c>
      <c r="H637" s="1">
        <f>IF(B637="", "", "Mus musculus")</f>
        <v>0</v>
      </c>
      <c r="I637" s="1">
        <f>IF(B637="", "", "10090")</f>
        <v>0</v>
      </c>
      <c r="J637" s="2">
        <f>IF(B637="", "", "missing: not provided")</f>
        <v>0</v>
      </c>
      <c r="K637" s="1">
        <f>IF(B637="", "", "g")</f>
        <v>0</v>
      </c>
    </row>
    <row r="638" spans="1:11">
      <c r="A638">
        <f>IF(COUNTBLANK(B638:K638)&lt;&gt;COLUMNS(B638:K638),637,"")</f>
        <v>0</v>
      </c>
      <c r="C638" s="1">
        <f>IF(B638="", "", "urban biome")</f>
        <v>0</v>
      </c>
      <c r="D638" s="1">
        <f>IF(B638="", "", "animal-associated habitat")</f>
        <v>0</v>
      </c>
      <c r="E638" s="2">
        <f>IF(B638="", "", "missing: not provided")</f>
        <v>0</v>
      </c>
      <c r="F638" s="1">
        <f>IF(B638="", "", "weeks")</f>
        <v>0</v>
      </c>
      <c r="G638" s="1">
        <f>IF(B638="", "", "mouse")</f>
        <v>0</v>
      </c>
      <c r="H638" s="1">
        <f>IF(B638="", "", "Mus musculus")</f>
        <v>0</v>
      </c>
      <c r="I638" s="1">
        <f>IF(B638="", "", "10090")</f>
        <v>0</v>
      </c>
      <c r="J638" s="2">
        <f>IF(B638="", "", "missing: not provided")</f>
        <v>0</v>
      </c>
      <c r="K638" s="1">
        <f>IF(B638="", "", "g")</f>
        <v>0</v>
      </c>
    </row>
    <row r="639" spans="1:11">
      <c r="A639">
        <f>IF(COUNTBLANK(B639:K639)&lt;&gt;COLUMNS(B639:K639),638,"")</f>
        <v>0</v>
      </c>
      <c r="C639" s="1">
        <f>IF(B639="", "", "urban biome")</f>
        <v>0</v>
      </c>
      <c r="D639" s="1">
        <f>IF(B639="", "", "animal-associated habitat")</f>
        <v>0</v>
      </c>
      <c r="E639" s="2">
        <f>IF(B639="", "", "missing: not provided")</f>
        <v>0</v>
      </c>
      <c r="F639" s="1">
        <f>IF(B639="", "", "weeks")</f>
        <v>0</v>
      </c>
      <c r="G639" s="1">
        <f>IF(B639="", "", "mouse")</f>
        <v>0</v>
      </c>
      <c r="H639" s="1">
        <f>IF(B639="", "", "Mus musculus")</f>
        <v>0</v>
      </c>
      <c r="I639" s="1">
        <f>IF(B639="", "", "10090")</f>
        <v>0</v>
      </c>
      <c r="J639" s="2">
        <f>IF(B639="", "", "missing: not provided")</f>
        <v>0</v>
      </c>
      <c r="K639" s="1">
        <f>IF(B639="", "", "g")</f>
        <v>0</v>
      </c>
    </row>
    <row r="640" spans="1:11">
      <c r="A640">
        <f>IF(COUNTBLANK(B640:K640)&lt;&gt;COLUMNS(B640:K640),639,"")</f>
        <v>0</v>
      </c>
      <c r="C640" s="1">
        <f>IF(B640="", "", "urban biome")</f>
        <v>0</v>
      </c>
      <c r="D640" s="1">
        <f>IF(B640="", "", "animal-associated habitat")</f>
        <v>0</v>
      </c>
      <c r="E640" s="2">
        <f>IF(B640="", "", "missing: not provided")</f>
        <v>0</v>
      </c>
      <c r="F640" s="1">
        <f>IF(B640="", "", "weeks")</f>
        <v>0</v>
      </c>
      <c r="G640" s="1">
        <f>IF(B640="", "", "mouse")</f>
        <v>0</v>
      </c>
      <c r="H640" s="1">
        <f>IF(B640="", "", "Mus musculus")</f>
        <v>0</v>
      </c>
      <c r="I640" s="1">
        <f>IF(B640="", "", "10090")</f>
        <v>0</v>
      </c>
      <c r="J640" s="2">
        <f>IF(B640="", "", "missing: not provided")</f>
        <v>0</v>
      </c>
      <c r="K640" s="1">
        <f>IF(B640="", "", "g")</f>
        <v>0</v>
      </c>
    </row>
    <row r="641" spans="1:11">
      <c r="A641">
        <f>IF(COUNTBLANK(B641:K641)&lt;&gt;COLUMNS(B641:K641),640,"")</f>
        <v>0</v>
      </c>
      <c r="C641" s="1">
        <f>IF(B641="", "", "urban biome")</f>
        <v>0</v>
      </c>
      <c r="D641" s="1">
        <f>IF(B641="", "", "animal-associated habitat")</f>
        <v>0</v>
      </c>
      <c r="E641" s="2">
        <f>IF(B641="", "", "missing: not provided")</f>
        <v>0</v>
      </c>
      <c r="F641" s="1">
        <f>IF(B641="", "", "weeks")</f>
        <v>0</v>
      </c>
      <c r="G641" s="1">
        <f>IF(B641="", "", "mouse")</f>
        <v>0</v>
      </c>
      <c r="H641" s="1">
        <f>IF(B641="", "", "Mus musculus")</f>
        <v>0</v>
      </c>
      <c r="I641" s="1">
        <f>IF(B641="", "", "10090")</f>
        <v>0</v>
      </c>
      <c r="J641" s="2">
        <f>IF(B641="", "", "missing: not provided")</f>
        <v>0</v>
      </c>
      <c r="K641" s="1">
        <f>IF(B641="", "", "g")</f>
        <v>0</v>
      </c>
    </row>
    <row r="642" spans="1:11">
      <c r="A642">
        <f>IF(COUNTBLANK(B642:K642)&lt;&gt;COLUMNS(B642:K642),641,"")</f>
        <v>0</v>
      </c>
      <c r="C642" s="1">
        <f>IF(B642="", "", "urban biome")</f>
        <v>0</v>
      </c>
      <c r="D642" s="1">
        <f>IF(B642="", "", "animal-associated habitat")</f>
        <v>0</v>
      </c>
      <c r="E642" s="2">
        <f>IF(B642="", "", "missing: not provided")</f>
        <v>0</v>
      </c>
      <c r="F642" s="1">
        <f>IF(B642="", "", "weeks")</f>
        <v>0</v>
      </c>
      <c r="G642" s="1">
        <f>IF(B642="", "", "mouse")</f>
        <v>0</v>
      </c>
      <c r="H642" s="1">
        <f>IF(B642="", "", "Mus musculus")</f>
        <v>0</v>
      </c>
      <c r="I642" s="1">
        <f>IF(B642="", "", "10090")</f>
        <v>0</v>
      </c>
      <c r="J642" s="2">
        <f>IF(B642="", "", "missing: not provided")</f>
        <v>0</v>
      </c>
      <c r="K642" s="1">
        <f>IF(B642="", "", "g")</f>
        <v>0</v>
      </c>
    </row>
    <row r="643" spans="1:11">
      <c r="A643">
        <f>IF(COUNTBLANK(B643:K643)&lt;&gt;COLUMNS(B643:K643),642,"")</f>
        <v>0</v>
      </c>
      <c r="C643" s="1">
        <f>IF(B643="", "", "urban biome")</f>
        <v>0</v>
      </c>
      <c r="D643" s="1">
        <f>IF(B643="", "", "animal-associated habitat")</f>
        <v>0</v>
      </c>
      <c r="E643" s="2">
        <f>IF(B643="", "", "missing: not provided")</f>
        <v>0</v>
      </c>
      <c r="F643" s="1">
        <f>IF(B643="", "", "weeks")</f>
        <v>0</v>
      </c>
      <c r="G643" s="1">
        <f>IF(B643="", "", "mouse")</f>
        <v>0</v>
      </c>
      <c r="H643" s="1">
        <f>IF(B643="", "", "Mus musculus")</f>
        <v>0</v>
      </c>
      <c r="I643" s="1">
        <f>IF(B643="", "", "10090")</f>
        <v>0</v>
      </c>
      <c r="J643" s="2">
        <f>IF(B643="", "", "missing: not provided")</f>
        <v>0</v>
      </c>
      <c r="K643" s="1">
        <f>IF(B643="", "", "g")</f>
        <v>0</v>
      </c>
    </row>
    <row r="644" spans="1:11">
      <c r="A644">
        <f>IF(COUNTBLANK(B644:K644)&lt;&gt;COLUMNS(B644:K644),643,"")</f>
        <v>0</v>
      </c>
      <c r="C644" s="1">
        <f>IF(B644="", "", "urban biome")</f>
        <v>0</v>
      </c>
      <c r="D644" s="1">
        <f>IF(B644="", "", "animal-associated habitat")</f>
        <v>0</v>
      </c>
      <c r="E644" s="2">
        <f>IF(B644="", "", "missing: not provided")</f>
        <v>0</v>
      </c>
      <c r="F644" s="1">
        <f>IF(B644="", "", "weeks")</f>
        <v>0</v>
      </c>
      <c r="G644" s="1">
        <f>IF(B644="", "", "mouse")</f>
        <v>0</v>
      </c>
      <c r="H644" s="1">
        <f>IF(B644="", "", "Mus musculus")</f>
        <v>0</v>
      </c>
      <c r="I644" s="1">
        <f>IF(B644="", "", "10090")</f>
        <v>0</v>
      </c>
      <c r="J644" s="2">
        <f>IF(B644="", "", "missing: not provided")</f>
        <v>0</v>
      </c>
      <c r="K644" s="1">
        <f>IF(B644="", "", "g")</f>
        <v>0</v>
      </c>
    </row>
    <row r="645" spans="1:11">
      <c r="A645">
        <f>IF(COUNTBLANK(B645:K645)&lt;&gt;COLUMNS(B645:K645),644,"")</f>
        <v>0</v>
      </c>
      <c r="C645" s="1">
        <f>IF(B645="", "", "urban biome")</f>
        <v>0</v>
      </c>
      <c r="D645" s="1">
        <f>IF(B645="", "", "animal-associated habitat")</f>
        <v>0</v>
      </c>
      <c r="E645" s="2">
        <f>IF(B645="", "", "missing: not provided")</f>
        <v>0</v>
      </c>
      <c r="F645" s="1">
        <f>IF(B645="", "", "weeks")</f>
        <v>0</v>
      </c>
      <c r="G645" s="1">
        <f>IF(B645="", "", "mouse")</f>
        <v>0</v>
      </c>
      <c r="H645" s="1">
        <f>IF(B645="", "", "Mus musculus")</f>
        <v>0</v>
      </c>
      <c r="I645" s="1">
        <f>IF(B645="", "", "10090")</f>
        <v>0</v>
      </c>
      <c r="J645" s="2">
        <f>IF(B645="", "", "missing: not provided")</f>
        <v>0</v>
      </c>
      <c r="K645" s="1">
        <f>IF(B645="", "", "g")</f>
        <v>0</v>
      </c>
    </row>
    <row r="646" spans="1:11">
      <c r="A646">
        <f>IF(COUNTBLANK(B646:K646)&lt;&gt;COLUMNS(B646:K646),645,"")</f>
        <v>0</v>
      </c>
      <c r="C646" s="1">
        <f>IF(B646="", "", "urban biome")</f>
        <v>0</v>
      </c>
      <c r="D646" s="1">
        <f>IF(B646="", "", "animal-associated habitat")</f>
        <v>0</v>
      </c>
      <c r="E646" s="2">
        <f>IF(B646="", "", "missing: not provided")</f>
        <v>0</v>
      </c>
      <c r="F646" s="1">
        <f>IF(B646="", "", "weeks")</f>
        <v>0</v>
      </c>
      <c r="G646" s="1">
        <f>IF(B646="", "", "mouse")</f>
        <v>0</v>
      </c>
      <c r="H646" s="1">
        <f>IF(B646="", "", "Mus musculus")</f>
        <v>0</v>
      </c>
      <c r="I646" s="1">
        <f>IF(B646="", "", "10090")</f>
        <v>0</v>
      </c>
      <c r="J646" s="2">
        <f>IF(B646="", "", "missing: not provided")</f>
        <v>0</v>
      </c>
      <c r="K646" s="1">
        <f>IF(B646="", "", "g")</f>
        <v>0</v>
      </c>
    </row>
    <row r="647" spans="1:11">
      <c r="A647">
        <f>IF(COUNTBLANK(B647:K647)&lt;&gt;COLUMNS(B647:K647),646,"")</f>
        <v>0</v>
      </c>
      <c r="C647" s="1">
        <f>IF(B647="", "", "urban biome")</f>
        <v>0</v>
      </c>
      <c r="D647" s="1">
        <f>IF(B647="", "", "animal-associated habitat")</f>
        <v>0</v>
      </c>
      <c r="E647" s="2">
        <f>IF(B647="", "", "missing: not provided")</f>
        <v>0</v>
      </c>
      <c r="F647" s="1">
        <f>IF(B647="", "", "weeks")</f>
        <v>0</v>
      </c>
      <c r="G647" s="1">
        <f>IF(B647="", "", "mouse")</f>
        <v>0</v>
      </c>
      <c r="H647" s="1">
        <f>IF(B647="", "", "Mus musculus")</f>
        <v>0</v>
      </c>
      <c r="I647" s="1">
        <f>IF(B647="", "", "10090")</f>
        <v>0</v>
      </c>
      <c r="J647" s="2">
        <f>IF(B647="", "", "missing: not provided")</f>
        <v>0</v>
      </c>
      <c r="K647" s="1">
        <f>IF(B647="", "", "g")</f>
        <v>0</v>
      </c>
    </row>
    <row r="648" spans="1:11">
      <c r="A648">
        <f>IF(COUNTBLANK(B648:K648)&lt;&gt;COLUMNS(B648:K648),647,"")</f>
        <v>0</v>
      </c>
      <c r="C648" s="1">
        <f>IF(B648="", "", "urban biome")</f>
        <v>0</v>
      </c>
      <c r="D648" s="1">
        <f>IF(B648="", "", "animal-associated habitat")</f>
        <v>0</v>
      </c>
      <c r="E648" s="2">
        <f>IF(B648="", "", "missing: not provided")</f>
        <v>0</v>
      </c>
      <c r="F648" s="1">
        <f>IF(B648="", "", "weeks")</f>
        <v>0</v>
      </c>
      <c r="G648" s="1">
        <f>IF(B648="", "", "mouse")</f>
        <v>0</v>
      </c>
      <c r="H648" s="1">
        <f>IF(B648="", "", "Mus musculus")</f>
        <v>0</v>
      </c>
      <c r="I648" s="1">
        <f>IF(B648="", "", "10090")</f>
        <v>0</v>
      </c>
      <c r="J648" s="2">
        <f>IF(B648="", "", "missing: not provided")</f>
        <v>0</v>
      </c>
      <c r="K648" s="1">
        <f>IF(B648="", "", "g")</f>
        <v>0</v>
      </c>
    </row>
    <row r="649" spans="1:11">
      <c r="A649">
        <f>IF(COUNTBLANK(B649:K649)&lt;&gt;COLUMNS(B649:K649),648,"")</f>
        <v>0</v>
      </c>
      <c r="C649" s="1">
        <f>IF(B649="", "", "urban biome")</f>
        <v>0</v>
      </c>
      <c r="D649" s="1">
        <f>IF(B649="", "", "animal-associated habitat")</f>
        <v>0</v>
      </c>
      <c r="E649" s="2">
        <f>IF(B649="", "", "missing: not provided")</f>
        <v>0</v>
      </c>
      <c r="F649" s="1">
        <f>IF(B649="", "", "weeks")</f>
        <v>0</v>
      </c>
      <c r="G649" s="1">
        <f>IF(B649="", "", "mouse")</f>
        <v>0</v>
      </c>
      <c r="H649" s="1">
        <f>IF(B649="", "", "Mus musculus")</f>
        <v>0</v>
      </c>
      <c r="I649" s="1">
        <f>IF(B649="", "", "10090")</f>
        <v>0</v>
      </c>
      <c r="J649" s="2">
        <f>IF(B649="", "", "missing: not provided")</f>
        <v>0</v>
      </c>
      <c r="K649" s="1">
        <f>IF(B649="", "", "g")</f>
        <v>0</v>
      </c>
    </row>
    <row r="650" spans="1:11">
      <c r="A650">
        <f>IF(COUNTBLANK(B650:K650)&lt;&gt;COLUMNS(B650:K650),649,"")</f>
        <v>0</v>
      </c>
      <c r="C650" s="1">
        <f>IF(B650="", "", "urban biome")</f>
        <v>0</v>
      </c>
      <c r="D650" s="1">
        <f>IF(B650="", "", "animal-associated habitat")</f>
        <v>0</v>
      </c>
      <c r="E650" s="2">
        <f>IF(B650="", "", "missing: not provided")</f>
        <v>0</v>
      </c>
      <c r="F650" s="1">
        <f>IF(B650="", "", "weeks")</f>
        <v>0</v>
      </c>
      <c r="G650" s="1">
        <f>IF(B650="", "", "mouse")</f>
        <v>0</v>
      </c>
      <c r="H650" s="1">
        <f>IF(B650="", "", "Mus musculus")</f>
        <v>0</v>
      </c>
      <c r="I650" s="1">
        <f>IF(B650="", "", "10090")</f>
        <v>0</v>
      </c>
      <c r="J650" s="2">
        <f>IF(B650="", "", "missing: not provided")</f>
        <v>0</v>
      </c>
      <c r="K650" s="1">
        <f>IF(B650="", "", "g")</f>
        <v>0</v>
      </c>
    </row>
    <row r="651" spans="1:11">
      <c r="A651">
        <f>IF(COUNTBLANK(B651:K651)&lt;&gt;COLUMNS(B651:K651),650,"")</f>
        <v>0</v>
      </c>
      <c r="C651" s="1">
        <f>IF(B651="", "", "urban biome")</f>
        <v>0</v>
      </c>
      <c r="D651" s="1">
        <f>IF(B651="", "", "animal-associated habitat")</f>
        <v>0</v>
      </c>
      <c r="E651" s="2">
        <f>IF(B651="", "", "missing: not provided")</f>
        <v>0</v>
      </c>
      <c r="F651" s="1">
        <f>IF(B651="", "", "weeks")</f>
        <v>0</v>
      </c>
      <c r="G651" s="1">
        <f>IF(B651="", "", "mouse")</f>
        <v>0</v>
      </c>
      <c r="H651" s="1">
        <f>IF(B651="", "", "Mus musculus")</f>
        <v>0</v>
      </c>
      <c r="I651" s="1">
        <f>IF(B651="", "", "10090")</f>
        <v>0</v>
      </c>
      <c r="J651" s="2">
        <f>IF(B651="", "", "missing: not provided")</f>
        <v>0</v>
      </c>
      <c r="K651" s="1">
        <f>IF(B651="", "", "g")</f>
        <v>0</v>
      </c>
    </row>
    <row r="652" spans="1:11">
      <c r="A652">
        <f>IF(COUNTBLANK(B652:K652)&lt;&gt;COLUMNS(B652:K652),651,"")</f>
        <v>0</v>
      </c>
      <c r="C652" s="1">
        <f>IF(B652="", "", "urban biome")</f>
        <v>0</v>
      </c>
      <c r="D652" s="1">
        <f>IF(B652="", "", "animal-associated habitat")</f>
        <v>0</v>
      </c>
      <c r="E652" s="2">
        <f>IF(B652="", "", "missing: not provided")</f>
        <v>0</v>
      </c>
      <c r="F652" s="1">
        <f>IF(B652="", "", "weeks")</f>
        <v>0</v>
      </c>
      <c r="G652" s="1">
        <f>IF(B652="", "", "mouse")</f>
        <v>0</v>
      </c>
      <c r="H652" s="1">
        <f>IF(B652="", "", "Mus musculus")</f>
        <v>0</v>
      </c>
      <c r="I652" s="1">
        <f>IF(B652="", "", "10090")</f>
        <v>0</v>
      </c>
      <c r="J652" s="2">
        <f>IF(B652="", "", "missing: not provided")</f>
        <v>0</v>
      </c>
      <c r="K652" s="1">
        <f>IF(B652="", "", "g")</f>
        <v>0</v>
      </c>
    </row>
    <row r="653" spans="1:11">
      <c r="A653">
        <f>IF(COUNTBLANK(B653:K653)&lt;&gt;COLUMNS(B653:K653),652,"")</f>
        <v>0</v>
      </c>
      <c r="C653" s="1">
        <f>IF(B653="", "", "urban biome")</f>
        <v>0</v>
      </c>
      <c r="D653" s="1">
        <f>IF(B653="", "", "animal-associated habitat")</f>
        <v>0</v>
      </c>
      <c r="E653" s="2">
        <f>IF(B653="", "", "missing: not provided")</f>
        <v>0</v>
      </c>
      <c r="F653" s="1">
        <f>IF(B653="", "", "weeks")</f>
        <v>0</v>
      </c>
      <c r="G653" s="1">
        <f>IF(B653="", "", "mouse")</f>
        <v>0</v>
      </c>
      <c r="H653" s="1">
        <f>IF(B653="", "", "Mus musculus")</f>
        <v>0</v>
      </c>
      <c r="I653" s="1">
        <f>IF(B653="", "", "10090")</f>
        <v>0</v>
      </c>
      <c r="J653" s="2">
        <f>IF(B653="", "", "missing: not provided")</f>
        <v>0</v>
      </c>
      <c r="K653" s="1">
        <f>IF(B653="", "", "g")</f>
        <v>0</v>
      </c>
    </row>
    <row r="654" spans="1:11">
      <c r="A654">
        <f>IF(COUNTBLANK(B654:K654)&lt;&gt;COLUMNS(B654:K654),653,"")</f>
        <v>0</v>
      </c>
      <c r="C654" s="1">
        <f>IF(B654="", "", "urban biome")</f>
        <v>0</v>
      </c>
      <c r="D654" s="1">
        <f>IF(B654="", "", "animal-associated habitat")</f>
        <v>0</v>
      </c>
      <c r="E654" s="2">
        <f>IF(B654="", "", "missing: not provided")</f>
        <v>0</v>
      </c>
      <c r="F654" s="1">
        <f>IF(B654="", "", "weeks")</f>
        <v>0</v>
      </c>
      <c r="G654" s="1">
        <f>IF(B654="", "", "mouse")</f>
        <v>0</v>
      </c>
      <c r="H654" s="1">
        <f>IF(B654="", "", "Mus musculus")</f>
        <v>0</v>
      </c>
      <c r="I654" s="1">
        <f>IF(B654="", "", "10090")</f>
        <v>0</v>
      </c>
      <c r="J654" s="2">
        <f>IF(B654="", "", "missing: not provided")</f>
        <v>0</v>
      </c>
      <c r="K654" s="1">
        <f>IF(B654="", "", "g")</f>
        <v>0</v>
      </c>
    </row>
    <row r="655" spans="1:11">
      <c r="A655">
        <f>IF(COUNTBLANK(B655:K655)&lt;&gt;COLUMNS(B655:K655),654,"")</f>
        <v>0</v>
      </c>
      <c r="C655" s="1">
        <f>IF(B655="", "", "urban biome")</f>
        <v>0</v>
      </c>
      <c r="D655" s="1">
        <f>IF(B655="", "", "animal-associated habitat")</f>
        <v>0</v>
      </c>
      <c r="E655" s="2">
        <f>IF(B655="", "", "missing: not provided")</f>
        <v>0</v>
      </c>
      <c r="F655" s="1">
        <f>IF(B655="", "", "weeks")</f>
        <v>0</v>
      </c>
      <c r="G655" s="1">
        <f>IF(B655="", "", "mouse")</f>
        <v>0</v>
      </c>
      <c r="H655" s="1">
        <f>IF(B655="", "", "Mus musculus")</f>
        <v>0</v>
      </c>
      <c r="I655" s="1">
        <f>IF(B655="", "", "10090")</f>
        <v>0</v>
      </c>
      <c r="J655" s="2">
        <f>IF(B655="", "", "missing: not provided")</f>
        <v>0</v>
      </c>
      <c r="K655" s="1">
        <f>IF(B655="", "", "g")</f>
        <v>0</v>
      </c>
    </row>
    <row r="656" spans="1:11">
      <c r="A656">
        <f>IF(COUNTBLANK(B656:K656)&lt;&gt;COLUMNS(B656:K656),655,"")</f>
        <v>0</v>
      </c>
      <c r="C656" s="1">
        <f>IF(B656="", "", "urban biome")</f>
        <v>0</v>
      </c>
      <c r="D656" s="1">
        <f>IF(B656="", "", "animal-associated habitat")</f>
        <v>0</v>
      </c>
      <c r="E656" s="2">
        <f>IF(B656="", "", "missing: not provided")</f>
        <v>0</v>
      </c>
      <c r="F656" s="1">
        <f>IF(B656="", "", "weeks")</f>
        <v>0</v>
      </c>
      <c r="G656" s="1">
        <f>IF(B656="", "", "mouse")</f>
        <v>0</v>
      </c>
      <c r="H656" s="1">
        <f>IF(B656="", "", "Mus musculus")</f>
        <v>0</v>
      </c>
      <c r="I656" s="1">
        <f>IF(B656="", "", "10090")</f>
        <v>0</v>
      </c>
      <c r="J656" s="2">
        <f>IF(B656="", "", "missing: not provided")</f>
        <v>0</v>
      </c>
      <c r="K656" s="1">
        <f>IF(B656="", "", "g")</f>
        <v>0</v>
      </c>
    </row>
    <row r="657" spans="1:11">
      <c r="A657">
        <f>IF(COUNTBLANK(B657:K657)&lt;&gt;COLUMNS(B657:K657),656,"")</f>
        <v>0</v>
      </c>
      <c r="C657" s="1">
        <f>IF(B657="", "", "urban biome")</f>
        <v>0</v>
      </c>
      <c r="D657" s="1">
        <f>IF(B657="", "", "animal-associated habitat")</f>
        <v>0</v>
      </c>
      <c r="E657" s="2">
        <f>IF(B657="", "", "missing: not provided")</f>
        <v>0</v>
      </c>
      <c r="F657" s="1">
        <f>IF(B657="", "", "weeks")</f>
        <v>0</v>
      </c>
      <c r="G657" s="1">
        <f>IF(B657="", "", "mouse")</f>
        <v>0</v>
      </c>
      <c r="H657" s="1">
        <f>IF(B657="", "", "Mus musculus")</f>
        <v>0</v>
      </c>
      <c r="I657" s="1">
        <f>IF(B657="", "", "10090")</f>
        <v>0</v>
      </c>
      <c r="J657" s="2">
        <f>IF(B657="", "", "missing: not provided")</f>
        <v>0</v>
      </c>
      <c r="K657" s="1">
        <f>IF(B657="", "", "g")</f>
        <v>0</v>
      </c>
    </row>
    <row r="658" spans="1:11">
      <c r="A658">
        <f>IF(COUNTBLANK(B658:K658)&lt;&gt;COLUMNS(B658:K658),657,"")</f>
        <v>0</v>
      </c>
      <c r="C658" s="1">
        <f>IF(B658="", "", "urban biome")</f>
        <v>0</v>
      </c>
      <c r="D658" s="1">
        <f>IF(B658="", "", "animal-associated habitat")</f>
        <v>0</v>
      </c>
      <c r="E658" s="2">
        <f>IF(B658="", "", "missing: not provided")</f>
        <v>0</v>
      </c>
      <c r="F658" s="1">
        <f>IF(B658="", "", "weeks")</f>
        <v>0</v>
      </c>
      <c r="G658" s="1">
        <f>IF(B658="", "", "mouse")</f>
        <v>0</v>
      </c>
      <c r="H658" s="1">
        <f>IF(B658="", "", "Mus musculus")</f>
        <v>0</v>
      </c>
      <c r="I658" s="1">
        <f>IF(B658="", "", "10090")</f>
        <v>0</v>
      </c>
      <c r="J658" s="2">
        <f>IF(B658="", "", "missing: not provided")</f>
        <v>0</v>
      </c>
      <c r="K658" s="1">
        <f>IF(B658="", "", "g")</f>
        <v>0</v>
      </c>
    </row>
    <row r="659" spans="1:11">
      <c r="A659">
        <f>IF(COUNTBLANK(B659:K659)&lt;&gt;COLUMNS(B659:K659),658,"")</f>
        <v>0</v>
      </c>
      <c r="C659" s="1">
        <f>IF(B659="", "", "urban biome")</f>
        <v>0</v>
      </c>
      <c r="D659" s="1">
        <f>IF(B659="", "", "animal-associated habitat")</f>
        <v>0</v>
      </c>
      <c r="E659" s="2">
        <f>IF(B659="", "", "missing: not provided")</f>
        <v>0</v>
      </c>
      <c r="F659" s="1">
        <f>IF(B659="", "", "weeks")</f>
        <v>0</v>
      </c>
      <c r="G659" s="1">
        <f>IF(B659="", "", "mouse")</f>
        <v>0</v>
      </c>
      <c r="H659" s="1">
        <f>IF(B659="", "", "Mus musculus")</f>
        <v>0</v>
      </c>
      <c r="I659" s="1">
        <f>IF(B659="", "", "10090")</f>
        <v>0</v>
      </c>
      <c r="J659" s="2">
        <f>IF(B659="", "", "missing: not provided")</f>
        <v>0</v>
      </c>
      <c r="K659" s="1">
        <f>IF(B659="", "", "g")</f>
        <v>0</v>
      </c>
    </row>
    <row r="660" spans="1:11">
      <c r="A660">
        <f>IF(COUNTBLANK(B660:K660)&lt;&gt;COLUMNS(B660:K660),659,"")</f>
        <v>0</v>
      </c>
      <c r="C660" s="1">
        <f>IF(B660="", "", "urban biome")</f>
        <v>0</v>
      </c>
      <c r="D660" s="1">
        <f>IF(B660="", "", "animal-associated habitat")</f>
        <v>0</v>
      </c>
      <c r="E660" s="2">
        <f>IF(B660="", "", "missing: not provided")</f>
        <v>0</v>
      </c>
      <c r="F660" s="1">
        <f>IF(B660="", "", "weeks")</f>
        <v>0</v>
      </c>
      <c r="G660" s="1">
        <f>IF(B660="", "", "mouse")</f>
        <v>0</v>
      </c>
      <c r="H660" s="1">
        <f>IF(B660="", "", "Mus musculus")</f>
        <v>0</v>
      </c>
      <c r="I660" s="1">
        <f>IF(B660="", "", "10090")</f>
        <v>0</v>
      </c>
      <c r="J660" s="2">
        <f>IF(B660="", "", "missing: not provided")</f>
        <v>0</v>
      </c>
      <c r="K660" s="1">
        <f>IF(B660="", "", "g")</f>
        <v>0</v>
      </c>
    </row>
    <row r="661" spans="1:11">
      <c r="A661">
        <f>IF(COUNTBLANK(B661:K661)&lt;&gt;COLUMNS(B661:K661),660,"")</f>
        <v>0</v>
      </c>
      <c r="C661" s="1">
        <f>IF(B661="", "", "urban biome")</f>
        <v>0</v>
      </c>
      <c r="D661" s="1">
        <f>IF(B661="", "", "animal-associated habitat")</f>
        <v>0</v>
      </c>
      <c r="E661" s="2">
        <f>IF(B661="", "", "missing: not provided")</f>
        <v>0</v>
      </c>
      <c r="F661" s="1">
        <f>IF(B661="", "", "weeks")</f>
        <v>0</v>
      </c>
      <c r="G661" s="1">
        <f>IF(B661="", "", "mouse")</f>
        <v>0</v>
      </c>
      <c r="H661" s="1">
        <f>IF(B661="", "", "Mus musculus")</f>
        <v>0</v>
      </c>
      <c r="I661" s="1">
        <f>IF(B661="", "", "10090")</f>
        <v>0</v>
      </c>
      <c r="J661" s="2">
        <f>IF(B661="", "", "missing: not provided")</f>
        <v>0</v>
      </c>
      <c r="K661" s="1">
        <f>IF(B661="", "", "g")</f>
        <v>0</v>
      </c>
    </row>
    <row r="662" spans="1:11">
      <c r="A662">
        <f>IF(COUNTBLANK(B662:K662)&lt;&gt;COLUMNS(B662:K662),661,"")</f>
        <v>0</v>
      </c>
      <c r="C662" s="1">
        <f>IF(B662="", "", "urban biome")</f>
        <v>0</v>
      </c>
      <c r="D662" s="1">
        <f>IF(B662="", "", "animal-associated habitat")</f>
        <v>0</v>
      </c>
      <c r="E662" s="2">
        <f>IF(B662="", "", "missing: not provided")</f>
        <v>0</v>
      </c>
      <c r="F662" s="1">
        <f>IF(B662="", "", "weeks")</f>
        <v>0</v>
      </c>
      <c r="G662" s="1">
        <f>IF(B662="", "", "mouse")</f>
        <v>0</v>
      </c>
      <c r="H662" s="1">
        <f>IF(B662="", "", "Mus musculus")</f>
        <v>0</v>
      </c>
      <c r="I662" s="1">
        <f>IF(B662="", "", "10090")</f>
        <v>0</v>
      </c>
      <c r="J662" s="2">
        <f>IF(B662="", "", "missing: not provided")</f>
        <v>0</v>
      </c>
      <c r="K662" s="1">
        <f>IF(B662="", "", "g")</f>
        <v>0</v>
      </c>
    </row>
    <row r="663" spans="1:11">
      <c r="A663">
        <f>IF(COUNTBLANK(B663:K663)&lt;&gt;COLUMNS(B663:K663),662,"")</f>
        <v>0</v>
      </c>
      <c r="C663" s="1">
        <f>IF(B663="", "", "urban biome")</f>
        <v>0</v>
      </c>
      <c r="D663" s="1">
        <f>IF(B663="", "", "animal-associated habitat")</f>
        <v>0</v>
      </c>
      <c r="E663" s="2">
        <f>IF(B663="", "", "missing: not provided")</f>
        <v>0</v>
      </c>
      <c r="F663" s="1">
        <f>IF(B663="", "", "weeks")</f>
        <v>0</v>
      </c>
      <c r="G663" s="1">
        <f>IF(B663="", "", "mouse")</f>
        <v>0</v>
      </c>
      <c r="H663" s="1">
        <f>IF(B663="", "", "Mus musculus")</f>
        <v>0</v>
      </c>
      <c r="I663" s="1">
        <f>IF(B663="", "", "10090")</f>
        <v>0</v>
      </c>
      <c r="J663" s="2">
        <f>IF(B663="", "", "missing: not provided")</f>
        <v>0</v>
      </c>
      <c r="K663" s="1">
        <f>IF(B663="", "", "g")</f>
        <v>0</v>
      </c>
    </row>
    <row r="664" spans="1:11">
      <c r="A664">
        <f>IF(COUNTBLANK(B664:K664)&lt;&gt;COLUMNS(B664:K664),663,"")</f>
        <v>0</v>
      </c>
      <c r="C664" s="1">
        <f>IF(B664="", "", "urban biome")</f>
        <v>0</v>
      </c>
      <c r="D664" s="1">
        <f>IF(B664="", "", "animal-associated habitat")</f>
        <v>0</v>
      </c>
      <c r="E664" s="2">
        <f>IF(B664="", "", "missing: not provided")</f>
        <v>0</v>
      </c>
      <c r="F664" s="1">
        <f>IF(B664="", "", "weeks")</f>
        <v>0</v>
      </c>
      <c r="G664" s="1">
        <f>IF(B664="", "", "mouse")</f>
        <v>0</v>
      </c>
      <c r="H664" s="1">
        <f>IF(B664="", "", "Mus musculus")</f>
        <v>0</v>
      </c>
      <c r="I664" s="1">
        <f>IF(B664="", "", "10090")</f>
        <v>0</v>
      </c>
      <c r="J664" s="2">
        <f>IF(B664="", "", "missing: not provided")</f>
        <v>0</v>
      </c>
      <c r="K664" s="1">
        <f>IF(B664="", "", "g")</f>
        <v>0</v>
      </c>
    </row>
    <row r="665" spans="1:11">
      <c r="A665">
        <f>IF(COUNTBLANK(B665:K665)&lt;&gt;COLUMNS(B665:K665),664,"")</f>
        <v>0</v>
      </c>
      <c r="C665" s="1">
        <f>IF(B665="", "", "urban biome")</f>
        <v>0</v>
      </c>
      <c r="D665" s="1">
        <f>IF(B665="", "", "animal-associated habitat")</f>
        <v>0</v>
      </c>
      <c r="E665" s="2">
        <f>IF(B665="", "", "missing: not provided")</f>
        <v>0</v>
      </c>
      <c r="F665" s="1">
        <f>IF(B665="", "", "weeks")</f>
        <v>0</v>
      </c>
      <c r="G665" s="1">
        <f>IF(B665="", "", "mouse")</f>
        <v>0</v>
      </c>
      <c r="H665" s="1">
        <f>IF(B665="", "", "Mus musculus")</f>
        <v>0</v>
      </c>
      <c r="I665" s="1">
        <f>IF(B665="", "", "10090")</f>
        <v>0</v>
      </c>
      <c r="J665" s="2">
        <f>IF(B665="", "", "missing: not provided")</f>
        <v>0</v>
      </c>
      <c r="K665" s="1">
        <f>IF(B665="", "", "g")</f>
        <v>0</v>
      </c>
    </row>
    <row r="666" spans="1:11">
      <c r="A666">
        <f>IF(COUNTBLANK(B666:K666)&lt;&gt;COLUMNS(B666:K666),665,"")</f>
        <v>0</v>
      </c>
      <c r="C666" s="1">
        <f>IF(B666="", "", "urban biome")</f>
        <v>0</v>
      </c>
      <c r="D666" s="1">
        <f>IF(B666="", "", "animal-associated habitat")</f>
        <v>0</v>
      </c>
      <c r="E666" s="2">
        <f>IF(B666="", "", "missing: not provided")</f>
        <v>0</v>
      </c>
      <c r="F666" s="1">
        <f>IF(B666="", "", "weeks")</f>
        <v>0</v>
      </c>
      <c r="G666" s="1">
        <f>IF(B666="", "", "mouse")</f>
        <v>0</v>
      </c>
      <c r="H666" s="1">
        <f>IF(B666="", "", "Mus musculus")</f>
        <v>0</v>
      </c>
      <c r="I666" s="1">
        <f>IF(B666="", "", "10090")</f>
        <v>0</v>
      </c>
      <c r="J666" s="2">
        <f>IF(B666="", "", "missing: not provided")</f>
        <v>0</v>
      </c>
      <c r="K666" s="1">
        <f>IF(B666="", "", "g")</f>
        <v>0</v>
      </c>
    </row>
    <row r="667" spans="1:11">
      <c r="A667">
        <f>IF(COUNTBLANK(B667:K667)&lt;&gt;COLUMNS(B667:K667),666,"")</f>
        <v>0</v>
      </c>
      <c r="C667" s="1">
        <f>IF(B667="", "", "urban biome")</f>
        <v>0</v>
      </c>
      <c r="D667" s="1">
        <f>IF(B667="", "", "animal-associated habitat")</f>
        <v>0</v>
      </c>
      <c r="E667" s="2">
        <f>IF(B667="", "", "missing: not provided")</f>
        <v>0</v>
      </c>
      <c r="F667" s="1">
        <f>IF(B667="", "", "weeks")</f>
        <v>0</v>
      </c>
      <c r="G667" s="1">
        <f>IF(B667="", "", "mouse")</f>
        <v>0</v>
      </c>
      <c r="H667" s="1">
        <f>IF(B667="", "", "Mus musculus")</f>
        <v>0</v>
      </c>
      <c r="I667" s="1">
        <f>IF(B667="", "", "10090")</f>
        <v>0</v>
      </c>
      <c r="J667" s="2">
        <f>IF(B667="", "", "missing: not provided")</f>
        <v>0</v>
      </c>
      <c r="K667" s="1">
        <f>IF(B667="", "", "g")</f>
        <v>0</v>
      </c>
    </row>
    <row r="668" spans="1:11">
      <c r="A668">
        <f>IF(COUNTBLANK(B668:K668)&lt;&gt;COLUMNS(B668:K668),667,"")</f>
        <v>0</v>
      </c>
      <c r="C668" s="1">
        <f>IF(B668="", "", "urban biome")</f>
        <v>0</v>
      </c>
      <c r="D668" s="1">
        <f>IF(B668="", "", "animal-associated habitat")</f>
        <v>0</v>
      </c>
      <c r="E668" s="2">
        <f>IF(B668="", "", "missing: not provided")</f>
        <v>0</v>
      </c>
      <c r="F668" s="1">
        <f>IF(B668="", "", "weeks")</f>
        <v>0</v>
      </c>
      <c r="G668" s="1">
        <f>IF(B668="", "", "mouse")</f>
        <v>0</v>
      </c>
      <c r="H668" s="1">
        <f>IF(B668="", "", "Mus musculus")</f>
        <v>0</v>
      </c>
      <c r="I668" s="1">
        <f>IF(B668="", "", "10090")</f>
        <v>0</v>
      </c>
      <c r="J668" s="2">
        <f>IF(B668="", "", "missing: not provided")</f>
        <v>0</v>
      </c>
      <c r="K668" s="1">
        <f>IF(B668="", "", "g")</f>
        <v>0</v>
      </c>
    </row>
    <row r="669" spans="1:11">
      <c r="A669">
        <f>IF(COUNTBLANK(B669:K669)&lt;&gt;COLUMNS(B669:K669),668,"")</f>
        <v>0</v>
      </c>
      <c r="C669" s="1">
        <f>IF(B669="", "", "urban biome")</f>
        <v>0</v>
      </c>
      <c r="D669" s="1">
        <f>IF(B669="", "", "animal-associated habitat")</f>
        <v>0</v>
      </c>
      <c r="E669" s="2">
        <f>IF(B669="", "", "missing: not provided")</f>
        <v>0</v>
      </c>
      <c r="F669" s="1">
        <f>IF(B669="", "", "weeks")</f>
        <v>0</v>
      </c>
      <c r="G669" s="1">
        <f>IF(B669="", "", "mouse")</f>
        <v>0</v>
      </c>
      <c r="H669" s="1">
        <f>IF(B669="", "", "Mus musculus")</f>
        <v>0</v>
      </c>
      <c r="I669" s="1">
        <f>IF(B669="", "", "10090")</f>
        <v>0</v>
      </c>
      <c r="J669" s="2">
        <f>IF(B669="", "", "missing: not provided")</f>
        <v>0</v>
      </c>
      <c r="K669" s="1">
        <f>IF(B669="", "", "g")</f>
        <v>0</v>
      </c>
    </row>
    <row r="670" spans="1:11">
      <c r="A670">
        <f>IF(COUNTBLANK(B670:K670)&lt;&gt;COLUMNS(B670:K670),669,"")</f>
        <v>0</v>
      </c>
      <c r="C670" s="1">
        <f>IF(B670="", "", "urban biome")</f>
        <v>0</v>
      </c>
      <c r="D670" s="1">
        <f>IF(B670="", "", "animal-associated habitat")</f>
        <v>0</v>
      </c>
      <c r="E670" s="2">
        <f>IF(B670="", "", "missing: not provided")</f>
        <v>0</v>
      </c>
      <c r="F670" s="1">
        <f>IF(B670="", "", "weeks")</f>
        <v>0</v>
      </c>
      <c r="G670" s="1">
        <f>IF(B670="", "", "mouse")</f>
        <v>0</v>
      </c>
      <c r="H670" s="1">
        <f>IF(B670="", "", "Mus musculus")</f>
        <v>0</v>
      </c>
      <c r="I670" s="1">
        <f>IF(B670="", "", "10090")</f>
        <v>0</v>
      </c>
      <c r="J670" s="2">
        <f>IF(B670="", "", "missing: not provided")</f>
        <v>0</v>
      </c>
      <c r="K670" s="1">
        <f>IF(B670="", "", "g")</f>
        <v>0</v>
      </c>
    </row>
    <row r="671" spans="1:11">
      <c r="A671">
        <f>IF(COUNTBLANK(B671:K671)&lt;&gt;COLUMNS(B671:K671),670,"")</f>
        <v>0</v>
      </c>
      <c r="C671" s="1">
        <f>IF(B671="", "", "urban biome")</f>
        <v>0</v>
      </c>
      <c r="D671" s="1">
        <f>IF(B671="", "", "animal-associated habitat")</f>
        <v>0</v>
      </c>
      <c r="E671" s="2">
        <f>IF(B671="", "", "missing: not provided")</f>
        <v>0</v>
      </c>
      <c r="F671" s="1">
        <f>IF(B671="", "", "weeks")</f>
        <v>0</v>
      </c>
      <c r="G671" s="1">
        <f>IF(B671="", "", "mouse")</f>
        <v>0</v>
      </c>
      <c r="H671" s="1">
        <f>IF(B671="", "", "Mus musculus")</f>
        <v>0</v>
      </c>
      <c r="I671" s="1">
        <f>IF(B671="", "", "10090")</f>
        <v>0</v>
      </c>
      <c r="J671" s="2">
        <f>IF(B671="", "", "missing: not provided")</f>
        <v>0</v>
      </c>
      <c r="K671" s="1">
        <f>IF(B671="", "", "g")</f>
        <v>0</v>
      </c>
    </row>
    <row r="672" spans="1:11">
      <c r="A672">
        <f>IF(COUNTBLANK(B672:K672)&lt;&gt;COLUMNS(B672:K672),671,"")</f>
        <v>0</v>
      </c>
      <c r="C672" s="1">
        <f>IF(B672="", "", "urban biome")</f>
        <v>0</v>
      </c>
      <c r="D672" s="1">
        <f>IF(B672="", "", "animal-associated habitat")</f>
        <v>0</v>
      </c>
      <c r="E672" s="2">
        <f>IF(B672="", "", "missing: not provided")</f>
        <v>0</v>
      </c>
      <c r="F672" s="1">
        <f>IF(B672="", "", "weeks")</f>
        <v>0</v>
      </c>
      <c r="G672" s="1">
        <f>IF(B672="", "", "mouse")</f>
        <v>0</v>
      </c>
      <c r="H672" s="1">
        <f>IF(B672="", "", "Mus musculus")</f>
        <v>0</v>
      </c>
      <c r="I672" s="1">
        <f>IF(B672="", "", "10090")</f>
        <v>0</v>
      </c>
      <c r="J672" s="2">
        <f>IF(B672="", "", "missing: not provided")</f>
        <v>0</v>
      </c>
      <c r="K672" s="1">
        <f>IF(B672="", "", "g")</f>
        <v>0</v>
      </c>
    </row>
    <row r="673" spans="1:11">
      <c r="A673">
        <f>IF(COUNTBLANK(B673:K673)&lt;&gt;COLUMNS(B673:K673),672,"")</f>
        <v>0</v>
      </c>
      <c r="C673" s="1">
        <f>IF(B673="", "", "urban biome")</f>
        <v>0</v>
      </c>
      <c r="D673" s="1">
        <f>IF(B673="", "", "animal-associated habitat")</f>
        <v>0</v>
      </c>
      <c r="E673" s="2">
        <f>IF(B673="", "", "missing: not provided")</f>
        <v>0</v>
      </c>
      <c r="F673" s="1">
        <f>IF(B673="", "", "weeks")</f>
        <v>0</v>
      </c>
      <c r="G673" s="1">
        <f>IF(B673="", "", "mouse")</f>
        <v>0</v>
      </c>
      <c r="H673" s="1">
        <f>IF(B673="", "", "Mus musculus")</f>
        <v>0</v>
      </c>
      <c r="I673" s="1">
        <f>IF(B673="", "", "10090")</f>
        <v>0</v>
      </c>
      <c r="J673" s="2">
        <f>IF(B673="", "", "missing: not provided")</f>
        <v>0</v>
      </c>
      <c r="K673" s="1">
        <f>IF(B673="", "", "g")</f>
        <v>0</v>
      </c>
    </row>
    <row r="674" spans="1:11">
      <c r="A674">
        <f>IF(COUNTBLANK(B674:K674)&lt;&gt;COLUMNS(B674:K674),673,"")</f>
        <v>0</v>
      </c>
      <c r="C674" s="1">
        <f>IF(B674="", "", "urban biome")</f>
        <v>0</v>
      </c>
      <c r="D674" s="1">
        <f>IF(B674="", "", "animal-associated habitat")</f>
        <v>0</v>
      </c>
      <c r="E674" s="2">
        <f>IF(B674="", "", "missing: not provided")</f>
        <v>0</v>
      </c>
      <c r="F674" s="1">
        <f>IF(B674="", "", "weeks")</f>
        <v>0</v>
      </c>
      <c r="G674" s="1">
        <f>IF(B674="", "", "mouse")</f>
        <v>0</v>
      </c>
      <c r="H674" s="1">
        <f>IF(B674="", "", "Mus musculus")</f>
        <v>0</v>
      </c>
      <c r="I674" s="1">
        <f>IF(B674="", "", "10090")</f>
        <v>0</v>
      </c>
      <c r="J674" s="2">
        <f>IF(B674="", "", "missing: not provided")</f>
        <v>0</v>
      </c>
      <c r="K674" s="1">
        <f>IF(B674="", "", "g")</f>
        <v>0</v>
      </c>
    </row>
    <row r="675" spans="1:11">
      <c r="A675">
        <f>IF(COUNTBLANK(B675:K675)&lt;&gt;COLUMNS(B675:K675),674,"")</f>
        <v>0</v>
      </c>
      <c r="C675" s="1">
        <f>IF(B675="", "", "urban biome")</f>
        <v>0</v>
      </c>
      <c r="D675" s="1">
        <f>IF(B675="", "", "animal-associated habitat")</f>
        <v>0</v>
      </c>
      <c r="E675" s="2">
        <f>IF(B675="", "", "missing: not provided")</f>
        <v>0</v>
      </c>
      <c r="F675" s="1">
        <f>IF(B675="", "", "weeks")</f>
        <v>0</v>
      </c>
      <c r="G675" s="1">
        <f>IF(B675="", "", "mouse")</f>
        <v>0</v>
      </c>
      <c r="H675" s="1">
        <f>IF(B675="", "", "Mus musculus")</f>
        <v>0</v>
      </c>
      <c r="I675" s="1">
        <f>IF(B675="", "", "10090")</f>
        <v>0</v>
      </c>
      <c r="J675" s="2">
        <f>IF(B675="", "", "missing: not provided")</f>
        <v>0</v>
      </c>
      <c r="K675" s="1">
        <f>IF(B675="", "", "g")</f>
        <v>0</v>
      </c>
    </row>
    <row r="676" spans="1:11">
      <c r="A676">
        <f>IF(COUNTBLANK(B676:K676)&lt;&gt;COLUMNS(B676:K676),675,"")</f>
        <v>0</v>
      </c>
      <c r="C676" s="1">
        <f>IF(B676="", "", "urban biome")</f>
        <v>0</v>
      </c>
      <c r="D676" s="1">
        <f>IF(B676="", "", "animal-associated habitat")</f>
        <v>0</v>
      </c>
      <c r="E676" s="2">
        <f>IF(B676="", "", "missing: not provided")</f>
        <v>0</v>
      </c>
      <c r="F676" s="1">
        <f>IF(B676="", "", "weeks")</f>
        <v>0</v>
      </c>
      <c r="G676" s="1">
        <f>IF(B676="", "", "mouse")</f>
        <v>0</v>
      </c>
      <c r="H676" s="1">
        <f>IF(B676="", "", "Mus musculus")</f>
        <v>0</v>
      </c>
      <c r="I676" s="1">
        <f>IF(B676="", "", "10090")</f>
        <v>0</v>
      </c>
      <c r="J676" s="2">
        <f>IF(B676="", "", "missing: not provided")</f>
        <v>0</v>
      </c>
      <c r="K676" s="1">
        <f>IF(B676="", "", "g")</f>
        <v>0</v>
      </c>
    </row>
    <row r="677" spans="1:11">
      <c r="A677">
        <f>IF(COUNTBLANK(B677:K677)&lt;&gt;COLUMNS(B677:K677),676,"")</f>
        <v>0</v>
      </c>
      <c r="C677" s="1">
        <f>IF(B677="", "", "urban biome")</f>
        <v>0</v>
      </c>
      <c r="D677" s="1">
        <f>IF(B677="", "", "animal-associated habitat")</f>
        <v>0</v>
      </c>
      <c r="E677" s="2">
        <f>IF(B677="", "", "missing: not provided")</f>
        <v>0</v>
      </c>
      <c r="F677" s="1">
        <f>IF(B677="", "", "weeks")</f>
        <v>0</v>
      </c>
      <c r="G677" s="1">
        <f>IF(B677="", "", "mouse")</f>
        <v>0</v>
      </c>
      <c r="H677" s="1">
        <f>IF(B677="", "", "Mus musculus")</f>
        <v>0</v>
      </c>
      <c r="I677" s="1">
        <f>IF(B677="", "", "10090")</f>
        <v>0</v>
      </c>
      <c r="J677" s="2">
        <f>IF(B677="", "", "missing: not provided")</f>
        <v>0</v>
      </c>
      <c r="K677" s="1">
        <f>IF(B677="", "", "g")</f>
        <v>0</v>
      </c>
    </row>
    <row r="678" spans="1:11">
      <c r="A678">
        <f>IF(COUNTBLANK(B678:K678)&lt;&gt;COLUMNS(B678:K678),677,"")</f>
        <v>0</v>
      </c>
      <c r="C678" s="1">
        <f>IF(B678="", "", "urban biome")</f>
        <v>0</v>
      </c>
      <c r="D678" s="1">
        <f>IF(B678="", "", "animal-associated habitat")</f>
        <v>0</v>
      </c>
      <c r="E678" s="2">
        <f>IF(B678="", "", "missing: not provided")</f>
        <v>0</v>
      </c>
      <c r="F678" s="1">
        <f>IF(B678="", "", "weeks")</f>
        <v>0</v>
      </c>
      <c r="G678" s="1">
        <f>IF(B678="", "", "mouse")</f>
        <v>0</v>
      </c>
      <c r="H678" s="1">
        <f>IF(B678="", "", "Mus musculus")</f>
        <v>0</v>
      </c>
      <c r="I678" s="1">
        <f>IF(B678="", "", "10090")</f>
        <v>0</v>
      </c>
      <c r="J678" s="2">
        <f>IF(B678="", "", "missing: not provided")</f>
        <v>0</v>
      </c>
      <c r="K678" s="1">
        <f>IF(B678="", "", "g")</f>
        <v>0</v>
      </c>
    </row>
    <row r="679" spans="1:11">
      <c r="A679">
        <f>IF(COUNTBLANK(B679:K679)&lt;&gt;COLUMNS(B679:K679),678,"")</f>
        <v>0</v>
      </c>
      <c r="C679" s="1">
        <f>IF(B679="", "", "urban biome")</f>
        <v>0</v>
      </c>
      <c r="D679" s="1">
        <f>IF(B679="", "", "animal-associated habitat")</f>
        <v>0</v>
      </c>
      <c r="E679" s="2">
        <f>IF(B679="", "", "missing: not provided")</f>
        <v>0</v>
      </c>
      <c r="F679" s="1">
        <f>IF(B679="", "", "weeks")</f>
        <v>0</v>
      </c>
      <c r="G679" s="1">
        <f>IF(B679="", "", "mouse")</f>
        <v>0</v>
      </c>
      <c r="H679" s="1">
        <f>IF(B679="", "", "Mus musculus")</f>
        <v>0</v>
      </c>
      <c r="I679" s="1">
        <f>IF(B679="", "", "10090")</f>
        <v>0</v>
      </c>
      <c r="J679" s="2">
        <f>IF(B679="", "", "missing: not provided")</f>
        <v>0</v>
      </c>
      <c r="K679" s="1">
        <f>IF(B679="", "", "g")</f>
        <v>0</v>
      </c>
    </row>
    <row r="680" spans="1:11">
      <c r="A680">
        <f>IF(COUNTBLANK(B680:K680)&lt;&gt;COLUMNS(B680:K680),679,"")</f>
        <v>0</v>
      </c>
      <c r="C680" s="1">
        <f>IF(B680="", "", "urban biome")</f>
        <v>0</v>
      </c>
      <c r="D680" s="1">
        <f>IF(B680="", "", "animal-associated habitat")</f>
        <v>0</v>
      </c>
      <c r="E680" s="2">
        <f>IF(B680="", "", "missing: not provided")</f>
        <v>0</v>
      </c>
      <c r="F680" s="1">
        <f>IF(B680="", "", "weeks")</f>
        <v>0</v>
      </c>
      <c r="G680" s="1">
        <f>IF(B680="", "", "mouse")</f>
        <v>0</v>
      </c>
      <c r="H680" s="1">
        <f>IF(B680="", "", "Mus musculus")</f>
        <v>0</v>
      </c>
      <c r="I680" s="1">
        <f>IF(B680="", "", "10090")</f>
        <v>0</v>
      </c>
      <c r="J680" s="2">
        <f>IF(B680="", "", "missing: not provided")</f>
        <v>0</v>
      </c>
      <c r="K680" s="1">
        <f>IF(B680="", "", "g")</f>
        <v>0</v>
      </c>
    </row>
    <row r="681" spans="1:11">
      <c r="A681">
        <f>IF(COUNTBLANK(B681:K681)&lt;&gt;COLUMNS(B681:K681),680,"")</f>
        <v>0</v>
      </c>
      <c r="C681" s="1">
        <f>IF(B681="", "", "urban biome")</f>
        <v>0</v>
      </c>
      <c r="D681" s="1">
        <f>IF(B681="", "", "animal-associated habitat")</f>
        <v>0</v>
      </c>
      <c r="E681" s="2">
        <f>IF(B681="", "", "missing: not provided")</f>
        <v>0</v>
      </c>
      <c r="F681" s="1">
        <f>IF(B681="", "", "weeks")</f>
        <v>0</v>
      </c>
      <c r="G681" s="1">
        <f>IF(B681="", "", "mouse")</f>
        <v>0</v>
      </c>
      <c r="H681" s="1">
        <f>IF(B681="", "", "Mus musculus")</f>
        <v>0</v>
      </c>
      <c r="I681" s="1">
        <f>IF(B681="", "", "10090")</f>
        <v>0</v>
      </c>
      <c r="J681" s="2">
        <f>IF(B681="", "", "missing: not provided")</f>
        <v>0</v>
      </c>
      <c r="K681" s="1">
        <f>IF(B681="", "", "g")</f>
        <v>0</v>
      </c>
    </row>
    <row r="682" spans="1:11">
      <c r="A682">
        <f>IF(COUNTBLANK(B682:K682)&lt;&gt;COLUMNS(B682:K682),681,"")</f>
        <v>0</v>
      </c>
      <c r="C682" s="1">
        <f>IF(B682="", "", "urban biome")</f>
        <v>0</v>
      </c>
      <c r="D682" s="1">
        <f>IF(B682="", "", "animal-associated habitat")</f>
        <v>0</v>
      </c>
      <c r="E682" s="2">
        <f>IF(B682="", "", "missing: not provided")</f>
        <v>0</v>
      </c>
      <c r="F682" s="1">
        <f>IF(B682="", "", "weeks")</f>
        <v>0</v>
      </c>
      <c r="G682" s="1">
        <f>IF(B682="", "", "mouse")</f>
        <v>0</v>
      </c>
      <c r="H682" s="1">
        <f>IF(B682="", "", "Mus musculus")</f>
        <v>0</v>
      </c>
      <c r="I682" s="1">
        <f>IF(B682="", "", "10090")</f>
        <v>0</v>
      </c>
      <c r="J682" s="2">
        <f>IF(B682="", "", "missing: not provided")</f>
        <v>0</v>
      </c>
      <c r="K682" s="1">
        <f>IF(B682="", "", "g")</f>
        <v>0</v>
      </c>
    </row>
    <row r="683" spans="1:11">
      <c r="A683">
        <f>IF(COUNTBLANK(B683:K683)&lt;&gt;COLUMNS(B683:K683),682,"")</f>
        <v>0</v>
      </c>
      <c r="C683" s="1">
        <f>IF(B683="", "", "urban biome")</f>
        <v>0</v>
      </c>
      <c r="D683" s="1">
        <f>IF(B683="", "", "animal-associated habitat")</f>
        <v>0</v>
      </c>
      <c r="E683" s="2">
        <f>IF(B683="", "", "missing: not provided")</f>
        <v>0</v>
      </c>
      <c r="F683" s="1">
        <f>IF(B683="", "", "weeks")</f>
        <v>0</v>
      </c>
      <c r="G683" s="1">
        <f>IF(B683="", "", "mouse")</f>
        <v>0</v>
      </c>
      <c r="H683" s="1">
        <f>IF(B683="", "", "Mus musculus")</f>
        <v>0</v>
      </c>
      <c r="I683" s="1">
        <f>IF(B683="", "", "10090")</f>
        <v>0</v>
      </c>
      <c r="J683" s="2">
        <f>IF(B683="", "", "missing: not provided")</f>
        <v>0</v>
      </c>
      <c r="K683" s="1">
        <f>IF(B683="", "", "g")</f>
        <v>0</v>
      </c>
    </row>
    <row r="684" spans="1:11">
      <c r="A684">
        <f>IF(COUNTBLANK(B684:K684)&lt;&gt;COLUMNS(B684:K684),683,"")</f>
        <v>0</v>
      </c>
      <c r="C684" s="1">
        <f>IF(B684="", "", "urban biome")</f>
        <v>0</v>
      </c>
      <c r="D684" s="1">
        <f>IF(B684="", "", "animal-associated habitat")</f>
        <v>0</v>
      </c>
      <c r="E684" s="2">
        <f>IF(B684="", "", "missing: not provided")</f>
        <v>0</v>
      </c>
      <c r="F684" s="1">
        <f>IF(B684="", "", "weeks")</f>
        <v>0</v>
      </c>
      <c r="G684" s="1">
        <f>IF(B684="", "", "mouse")</f>
        <v>0</v>
      </c>
      <c r="H684" s="1">
        <f>IF(B684="", "", "Mus musculus")</f>
        <v>0</v>
      </c>
      <c r="I684" s="1">
        <f>IF(B684="", "", "10090")</f>
        <v>0</v>
      </c>
      <c r="J684" s="2">
        <f>IF(B684="", "", "missing: not provided")</f>
        <v>0</v>
      </c>
      <c r="K684" s="1">
        <f>IF(B684="", "", "g")</f>
        <v>0</v>
      </c>
    </row>
    <row r="685" spans="1:11">
      <c r="A685">
        <f>IF(COUNTBLANK(B685:K685)&lt;&gt;COLUMNS(B685:K685),684,"")</f>
        <v>0</v>
      </c>
      <c r="C685" s="1">
        <f>IF(B685="", "", "urban biome")</f>
        <v>0</v>
      </c>
      <c r="D685" s="1">
        <f>IF(B685="", "", "animal-associated habitat")</f>
        <v>0</v>
      </c>
      <c r="E685" s="2">
        <f>IF(B685="", "", "missing: not provided")</f>
        <v>0</v>
      </c>
      <c r="F685" s="1">
        <f>IF(B685="", "", "weeks")</f>
        <v>0</v>
      </c>
      <c r="G685" s="1">
        <f>IF(B685="", "", "mouse")</f>
        <v>0</v>
      </c>
      <c r="H685" s="1">
        <f>IF(B685="", "", "Mus musculus")</f>
        <v>0</v>
      </c>
      <c r="I685" s="1">
        <f>IF(B685="", "", "10090")</f>
        <v>0</v>
      </c>
      <c r="J685" s="2">
        <f>IF(B685="", "", "missing: not provided")</f>
        <v>0</v>
      </c>
      <c r="K685" s="1">
        <f>IF(B685="", "", "g")</f>
        <v>0</v>
      </c>
    </row>
    <row r="686" spans="1:11">
      <c r="A686">
        <f>IF(COUNTBLANK(B686:K686)&lt;&gt;COLUMNS(B686:K686),685,"")</f>
        <v>0</v>
      </c>
      <c r="C686" s="1">
        <f>IF(B686="", "", "urban biome")</f>
        <v>0</v>
      </c>
      <c r="D686" s="1">
        <f>IF(B686="", "", "animal-associated habitat")</f>
        <v>0</v>
      </c>
      <c r="E686" s="2">
        <f>IF(B686="", "", "missing: not provided")</f>
        <v>0</v>
      </c>
      <c r="F686" s="1">
        <f>IF(B686="", "", "weeks")</f>
        <v>0</v>
      </c>
      <c r="G686" s="1">
        <f>IF(B686="", "", "mouse")</f>
        <v>0</v>
      </c>
      <c r="H686" s="1">
        <f>IF(B686="", "", "Mus musculus")</f>
        <v>0</v>
      </c>
      <c r="I686" s="1">
        <f>IF(B686="", "", "10090")</f>
        <v>0</v>
      </c>
      <c r="J686" s="2">
        <f>IF(B686="", "", "missing: not provided")</f>
        <v>0</v>
      </c>
      <c r="K686" s="1">
        <f>IF(B686="", "", "g")</f>
        <v>0</v>
      </c>
    </row>
    <row r="687" spans="1:11">
      <c r="A687">
        <f>IF(COUNTBLANK(B687:K687)&lt;&gt;COLUMNS(B687:K687),686,"")</f>
        <v>0</v>
      </c>
      <c r="C687" s="1">
        <f>IF(B687="", "", "urban biome")</f>
        <v>0</v>
      </c>
      <c r="D687" s="1">
        <f>IF(B687="", "", "animal-associated habitat")</f>
        <v>0</v>
      </c>
      <c r="E687" s="2">
        <f>IF(B687="", "", "missing: not provided")</f>
        <v>0</v>
      </c>
      <c r="F687" s="1">
        <f>IF(B687="", "", "weeks")</f>
        <v>0</v>
      </c>
      <c r="G687" s="1">
        <f>IF(B687="", "", "mouse")</f>
        <v>0</v>
      </c>
      <c r="H687" s="1">
        <f>IF(B687="", "", "Mus musculus")</f>
        <v>0</v>
      </c>
      <c r="I687" s="1">
        <f>IF(B687="", "", "10090")</f>
        <v>0</v>
      </c>
      <c r="J687" s="2">
        <f>IF(B687="", "", "missing: not provided")</f>
        <v>0</v>
      </c>
      <c r="K687" s="1">
        <f>IF(B687="", "", "g")</f>
        <v>0</v>
      </c>
    </row>
    <row r="688" spans="1:11">
      <c r="A688">
        <f>IF(COUNTBLANK(B688:K688)&lt;&gt;COLUMNS(B688:K688),687,"")</f>
        <v>0</v>
      </c>
      <c r="C688" s="1">
        <f>IF(B688="", "", "urban biome")</f>
        <v>0</v>
      </c>
      <c r="D688" s="1">
        <f>IF(B688="", "", "animal-associated habitat")</f>
        <v>0</v>
      </c>
      <c r="E688" s="2">
        <f>IF(B688="", "", "missing: not provided")</f>
        <v>0</v>
      </c>
      <c r="F688" s="1">
        <f>IF(B688="", "", "weeks")</f>
        <v>0</v>
      </c>
      <c r="G688" s="1">
        <f>IF(B688="", "", "mouse")</f>
        <v>0</v>
      </c>
      <c r="H688" s="1">
        <f>IF(B688="", "", "Mus musculus")</f>
        <v>0</v>
      </c>
      <c r="I688" s="1">
        <f>IF(B688="", "", "10090")</f>
        <v>0</v>
      </c>
      <c r="J688" s="2">
        <f>IF(B688="", "", "missing: not provided")</f>
        <v>0</v>
      </c>
      <c r="K688" s="1">
        <f>IF(B688="", "", "g")</f>
        <v>0</v>
      </c>
    </row>
    <row r="689" spans="1:11">
      <c r="A689">
        <f>IF(COUNTBLANK(B689:K689)&lt;&gt;COLUMNS(B689:K689),688,"")</f>
        <v>0</v>
      </c>
      <c r="C689" s="1">
        <f>IF(B689="", "", "urban biome")</f>
        <v>0</v>
      </c>
      <c r="D689" s="1">
        <f>IF(B689="", "", "animal-associated habitat")</f>
        <v>0</v>
      </c>
      <c r="E689" s="2">
        <f>IF(B689="", "", "missing: not provided")</f>
        <v>0</v>
      </c>
      <c r="F689" s="1">
        <f>IF(B689="", "", "weeks")</f>
        <v>0</v>
      </c>
      <c r="G689" s="1">
        <f>IF(B689="", "", "mouse")</f>
        <v>0</v>
      </c>
      <c r="H689" s="1">
        <f>IF(B689="", "", "Mus musculus")</f>
        <v>0</v>
      </c>
      <c r="I689" s="1">
        <f>IF(B689="", "", "10090")</f>
        <v>0</v>
      </c>
      <c r="J689" s="2">
        <f>IF(B689="", "", "missing: not provided")</f>
        <v>0</v>
      </c>
      <c r="K689" s="1">
        <f>IF(B689="", "", "g")</f>
        <v>0</v>
      </c>
    </row>
    <row r="690" spans="1:11">
      <c r="A690">
        <f>IF(COUNTBLANK(B690:K690)&lt;&gt;COLUMNS(B690:K690),689,"")</f>
        <v>0</v>
      </c>
      <c r="C690" s="1">
        <f>IF(B690="", "", "urban biome")</f>
        <v>0</v>
      </c>
      <c r="D690" s="1">
        <f>IF(B690="", "", "animal-associated habitat")</f>
        <v>0</v>
      </c>
      <c r="E690" s="2">
        <f>IF(B690="", "", "missing: not provided")</f>
        <v>0</v>
      </c>
      <c r="F690" s="1">
        <f>IF(B690="", "", "weeks")</f>
        <v>0</v>
      </c>
      <c r="G690" s="1">
        <f>IF(B690="", "", "mouse")</f>
        <v>0</v>
      </c>
      <c r="H690" s="1">
        <f>IF(B690="", "", "Mus musculus")</f>
        <v>0</v>
      </c>
      <c r="I690" s="1">
        <f>IF(B690="", "", "10090")</f>
        <v>0</v>
      </c>
      <c r="J690" s="2">
        <f>IF(B690="", "", "missing: not provided")</f>
        <v>0</v>
      </c>
      <c r="K690" s="1">
        <f>IF(B690="", "", "g")</f>
        <v>0</v>
      </c>
    </row>
    <row r="691" spans="1:11">
      <c r="A691">
        <f>IF(COUNTBLANK(B691:K691)&lt;&gt;COLUMNS(B691:K691),690,"")</f>
        <v>0</v>
      </c>
      <c r="C691" s="1">
        <f>IF(B691="", "", "urban biome")</f>
        <v>0</v>
      </c>
      <c r="D691" s="1">
        <f>IF(B691="", "", "animal-associated habitat")</f>
        <v>0</v>
      </c>
      <c r="E691" s="2">
        <f>IF(B691="", "", "missing: not provided")</f>
        <v>0</v>
      </c>
      <c r="F691" s="1">
        <f>IF(B691="", "", "weeks")</f>
        <v>0</v>
      </c>
      <c r="G691" s="1">
        <f>IF(B691="", "", "mouse")</f>
        <v>0</v>
      </c>
      <c r="H691" s="1">
        <f>IF(B691="", "", "Mus musculus")</f>
        <v>0</v>
      </c>
      <c r="I691" s="1">
        <f>IF(B691="", "", "10090")</f>
        <v>0</v>
      </c>
      <c r="J691" s="2">
        <f>IF(B691="", "", "missing: not provided")</f>
        <v>0</v>
      </c>
      <c r="K691" s="1">
        <f>IF(B691="", "", "g")</f>
        <v>0</v>
      </c>
    </row>
    <row r="692" spans="1:11">
      <c r="A692">
        <f>IF(COUNTBLANK(B692:K692)&lt;&gt;COLUMNS(B692:K692),691,"")</f>
        <v>0</v>
      </c>
      <c r="C692" s="1">
        <f>IF(B692="", "", "urban biome")</f>
        <v>0</v>
      </c>
      <c r="D692" s="1">
        <f>IF(B692="", "", "animal-associated habitat")</f>
        <v>0</v>
      </c>
      <c r="E692" s="2">
        <f>IF(B692="", "", "missing: not provided")</f>
        <v>0</v>
      </c>
      <c r="F692" s="1">
        <f>IF(B692="", "", "weeks")</f>
        <v>0</v>
      </c>
      <c r="G692" s="1">
        <f>IF(B692="", "", "mouse")</f>
        <v>0</v>
      </c>
      <c r="H692" s="1">
        <f>IF(B692="", "", "Mus musculus")</f>
        <v>0</v>
      </c>
      <c r="I692" s="1">
        <f>IF(B692="", "", "10090")</f>
        <v>0</v>
      </c>
      <c r="J692" s="2">
        <f>IF(B692="", "", "missing: not provided")</f>
        <v>0</v>
      </c>
      <c r="K692" s="1">
        <f>IF(B692="", "", "g")</f>
        <v>0</v>
      </c>
    </row>
    <row r="693" spans="1:11">
      <c r="A693">
        <f>IF(COUNTBLANK(B693:K693)&lt;&gt;COLUMNS(B693:K693),692,"")</f>
        <v>0</v>
      </c>
      <c r="C693" s="1">
        <f>IF(B693="", "", "urban biome")</f>
        <v>0</v>
      </c>
      <c r="D693" s="1">
        <f>IF(B693="", "", "animal-associated habitat")</f>
        <v>0</v>
      </c>
      <c r="E693" s="2">
        <f>IF(B693="", "", "missing: not provided")</f>
        <v>0</v>
      </c>
      <c r="F693" s="1">
        <f>IF(B693="", "", "weeks")</f>
        <v>0</v>
      </c>
      <c r="G693" s="1">
        <f>IF(B693="", "", "mouse")</f>
        <v>0</v>
      </c>
      <c r="H693" s="1">
        <f>IF(B693="", "", "Mus musculus")</f>
        <v>0</v>
      </c>
      <c r="I693" s="1">
        <f>IF(B693="", "", "10090")</f>
        <v>0</v>
      </c>
      <c r="J693" s="2">
        <f>IF(B693="", "", "missing: not provided")</f>
        <v>0</v>
      </c>
      <c r="K693" s="1">
        <f>IF(B693="", "", "g")</f>
        <v>0</v>
      </c>
    </row>
    <row r="694" spans="1:11">
      <c r="A694">
        <f>IF(COUNTBLANK(B694:K694)&lt;&gt;COLUMNS(B694:K694),693,"")</f>
        <v>0</v>
      </c>
      <c r="C694" s="1">
        <f>IF(B694="", "", "urban biome")</f>
        <v>0</v>
      </c>
      <c r="D694" s="1">
        <f>IF(B694="", "", "animal-associated habitat")</f>
        <v>0</v>
      </c>
      <c r="E694" s="2">
        <f>IF(B694="", "", "missing: not provided")</f>
        <v>0</v>
      </c>
      <c r="F694" s="1">
        <f>IF(B694="", "", "weeks")</f>
        <v>0</v>
      </c>
      <c r="G694" s="1">
        <f>IF(B694="", "", "mouse")</f>
        <v>0</v>
      </c>
      <c r="H694" s="1">
        <f>IF(B694="", "", "Mus musculus")</f>
        <v>0</v>
      </c>
      <c r="I694" s="1">
        <f>IF(B694="", "", "10090")</f>
        <v>0</v>
      </c>
      <c r="J694" s="2">
        <f>IF(B694="", "", "missing: not provided")</f>
        <v>0</v>
      </c>
      <c r="K694" s="1">
        <f>IF(B694="", "", "g")</f>
        <v>0</v>
      </c>
    </row>
    <row r="695" spans="1:11">
      <c r="A695">
        <f>IF(COUNTBLANK(B695:K695)&lt;&gt;COLUMNS(B695:K695),694,"")</f>
        <v>0</v>
      </c>
      <c r="C695" s="1">
        <f>IF(B695="", "", "urban biome")</f>
        <v>0</v>
      </c>
      <c r="D695" s="1">
        <f>IF(B695="", "", "animal-associated habitat")</f>
        <v>0</v>
      </c>
      <c r="E695" s="2">
        <f>IF(B695="", "", "missing: not provided")</f>
        <v>0</v>
      </c>
      <c r="F695" s="1">
        <f>IF(B695="", "", "weeks")</f>
        <v>0</v>
      </c>
      <c r="G695" s="1">
        <f>IF(B695="", "", "mouse")</f>
        <v>0</v>
      </c>
      <c r="H695" s="1">
        <f>IF(B695="", "", "Mus musculus")</f>
        <v>0</v>
      </c>
      <c r="I695" s="1">
        <f>IF(B695="", "", "10090")</f>
        <v>0</v>
      </c>
      <c r="J695" s="2">
        <f>IF(B695="", "", "missing: not provided")</f>
        <v>0</v>
      </c>
      <c r="K695" s="1">
        <f>IF(B695="", "", "g")</f>
        <v>0</v>
      </c>
    </row>
    <row r="696" spans="1:11">
      <c r="A696">
        <f>IF(COUNTBLANK(B696:K696)&lt;&gt;COLUMNS(B696:K696),695,"")</f>
        <v>0</v>
      </c>
      <c r="C696" s="1">
        <f>IF(B696="", "", "urban biome")</f>
        <v>0</v>
      </c>
      <c r="D696" s="1">
        <f>IF(B696="", "", "animal-associated habitat")</f>
        <v>0</v>
      </c>
      <c r="E696" s="2">
        <f>IF(B696="", "", "missing: not provided")</f>
        <v>0</v>
      </c>
      <c r="F696" s="1">
        <f>IF(B696="", "", "weeks")</f>
        <v>0</v>
      </c>
      <c r="G696" s="1">
        <f>IF(B696="", "", "mouse")</f>
        <v>0</v>
      </c>
      <c r="H696" s="1">
        <f>IF(B696="", "", "Mus musculus")</f>
        <v>0</v>
      </c>
      <c r="I696" s="1">
        <f>IF(B696="", "", "10090")</f>
        <v>0</v>
      </c>
      <c r="J696" s="2">
        <f>IF(B696="", "", "missing: not provided")</f>
        <v>0</v>
      </c>
      <c r="K696" s="1">
        <f>IF(B696="", "", "g")</f>
        <v>0</v>
      </c>
    </row>
    <row r="697" spans="1:11">
      <c r="A697">
        <f>IF(COUNTBLANK(B697:K697)&lt;&gt;COLUMNS(B697:K697),696,"")</f>
        <v>0</v>
      </c>
      <c r="C697" s="1">
        <f>IF(B697="", "", "urban biome")</f>
        <v>0</v>
      </c>
      <c r="D697" s="1">
        <f>IF(B697="", "", "animal-associated habitat")</f>
        <v>0</v>
      </c>
      <c r="E697" s="2">
        <f>IF(B697="", "", "missing: not provided")</f>
        <v>0</v>
      </c>
      <c r="F697" s="1">
        <f>IF(B697="", "", "weeks")</f>
        <v>0</v>
      </c>
      <c r="G697" s="1">
        <f>IF(B697="", "", "mouse")</f>
        <v>0</v>
      </c>
      <c r="H697" s="1">
        <f>IF(B697="", "", "Mus musculus")</f>
        <v>0</v>
      </c>
      <c r="I697" s="1">
        <f>IF(B697="", "", "10090")</f>
        <v>0</v>
      </c>
      <c r="J697" s="2">
        <f>IF(B697="", "", "missing: not provided")</f>
        <v>0</v>
      </c>
      <c r="K697" s="1">
        <f>IF(B697="", "", "g")</f>
        <v>0</v>
      </c>
    </row>
    <row r="698" spans="1:11">
      <c r="A698">
        <f>IF(COUNTBLANK(B698:K698)&lt;&gt;COLUMNS(B698:K698),697,"")</f>
        <v>0</v>
      </c>
      <c r="C698" s="1">
        <f>IF(B698="", "", "urban biome")</f>
        <v>0</v>
      </c>
      <c r="D698" s="1">
        <f>IF(B698="", "", "animal-associated habitat")</f>
        <v>0</v>
      </c>
      <c r="E698" s="2">
        <f>IF(B698="", "", "missing: not provided")</f>
        <v>0</v>
      </c>
      <c r="F698" s="1">
        <f>IF(B698="", "", "weeks")</f>
        <v>0</v>
      </c>
      <c r="G698" s="1">
        <f>IF(B698="", "", "mouse")</f>
        <v>0</v>
      </c>
      <c r="H698" s="1">
        <f>IF(B698="", "", "Mus musculus")</f>
        <v>0</v>
      </c>
      <c r="I698" s="1">
        <f>IF(B698="", "", "10090")</f>
        <v>0</v>
      </c>
      <c r="J698" s="2">
        <f>IF(B698="", "", "missing: not provided")</f>
        <v>0</v>
      </c>
      <c r="K698" s="1">
        <f>IF(B698="", "", "g")</f>
        <v>0</v>
      </c>
    </row>
    <row r="699" spans="1:11">
      <c r="A699">
        <f>IF(COUNTBLANK(B699:K699)&lt;&gt;COLUMNS(B699:K699),698,"")</f>
        <v>0</v>
      </c>
      <c r="C699" s="1">
        <f>IF(B699="", "", "urban biome")</f>
        <v>0</v>
      </c>
      <c r="D699" s="1">
        <f>IF(B699="", "", "animal-associated habitat")</f>
        <v>0</v>
      </c>
      <c r="E699" s="2">
        <f>IF(B699="", "", "missing: not provided")</f>
        <v>0</v>
      </c>
      <c r="F699" s="1">
        <f>IF(B699="", "", "weeks")</f>
        <v>0</v>
      </c>
      <c r="G699" s="1">
        <f>IF(B699="", "", "mouse")</f>
        <v>0</v>
      </c>
      <c r="H699" s="1">
        <f>IF(B699="", "", "Mus musculus")</f>
        <v>0</v>
      </c>
      <c r="I699" s="1">
        <f>IF(B699="", "", "10090")</f>
        <v>0</v>
      </c>
      <c r="J699" s="2">
        <f>IF(B699="", "", "missing: not provided")</f>
        <v>0</v>
      </c>
      <c r="K699" s="1">
        <f>IF(B699="", "", "g")</f>
        <v>0</v>
      </c>
    </row>
    <row r="700" spans="1:11">
      <c r="A700">
        <f>IF(COUNTBLANK(B700:K700)&lt;&gt;COLUMNS(B700:K700),699,"")</f>
        <v>0</v>
      </c>
      <c r="C700" s="1">
        <f>IF(B700="", "", "urban biome")</f>
        <v>0</v>
      </c>
      <c r="D700" s="1">
        <f>IF(B700="", "", "animal-associated habitat")</f>
        <v>0</v>
      </c>
      <c r="E700" s="2">
        <f>IF(B700="", "", "missing: not provided")</f>
        <v>0</v>
      </c>
      <c r="F700" s="1">
        <f>IF(B700="", "", "weeks")</f>
        <v>0</v>
      </c>
      <c r="G700" s="1">
        <f>IF(B700="", "", "mouse")</f>
        <v>0</v>
      </c>
      <c r="H700" s="1">
        <f>IF(B700="", "", "Mus musculus")</f>
        <v>0</v>
      </c>
      <c r="I700" s="1">
        <f>IF(B700="", "", "10090")</f>
        <v>0</v>
      </c>
      <c r="J700" s="2">
        <f>IF(B700="", "", "missing: not provided")</f>
        <v>0</v>
      </c>
      <c r="K700" s="1">
        <f>IF(B700="", "", "g")</f>
        <v>0</v>
      </c>
    </row>
    <row r="701" spans="1:11">
      <c r="A701">
        <f>IF(COUNTBLANK(B701:K701)&lt;&gt;COLUMNS(B701:K701),700,"")</f>
        <v>0</v>
      </c>
      <c r="C701" s="1">
        <f>IF(B701="", "", "urban biome")</f>
        <v>0</v>
      </c>
      <c r="D701" s="1">
        <f>IF(B701="", "", "animal-associated habitat")</f>
        <v>0</v>
      </c>
      <c r="E701" s="2">
        <f>IF(B701="", "", "missing: not provided")</f>
        <v>0</v>
      </c>
      <c r="F701" s="1">
        <f>IF(B701="", "", "weeks")</f>
        <v>0</v>
      </c>
      <c r="G701" s="1">
        <f>IF(B701="", "", "mouse")</f>
        <v>0</v>
      </c>
      <c r="H701" s="1">
        <f>IF(B701="", "", "Mus musculus")</f>
        <v>0</v>
      </c>
      <c r="I701" s="1">
        <f>IF(B701="", "", "10090")</f>
        <v>0</v>
      </c>
      <c r="J701" s="2">
        <f>IF(B701="", "", "missing: not provided")</f>
        <v>0</v>
      </c>
      <c r="K701" s="1">
        <f>IF(B701="", "", "g")</f>
        <v>0</v>
      </c>
    </row>
    <row r="702" spans="1:11">
      <c r="A702">
        <f>IF(COUNTBLANK(B702:K702)&lt;&gt;COLUMNS(B702:K702),701,"")</f>
        <v>0</v>
      </c>
      <c r="C702" s="1">
        <f>IF(B702="", "", "urban biome")</f>
        <v>0</v>
      </c>
      <c r="D702" s="1">
        <f>IF(B702="", "", "animal-associated habitat")</f>
        <v>0</v>
      </c>
      <c r="E702" s="2">
        <f>IF(B702="", "", "missing: not provided")</f>
        <v>0</v>
      </c>
      <c r="F702" s="1">
        <f>IF(B702="", "", "weeks")</f>
        <v>0</v>
      </c>
      <c r="G702" s="1">
        <f>IF(B702="", "", "mouse")</f>
        <v>0</v>
      </c>
      <c r="H702" s="1">
        <f>IF(B702="", "", "Mus musculus")</f>
        <v>0</v>
      </c>
      <c r="I702" s="1">
        <f>IF(B702="", "", "10090")</f>
        <v>0</v>
      </c>
      <c r="J702" s="2">
        <f>IF(B702="", "", "missing: not provided")</f>
        <v>0</v>
      </c>
      <c r="K702" s="1">
        <f>IF(B702="", "", "g")</f>
        <v>0</v>
      </c>
    </row>
    <row r="703" spans="1:11">
      <c r="A703">
        <f>IF(COUNTBLANK(B703:K703)&lt;&gt;COLUMNS(B703:K703),702,"")</f>
        <v>0</v>
      </c>
      <c r="C703" s="1">
        <f>IF(B703="", "", "urban biome")</f>
        <v>0</v>
      </c>
      <c r="D703" s="1">
        <f>IF(B703="", "", "animal-associated habitat")</f>
        <v>0</v>
      </c>
      <c r="E703" s="2">
        <f>IF(B703="", "", "missing: not provided")</f>
        <v>0</v>
      </c>
      <c r="F703" s="1">
        <f>IF(B703="", "", "weeks")</f>
        <v>0</v>
      </c>
      <c r="G703" s="1">
        <f>IF(B703="", "", "mouse")</f>
        <v>0</v>
      </c>
      <c r="H703" s="1">
        <f>IF(B703="", "", "Mus musculus")</f>
        <v>0</v>
      </c>
      <c r="I703" s="1">
        <f>IF(B703="", "", "10090")</f>
        <v>0</v>
      </c>
      <c r="J703" s="2">
        <f>IF(B703="", "", "missing: not provided")</f>
        <v>0</v>
      </c>
      <c r="K703" s="1">
        <f>IF(B703="", "", "g")</f>
        <v>0</v>
      </c>
    </row>
    <row r="704" spans="1:11">
      <c r="A704">
        <f>IF(COUNTBLANK(B704:K704)&lt;&gt;COLUMNS(B704:K704),703,"")</f>
        <v>0</v>
      </c>
      <c r="C704" s="1">
        <f>IF(B704="", "", "urban biome")</f>
        <v>0</v>
      </c>
      <c r="D704" s="1">
        <f>IF(B704="", "", "animal-associated habitat")</f>
        <v>0</v>
      </c>
      <c r="E704" s="2">
        <f>IF(B704="", "", "missing: not provided")</f>
        <v>0</v>
      </c>
      <c r="F704" s="1">
        <f>IF(B704="", "", "weeks")</f>
        <v>0</v>
      </c>
      <c r="G704" s="1">
        <f>IF(B704="", "", "mouse")</f>
        <v>0</v>
      </c>
      <c r="H704" s="1">
        <f>IF(B704="", "", "Mus musculus")</f>
        <v>0</v>
      </c>
      <c r="I704" s="1">
        <f>IF(B704="", "", "10090")</f>
        <v>0</v>
      </c>
      <c r="J704" s="2">
        <f>IF(B704="", "", "missing: not provided")</f>
        <v>0</v>
      </c>
      <c r="K704" s="1">
        <f>IF(B704="", "", "g")</f>
        <v>0</v>
      </c>
    </row>
    <row r="705" spans="1:11">
      <c r="A705">
        <f>IF(COUNTBLANK(B705:K705)&lt;&gt;COLUMNS(B705:K705),704,"")</f>
        <v>0</v>
      </c>
      <c r="C705" s="1">
        <f>IF(B705="", "", "urban biome")</f>
        <v>0</v>
      </c>
      <c r="D705" s="1">
        <f>IF(B705="", "", "animal-associated habitat")</f>
        <v>0</v>
      </c>
      <c r="E705" s="2">
        <f>IF(B705="", "", "missing: not provided")</f>
        <v>0</v>
      </c>
      <c r="F705" s="1">
        <f>IF(B705="", "", "weeks")</f>
        <v>0</v>
      </c>
      <c r="G705" s="1">
        <f>IF(B705="", "", "mouse")</f>
        <v>0</v>
      </c>
      <c r="H705" s="1">
        <f>IF(B705="", "", "Mus musculus")</f>
        <v>0</v>
      </c>
      <c r="I705" s="1">
        <f>IF(B705="", "", "10090")</f>
        <v>0</v>
      </c>
      <c r="J705" s="2">
        <f>IF(B705="", "", "missing: not provided")</f>
        <v>0</v>
      </c>
      <c r="K705" s="1">
        <f>IF(B705="", "", "g")</f>
        <v>0</v>
      </c>
    </row>
    <row r="706" spans="1:11">
      <c r="A706">
        <f>IF(COUNTBLANK(B706:K706)&lt;&gt;COLUMNS(B706:K706),705,"")</f>
        <v>0</v>
      </c>
      <c r="C706" s="1">
        <f>IF(B706="", "", "urban biome")</f>
        <v>0</v>
      </c>
      <c r="D706" s="1">
        <f>IF(B706="", "", "animal-associated habitat")</f>
        <v>0</v>
      </c>
      <c r="E706" s="2">
        <f>IF(B706="", "", "missing: not provided")</f>
        <v>0</v>
      </c>
      <c r="F706" s="1">
        <f>IF(B706="", "", "weeks")</f>
        <v>0</v>
      </c>
      <c r="G706" s="1">
        <f>IF(B706="", "", "mouse")</f>
        <v>0</v>
      </c>
      <c r="H706" s="1">
        <f>IF(B706="", "", "Mus musculus")</f>
        <v>0</v>
      </c>
      <c r="I706" s="1">
        <f>IF(B706="", "", "10090")</f>
        <v>0</v>
      </c>
      <c r="J706" s="2">
        <f>IF(B706="", "", "missing: not provided")</f>
        <v>0</v>
      </c>
      <c r="K706" s="1">
        <f>IF(B706="", "", "g")</f>
        <v>0</v>
      </c>
    </row>
    <row r="707" spans="1:11">
      <c r="A707">
        <f>IF(COUNTBLANK(B707:K707)&lt;&gt;COLUMNS(B707:K707),706,"")</f>
        <v>0</v>
      </c>
      <c r="C707" s="1">
        <f>IF(B707="", "", "urban biome")</f>
        <v>0</v>
      </c>
      <c r="D707" s="1">
        <f>IF(B707="", "", "animal-associated habitat")</f>
        <v>0</v>
      </c>
      <c r="E707" s="2">
        <f>IF(B707="", "", "missing: not provided")</f>
        <v>0</v>
      </c>
      <c r="F707" s="1">
        <f>IF(B707="", "", "weeks")</f>
        <v>0</v>
      </c>
      <c r="G707" s="1">
        <f>IF(B707="", "", "mouse")</f>
        <v>0</v>
      </c>
      <c r="H707" s="1">
        <f>IF(B707="", "", "Mus musculus")</f>
        <v>0</v>
      </c>
      <c r="I707" s="1">
        <f>IF(B707="", "", "10090")</f>
        <v>0</v>
      </c>
      <c r="J707" s="2">
        <f>IF(B707="", "", "missing: not provided")</f>
        <v>0</v>
      </c>
      <c r="K707" s="1">
        <f>IF(B707="", "", "g")</f>
        <v>0</v>
      </c>
    </row>
    <row r="708" spans="1:11">
      <c r="A708">
        <f>IF(COUNTBLANK(B708:K708)&lt;&gt;COLUMNS(B708:K708),707,"")</f>
        <v>0</v>
      </c>
      <c r="C708" s="1">
        <f>IF(B708="", "", "urban biome")</f>
        <v>0</v>
      </c>
      <c r="D708" s="1">
        <f>IF(B708="", "", "animal-associated habitat")</f>
        <v>0</v>
      </c>
      <c r="E708" s="2">
        <f>IF(B708="", "", "missing: not provided")</f>
        <v>0</v>
      </c>
      <c r="F708" s="1">
        <f>IF(B708="", "", "weeks")</f>
        <v>0</v>
      </c>
      <c r="G708" s="1">
        <f>IF(B708="", "", "mouse")</f>
        <v>0</v>
      </c>
      <c r="H708" s="1">
        <f>IF(B708="", "", "Mus musculus")</f>
        <v>0</v>
      </c>
      <c r="I708" s="1">
        <f>IF(B708="", "", "10090")</f>
        <v>0</v>
      </c>
      <c r="J708" s="2">
        <f>IF(B708="", "", "missing: not provided")</f>
        <v>0</v>
      </c>
      <c r="K708" s="1">
        <f>IF(B708="", "", "g")</f>
        <v>0</v>
      </c>
    </row>
    <row r="709" spans="1:11">
      <c r="A709">
        <f>IF(COUNTBLANK(B709:K709)&lt;&gt;COLUMNS(B709:K709),708,"")</f>
        <v>0</v>
      </c>
      <c r="C709" s="1">
        <f>IF(B709="", "", "urban biome")</f>
        <v>0</v>
      </c>
      <c r="D709" s="1">
        <f>IF(B709="", "", "animal-associated habitat")</f>
        <v>0</v>
      </c>
      <c r="E709" s="2">
        <f>IF(B709="", "", "missing: not provided")</f>
        <v>0</v>
      </c>
      <c r="F709" s="1">
        <f>IF(B709="", "", "weeks")</f>
        <v>0</v>
      </c>
      <c r="G709" s="1">
        <f>IF(B709="", "", "mouse")</f>
        <v>0</v>
      </c>
      <c r="H709" s="1">
        <f>IF(B709="", "", "Mus musculus")</f>
        <v>0</v>
      </c>
      <c r="I709" s="1">
        <f>IF(B709="", "", "10090")</f>
        <v>0</v>
      </c>
      <c r="J709" s="2">
        <f>IF(B709="", "", "missing: not provided")</f>
        <v>0</v>
      </c>
      <c r="K709" s="1">
        <f>IF(B709="", "", "g")</f>
        <v>0</v>
      </c>
    </row>
    <row r="710" spans="1:11">
      <c r="A710">
        <f>IF(COUNTBLANK(B710:K710)&lt;&gt;COLUMNS(B710:K710),709,"")</f>
        <v>0</v>
      </c>
      <c r="C710" s="1">
        <f>IF(B710="", "", "urban biome")</f>
        <v>0</v>
      </c>
      <c r="D710" s="1">
        <f>IF(B710="", "", "animal-associated habitat")</f>
        <v>0</v>
      </c>
      <c r="E710" s="2">
        <f>IF(B710="", "", "missing: not provided")</f>
        <v>0</v>
      </c>
      <c r="F710" s="1">
        <f>IF(B710="", "", "weeks")</f>
        <v>0</v>
      </c>
      <c r="G710" s="1">
        <f>IF(B710="", "", "mouse")</f>
        <v>0</v>
      </c>
      <c r="H710" s="1">
        <f>IF(B710="", "", "Mus musculus")</f>
        <v>0</v>
      </c>
      <c r="I710" s="1">
        <f>IF(B710="", "", "10090")</f>
        <v>0</v>
      </c>
      <c r="J710" s="2">
        <f>IF(B710="", "", "missing: not provided")</f>
        <v>0</v>
      </c>
      <c r="K710" s="1">
        <f>IF(B710="", "", "g")</f>
        <v>0</v>
      </c>
    </row>
    <row r="711" spans="1:11">
      <c r="A711">
        <f>IF(COUNTBLANK(B711:K711)&lt;&gt;COLUMNS(B711:K711),710,"")</f>
        <v>0</v>
      </c>
      <c r="C711" s="1">
        <f>IF(B711="", "", "urban biome")</f>
        <v>0</v>
      </c>
      <c r="D711" s="1">
        <f>IF(B711="", "", "animal-associated habitat")</f>
        <v>0</v>
      </c>
      <c r="E711" s="2">
        <f>IF(B711="", "", "missing: not provided")</f>
        <v>0</v>
      </c>
      <c r="F711" s="1">
        <f>IF(B711="", "", "weeks")</f>
        <v>0</v>
      </c>
      <c r="G711" s="1">
        <f>IF(B711="", "", "mouse")</f>
        <v>0</v>
      </c>
      <c r="H711" s="1">
        <f>IF(B711="", "", "Mus musculus")</f>
        <v>0</v>
      </c>
      <c r="I711" s="1">
        <f>IF(B711="", "", "10090")</f>
        <v>0</v>
      </c>
      <c r="J711" s="2">
        <f>IF(B711="", "", "missing: not provided")</f>
        <v>0</v>
      </c>
      <c r="K711" s="1">
        <f>IF(B711="", "", "g")</f>
        <v>0</v>
      </c>
    </row>
    <row r="712" spans="1:11">
      <c r="A712">
        <f>IF(COUNTBLANK(B712:K712)&lt;&gt;COLUMNS(B712:K712),711,"")</f>
        <v>0</v>
      </c>
      <c r="C712" s="1">
        <f>IF(B712="", "", "urban biome")</f>
        <v>0</v>
      </c>
      <c r="D712" s="1">
        <f>IF(B712="", "", "animal-associated habitat")</f>
        <v>0</v>
      </c>
      <c r="E712" s="2">
        <f>IF(B712="", "", "missing: not provided")</f>
        <v>0</v>
      </c>
      <c r="F712" s="1">
        <f>IF(B712="", "", "weeks")</f>
        <v>0</v>
      </c>
      <c r="G712" s="1">
        <f>IF(B712="", "", "mouse")</f>
        <v>0</v>
      </c>
      <c r="H712" s="1">
        <f>IF(B712="", "", "Mus musculus")</f>
        <v>0</v>
      </c>
      <c r="I712" s="1">
        <f>IF(B712="", "", "10090")</f>
        <v>0</v>
      </c>
      <c r="J712" s="2">
        <f>IF(B712="", "", "missing: not provided")</f>
        <v>0</v>
      </c>
      <c r="K712" s="1">
        <f>IF(B712="", "", "g")</f>
        <v>0</v>
      </c>
    </row>
    <row r="713" spans="1:11">
      <c r="A713">
        <f>IF(COUNTBLANK(B713:K713)&lt;&gt;COLUMNS(B713:K713),712,"")</f>
        <v>0</v>
      </c>
      <c r="C713" s="1">
        <f>IF(B713="", "", "urban biome")</f>
        <v>0</v>
      </c>
      <c r="D713" s="1">
        <f>IF(B713="", "", "animal-associated habitat")</f>
        <v>0</v>
      </c>
      <c r="E713" s="2">
        <f>IF(B713="", "", "missing: not provided")</f>
        <v>0</v>
      </c>
      <c r="F713" s="1">
        <f>IF(B713="", "", "weeks")</f>
        <v>0</v>
      </c>
      <c r="G713" s="1">
        <f>IF(B713="", "", "mouse")</f>
        <v>0</v>
      </c>
      <c r="H713" s="1">
        <f>IF(B713="", "", "Mus musculus")</f>
        <v>0</v>
      </c>
      <c r="I713" s="1">
        <f>IF(B713="", "", "10090")</f>
        <v>0</v>
      </c>
      <c r="J713" s="2">
        <f>IF(B713="", "", "missing: not provided")</f>
        <v>0</v>
      </c>
      <c r="K713" s="1">
        <f>IF(B713="", "", "g")</f>
        <v>0</v>
      </c>
    </row>
    <row r="714" spans="1:11">
      <c r="A714">
        <f>IF(COUNTBLANK(B714:K714)&lt;&gt;COLUMNS(B714:K714),713,"")</f>
        <v>0</v>
      </c>
      <c r="C714" s="1">
        <f>IF(B714="", "", "urban biome")</f>
        <v>0</v>
      </c>
      <c r="D714" s="1">
        <f>IF(B714="", "", "animal-associated habitat")</f>
        <v>0</v>
      </c>
      <c r="E714" s="2">
        <f>IF(B714="", "", "missing: not provided")</f>
        <v>0</v>
      </c>
      <c r="F714" s="1">
        <f>IF(B714="", "", "weeks")</f>
        <v>0</v>
      </c>
      <c r="G714" s="1">
        <f>IF(B714="", "", "mouse")</f>
        <v>0</v>
      </c>
      <c r="H714" s="1">
        <f>IF(B714="", "", "Mus musculus")</f>
        <v>0</v>
      </c>
      <c r="I714" s="1">
        <f>IF(B714="", "", "10090")</f>
        <v>0</v>
      </c>
      <c r="J714" s="2">
        <f>IF(B714="", "", "missing: not provided")</f>
        <v>0</v>
      </c>
      <c r="K714" s="1">
        <f>IF(B714="", "", "g")</f>
        <v>0</v>
      </c>
    </row>
    <row r="715" spans="1:11">
      <c r="A715">
        <f>IF(COUNTBLANK(B715:K715)&lt;&gt;COLUMNS(B715:K715),714,"")</f>
        <v>0</v>
      </c>
      <c r="C715" s="1">
        <f>IF(B715="", "", "urban biome")</f>
        <v>0</v>
      </c>
      <c r="D715" s="1">
        <f>IF(B715="", "", "animal-associated habitat")</f>
        <v>0</v>
      </c>
      <c r="E715" s="2">
        <f>IF(B715="", "", "missing: not provided")</f>
        <v>0</v>
      </c>
      <c r="F715" s="1">
        <f>IF(B715="", "", "weeks")</f>
        <v>0</v>
      </c>
      <c r="G715" s="1">
        <f>IF(B715="", "", "mouse")</f>
        <v>0</v>
      </c>
      <c r="H715" s="1">
        <f>IF(B715="", "", "Mus musculus")</f>
        <v>0</v>
      </c>
      <c r="I715" s="1">
        <f>IF(B715="", "", "10090")</f>
        <v>0</v>
      </c>
      <c r="J715" s="2">
        <f>IF(B715="", "", "missing: not provided")</f>
        <v>0</v>
      </c>
      <c r="K715" s="1">
        <f>IF(B715="", "", "g")</f>
        <v>0</v>
      </c>
    </row>
    <row r="716" spans="1:11">
      <c r="A716">
        <f>IF(COUNTBLANK(B716:K716)&lt;&gt;COLUMNS(B716:K716),715,"")</f>
        <v>0</v>
      </c>
      <c r="C716" s="1">
        <f>IF(B716="", "", "urban biome")</f>
        <v>0</v>
      </c>
      <c r="D716" s="1">
        <f>IF(B716="", "", "animal-associated habitat")</f>
        <v>0</v>
      </c>
      <c r="E716" s="2">
        <f>IF(B716="", "", "missing: not provided")</f>
        <v>0</v>
      </c>
      <c r="F716" s="1">
        <f>IF(B716="", "", "weeks")</f>
        <v>0</v>
      </c>
      <c r="G716" s="1">
        <f>IF(B716="", "", "mouse")</f>
        <v>0</v>
      </c>
      <c r="H716" s="1">
        <f>IF(B716="", "", "Mus musculus")</f>
        <v>0</v>
      </c>
      <c r="I716" s="1">
        <f>IF(B716="", "", "10090")</f>
        <v>0</v>
      </c>
      <c r="J716" s="2">
        <f>IF(B716="", "", "missing: not provided")</f>
        <v>0</v>
      </c>
      <c r="K716" s="1">
        <f>IF(B716="", "", "g")</f>
        <v>0</v>
      </c>
    </row>
    <row r="717" spans="1:11">
      <c r="A717">
        <f>IF(COUNTBLANK(B717:K717)&lt;&gt;COLUMNS(B717:K717),716,"")</f>
        <v>0</v>
      </c>
      <c r="C717" s="1">
        <f>IF(B717="", "", "urban biome")</f>
        <v>0</v>
      </c>
      <c r="D717" s="1">
        <f>IF(B717="", "", "animal-associated habitat")</f>
        <v>0</v>
      </c>
      <c r="E717" s="2">
        <f>IF(B717="", "", "missing: not provided")</f>
        <v>0</v>
      </c>
      <c r="F717" s="1">
        <f>IF(B717="", "", "weeks")</f>
        <v>0</v>
      </c>
      <c r="G717" s="1">
        <f>IF(B717="", "", "mouse")</f>
        <v>0</v>
      </c>
      <c r="H717" s="1">
        <f>IF(B717="", "", "Mus musculus")</f>
        <v>0</v>
      </c>
      <c r="I717" s="1">
        <f>IF(B717="", "", "10090")</f>
        <v>0</v>
      </c>
      <c r="J717" s="2">
        <f>IF(B717="", "", "missing: not provided")</f>
        <v>0</v>
      </c>
      <c r="K717" s="1">
        <f>IF(B717="", "", "g")</f>
        <v>0</v>
      </c>
    </row>
    <row r="718" spans="1:11">
      <c r="A718">
        <f>IF(COUNTBLANK(B718:K718)&lt;&gt;COLUMNS(B718:K718),717,"")</f>
        <v>0</v>
      </c>
      <c r="C718" s="1">
        <f>IF(B718="", "", "urban biome")</f>
        <v>0</v>
      </c>
      <c r="D718" s="1">
        <f>IF(B718="", "", "animal-associated habitat")</f>
        <v>0</v>
      </c>
      <c r="E718" s="2">
        <f>IF(B718="", "", "missing: not provided")</f>
        <v>0</v>
      </c>
      <c r="F718" s="1">
        <f>IF(B718="", "", "weeks")</f>
        <v>0</v>
      </c>
      <c r="G718" s="1">
        <f>IF(B718="", "", "mouse")</f>
        <v>0</v>
      </c>
      <c r="H718" s="1">
        <f>IF(B718="", "", "Mus musculus")</f>
        <v>0</v>
      </c>
      <c r="I718" s="1">
        <f>IF(B718="", "", "10090")</f>
        <v>0</v>
      </c>
      <c r="J718" s="2">
        <f>IF(B718="", "", "missing: not provided")</f>
        <v>0</v>
      </c>
      <c r="K718" s="1">
        <f>IF(B718="", "", "g")</f>
        <v>0</v>
      </c>
    </row>
    <row r="719" spans="1:11">
      <c r="A719">
        <f>IF(COUNTBLANK(B719:K719)&lt;&gt;COLUMNS(B719:K719),718,"")</f>
        <v>0</v>
      </c>
      <c r="C719" s="1">
        <f>IF(B719="", "", "urban biome")</f>
        <v>0</v>
      </c>
      <c r="D719" s="1">
        <f>IF(B719="", "", "animal-associated habitat")</f>
        <v>0</v>
      </c>
      <c r="E719" s="2">
        <f>IF(B719="", "", "missing: not provided")</f>
        <v>0</v>
      </c>
      <c r="F719" s="1">
        <f>IF(B719="", "", "weeks")</f>
        <v>0</v>
      </c>
      <c r="G719" s="1">
        <f>IF(B719="", "", "mouse")</f>
        <v>0</v>
      </c>
      <c r="H719" s="1">
        <f>IF(B719="", "", "Mus musculus")</f>
        <v>0</v>
      </c>
      <c r="I719" s="1">
        <f>IF(B719="", "", "10090")</f>
        <v>0</v>
      </c>
      <c r="J719" s="2">
        <f>IF(B719="", "", "missing: not provided")</f>
        <v>0</v>
      </c>
      <c r="K719" s="1">
        <f>IF(B719="", "", "g")</f>
        <v>0</v>
      </c>
    </row>
    <row r="720" spans="1:11">
      <c r="A720">
        <f>IF(COUNTBLANK(B720:K720)&lt;&gt;COLUMNS(B720:K720),719,"")</f>
        <v>0</v>
      </c>
      <c r="C720" s="1">
        <f>IF(B720="", "", "urban biome")</f>
        <v>0</v>
      </c>
      <c r="D720" s="1">
        <f>IF(B720="", "", "animal-associated habitat")</f>
        <v>0</v>
      </c>
      <c r="E720" s="2">
        <f>IF(B720="", "", "missing: not provided")</f>
        <v>0</v>
      </c>
      <c r="F720" s="1">
        <f>IF(B720="", "", "weeks")</f>
        <v>0</v>
      </c>
      <c r="G720" s="1">
        <f>IF(B720="", "", "mouse")</f>
        <v>0</v>
      </c>
      <c r="H720" s="1">
        <f>IF(B720="", "", "Mus musculus")</f>
        <v>0</v>
      </c>
      <c r="I720" s="1">
        <f>IF(B720="", "", "10090")</f>
        <v>0</v>
      </c>
      <c r="J720" s="2">
        <f>IF(B720="", "", "missing: not provided")</f>
        <v>0</v>
      </c>
      <c r="K720" s="1">
        <f>IF(B720="", "", "g")</f>
        <v>0</v>
      </c>
    </row>
    <row r="721" spans="1:11">
      <c r="A721">
        <f>IF(COUNTBLANK(B721:K721)&lt;&gt;COLUMNS(B721:K721),720,"")</f>
        <v>0</v>
      </c>
      <c r="C721" s="1">
        <f>IF(B721="", "", "urban biome")</f>
        <v>0</v>
      </c>
      <c r="D721" s="1">
        <f>IF(B721="", "", "animal-associated habitat")</f>
        <v>0</v>
      </c>
      <c r="E721" s="2">
        <f>IF(B721="", "", "missing: not provided")</f>
        <v>0</v>
      </c>
      <c r="F721" s="1">
        <f>IF(B721="", "", "weeks")</f>
        <v>0</v>
      </c>
      <c r="G721" s="1">
        <f>IF(B721="", "", "mouse")</f>
        <v>0</v>
      </c>
      <c r="H721" s="1">
        <f>IF(B721="", "", "Mus musculus")</f>
        <v>0</v>
      </c>
      <c r="I721" s="1">
        <f>IF(B721="", "", "10090")</f>
        <v>0</v>
      </c>
      <c r="J721" s="2">
        <f>IF(B721="", "", "missing: not provided")</f>
        <v>0</v>
      </c>
      <c r="K721" s="1">
        <f>IF(B721="", "", "g")</f>
        <v>0</v>
      </c>
    </row>
    <row r="722" spans="1:11">
      <c r="A722">
        <f>IF(COUNTBLANK(B722:K722)&lt;&gt;COLUMNS(B722:K722),721,"")</f>
        <v>0</v>
      </c>
      <c r="C722" s="1">
        <f>IF(B722="", "", "urban biome")</f>
        <v>0</v>
      </c>
      <c r="D722" s="1">
        <f>IF(B722="", "", "animal-associated habitat")</f>
        <v>0</v>
      </c>
      <c r="E722" s="2">
        <f>IF(B722="", "", "missing: not provided")</f>
        <v>0</v>
      </c>
      <c r="F722" s="1">
        <f>IF(B722="", "", "weeks")</f>
        <v>0</v>
      </c>
      <c r="G722" s="1">
        <f>IF(B722="", "", "mouse")</f>
        <v>0</v>
      </c>
      <c r="H722" s="1">
        <f>IF(B722="", "", "Mus musculus")</f>
        <v>0</v>
      </c>
      <c r="I722" s="1">
        <f>IF(B722="", "", "10090")</f>
        <v>0</v>
      </c>
      <c r="J722" s="2">
        <f>IF(B722="", "", "missing: not provided")</f>
        <v>0</v>
      </c>
      <c r="K722" s="1">
        <f>IF(B722="", "", "g")</f>
        <v>0</v>
      </c>
    </row>
    <row r="723" spans="1:11">
      <c r="A723">
        <f>IF(COUNTBLANK(B723:K723)&lt;&gt;COLUMNS(B723:K723),722,"")</f>
        <v>0</v>
      </c>
      <c r="C723" s="1">
        <f>IF(B723="", "", "urban biome")</f>
        <v>0</v>
      </c>
      <c r="D723" s="1">
        <f>IF(B723="", "", "animal-associated habitat")</f>
        <v>0</v>
      </c>
      <c r="E723" s="2">
        <f>IF(B723="", "", "missing: not provided")</f>
        <v>0</v>
      </c>
      <c r="F723" s="1">
        <f>IF(B723="", "", "weeks")</f>
        <v>0</v>
      </c>
      <c r="G723" s="1">
        <f>IF(B723="", "", "mouse")</f>
        <v>0</v>
      </c>
      <c r="H723" s="1">
        <f>IF(B723="", "", "Mus musculus")</f>
        <v>0</v>
      </c>
      <c r="I723" s="1">
        <f>IF(B723="", "", "10090")</f>
        <v>0</v>
      </c>
      <c r="J723" s="2">
        <f>IF(B723="", "", "missing: not provided")</f>
        <v>0</v>
      </c>
      <c r="K723" s="1">
        <f>IF(B723="", "", "g")</f>
        <v>0</v>
      </c>
    </row>
    <row r="724" spans="1:11">
      <c r="A724">
        <f>IF(COUNTBLANK(B724:K724)&lt;&gt;COLUMNS(B724:K724),723,"")</f>
        <v>0</v>
      </c>
      <c r="C724" s="1">
        <f>IF(B724="", "", "urban biome")</f>
        <v>0</v>
      </c>
      <c r="D724" s="1">
        <f>IF(B724="", "", "animal-associated habitat")</f>
        <v>0</v>
      </c>
      <c r="E724" s="2">
        <f>IF(B724="", "", "missing: not provided")</f>
        <v>0</v>
      </c>
      <c r="F724" s="1">
        <f>IF(B724="", "", "weeks")</f>
        <v>0</v>
      </c>
      <c r="G724" s="1">
        <f>IF(B724="", "", "mouse")</f>
        <v>0</v>
      </c>
      <c r="H724" s="1">
        <f>IF(B724="", "", "Mus musculus")</f>
        <v>0</v>
      </c>
      <c r="I724" s="1">
        <f>IF(B724="", "", "10090")</f>
        <v>0</v>
      </c>
      <c r="J724" s="2">
        <f>IF(B724="", "", "missing: not provided")</f>
        <v>0</v>
      </c>
      <c r="K724" s="1">
        <f>IF(B724="", "", "g")</f>
        <v>0</v>
      </c>
    </row>
    <row r="725" spans="1:11">
      <c r="A725">
        <f>IF(COUNTBLANK(B725:K725)&lt;&gt;COLUMNS(B725:K725),724,"")</f>
        <v>0</v>
      </c>
      <c r="C725" s="1">
        <f>IF(B725="", "", "urban biome")</f>
        <v>0</v>
      </c>
      <c r="D725" s="1">
        <f>IF(B725="", "", "animal-associated habitat")</f>
        <v>0</v>
      </c>
      <c r="E725" s="2">
        <f>IF(B725="", "", "missing: not provided")</f>
        <v>0</v>
      </c>
      <c r="F725" s="1">
        <f>IF(B725="", "", "weeks")</f>
        <v>0</v>
      </c>
      <c r="G725" s="1">
        <f>IF(B725="", "", "mouse")</f>
        <v>0</v>
      </c>
      <c r="H725" s="1">
        <f>IF(B725="", "", "Mus musculus")</f>
        <v>0</v>
      </c>
      <c r="I725" s="1">
        <f>IF(B725="", "", "10090")</f>
        <v>0</v>
      </c>
      <c r="J725" s="2">
        <f>IF(B725="", "", "missing: not provided")</f>
        <v>0</v>
      </c>
      <c r="K725" s="1">
        <f>IF(B725="", "", "g")</f>
        <v>0</v>
      </c>
    </row>
    <row r="726" spans="1:11">
      <c r="A726">
        <f>IF(COUNTBLANK(B726:K726)&lt;&gt;COLUMNS(B726:K726),725,"")</f>
        <v>0</v>
      </c>
      <c r="C726" s="1">
        <f>IF(B726="", "", "urban biome")</f>
        <v>0</v>
      </c>
      <c r="D726" s="1">
        <f>IF(B726="", "", "animal-associated habitat")</f>
        <v>0</v>
      </c>
      <c r="E726" s="2">
        <f>IF(B726="", "", "missing: not provided")</f>
        <v>0</v>
      </c>
      <c r="F726" s="1">
        <f>IF(B726="", "", "weeks")</f>
        <v>0</v>
      </c>
      <c r="G726" s="1">
        <f>IF(B726="", "", "mouse")</f>
        <v>0</v>
      </c>
      <c r="H726" s="1">
        <f>IF(B726="", "", "Mus musculus")</f>
        <v>0</v>
      </c>
      <c r="I726" s="1">
        <f>IF(B726="", "", "10090")</f>
        <v>0</v>
      </c>
      <c r="J726" s="2">
        <f>IF(B726="", "", "missing: not provided")</f>
        <v>0</v>
      </c>
      <c r="K726" s="1">
        <f>IF(B726="", "", "g")</f>
        <v>0</v>
      </c>
    </row>
    <row r="727" spans="1:11">
      <c r="A727">
        <f>IF(COUNTBLANK(B727:K727)&lt;&gt;COLUMNS(B727:K727),726,"")</f>
        <v>0</v>
      </c>
      <c r="C727" s="1">
        <f>IF(B727="", "", "urban biome")</f>
        <v>0</v>
      </c>
      <c r="D727" s="1">
        <f>IF(B727="", "", "animal-associated habitat")</f>
        <v>0</v>
      </c>
      <c r="E727" s="2">
        <f>IF(B727="", "", "missing: not provided")</f>
        <v>0</v>
      </c>
      <c r="F727" s="1">
        <f>IF(B727="", "", "weeks")</f>
        <v>0</v>
      </c>
      <c r="G727" s="1">
        <f>IF(B727="", "", "mouse")</f>
        <v>0</v>
      </c>
      <c r="H727" s="1">
        <f>IF(B727="", "", "Mus musculus")</f>
        <v>0</v>
      </c>
      <c r="I727" s="1">
        <f>IF(B727="", "", "10090")</f>
        <v>0</v>
      </c>
      <c r="J727" s="2">
        <f>IF(B727="", "", "missing: not provided")</f>
        <v>0</v>
      </c>
      <c r="K727" s="1">
        <f>IF(B727="", "", "g")</f>
        <v>0</v>
      </c>
    </row>
    <row r="728" spans="1:11">
      <c r="A728">
        <f>IF(COUNTBLANK(B728:K728)&lt;&gt;COLUMNS(B728:K728),727,"")</f>
        <v>0</v>
      </c>
      <c r="C728" s="1">
        <f>IF(B728="", "", "urban biome")</f>
        <v>0</v>
      </c>
      <c r="D728" s="1">
        <f>IF(B728="", "", "animal-associated habitat")</f>
        <v>0</v>
      </c>
      <c r="E728" s="2">
        <f>IF(B728="", "", "missing: not provided")</f>
        <v>0</v>
      </c>
      <c r="F728" s="1">
        <f>IF(B728="", "", "weeks")</f>
        <v>0</v>
      </c>
      <c r="G728" s="1">
        <f>IF(B728="", "", "mouse")</f>
        <v>0</v>
      </c>
      <c r="H728" s="1">
        <f>IF(B728="", "", "Mus musculus")</f>
        <v>0</v>
      </c>
      <c r="I728" s="1">
        <f>IF(B728="", "", "10090")</f>
        <v>0</v>
      </c>
      <c r="J728" s="2">
        <f>IF(B728="", "", "missing: not provided")</f>
        <v>0</v>
      </c>
      <c r="K728" s="1">
        <f>IF(B728="", "", "g")</f>
        <v>0</v>
      </c>
    </row>
    <row r="729" spans="1:11">
      <c r="A729">
        <f>IF(COUNTBLANK(B729:K729)&lt;&gt;COLUMNS(B729:K729),728,"")</f>
        <v>0</v>
      </c>
      <c r="C729" s="1">
        <f>IF(B729="", "", "urban biome")</f>
        <v>0</v>
      </c>
      <c r="D729" s="1">
        <f>IF(B729="", "", "animal-associated habitat")</f>
        <v>0</v>
      </c>
      <c r="E729" s="2">
        <f>IF(B729="", "", "missing: not provided")</f>
        <v>0</v>
      </c>
      <c r="F729" s="1">
        <f>IF(B729="", "", "weeks")</f>
        <v>0</v>
      </c>
      <c r="G729" s="1">
        <f>IF(B729="", "", "mouse")</f>
        <v>0</v>
      </c>
      <c r="H729" s="1">
        <f>IF(B729="", "", "Mus musculus")</f>
        <v>0</v>
      </c>
      <c r="I729" s="1">
        <f>IF(B729="", "", "10090")</f>
        <v>0</v>
      </c>
      <c r="J729" s="2">
        <f>IF(B729="", "", "missing: not provided")</f>
        <v>0</v>
      </c>
      <c r="K729" s="1">
        <f>IF(B729="", "", "g")</f>
        <v>0</v>
      </c>
    </row>
    <row r="730" spans="1:11">
      <c r="A730">
        <f>IF(COUNTBLANK(B730:K730)&lt;&gt;COLUMNS(B730:K730),729,"")</f>
        <v>0</v>
      </c>
      <c r="C730" s="1">
        <f>IF(B730="", "", "urban biome")</f>
        <v>0</v>
      </c>
      <c r="D730" s="1">
        <f>IF(B730="", "", "animal-associated habitat")</f>
        <v>0</v>
      </c>
      <c r="E730" s="2">
        <f>IF(B730="", "", "missing: not provided")</f>
        <v>0</v>
      </c>
      <c r="F730" s="1">
        <f>IF(B730="", "", "weeks")</f>
        <v>0</v>
      </c>
      <c r="G730" s="1">
        <f>IF(B730="", "", "mouse")</f>
        <v>0</v>
      </c>
      <c r="H730" s="1">
        <f>IF(B730="", "", "Mus musculus")</f>
        <v>0</v>
      </c>
      <c r="I730" s="1">
        <f>IF(B730="", "", "10090")</f>
        <v>0</v>
      </c>
      <c r="J730" s="2">
        <f>IF(B730="", "", "missing: not provided")</f>
        <v>0</v>
      </c>
      <c r="K730" s="1">
        <f>IF(B730="", "", "g")</f>
        <v>0</v>
      </c>
    </row>
    <row r="731" spans="1:11">
      <c r="A731">
        <f>IF(COUNTBLANK(B731:K731)&lt;&gt;COLUMNS(B731:K731),730,"")</f>
        <v>0</v>
      </c>
      <c r="C731" s="1">
        <f>IF(B731="", "", "urban biome")</f>
        <v>0</v>
      </c>
      <c r="D731" s="1">
        <f>IF(B731="", "", "animal-associated habitat")</f>
        <v>0</v>
      </c>
      <c r="E731" s="2">
        <f>IF(B731="", "", "missing: not provided")</f>
        <v>0</v>
      </c>
      <c r="F731" s="1">
        <f>IF(B731="", "", "weeks")</f>
        <v>0</v>
      </c>
      <c r="G731" s="1">
        <f>IF(B731="", "", "mouse")</f>
        <v>0</v>
      </c>
      <c r="H731" s="1">
        <f>IF(B731="", "", "Mus musculus")</f>
        <v>0</v>
      </c>
      <c r="I731" s="1">
        <f>IF(B731="", "", "10090")</f>
        <v>0</v>
      </c>
      <c r="J731" s="2">
        <f>IF(B731="", "", "missing: not provided")</f>
        <v>0</v>
      </c>
      <c r="K731" s="1">
        <f>IF(B731="", "", "g")</f>
        <v>0</v>
      </c>
    </row>
    <row r="732" spans="1:11">
      <c r="A732">
        <f>IF(COUNTBLANK(B732:K732)&lt;&gt;COLUMNS(B732:K732),731,"")</f>
        <v>0</v>
      </c>
      <c r="C732" s="1">
        <f>IF(B732="", "", "urban biome")</f>
        <v>0</v>
      </c>
      <c r="D732" s="1">
        <f>IF(B732="", "", "animal-associated habitat")</f>
        <v>0</v>
      </c>
      <c r="E732" s="2">
        <f>IF(B732="", "", "missing: not provided")</f>
        <v>0</v>
      </c>
      <c r="F732" s="1">
        <f>IF(B732="", "", "weeks")</f>
        <v>0</v>
      </c>
      <c r="G732" s="1">
        <f>IF(B732="", "", "mouse")</f>
        <v>0</v>
      </c>
      <c r="H732" s="1">
        <f>IF(B732="", "", "Mus musculus")</f>
        <v>0</v>
      </c>
      <c r="I732" s="1">
        <f>IF(B732="", "", "10090")</f>
        <v>0</v>
      </c>
      <c r="J732" s="2">
        <f>IF(B732="", "", "missing: not provided")</f>
        <v>0</v>
      </c>
      <c r="K732" s="1">
        <f>IF(B732="", "", "g")</f>
        <v>0</v>
      </c>
    </row>
    <row r="733" spans="1:11">
      <c r="A733">
        <f>IF(COUNTBLANK(B733:K733)&lt;&gt;COLUMNS(B733:K733),732,"")</f>
        <v>0</v>
      </c>
      <c r="C733" s="1">
        <f>IF(B733="", "", "urban biome")</f>
        <v>0</v>
      </c>
      <c r="D733" s="1">
        <f>IF(B733="", "", "animal-associated habitat")</f>
        <v>0</v>
      </c>
      <c r="E733" s="2">
        <f>IF(B733="", "", "missing: not provided")</f>
        <v>0</v>
      </c>
      <c r="F733" s="1">
        <f>IF(B733="", "", "weeks")</f>
        <v>0</v>
      </c>
      <c r="G733" s="1">
        <f>IF(B733="", "", "mouse")</f>
        <v>0</v>
      </c>
      <c r="H733" s="1">
        <f>IF(B733="", "", "Mus musculus")</f>
        <v>0</v>
      </c>
      <c r="I733" s="1">
        <f>IF(B733="", "", "10090")</f>
        <v>0</v>
      </c>
      <c r="J733" s="2">
        <f>IF(B733="", "", "missing: not provided")</f>
        <v>0</v>
      </c>
      <c r="K733" s="1">
        <f>IF(B733="", "", "g")</f>
        <v>0</v>
      </c>
    </row>
    <row r="734" spans="1:11">
      <c r="A734">
        <f>IF(COUNTBLANK(B734:K734)&lt;&gt;COLUMNS(B734:K734),733,"")</f>
        <v>0</v>
      </c>
      <c r="C734" s="1">
        <f>IF(B734="", "", "urban biome")</f>
        <v>0</v>
      </c>
      <c r="D734" s="1">
        <f>IF(B734="", "", "animal-associated habitat")</f>
        <v>0</v>
      </c>
      <c r="E734" s="2">
        <f>IF(B734="", "", "missing: not provided")</f>
        <v>0</v>
      </c>
      <c r="F734" s="1">
        <f>IF(B734="", "", "weeks")</f>
        <v>0</v>
      </c>
      <c r="G734" s="1">
        <f>IF(B734="", "", "mouse")</f>
        <v>0</v>
      </c>
      <c r="H734" s="1">
        <f>IF(B734="", "", "Mus musculus")</f>
        <v>0</v>
      </c>
      <c r="I734" s="1">
        <f>IF(B734="", "", "10090")</f>
        <v>0</v>
      </c>
      <c r="J734" s="2">
        <f>IF(B734="", "", "missing: not provided")</f>
        <v>0</v>
      </c>
      <c r="K734" s="1">
        <f>IF(B734="", "", "g")</f>
        <v>0</v>
      </c>
    </row>
    <row r="735" spans="1:11">
      <c r="A735">
        <f>IF(COUNTBLANK(B735:K735)&lt;&gt;COLUMNS(B735:K735),734,"")</f>
        <v>0</v>
      </c>
      <c r="C735" s="1">
        <f>IF(B735="", "", "urban biome")</f>
        <v>0</v>
      </c>
      <c r="D735" s="1">
        <f>IF(B735="", "", "animal-associated habitat")</f>
        <v>0</v>
      </c>
      <c r="E735" s="2">
        <f>IF(B735="", "", "missing: not provided")</f>
        <v>0</v>
      </c>
      <c r="F735" s="1">
        <f>IF(B735="", "", "weeks")</f>
        <v>0</v>
      </c>
      <c r="G735" s="1">
        <f>IF(B735="", "", "mouse")</f>
        <v>0</v>
      </c>
      <c r="H735" s="1">
        <f>IF(B735="", "", "Mus musculus")</f>
        <v>0</v>
      </c>
      <c r="I735" s="1">
        <f>IF(B735="", "", "10090")</f>
        <v>0</v>
      </c>
      <c r="J735" s="2">
        <f>IF(B735="", "", "missing: not provided")</f>
        <v>0</v>
      </c>
      <c r="K735" s="1">
        <f>IF(B735="", "", "g")</f>
        <v>0</v>
      </c>
    </row>
    <row r="736" spans="1:11">
      <c r="A736">
        <f>IF(COUNTBLANK(B736:K736)&lt;&gt;COLUMNS(B736:K736),735,"")</f>
        <v>0</v>
      </c>
      <c r="C736" s="1">
        <f>IF(B736="", "", "urban biome")</f>
        <v>0</v>
      </c>
      <c r="D736" s="1">
        <f>IF(B736="", "", "animal-associated habitat")</f>
        <v>0</v>
      </c>
      <c r="E736" s="2">
        <f>IF(B736="", "", "missing: not provided")</f>
        <v>0</v>
      </c>
      <c r="F736" s="1">
        <f>IF(B736="", "", "weeks")</f>
        <v>0</v>
      </c>
      <c r="G736" s="1">
        <f>IF(B736="", "", "mouse")</f>
        <v>0</v>
      </c>
      <c r="H736" s="1">
        <f>IF(B736="", "", "Mus musculus")</f>
        <v>0</v>
      </c>
      <c r="I736" s="1">
        <f>IF(B736="", "", "10090")</f>
        <v>0</v>
      </c>
      <c r="J736" s="2">
        <f>IF(B736="", "", "missing: not provided")</f>
        <v>0</v>
      </c>
      <c r="K736" s="1">
        <f>IF(B736="", "", "g")</f>
        <v>0</v>
      </c>
    </row>
    <row r="737" spans="1:11">
      <c r="A737">
        <f>IF(COUNTBLANK(B737:K737)&lt;&gt;COLUMNS(B737:K737),736,"")</f>
        <v>0</v>
      </c>
      <c r="C737" s="1">
        <f>IF(B737="", "", "urban biome")</f>
        <v>0</v>
      </c>
      <c r="D737" s="1">
        <f>IF(B737="", "", "animal-associated habitat")</f>
        <v>0</v>
      </c>
      <c r="E737" s="2">
        <f>IF(B737="", "", "missing: not provided")</f>
        <v>0</v>
      </c>
      <c r="F737" s="1">
        <f>IF(B737="", "", "weeks")</f>
        <v>0</v>
      </c>
      <c r="G737" s="1">
        <f>IF(B737="", "", "mouse")</f>
        <v>0</v>
      </c>
      <c r="H737" s="1">
        <f>IF(B737="", "", "Mus musculus")</f>
        <v>0</v>
      </c>
      <c r="I737" s="1">
        <f>IF(B737="", "", "10090")</f>
        <v>0</v>
      </c>
      <c r="J737" s="2">
        <f>IF(B737="", "", "missing: not provided")</f>
        <v>0</v>
      </c>
      <c r="K737" s="1">
        <f>IF(B737="", "", "g")</f>
        <v>0</v>
      </c>
    </row>
    <row r="738" spans="1:11">
      <c r="A738">
        <f>IF(COUNTBLANK(B738:K738)&lt;&gt;COLUMNS(B738:K738),737,"")</f>
        <v>0</v>
      </c>
      <c r="C738" s="1">
        <f>IF(B738="", "", "urban biome")</f>
        <v>0</v>
      </c>
      <c r="D738" s="1">
        <f>IF(B738="", "", "animal-associated habitat")</f>
        <v>0</v>
      </c>
      <c r="E738" s="2">
        <f>IF(B738="", "", "missing: not provided")</f>
        <v>0</v>
      </c>
      <c r="F738" s="1">
        <f>IF(B738="", "", "weeks")</f>
        <v>0</v>
      </c>
      <c r="G738" s="1">
        <f>IF(B738="", "", "mouse")</f>
        <v>0</v>
      </c>
      <c r="H738" s="1">
        <f>IF(B738="", "", "Mus musculus")</f>
        <v>0</v>
      </c>
      <c r="I738" s="1">
        <f>IF(B738="", "", "10090")</f>
        <v>0</v>
      </c>
      <c r="J738" s="2">
        <f>IF(B738="", "", "missing: not provided")</f>
        <v>0</v>
      </c>
      <c r="K738" s="1">
        <f>IF(B738="", "", "g")</f>
        <v>0</v>
      </c>
    </row>
    <row r="739" spans="1:11">
      <c r="A739">
        <f>IF(COUNTBLANK(B739:K739)&lt;&gt;COLUMNS(B739:K739),738,"")</f>
        <v>0</v>
      </c>
      <c r="C739" s="1">
        <f>IF(B739="", "", "urban biome")</f>
        <v>0</v>
      </c>
      <c r="D739" s="1">
        <f>IF(B739="", "", "animal-associated habitat")</f>
        <v>0</v>
      </c>
      <c r="E739" s="2">
        <f>IF(B739="", "", "missing: not provided")</f>
        <v>0</v>
      </c>
      <c r="F739" s="1">
        <f>IF(B739="", "", "weeks")</f>
        <v>0</v>
      </c>
      <c r="G739" s="1">
        <f>IF(B739="", "", "mouse")</f>
        <v>0</v>
      </c>
      <c r="H739" s="1">
        <f>IF(B739="", "", "Mus musculus")</f>
        <v>0</v>
      </c>
      <c r="I739" s="1">
        <f>IF(B739="", "", "10090")</f>
        <v>0</v>
      </c>
      <c r="J739" s="2">
        <f>IF(B739="", "", "missing: not provided")</f>
        <v>0</v>
      </c>
      <c r="K739" s="1">
        <f>IF(B739="", "", "g")</f>
        <v>0</v>
      </c>
    </row>
    <row r="740" spans="1:11">
      <c r="A740">
        <f>IF(COUNTBLANK(B740:K740)&lt;&gt;COLUMNS(B740:K740),739,"")</f>
        <v>0</v>
      </c>
      <c r="C740" s="1">
        <f>IF(B740="", "", "urban biome")</f>
        <v>0</v>
      </c>
      <c r="D740" s="1">
        <f>IF(B740="", "", "animal-associated habitat")</f>
        <v>0</v>
      </c>
      <c r="E740" s="2">
        <f>IF(B740="", "", "missing: not provided")</f>
        <v>0</v>
      </c>
      <c r="F740" s="1">
        <f>IF(B740="", "", "weeks")</f>
        <v>0</v>
      </c>
      <c r="G740" s="1">
        <f>IF(B740="", "", "mouse")</f>
        <v>0</v>
      </c>
      <c r="H740" s="1">
        <f>IF(B740="", "", "Mus musculus")</f>
        <v>0</v>
      </c>
      <c r="I740" s="1">
        <f>IF(B740="", "", "10090")</f>
        <v>0</v>
      </c>
      <c r="J740" s="2">
        <f>IF(B740="", "", "missing: not provided")</f>
        <v>0</v>
      </c>
      <c r="K740" s="1">
        <f>IF(B740="", "", "g")</f>
        <v>0</v>
      </c>
    </row>
    <row r="741" spans="1:11">
      <c r="A741">
        <f>IF(COUNTBLANK(B741:K741)&lt;&gt;COLUMNS(B741:K741),740,"")</f>
        <v>0</v>
      </c>
      <c r="C741" s="1">
        <f>IF(B741="", "", "urban biome")</f>
        <v>0</v>
      </c>
      <c r="D741" s="1">
        <f>IF(B741="", "", "animal-associated habitat")</f>
        <v>0</v>
      </c>
      <c r="E741" s="2">
        <f>IF(B741="", "", "missing: not provided")</f>
        <v>0</v>
      </c>
      <c r="F741" s="1">
        <f>IF(B741="", "", "weeks")</f>
        <v>0</v>
      </c>
      <c r="G741" s="1">
        <f>IF(B741="", "", "mouse")</f>
        <v>0</v>
      </c>
      <c r="H741" s="1">
        <f>IF(B741="", "", "Mus musculus")</f>
        <v>0</v>
      </c>
      <c r="I741" s="1">
        <f>IF(B741="", "", "10090")</f>
        <v>0</v>
      </c>
      <c r="J741" s="2">
        <f>IF(B741="", "", "missing: not provided")</f>
        <v>0</v>
      </c>
      <c r="K741" s="1">
        <f>IF(B741="", "", "g")</f>
        <v>0</v>
      </c>
    </row>
    <row r="742" spans="1:11">
      <c r="A742">
        <f>IF(COUNTBLANK(B742:K742)&lt;&gt;COLUMNS(B742:K742),741,"")</f>
        <v>0</v>
      </c>
      <c r="C742" s="1">
        <f>IF(B742="", "", "urban biome")</f>
        <v>0</v>
      </c>
      <c r="D742" s="1">
        <f>IF(B742="", "", "animal-associated habitat")</f>
        <v>0</v>
      </c>
      <c r="E742" s="2">
        <f>IF(B742="", "", "missing: not provided")</f>
        <v>0</v>
      </c>
      <c r="F742" s="1">
        <f>IF(B742="", "", "weeks")</f>
        <v>0</v>
      </c>
      <c r="G742" s="1">
        <f>IF(B742="", "", "mouse")</f>
        <v>0</v>
      </c>
      <c r="H742" s="1">
        <f>IF(B742="", "", "Mus musculus")</f>
        <v>0</v>
      </c>
      <c r="I742" s="1">
        <f>IF(B742="", "", "10090")</f>
        <v>0</v>
      </c>
      <c r="J742" s="2">
        <f>IF(B742="", "", "missing: not provided")</f>
        <v>0</v>
      </c>
      <c r="K742" s="1">
        <f>IF(B742="", "", "g")</f>
        <v>0</v>
      </c>
    </row>
    <row r="743" spans="1:11">
      <c r="A743">
        <f>IF(COUNTBLANK(B743:K743)&lt;&gt;COLUMNS(B743:K743),742,"")</f>
        <v>0</v>
      </c>
      <c r="C743" s="1">
        <f>IF(B743="", "", "urban biome")</f>
        <v>0</v>
      </c>
      <c r="D743" s="1">
        <f>IF(B743="", "", "animal-associated habitat")</f>
        <v>0</v>
      </c>
      <c r="E743" s="2">
        <f>IF(B743="", "", "missing: not provided")</f>
        <v>0</v>
      </c>
      <c r="F743" s="1">
        <f>IF(B743="", "", "weeks")</f>
        <v>0</v>
      </c>
      <c r="G743" s="1">
        <f>IF(B743="", "", "mouse")</f>
        <v>0</v>
      </c>
      <c r="H743" s="1">
        <f>IF(B743="", "", "Mus musculus")</f>
        <v>0</v>
      </c>
      <c r="I743" s="1">
        <f>IF(B743="", "", "10090")</f>
        <v>0</v>
      </c>
      <c r="J743" s="2">
        <f>IF(B743="", "", "missing: not provided")</f>
        <v>0</v>
      </c>
      <c r="K743" s="1">
        <f>IF(B743="", "", "g")</f>
        <v>0</v>
      </c>
    </row>
    <row r="744" spans="1:11">
      <c r="A744">
        <f>IF(COUNTBLANK(B744:K744)&lt;&gt;COLUMNS(B744:K744),743,"")</f>
        <v>0</v>
      </c>
      <c r="C744" s="1">
        <f>IF(B744="", "", "urban biome")</f>
        <v>0</v>
      </c>
      <c r="D744" s="1">
        <f>IF(B744="", "", "animal-associated habitat")</f>
        <v>0</v>
      </c>
      <c r="E744" s="2">
        <f>IF(B744="", "", "missing: not provided")</f>
        <v>0</v>
      </c>
      <c r="F744" s="1">
        <f>IF(B744="", "", "weeks")</f>
        <v>0</v>
      </c>
      <c r="G744" s="1">
        <f>IF(B744="", "", "mouse")</f>
        <v>0</v>
      </c>
      <c r="H744" s="1">
        <f>IF(B744="", "", "Mus musculus")</f>
        <v>0</v>
      </c>
      <c r="I744" s="1">
        <f>IF(B744="", "", "10090")</f>
        <v>0</v>
      </c>
      <c r="J744" s="2">
        <f>IF(B744="", "", "missing: not provided")</f>
        <v>0</v>
      </c>
      <c r="K744" s="1">
        <f>IF(B744="", "", "g")</f>
        <v>0</v>
      </c>
    </row>
    <row r="745" spans="1:11">
      <c r="A745">
        <f>IF(COUNTBLANK(B745:K745)&lt;&gt;COLUMNS(B745:K745),744,"")</f>
        <v>0</v>
      </c>
      <c r="C745" s="1">
        <f>IF(B745="", "", "urban biome")</f>
        <v>0</v>
      </c>
      <c r="D745" s="1">
        <f>IF(B745="", "", "animal-associated habitat")</f>
        <v>0</v>
      </c>
      <c r="E745" s="2">
        <f>IF(B745="", "", "missing: not provided")</f>
        <v>0</v>
      </c>
      <c r="F745" s="1">
        <f>IF(B745="", "", "weeks")</f>
        <v>0</v>
      </c>
      <c r="G745" s="1">
        <f>IF(B745="", "", "mouse")</f>
        <v>0</v>
      </c>
      <c r="H745" s="1">
        <f>IF(B745="", "", "Mus musculus")</f>
        <v>0</v>
      </c>
      <c r="I745" s="1">
        <f>IF(B745="", "", "10090")</f>
        <v>0</v>
      </c>
      <c r="J745" s="2">
        <f>IF(B745="", "", "missing: not provided")</f>
        <v>0</v>
      </c>
      <c r="K745" s="1">
        <f>IF(B745="", "", "g")</f>
        <v>0</v>
      </c>
    </row>
    <row r="746" spans="1:11">
      <c r="A746">
        <f>IF(COUNTBLANK(B746:K746)&lt;&gt;COLUMNS(B746:K746),745,"")</f>
        <v>0</v>
      </c>
      <c r="C746" s="1">
        <f>IF(B746="", "", "urban biome")</f>
        <v>0</v>
      </c>
      <c r="D746" s="1">
        <f>IF(B746="", "", "animal-associated habitat")</f>
        <v>0</v>
      </c>
      <c r="E746" s="2">
        <f>IF(B746="", "", "missing: not provided")</f>
        <v>0</v>
      </c>
      <c r="F746" s="1">
        <f>IF(B746="", "", "weeks")</f>
        <v>0</v>
      </c>
      <c r="G746" s="1">
        <f>IF(B746="", "", "mouse")</f>
        <v>0</v>
      </c>
      <c r="H746" s="1">
        <f>IF(B746="", "", "Mus musculus")</f>
        <v>0</v>
      </c>
      <c r="I746" s="1">
        <f>IF(B746="", "", "10090")</f>
        <v>0</v>
      </c>
      <c r="J746" s="2">
        <f>IF(B746="", "", "missing: not provided")</f>
        <v>0</v>
      </c>
      <c r="K746" s="1">
        <f>IF(B746="", "", "g")</f>
        <v>0</v>
      </c>
    </row>
    <row r="747" spans="1:11">
      <c r="A747">
        <f>IF(COUNTBLANK(B747:K747)&lt;&gt;COLUMNS(B747:K747),746,"")</f>
        <v>0</v>
      </c>
      <c r="C747" s="1">
        <f>IF(B747="", "", "urban biome")</f>
        <v>0</v>
      </c>
      <c r="D747" s="1">
        <f>IF(B747="", "", "animal-associated habitat")</f>
        <v>0</v>
      </c>
      <c r="E747" s="2">
        <f>IF(B747="", "", "missing: not provided")</f>
        <v>0</v>
      </c>
      <c r="F747" s="1">
        <f>IF(B747="", "", "weeks")</f>
        <v>0</v>
      </c>
      <c r="G747" s="1">
        <f>IF(B747="", "", "mouse")</f>
        <v>0</v>
      </c>
      <c r="H747" s="1">
        <f>IF(B747="", "", "Mus musculus")</f>
        <v>0</v>
      </c>
      <c r="I747" s="1">
        <f>IF(B747="", "", "10090")</f>
        <v>0</v>
      </c>
      <c r="J747" s="2">
        <f>IF(B747="", "", "missing: not provided")</f>
        <v>0</v>
      </c>
      <c r="K747" s="1">
        <f>IF(B747="", "", "g")</f>
        <v>0</v>
      </c>
    </row>
    <row r="748" spans="1:11">
      <c r="A748">
        <f>IF(COUNTBLANK(B748:K748)&lt;&gt;COLUMNS(B748:K748),747,"")</f>
        <v>0</v>
      </c>
      <c r="C748" s="1">
        <f>IF(B748="", "", "urban biome")</f>
        <v>0</v>
      </c>
      <c r="D748" s="1">
        <f>IF(B748="", "", "animal-associated habitat")</f>
        <v>0</v>
      </c>
      <c r="E748" s="2">
        <f>IF(B748="", "", "missing: not provided")</f>
        <v>0</v>
      </c>
      <c r="F748" s="1">
        <f>IF(B748="", "", "weeks")</f>
        <v>0</v>
      </c>
      <c r="G748" s="1">
        <f>IF(B748="", "", "mouse")</f>
        <v>0</v>
      </c>
      <c r="H748" s="1">
        <f>IF(B748="", "", "Mus musculus")</f>
        <v>0</v>
      </c>
      <c r="I748" s="1">
        <f>IF(B748="", "", "10090")</f>
        <v>0</v>
      </c>
      <c r="J748" s="2">
        <f>IF(B748="", "", "missing: not provided")</f>
        <v>0</v>
      </c>
      <c r="K748" s="1">
        <f>IF(B748="", "", "g")</f>
        <v>0</v>
      </c>
    </row>
    <row r="749" spans="1:11">
      <c r="A749">
        <f>IF(COUNTBLANK(B749:K749)&lt;&gt;COLUMNS(B749:K749),748,"")</f>
        <v>0</v>
      </c>
      <c r="C749" s="1">
        <f>IF(B749="", "", "urban biome")</f>
        <v>0</v>
      </c>
      <c r="D749" s="1">
        <f>IF(B749="", "", "animal-associated habitat")</f>
        <v>0</v>
      </c>
      <c r="E749" s="2">
        <f>IF(B749="", "", "missing: not provided")</f>
        <v>0</v>
      </c>
      <c r="F749" s="1">
        <f>IF(B749="", "", "weeks")</f>
        <v>0</v>
      </c>
      <c r="G749" s="1">
        <f>IF(B749="", "", "mouse")</f>
        <v>0</v>
      </c>
      <c r="H749" s="1">
        <f>IF(B749="", "", "Mus musculus")</f>
        <v>0</v>
      </c>
      <c r="I749" s="1">
        <f>IF(B749="", "", "10090")</f>
        <v>0</v>
      </c>
      <c r="J749" s="2">
        <f>IF(B749="", "", "missing: not provided")</f>
        <v>0</v>
      </c>
      <c r="K749" s="1">
        <f>IF(B749="", "", "g")</f>
        <v>0</v>
      </c>
    </row>
    <row r="750" spans="1:11">
      <c r="A750">
        <f>IF(COUNTBLANK(B750:K750)&lt;&gt;COLUMNS(B750:K750),749,"")</f>
        <v>0</v>
      </c>
      <c r="C750" s="1">
        <f>IF(B750="", "", "urban biome")</f>
        <v>0</v>
      </c>
      <c r="D750" s="1">
        <f>IF(B750="", "", "animal-associated habitat")</f>
        <v>0</v>
      </c>
      <c r="E750" s="2">
        <f>IF(B750="", "", "missing: not provided")</f>
        <v>0</v>
      </c>
      <c r="F750" s="1">
        <f>IF(B750="", "", "weeks")</f>
        <v>0</v>
      </c>
      <c r="G750" s="1">
        <f>IF(B750="", "", "mouse")</f>
        <v>0</v>
      </c>
      <c r="H750" s="1">
        <f>IF(B750="", "", "Mus musculus")</f>
        <v>0</v>
      </c>
      <c r="I750" s="1">
        <f>IF(B750="", "", "10090")</f>
        <v>0</v>
      </c>
      <c r="J750" s="2">
        <f>IF(B750="", "", "missing: not provided")</f>
        <v>0</v>
      </c>
      <c r="K750" s="1">
        <f>IF(B750="", "", "g")</f>
        <v>0</v>
      </c>
    </row>
    <row r="751" spans="1:11">
      <c r="A751">
        <f>IF(COUNTBLANK(B751:K751)&lt;&gt;COLUMNS(B751:K751),750,"")</f>
        <v>0</v>
      </c>
      <c r="C751" s="1">
        <f>IF(B751="", "", "urban biome")</f>
        <v>0</v>
      </c>
      <c r="D751" s="1">
        <f>IF(B751="", "", "animal-associated habitat")</f>
        <v>0</v>
      </c>
      <c r="E751" s="2">
        <f>IF(B751="", "", "missing: not provided")</f>
        <v>0</v>
      </c>
      <c r="F751" s="1">
        <f>IF(B751="", "", "weeks")</f>
        <v>0</v>
      </c>
      <c r="G751" s="1">
        <f>IF(B751="", "", "mouse")</f>
        <v>0</v>
      </c>
      <c r="H751" s="1">
        <f>IF(B751="", "", "Mus musculus")</f>
        <v>0</v>
      </c>
      <c r="I751" s="1">
        <f>IF(B751="", "", "10090")</f>
        <v>0</v>
      </c>
      <c r="J751" s="2">
        <f>IF(B751="", "", "missing: not provided")</f>
        <v>0</v>
      </c>
      <c r="K751" s="1">
        <f>IF(B751="", "", "g")</f>
        <v>0</v>
      </c>
    </row>
    <row r="752" spans="1:11">
      <c r="A752">
        <f>IF(COUNTBLANK(B752:K752)&lt;&gt;COLUMNS(B752:K752),751,"")</f>
        <v>0</v>
      </c>
      <c r="C752" s="1">
        <f>IF(B752="", "", "urban biome")</f>
        <v>0</v>
      </c>
      <c r="D752" s="1">
        <f>IF(B752="", "", "animal-associated habitat")</f>
        <v>0</v>
      </c>
      <c r="E752" s="2">
        <f>IF(B752="", "", "missing: not provided")</f>
        <v>0</v>
      </c>
      <c r="F752" s="1">
        <f>IF(B752="", "", "weeks")</f>
        <v>0</v>
      </c>
      <c r="G752" s="1">
        <f>IF(B752="", "", "mouse")</f>
        <v>0</v>
      </c>
      <c r="H752" s="1">
        <f>IF(B752="", "", "Mus musculus")</f>
        <v>0</v>
      </c>
      <c r="I752" s="1">
        <f>IF(B752="", "", "10090")</f>
        <v>0</v>
      </c>
      <c r="J752" s="2">
        <f>IF(B752="", "", "missing: not provided")</f>
        <v>0</v>
      </c>
      <c r="K752" s="1">
        <f>IF(B752="", "", "g")</f>
        <v>0</v>
      </c>
    </row>
    <row r="753" spans="1:11">
      <c r="A753">
        <f>IF(COUNTBLANK(B753:K753)&lt;&gt;COLUMNS(B753:K753),752,"")</f>
        <v>0</v>
      </c>
      <c r="C753" s="1">
        <f>IF(B753="", "", "urban biome")</f>
        <v>0</v>
      </c>
      <c r="D753" s="1">
        <f>IF(B753="", "", "animal-associated habitat")</f>
        <v>0</v>
      </c>
      <c r="E753" s="2">
        <f>IF(B753="", "", "missing: not provided")</f>
        <v>0</v>
      </c>
      <c r="F753" s="1">
        <f>IF(B753="", "", "weeks")</f>
        <v>0</v>
      </c>
      <c r="G753" s="1">
        <f>IF(B753="", "", "mouse")</f>
        <v>0</v>
      </c>
      <c r="H753" s="1">
        <f>IF(B753="", "", "Mus musculus")</f>
        <v>0</v>
      </c>
      <c r="I753" s="1">
        <f>IF(B753="", "", "10090")</f>
        <v>0</v>
      </c>
      <c r="J753" s="2">
        <f>IF(B753="", "", "missing: not provided")</f>
        <v>0</v>
      </c>
      <c r="K753" s="1">
        <f>IF(B753="", "", "g")</f>
        <v>0</v>
      </c>
    </row>
    <row r="754" spans="1:11">
      <c r="A754">
        <f>IF(COUNTBLANK(B754:K754)&lt;&gt;COLUMNS(B754:K754),753,"")</f>
        <v>0</v>
      </c>
      <c r="C754" s="1">
        <f>IF(B754="", "", "urban biome")</f>
        <v>0</v>
      </c>
      <c r="D754" s="1">
        <f>IF(B754="", "", "animal-associated habitat")</f>
        <v>0</v>
      </c>
      <c r="E754" s="2">
        <f>IF(B754="", "", "missing: not provided")</f>
        <v>0</v>
      </c>
      <c r="F754" s="1">
        <f>IF(B754="", "", "weeks")</f>
        <v>0</v>
      </c>
      <c r="G754" s="1">
        <f>IF(B754="", "", "mouse")</f>
        <v>0</v>
      </c>
      <c r="H754" s="1">
        <f>IF(B754="", "", "Mus musculus")</f>
        <v>0</v>
      </c>
      <c r="I754" s="1">
        <f>IF(B754="", "", "10090")</f>
        <v>0</v>
      </c>
      <c r="J754" s="2">
        <f>IF(B754="", "", "missing: not provided")</f>
        <v>0</v>
      </c>
      <c r="K754" s="1">
        <f>IF(B754="", "", "g")</f>
        <v>0</v>
      </c>
    </row>
    <row r="755" spans="1:11">
      <c r="A755">
        <f>IF(COUNTBLANK(B755:K755)&lt;&gt;COLUMNS(B755:K755),754,"")</f>
        <v>0</v>
      </c>
      <c r="C755" s="1">
        <f>IF(B755="", "", "urban biome")</f>
        <v>0</v>
      </c>
      <c r="D755" s="1">
        <f>IF(B755="", "", "animal-associated habitat")</f>
        <v>0</v>
      </c>
      <c r="E755" s="2">
        <f>IF(B755="", "", "missing: not provided")</f>
        <v>0</v>
      </c>
      <c r="F755" s="1">
        <f>IF(B755="", "", "weeks")</f>
        <v>0</v>
      </c>
      <c r="G755" s="1">
        <f>IF(B755="", "", "mouse")</f>
        <v>0</v>
      </c>
      <c r="H755" s="1">
        <f>IF(B755="", "", "Mus musculus")</f>
        <v>0</v>
      </c>
      <c r="I755" s="1">
        <f>IF(B755="", "", "10090")</f>
        <v>0</v>
      </c>
      <c r="J755" s="2">
        <f>IF(B755="", "", "missing: not provided")</f>
        <v>0</v>
      </c>
      <c r="K755" s="1">
        <f>IF(B755="", "", "g")</f>
        <v>0</v>
      </c>
    </row>
    <row r="756" spans="1:11">
      <c r="A756">
        <f>IF(COUNTBLANK(B756:K756)&lt;&gt;COLUMNS(B756:K756),755,"")</f>
        <v>0</v>
      </c>
      <c r="C756" s="1">
        <f>IF(B756="", "", "urban biome")</f>
        <v>0</v>
      </c>
      <c r="D756" s="1">
        <f>IF(B756="", "", "animal-associated habitat")</f>
        <v>0</v>
      </c>
      <c r="E756" s="2">
        <f>IF(B756="", "", "missing: not provided")</f>
        <v>0</v>
      </c>
      <c r="F756" s="1">
        <f>IF(B756="", "", "weeks")</f>
        <v>0</v>
      </c>
      <c r="G756" s="1">
        <f>IF(B756="", "", "mouse")</f>
        <v>0</v>
      </c>
      <c r="H756" s="1">
        <f>IF(B756="", "", "Mus musculus")</f>
        <v>0</v>
      </c>
      <c r="I756" s="1">
        <f>IF(B756="", "", "10090")</f>
        <v>0</v>
      </c>
      <c r="J756" s="2">
        <f>IF(B756="", "", "missing: not provided")</f>
        <v>0</v>
      </c>
      <c r="K756" s="1">
        <f>IF(B756="", "", "g")</f>
        <v>0</v>
      </c>
    </row>
    <row r="757" spans="1:11">
      <c r="A757">
        <f>IF(COUNTBLANK(B757:K757)&lt;&gt;COLUMNS(B757:K757),756,"")</f>
        <v>0</v>
      </c>
      <c r="C757" s="1">
        <f>IF(B757="", "", "urban biome")</f>
        <v>0</v>
      </c>
      <c r="D757" s="1">
        <f>IF(B757="", "", "animal-associated habitat")</f>
        <v>0</v>
      </c>
      <c r="E757" s="2">
        <f>IF(B757="", "", "missing: not provided")</f>
        <v>0</v>
      </c>
      <c r="F757" s="1">
        <f>IF(B757="", "", "weeks")</f>
        <v>0</v>
      </c>
      <c r="G757" s="1">
        <f>IF(B757="", "", "mouse")</f>
        <v>0</v>
      </c>
      <c r="H757" s="1">
        <f>IF(B757="", "", "Mus musculus")</f>
        <v>0</v>
      </c>
      <c r="I757" s="1">
        <f>IF(B757="", "", "10090")</f>
        <v>0</v>
      </c>
      <c r="J757" s="2">
        <f>IF(B757="", "", "missing: not provided")</f>
        <v>0</v>
      </c>
      <c r="K757" s="1">
        <f>IF(B757="", "", "g")</f>
        <v>0</v>
      </c>
    </row>
    <row r="758" spans="1:11">
      <c r="A758">
        <f>IF(COUNTBLANK(B758:K758)&lt;&gt;COLUMNS(B758:K758),757,"")</f>
        <v>0</v>
      </c>
      <c r="C758" s="1">
        <f>IF(B758="", "", "urban biome")</f>
        <v>0</v>
      </c>
      <c r="D758" s="1">
        <f>IF(B758="", "", "animal-associated habitat")</f>
        <v>0</v>
      </c>
      <c r="E758" s="2">
        <f>IF(B758="", "", "missing: not provided")</f>
        <v>0</v>
      </c>
      <c r="F758" s="1">
        <f>IF(B758="", "", "weeks")</f>
        <v>0</v>
      </c>
      <c r="G758" s="1">
        <f>IF(B758="", "", "mouse")</f>
        <v>0</v>
      </c>
      <c r="H758" s="1">
        <f>IF(B758="", "", "Mus musculus")</f>
        <v>0</v>
      </c>
      <c r="I758" s="1">
        <f>IF(B758="", "", "10090")</f>
        <v>0</v>
      </c>
      <c r="J758" s="2">
        <f>IF(B758="", "", "missing: not provided")</f>
        <v>0</v>
      </c>
      <c r="K758" s="1">
        <f>IF(B758="", "", "g")</f>
        <v>0</v>
      </c>
    </row>
    <row r="759" spans="1:11">
      <c r="A759">
        <f>IF(COUNTBLANK(B759:K759)&lt;&gt;COLUMNS(B759:K759),758,"")</f>
        <v>0</v>
      </c>
      <c r="C759" s="1">
        <f>IF(B759="", "", "urban biome")</f>
        <v>0</v>
      </c>
      <c r="D759" s="1">
        <f>IF(B759="", "", "animal-associated habitat")</f>
        <v>0</v>
      </c>
      <c r="E759" s="2">
        <f>IF(B759="", "", "missing: not provided")</f>
        <v>0</v>
      </c>
      <c r="F759" s="1">
        <f>IF(B759="", "", "weeks")</f>
        <v>0</v>
      </c>
      <c r="G759" s="1">
        <f>IF(B759="", "", "mouse")</f>
        <v>0</v>
      </c>
      <c r="H759" s="1">
        <f>IF(B759="", "", "Mus musculus")</f>
        <v>0</v>
      </c>
      <c r="I759" s="1">
        <f>IF(B759="", "", "10090")</f>
        <v>0</v>
      </c>
      <c r="J759" s="2">
        <f>IF(B759="", "", "missing: not provided")</f>
        <v>0</v>
      </c>
      <c r="K759" s="1">
        <f>IF(B759="", "", "g")</f>
        <v>0</v>
      </c>
    </row>
    <row r="760" spans="1:11">
      <c r="A760">
        <f>IF(COUNTBLANK(B760:K760)&lt;&gt;COLUMNS(B760:K760),759,"")</f>
        <v>0</v>
      </c>
      <c r="C760" s="1">
        <f>IF(B760="", "", "urban biome")</f>
        <v>0</v>
      </c>
      <c r="D760" s="1">
        <f>IF(B760="", "", "animal-associated habitat")</f>
        <v>0</v>
      </c>
      <c r="E760" s="2">
        <f>IF(B760="", "", "missing: not provided")</f>
        <v>0</v>
      </c>
      <c r="F760" s="1">
        <f>IF(B760="", "", "weeks")</f>
        <v>0</v>
      </c>
      <c r="G760" s="1">
        <f>IF(B760="", "", "mouse")</f>
        <v>0</v>
      </c>
      <c r="H760" s="1">
        <f>IF(B760="", "", "Mus musculus")</f>
        <v>0</v>
      </c>
      <c r="I760" s="1">
        <f>IF(B760="", "", "10090")</f>
        <v>0</v>
      </c>
      <c r="J760" s="2">
        <f>IF(B760="", "", "missing: not provided")</f>
        <v>0</v>
      </c>
      <c r="K760" s="1">
        <f>IF(B760="", "", "g")</f>
        <v>0</v>
      </c>
    </row>
    <row r="761" spans="1:11">
      <c r="A761">
        <f>IF(COUNTBLANK(B761:K761)&lt;&gt;COLUMNS(B761:K761),760,"")</f>
        <v>0</v>
      </c>
      <c r="C761" s="1">
        <f>IF(B761="", "", "urban biome")</f>
        <v>0</v>
      </c>
      <c r="D761" s="1">
        <f>IF(B761="", "", "animal-associated habitat")</f>
        <v>0</v>
      </c>
      <c r="E761" s="2">
        <f>IF(B761="", "", "missing: not provided")</f>
        <v>0</v>
      </c>
      <c r="F761" s="1">
        <f>IF(B761="", "", "weeks")</f>
        <v>0</v>
      </c>
      <c r="G761" s="1">
        <f>IF(B761="", "", "mouse")</f>
        <v>0</v>
      </c>
      <c r="H761" s="1">
        <f>IF(B761="", "", "Mus musculus")</f>
        <v>0</v>
      </c>
      <c r="I761" s="1">
        <f>IF(B761="", "", "10090")</f>
        <v>0</v>
      </c>
      <c r="J761" s="2">
        <f>IF(B761="", "", "missing: not provided")</f>
        <v>0</v>
      </c>
      <c r="K761" s="1">
        <f>IF(B761="", "", "g")</f>
        <v>0</v>
      </c>
    </row>
    <row r="762" spans="1:11">
      <c r="A762">
        <f>IF(COUNTBLANK(B762:K762)&lt;&gt;COLUMNS(B762:K762),761,"")</f>
        <v>0</v>
      </c>
      <c r="C762" s="1">
        <f>IF(B762="", "", "urban biome")</f>
        <v>0</v>
      </c>
      <c r="D762" s="1">
        <f>IF(B762="", "", "animal-associated habitat")</f>
        <v>0</v>
      </c>
      <c r="E762" s="2">
        <f>IF(B762="", "", "missing: not provided")</f>
        <v>0</v>
      </c>
      <c r="F762" s="1">
        <f>IF(B762="", "", "weeks")</f>
        <v>0</v>
      </c>
      <c r="G762" s="1">
        <f>IF(B762="", "", "mouse")</f>
        <v>0</v>
      </c>
      <c r="H762" s="1">
        <f>IF(B762="", "", "Mus musculus")</f>
        <v>0</v>
      </c>
      <c r="I762" s="1">
        <f>IF(B762="", "", "10090")</f>
        <v>0</v>
      </c>
      <c r="J762" s="2">
        <f>IF(B762="", "", "missing: not provided")</f>
        <v>0</v>
      </c>
      <c r="K762" s="1">
        <f>IF(B762="", "", "g")</f>
        <v>0</v>
      </c>
    </row>
    <row r="763" spans="1:11">
      <c r="A763">
        <f>IF(COUNTBLANK(B763:K763)&lt;&gt;COLUMNS(B763:K763),762,"")</f>
        <v>0</v>
      </c>
      <c r="C763" s="1">
        <f>IF(B763="", "", "urban biome")</f>
        <v>0</v>
      </c>
      <c r="D763" s="1">
        <f>IF(B763="", "", "animal-associated habitat")</f>
        <v>0</v>
      </c>
      <c r="E763" s="2">
        <f>IF(B763="", "", "missing: not provided")</f>
        <v>0</v>
      </c>
      <c r="F763" s="1">
        <f>IF(B763="", "", "weeks")</f>
        <v>0</v>
      </c>
      <c r="G763" s="1">
        <f>IF(B763="", "", "mouse")</f>
        <v>0</v>
      </c>
      <c r="H763" s="1">
        <f>IF(B763="", "", "Mus musculus")</f>
        <v>0</v>
      </c>
      <c r="I763" s="1">
        <f>IF(B763="", "", "10090")</f>
        <v>0</v>
      </c>
      <c r="J763" s="2">
        <f>IF(B763="", "", "missing: not provided")</f>
        <v>0</v>
      </c>
      <c r="K763" s="1">
        <f>IF(B763="", "", "g")</f>
        <v>0</v>
      </c>
    </row>
    <row r="764" spans="1:11">
      <c r="A764">
        <f>IF(COUNTBLANK(B764:K764)&lt;&gt;COLUMNS(B764:K764),763,"")</f>
        <v>0</v>
      </c>
      <c r="C764" s="1">
        <f>IF(B764="", "", "urban biome")</f>
        <v>0</v>
      </c>
      <c r="D764" s="1">
        <f>IF(B764="", "", "animal-associated habitat")</f>
        <v>0</v>
      </c>
      <c r="E764" s="2">
        <f>IF(B764="", "", "missing: not provided")</f>
        <v>0</v>
      </c>
      <c r="F764" s="1">
        <f>IF(B764="", "", "weeks")</f>
        <v>0</v>
      </c>
      <c r="G764" s="1">
        <f>IF(B764="", "", "mouse")</f>
        <v>0</v>
      </c>
      <c r="H764" s="1">
        <f>IF(B764="", "", "Mus musculus")</f>
        <v>0</v>
      </c>
      <c r="I764" s="1">
        <f>IF(B764="", "", "10090")</f>
        <v>0</v>
      </c>
      <c r="J764" s="2">
        <f>IF(B764="", "", "missing: not provided")</f>
        <v>0</v>
      </c>
      <c r="K764" s="1">
        <f>IF(B764="", "", "g")</f>
        <v>0</v>
      </c>
    </row>
    <row r="765" spans="1:11">
      <c r="A765">
        <f>IF(COUNTBLANK(B765:K765)&lt;&gt;COLUMNS(B765:K765),764,"")</f>
        <v>0</v>
      </c>
      <c r="C765" s="1">
        <f>IF(B765="", "", "urban biome")</f>
        <v>0</v>
      </c>
      <c r="D765" s="1">
        <f>IF(B765="", "", "animal-associated habitat")</f>
        <v>0</v>
      </c>
      <c r="E765" s="2">
        <f>IF(B765="", "", "missing: not provided")</f>
        <v>0</v>
      </c>
      <c r="F765" s="1">
        <f>IF(B765="", "", "weeks")</f>
        <v>0</v>
      </c>
      <c r="G765" s="1">
        <f>IF(B765="", "", "mouse")</f>
        <v>0</v>
      </c>
      <c r="H765" s="1">
        <f>IF(B765="", "", "Mus musculus")</f>
        <v>0</v>
      </c>
      <c r="I765" s="1">
        <f>IF(B765="", "", "10090")</f>
        <v>0</v>
      </c>
      <c r="J765" s="2">
        <f>IF(B765="", "", "missing: not provided")</f>
        <v>0</v>
      </c>
      <c r="K765" s="1">
        <f>IF(B765="", "", "g")</f>
        <v>0</v>
      </c>
    </row>
    <row r="766" spans="1:11">
      <c r="A766">
        <f>IF(COUNTBLANK(B766:K766)&lt;&gt;COLUMNS(B766:K766),765,"")</f>
        <v>0</v>
      </c>
      <c r="C766" s="1">
        <f>IF(B766="", "", "urban biome")</f>
        <v>0</v>
      </c>
      <c r="D766" s="1">
        <f>IF(B766="", "", "animal-associated habitat")</f>
        <v>0</v>
      </c>
      <c r="E766" s="2">
        <f>IF(B766="", "", "missing: not provided")</f>
        <v>0</v>
      </c>
      <c r="F766" s="1">
        <f>IF(B766="", "", "weeks")</f>
        <v>0</v>
      </c>
      <c r="G766" s="1">
        <f>IF(B766="", "", "mouse")</f>
        <v>0</v>
      </c>
      <c r="H766" s="1">
        <f>IF(B766="", "", "Mus musculus")</f>
        <v>0</v>
      </c>
      <c r="I766" s="1">
        <f>IF(B766="", "", "10090")</f>
        <v>0</v>
      </c>
      <c r="J766" s="2">
        <f>IF(B766="", "", "missing: not provided")</f>
        <v>0</v>
      </c>
      <c r="K766" s="1">
        <f>IF(B766="", "", "g")</f>
        <v>0</v>
      </c>
    </row>
    <row r="767" spans="1:11">
      <c r="A767">
        <f>IF(COUNTBLANK(B767:K767)&lt;&gt;COLUMNS(B767:K767),766,"")</f>
        <v>0</v>
      </c>
      <c r="C767" s="1">
        <f>IF(B767="", "", "urban biome")</f>
        <v>0</v>
      </c>
      <c r="D767" s="1">
        <f>IF(B767="", "", "animal-associated habitat")</f>
        <v>0</v>
      </c>
      <c r="E767" s="2">
        <f>IF(B767="", "", "missing: not provided")</f>
        <v>0</v>
      </c>
      <c r="F767" s="1">
        <f>IF(B767="", "", "weeks")</f>
        <v>0</v>
      </c>
      <c r="G767" s="1">
        <f>IF(B767="", "", "mouse")</f>
        <v>0</v>
      </c>
      <c r="H767" s="1">
        <f>IF(B767="", "", "Mus musculus")</f>
        <v>0</v>
      </c>
      <c r="I767" s="1">
        <f>IF(B767="", "", "10090")</f>
        <v>0</v>
      </c>
      <c r="J767" s="2">
        <f>IF(B767="", "", "missing: not provided")</f>
        <v>0</v>
      </c>
      <c r="K767" s="1">
        <f>IF(B767="", "", "g")</f>
        <v>0</v>
      </c>
    </row>
    <row r="768" spans="1:11">
      <c r="A768">
        <f>IF(COUNTBLANK(B768:K768)&lt;&gt;COLUMNS(B768:K768),767,"")</f>
        <v>0</v>
      </c>
      <c r="C768" s="1">
        <f>IF(B768="", "", "urban biome")</f>
        <v>0</v>
      </c>
      <c r="D768" s="1">
        <f>IF(B768="", "", "animal-associated habitat")</f>
        <v>0</v>
      </c>
      <c r="E768" s="2">
        <f>IF(B768="", "", "missing: not provided")</f>
        <v>0</v>
      </c>
      <c r="F768" s="1">
        <f>IF(B768="", "", "weeks")</f>
        <v>0</v>
      </c>
      <c r="G768" s="1">
        <f>IF(B768="", "", "mouse")</f>
        <v>0</v>
      </c>
      <c r="H768" s="1">
        <f>IF(B768="", "", "Mus musculus")</f>
        <v>0</v>
      </c>
      <c r="I768" s="1">
        <f>IF(B768="", "", "10090")</f>
        <v>0</v>
      </c>
      <c r="J768" s="2">
        <f>IF(B768="", "", "missing: not provided")</f>
        <v>0</v>
      </c>
      <c r="K768" s="1">
        <f>IF(B768="", "", "g")</f>
        <v>0</v>
      </c>
    </row>
    <row r="769" spans="1:11">
      <c r="A769">
        <f>IF(COUNTBLANK(B769:K769)&lt;&gt;COLUMNS(B769:K769),768,"")</f>
        <v>0</v>
      </c>
      <c r="C769" s="1">
        <f>IF(B769="", "", "urban biome")</f>
        <v>0</v>
      </c>
      <c r="D769" s="1">
        <f>IF(B769="", "", "animal-associated habitat")</f>
        <v>0</v>
      </c>
      <c r="E769" s="2">
        <f>IF(B769="", "", "missing: not provided")</f>
        <v>0</v>
      </c>
      <c r="F769" s="1">
        <f>IF(B769="", "", "weeks")</f>
        <v>0</v>
      </c>
      <c r="G769" s="1">
        <f>IF(B769="", "", "mouse")</f>
        <v>0</v>
      </c>
      <c r="H769" s="1">
        <f>IF(B769="", "", "Mus musculus")</f>
        <v>0</v>
      </c>
      <c r="I769" s="1">
        <f>IF(B769="", "", "10090")</f>
        <v>0</v>
      </c>
      <c r="J769" s="2">
        <f>IF(B769="", "", "missing: not provided")</f>
        <v>0</v>
      </c>
      <c r="K769" s="1">
        <f>IF(B769="", "", "g")</f>
        <v>0</v>
      </c>
    </row>
    <row r="770" spans="1:11">
      <c r="A770">
        <f>IF(COUNTBLANK(B770:K770)&lt;&gt;COLUMNS(B770:K770),769,"")</f>
        <v>0</v>
      </c>
      <c r="C770" s="1">
        <f>IF(B770="", "", "urban biome")</f>
        <v>0</v>
      </c>
      <c r="D770" s="1">
        <f>IF(B770="", "", "animal-associated habitat")</f>
        <v>0</v>
      </c>
      <c r="E770" s="2">
        <f>IF(B770="", "", "missing: not provided")</f>
        <v>0</v>
      </c>
      <c r="F770" s="1">
        <f>IF(B770="", "", "weeks")</f>
        <v>0</v>
      </c>
      <c r="G770" s="1">
        <f>IF(B770="", "", "mouse")</f>
        <v>0</v>
      </c>
      <c r="H770" s="1">
        <f>IF(B770="", "", "Mus musculus")</f>
        <v>0</v>
      </c>
      <c r="I770" s="1">
        <f>IF(B770="", "", "10090")</f>
        <v>0</v>
      </c>
      <c r="J770" s="2">
        <f>IF(B770="", "", "missing: not provided")</f>
        <v>0</v>
      </c>
      <c r="K770" s="1">
        <f>IF(B770="", "", "g")</f>
        <v>0</v>
      </c>
    </row>
    <row r="771" spans="1:11">
      <c r="A771">
        <f>IF(COUNTBLANK(B771:K771)&lt;&gt;COLUMNS(B771:K771),770,"")</f>
        <v>0</v>
      </c>
      <c r="C771" s="1">
        <f>IF(B771="", "", "urban biome")</f>
        <v>0</v>
      </c>
      <c r="D771" s="1">
        <f>IF(B771="", "", "animal-associated habitat")</f>
        <v>0</v>
      </c>
      <c r="E771" s="2">
        <f>IF(B771="", "", "missing: not provided")</f>
        <v>0</v>
      </c>
      <c r="F771" s="1">
        <f>IF(B771="", "", "weeks")</f>
        <v>0</v>
      </c>
      <c r="G771" s="1">
        <f>IF(B771="", "", "mouse")</f>
        <v>0</v>
      </c>
      <c r="H771" s="1">
        <f>IF(B771="", "", "Mus musculus")</f>
        <v>0</v>
      </c>
      <c r="I771" s="1">
        <f>IF(B771="", "", "10090")</f>
        <v>0</v>
      </c>
      <c r="J771" s="2">
        <f>IF(B771="", "", "missing: not provided")</f>
        <v>0</v>
      </c>
      <c r="K771" s="1">
        <f>IF(B771="", "", "g")</f>
        <v>0</v>
      </c>
    </row>
    <row r="772" spans="1:11">
      <c r="A772">
        <f>IF(COUNTBLANK(B772:K772)&lt;&gt;COLUMNS(B772:K772),771,"")</f>
        <v>0</v>
      </c>
      <c r="C772" s="1">
        <f>IF(B772="", "", "urban biome")</f>
        <v>0</v>
      </c>
      <c r="D772" s="1">
        <f>IF(B772="", "", "animal-associated habitat")</f>
        <v>0</v>
      </c>
      <c r="E772" s="2">
        <f>IF(B772="", "", "missing: not provided")</f>
        <v>0</v>
      </c>
      <c r="F772" s="1">
        <f>IF(B772="", "", "weeks")</f>
        <v>0</v>
      </c>
      <c r="G772" s="1">
        <f>IF(B772="", "", "mouse")</f>
        <v>0</v>
      </c>
      <c r="H772" s="1">
        <f>IF(B772="", "", "Mus musculus")</f>
        <v>0</v>
      </c>
      <c r="I772" s="1">
        <f>IF(B772="", "", "10090")</f>
        <v>0</v>
      </c>
      <c r="J772" s="2">
        <f>IF(B772="", "", "missing: not provided")</f>
        <v>0</v>
      </c>
      <c r="K772" s="1">
        <f>IF(B772="", "", "g")</f>
        <v>0</v>
      </c>
    </row>
    <row r="773" spans="1:11">
      <c r="A773">
        <f>IF(COUNTBLANK(B773:K773)&lt;&gt;COLUMNS(B773:K773),772,"")</f>
        <v>0</v>
      </c>
      <c r="C773" s="1">
        <f>IF(B773="", "", "urban biome")</f>
        <v>0</v>
      </c>
      <c r="D773" s="1">
        <f>IF(B773="", "", "animal-associated habitat")</f>
        <v>0</v>
      </c>
      <c r="E773" s="2">
        <f>IF(B773="", "", "missing: not provided")</f>
        <v>0</v>
      </c>
      <c r="F773" s="1">
        <f>IF(B773="", "", "weeks")</f>
        <v>0</v>
      </c>
      <c r="G773" s="1">
        <f>IF(B773="", "", "mouse")</f>
        <v>0</v>
      </c>
      <c r="H773" s="1">
        <f>IF(B773="", "", "Mus musculus")</f>
        <v>0</v>
      </c>
      <c r="I773" s="1">
        <f>IF(B773="", "", "10090")</f>
        <v>0</v>
      </c>
      <c r="J773" s="2">
        <f>IF(B773="", "", "missing: not provided")</f>
        <v>0</v>
      </c>
      <c r="K773" s="1">
        <f>IF(B773="", "", "g")</f>
        <v>0</v>
      </c>
    </row>
    <row r="774" spans="1:11">
      <c r="A774">
        <f>IF(COUNTBLANK(B774:K774)&lt;&gt;COLUMNS(B774:K774),773,"")</f>
        <v>0</v>
      </c>
      <c r="C774" s="1">
        <f>IF(B774="", "", "urban biome")</f>
        <v>0</v>
      </c>
      <c r="D774" s="1">
        <f>IF(B774="", "", "animal-associated habitat")</f>
        <v>0</v>
      </c>
      <c r="E774" s="2">
        <f>IF(B774="", "", "missing: not provided")</f>
        <v>0</v>
      </c>
      <c r="F774" s="1">
        <f>IF(B774="", "", "weeks")</f>
        <v>0</v>
      </c>
      <c r="G774" s="1">
        <f>IF(B774="", "", "mouse")</f>
        <v>0</v>
      </c>
      <c r="H774" s="1">
        <f>IF(B774="", "", "Mus musculus")</f>
        <v>0</v>
      </c>
      <c r="I774" s="1">
        <f>IF(B774="", "", "10090")</f>
        <v>0</v>
      </c>
      <c r="J774" s="2">
        <f>IF(B774="", "", "missing: not provided")</f>
        <v>0</v>
      </c>
      <c r="K774" s="1">
        <f>IF(B774="", "", "g")</f>
        <v>0</v>
      </c>
    </row>
    <row r="775" spans="1:11">
      <c r="A775">
        <f>IF(COUNTBLANK(B775:K775)&lt;&gt;COLUMNS(B775:K775),774,"")</f>
        <v>0</v>
      </c>
      <c r="C775" s="1">
        <f>IF(B775="", "", "urban biome")</f>
        <v>0</v>
      </c>
      <c r="D775" s="1">
        <f>IF(B775="", "", "animal-associated habitat")</f>
        <v>0</v>
      </c>
      <c r="E775" s="2">
        <f>IF(B775="", "", "missing: not provided")</f>
        <v>0</v>
      </c>
      <c r="F775" s="1">
        <f>IF(B775="", "", "weeks")</f>
        <v>0</v>
      </c>
      <c r="G775" s="1">
        <f>IF(B775="", "", "mouse")</f>
        <v>0</v>
      </c>
      <c r="H775" s="1">
        <f>IF(B775="", "", "Mus musculus")</f>
        <v>0</v>
      </c>
      <c r="I775" s="1">
        <f>IF(B775="", "", "10090")</f>
        <v>0</v>
      </c>
      <c r="J775" s="2">
        <f>IF(B775="", "", "missing: not provided")</f>
        <v>0</v>
      </c>
      <c r="K775" s="1">
        <f>IF(B775="", "", "g")</f>
        <v>0</v>
      </c>
    </row>
    <row r="776" spans="1:11">
      <c r="A776">
        <f>IF(COUNTBLANK(B776:K776)&lt;&gt;COLUMNS(B776:K776),775,"")</f>
        <v>0</v>
      </c>
      <c r="C776" s="1">
        <f>IF(B776="", "", "urban biome")</f>
        <v>0</v>
      </c>
      <c r="D776" s="1">
        <f>IF(B776="", "", "animal-associated habitat")</f>
        <v>0</v>
      </c>
      <c r="E776" s="2">
        <f>IF(B776="", "", "missing: not provided")</f>
        <v>0</v>
      </c>
      <c r="F776" s="1">
        <f>IF(B776="", "", "weeks")</f>
        <v>0</v>
      </c>
      <c r="G776" s="1">
        <f>IF(B776="", "", "mouse")</f>
        <v>0</v>
      </c>
      <c r="H776" s="1">
        <f>IF(B776="", "", "Mus musculus")</f>
        <v>0</v>
      </c>
      <c r="I776" s="1">
        <f>IF(B776="", "", "10090")</f>
        <v>0</v>
      </c>
      <c r="J776" s="2">
        <f>IF(B776="", "", "missing: not provided")</f>
        <v>0</v>
      </c>
      <c r="K776" s="1">
        <f>IF(B776="", "", "g")</f>
        <v>0</v>
      </c>
    </row>
    <row r="777" spans="1:11">
      <c r="A777">
        <f>IF(COUNTBLANK(B777:K777)&lt;&gt;COLUMNS(B777:K777),776,"")</f>
        <v>0</v>
      </c>
      <c r="C777" s="1">
        <f>IF(B777="", "", "urban biome")</f>
        <v>0</v>
      </c>
      <c r="D777" s="1">
        <f>IF(B777="", "", "animal-associated habitat")</f>
        <v>0</v>
      </c>
      <c r="E777" s="2">
        <f>IF(B777="", "", "missing: not provided")</f>
        <v>0</v>
      </c>
      <c r="F777" s="1">
        <f>IF(B777="", "", "weeks")</f>
        <v>0</v>
      </c>
      <c r="G777" s="1">
        <f>IF(B777="", "", "mouse")</f>
        <v>0</v>
      </c>
      <c r="H777" s="1">
        <f>IF(B777="", "", "Mus musculus")</f>
        <v>0</v>
      </c>
      <c r="I777" s="1">
        <f>IF(B777="", "", "10090")</f>
        <v>0</v>
      </c>
      <c r="J777" s="2">
        <f>IF(B777="", "", "missing: not provided")</f>
        <v>0</v>
      </c>
      <c r="K777" s="1">
        <f>IF(B777="", "", "g")</f>
        <v>0</v>
      </c>
    </row>
    <row r="778" spans="1:11">
      <c r="A778">
        <f>IF(COUNTBLANK(B778:K778)&lt;&gt;COLUMNS(B778:K778),777,"")</f>
        <v>0</v>
      </c>
      <c r="C778" s="1">
        <f>IF(B778="", "", "urban biome")</f>
        <v>0</v>
      </c>
      <c r="D778" s="1">
        <f>IF(B778="", "", "animal-associated habitat")</f>
        <v>0</v>
      </c>
      <c r="E778" s="2">
        <f>IF(B778="", "", "missing: not provided")</f>
        <v>0</v>
      </c>
      <c r="F778" s="1">
        <f>IF(B778="", "", "weeks")</f>
        <v>0</v>
      </c>
      <c r="G778" s="1">
        <f>IF(B778="", "", "mouse")</f>
        <v>0</v>
      </c>
      <c r="H778" s="1">
        <f>IF(B778="", "", "Mus musculus")</f>
        <v>0</v>
      </c>
      <c r="I778" s="1">
        <f>IF(B778="", "", "10090")</f>
        <v>0</v>
      </c>
      <c r="J778" s="2">
        <f>IF(B778="", "", "missing: not provided")</f>
        <v>0</v>
      </c>
      <c r="K778" s="1">
        <f>IF(B778="", "", "g")</f>
        <v>0</v>
      </c>
    </row>
    <row r="779" spans="1:11">
      <c r="A779">
        <f>IF(COUNTBLANK(B779:K779)&lt;&gt;COLUMNS(B779:K779),778,"")</f>
        <v>0</v>
      </c>
      <c r="C779" s="1">
        <f>IF(B779="", "", "urban biome")</f>
        <v>0</v>
      </c>
      <c r="D779" s="1">
        <f>IF(B779="", "", "animal-associated habitat")</f>
        <v>0</v>
      </c>
      <c r="E779" s="2">
        <f>IF(B779="", "", "missing: not provided")</f>
        <v>0</v>
      </c>
      <c r="F779" s="1">
        <f>IF(B779="", "", "weeks")</f>
        <v>0</v>
      </c>
      <c r="G779" s="1">
        <f>IF(B779="", "", "mouse")</f>
        <v>0</v>
      </c>
      <c r="H779" s="1">
        <f>IF(B779="", "", "Mus musculus")</f>
        <v>0</v>
      </c>
      <c r="I779" s="1">
        <f>IF(B779="", "", "10090")</f>
        <v>0</v>
      </c>
      <c r="J779" s="2">
        <f>IF(B779="", "", "missing: not provided")</f>
        <v>0</v>
      </c>
      <c r="K779" s="1">
        <f>IF(B779="", "", "g")</f>
        <v>0</v>
      </c>
    </row>
    <row r="780" spans="1:11">
      <c r="A780">
        <f>IF(COUNTBLANK(B780:K780)&lt;&gt;COLUMNS(B780:K780),779,"")</f>
        <v>0</v>
      </c>
      <c r="C780" s="1">
        <f>IF(B780="", "", "urban biome")</f>
        <v>0</v>
      </c>
      <c r="D780" s="1">
        <f>IF(B780="", "", "animal-associated habitat")</f>
        <v>0</v>
      </c>
      <c r="E780" s="2">
        <f>IF(B780="", "", "missing: not provided")</f>
        <v>0</v>
      </c>
      <c r="F780" s="1">
        <f>IF(B780="", "", "weeks")</f>
        <v>0</v>
      </c>
      <c r="G780" s="1">
        <f>IF(B780="", "", "mouse")</f>
        <v>0</v>
      </c>
      <c r="H780" s="1">
        <f>IF(B780="", "", "Mus musculus")</f>
        <v>0</v>
      </c>
      <c r="I780" s="1">
        <f>IF(B780="", "", "10090")</f>
        <v>0</v>
      </c>
      <c r="J780" s="2">
        <f>IF(B780="", "", "missing: not provided")</f>
        <v>0</v>
      </c>
      <c r="K780" s="1">
        <f>IF(B780="", "", "g")</f>
        <v>0</v>
      </c>
    </row>
    <row r="781" spans="1:11">
      <c r="A781">
        <f>IF(COUNTBLANK(B781:K781)&lt;&gt;COLUMNS(B781:K781),780,"")</f>
        <v>0</v>
      </c>
      <c r="C781" s="1">
        <f>IF(B781="", "", "urban biome")</f>
        <v>0</v>
      </c>
      <c r="D781" s="1">
        <f>IF(B781="", "", "animal-associated habitat")</f>
        <v>0</v>
      </c>
      <c r="E781" s="2">
        <f>IF(B781="", "", "missing: not provided")</f>
        <v>0</v>
      </c>
      <c r="F781" s="1">
        <f>IF(B781="", "", "weeks")</f>
        <v>0</v>
      </c>
      <c r="G781" s="1">
        <f>IF(B781="", "", "mouse")</f>
        <v>0</v>
      </c>
      <c r="H781" s="1">
        <f>IF(B781="", "", "Mus musculus")</f>
        <v>0</v>
      </c>
      <c r="I781" s="1">
        <f>IF(B781="", "", "10090")</f>
        <v>0</v>
      </c>
      <c r="J781" s="2">
        <f>IF(B781="", "", "missing: not provided")</f>
        <v>0</v>
      </c>
      <c r="K781" s="1">
        <f>IF(B781="", "", "g")</f>
        <v>0</v>
      </c>
    </row>
    <row r="782" spans="1:11">
      <c r="A782">
        <f>IF(COUNTBLANK(B782:K782)&lt;&gt;COLUMNS(B782:K782),781,"")</f>
        <v>0</v>
      </c>
      <c r="C782" s="1">
        <f>IF(B782="", "", "urban biome")</f>
        <v>0</v>
      </c>
      <c r="D782" s="1">
        <f>IF(B782="", "", "animal-associated habitat")</f>
        <v>0</v>
      </c>
      <c r="E782" s="2">
        <f>IF(B782="", "", "missing: not provided")</f>
        <v>0</v>
      </c>
      <c r="F782" s="1">
        <f>IF(B782="", "", "weeks")</f>
        <v>0</v>
      </c>
      <c r="G782" s="1">
        <f>IF(B782="", "", "mouse")</f>
        <v>0</v>
      </c>
      <c r="H782" s="1">
        <f>IF(B782="", "", "Mus musculus")</f>
        <v>0</v>
      </c>
      <c r="I782" s="1">
        <f>IF(B782="", "", "10090")</f>
        <v>0</v>
      </c>
      <c r="J782" s="2">
        <f>IF(B782="", "", "missing: not provided")</f>
        <v>0</v>
      </c>
      <c r="K782" s="1">
        <f>IF(B782="", "", "g")</f>
        <v>0</v>
      </c>
    </row>
    <row r="783" spans="1:11">
      <c r="A783">
        <f>IF(COUNTBLANK(B783:K783)&lt;&gt;COLUMNS(B783:K783),782,"")</f>
        <v>0</v>
      </c>
      <c r="C783" s="1">
        <f>IF(B783="", "", "urban biome")</f>
        <v>0</v>
      </c>
      <c r="D783" s="1">
        <f>IF(B783="", "", "animal-associated habitat")</f>
        <v>0</v>
      </c>
      <c r="E783" s="2">
        <f>IF(B783="", "", "missing: not provided")</f>
        <v>0</v>
      </c>
      <c r="F783" s="1">
        <f>IF(B783="", "", "weeks")</f>
        <v>0</v>
      </c>
      <c r="G783" s="1">
        <f>IF(B783="", "", "mouse")</f>
        <v>0</v>
      </c>
      <c r="H783" s="1">
        <f>IF(B783="", "", "Mus musculus")</f>
        <v>0</v>
      </c>
      <c r="I783" s="1">
        <f>IF(B783="", "", "10090")</f>
        <v>0</v>
      </c>
      <c r="J783" s="2">
        <f>IF(B783="", "", "missing: not provided")</f>
        <v>0</v>
      </c>
      <c r="K783" s="1">
        <f>IF(B783="", "", "g")</f>
        <v>0</v>
      </c>
    </row>
    <row r="784" spans="1:11">
      <c r="A784">
        <f>IF(COUNTBLANK(B784:K784)&lt;&gt;COLUMNS(B784:K784),783,"")</f>
        <v>0</v>
      </c>
      <c r="C784" s="1">
        <f>IF(B784="", "", "urban biome")</f>
        <v>0</v>
      </c>
      <c r="D784" s="1">
        <f>IF(B784="", "", "animal-associated habitat")</f>
        <v>0</v>
      </c>
      <c r="E784" s="2">
        <f>IF(B784="", "", "missing: not provided")</f>
        <v>0</v>
      </c>
      <c r="F784" s="1">
        <f>IF(B784="", "", "weeks")</f>
        <v>0</v>
      </c>
      <c r="G784" s="1">
        <f>IF(B784="", "", "mouse")</f>
        <v>0</v>
      </c>
      <c r="H784" s="1">
        <f>IF(B784="", "", "Mus musculus")</f>
        <v>0</v>
      </c>
      <c r="I784" s="1">
        <f>IF(B784="", "", "10090")</f>
        <v>0</v>
      </c>
      <c r="J784" s="2">
        <f>IF(B784="", "", "missing: not provided")</f>
        <v>0</v>
      </c>
      <c r="K784" s="1">
        <f>IF(B784="", "", "g")</f>
        <v>0</v>
      </c>
    </row>
    <row r="785" spans="1:11">
      <c r="A785">
        <f>IF(COUNTBLANK(B785:K785)&lt;&gt;COLUMNS(B785:K785),784,"")</f>
        <v>0</v>
      </c>
      <c r="C785" s="1">
        <f>IF(B785="", "", "urban biome")</f>
        <v>0</v>
      </c>
      <c r="D785" s="1">
        <f>IF(B785="", "", "animal-associated habitat")</f>
        <v>0</v>
      </c>
      <c r="E785" s="2">
        <f>IF(B785="", "", "missing: not provided")</f>
        <v>0</v>
      </c>
      <c r="F785" s="1">
        <f>IF(B785="", "", "weeks")</f>
        <v>0</v>
      </c>
      <c r="G785" s="1">
        <f>IF(B785="", "", "mouse")</f>
        <v>0</v>
      </c>
      <c r="H785" s="1">
        <f>IF(B785="", "", "Mus musculus")</f>
        <v>0</v>
      </c>
      <c r="I785" s="1">
        <f>IF(B785="", "", "10090")</f>
        <v>0</v>
      </c>
      <c r="J785" s="2">
        <f>IF(B785="", "", "missing: not provided")</f>
        <v>0</v>
      </c>
      <c r="K785" s="1">
        <f>IF(B785="", "", "g")</f>
        <v>0</v>
      </c>
    </row>
    <row r="786" spans="1:11">
      <c r="A786">
        <f>IF(COUNTBLANK(B786:K786)&lt;&gt;COLUMNS(B786:K786),785,"")</f>
        <v>0</v>
      </c>
      <c r="C786" s="1">
        <f>IF(B786="", "", "urban biome")</f>
        <v>0</v>
      </c>
      <c r="D786" s="1">
        <f>IF(B786="", "", "animal-associated habitat")</f>
        <v>0</v>
      </c>
      <c r="E786" s="2">
        <f>IF(B786="", "", "missing: not provided")</f>
        <v>0</v>
      </c>
      <c r="F786" s="1">
        <f>IF(B786="", "", "weeks")</f>
        <v>0</v>
      </c>
      <c r="G786" s="1">
        <f>IF(B786="", "", "mouse")</f>
        <v>0</v>
      </c>
      <c r="H786" s="1">
        <f>IF(B786="", "", "Mus musculus")</f>
        <v>0</v>
      </c>
      <c r="I786" s="1">
        <f>IF(B786="", "", "10090")</f>
        <v>0</v>
      </c>
      <c r="J786" s="2">
        <f>IF(B786="", "", "missing: not provided")</f>
        <v>0</v>
      </c>
      <c r="K786" s="1">
        <f>IF(B786="", "", "g")</f>
        <v>0</v>
      </c>
    </row>
    <row r="787" spans="1:11">
      <c r="A787">
        <f>IF(COUNTBLANK(B787:K787)&lt;&gt;COLUMNS(B787:K787),786,"")</f>
        <v>0</v>
      </c>
      <c r="C787" s="1">
        <f>IF(B787="", "", "urban biome")</f>
        <v>0</v>
      </c>
      <c r="D787" s="1">
        <f>IF(B787="", "", "animal-associated habitat")</f>
        <v>0</v>
      </c>
      <c r="E787" s="2">
        <f>IF(B787="", "", "missing: not provided")</f>
        <v>0</v>
      </c>
      <c r="F787" s="1">
        <f>IF(B787="", "", "weeks")</f>
        <v>0</v>
      </c>
      <c r="G787" s="1">
        <f>IF(B787="", "", "mouse")</f>
        <v>0</v>
      </c>
      <c r="H787" s="1">
        <f>IF(B787="", "", "Mus musculus")</f>
        <v>0</v>
      </c>
      <c r="I787" s="1">
        <f>IF(B787="", "", "10090")</f>
        <v>0</v>
      </c>
      <c r="J787" s="2">
        <f>IF(B787="", "", "missing: not provided")</f>
        <v>0</v>
      </c>
      <c r="K787" s="1">
        <f>IF(B787="", "", "g")</f>
        <v>0</v>
      </c>
    </row>
    <row r="788" spans="1:11">
      <c r="A788">
        <f>IF(COUNTBLANK(B788:K788)&lt;&gt;COLUMNS(B788:K788),787,"")</f>
        <v>0</v>
      </c>
      <c r="C788" s="1">
        <f>IF(B788="", "", "urban biome")</f>
        <v>0</v>
      </c>
      <c r="D788" s="1">
        <f>IF(B788="", "", "animal-associated habitat")</f>
        <v>0</v>
      </c>
      <c r="E788" s="2">
        <f>IF(B788="", "", "missing: not provided")</f>
        <v>0</v>
      </c>
      <c r="F788" s="1">
        <f>IF(B788="", "", "weeks")</f>
        <v>0</v>
      </c>
      <c r="G788" s="1">
        <f>IF(B788="", "", "mouse")</f>
        <v>0</v>
      </c>
      <c r="H788" s="1">
        <f>IF(B788="", "", "Mus musculus")</f>
        <v>0</v>
      </c>
      <c r="I788" s="1">
        <f>IF(B788="", "", "10090")</f>
        <v>0</v>
      </c>
      <c r="J788" s="2">
        <f>IF(B788="", "", "missing: not provided")</f>
        <v>0</v>
      </c>
      <c r="K788" s="1">
        <f>IF(B788="", "", "g")</f>
        <v>0</v>
      </c>
    </row>
    <row r="789" spans="1:11">
      <c r="A789">
        <f>IF(COUNTBLANK(B789:K789)&lt;&gt;COLUMNS(B789:K789),788,"")</f>
        <v>0</v>
      </c>
      <c r="C789" s="1">
        <f>IF(B789="", "", "urban biome")</f>
        <v>0</v>
      </c>
      <c r="D789" s="1">
        <f>IF(B789="", "", "animal-associated habitat")</f>
        <v>0</v>
      </c>
      <c r="E789" s="2">
        <f>IF(B789="", "", "missing: not provided")</f>
        <v>0</v>
      </c>
      <c r="F789" s="1">
        <f>IF(B789="", "", "weeks")</f>
        <v>0</v>
      </c>
      <c r="G789" s="1">
        <f>IF(B789="", "", "mouse")</f>
        <v>0</v>
      </c>
      <c r="H789" s="1">
        <f>IF(B789="", "", "Mus musculus")</f>
        <v>0</v>
      </c>
      <c r="I789" s="1">
        <f>IF(B789="", "", "10090")</f>
        <v>0</v>
      </c>
      <c r="J789" s="2">
        <f>IF(B789="", "", "missing: not provided")</f>
        <v>0</v>
      </c>
      <c r="K789" s="1">
        <f>IF(B789="", "", "g")</f>
        <v>0</v>
      </c>
    </row>
    <row r="790" spans="1:11">
      <c r="A790">
        <f>IF(COUNTBLANK(B790:K790)&lt;&gt;COLUMNS(B790:K790),789,"")</f>
        <v>0</v>
      </c>
      <c r="C790" s="1">
        <f>IF(B790="", "", "urban biome")</f>
        <v>0</v>
      </c>
      <c r="D790" s="1">
        <f>IF(B790="", "", "animal-associated habitat")</f>
        <v>0</v>
      </c>
      <c r="E790" s="2">
        <f>IF(B790="", "", "missing: not provided")</f>
        <v>0</v>
      </c>
      <c r="F790" s="1">
        <f>IF(B790="", "", "weeks")</f>
        <v>0</v>
      </c>
      <c r="G790" s="1">
        <f>IF(B790="", "", "mouse")</f>
        <v>0</v>
      </c>
      <c r="H790" s="1">
        <f>IF(B790="", "", "Mus musculus")</f>
        <v>0</v>
      </c>
      <c r="I790" s="1">
        <f>IF(B790="", "", "10090")</f>
        <v>0</v>
      </c>
      <c r="J790" s="2">
        <f>IF(B790="", "", "missing: not provided")</f>
        <v>0</v>
      </c>
      <c r="K790" s="1">
        <f>IF(B790="", "", "g")</f>
        <v>0</v>
      </c>
    </row>
    <row r="791" spans="1:11">
      <c r="A791">
        <f>IF(COUNTBLANK(B791:K791)&lt;&gt;COLUMNS(B791:K791),790,"")</f>
        <v>0</v>
      </c>
      <c r="C791" s="1">
        <f>IF(B791="", "", "urban biome")</f>
        <v>0</v>
      </c>
      <c r="D791" s="1">
        <f>IF(B791="", "", "animal-associated habitat")</f>
        <v>0</v>
      </c>
      <c r="E791" s="2">
        <f>IF(B791="", "", "missing: not provided")</f>
        <v>0</v>
      </c>
      <c r="F791" s="1">
        <f>IF(B791="", "", "weeks")</f>
        <v>0</v>
      </c>
      <c r="G791" s="1">
        <f>IF(B791="", "", "mouse")</f>
        <v>0</v>
      </c>
      <c r="H791" s="1">
        <f>IF(B791="", "", "Mus musculus")</f>
        <v>0</v>
      </c>
      <c r="I791" s="1">
        <f>IF(B791="", "", "10090")</f>
        <v>0</v>
      </c>
      <c r="J791" s="2">
        <f>IF(B791="", "", "missing: not provided")</f>
        <v>0</v>
      </c>
      <c r="K791" s="1">
        <f>IF(B791="", "", "g")</f>
        <v>0</v>
      </c>
    </row>
    <row r="792" spans="1:11">
      <c r="A792">
        <f>IF(COUNTBLANK(B792:K792)&lt;&gt;COLUMNS(B792:K792),791,"")</f>
        <v>0</v>
      </c>
      <c r="C792" s="1">
        <f>IF(B792="", "", "urban biome")</f>
        <v>0</v>
      </c>
      <c r="D792" s="1">
        <f>IF(B792="", "", "animal-associated habitat")</f>
        <v>0</v>
      </c>
      <c r="E792" s="2">
        <f>IF(B792="", "", "missing: not provided")</f>
        <v>0</v>
      </c>
      <c r="F792" s="1">
        <f>IF(B792="", "", "weeks")</f>
        <v>0</v>
      </c>
      <c r="G792" s="1">
        <f>IF(B792="", "", "mouse")</f>
        <v>0</v>
      </c>
      <c r="H792" s="1">
        <f>IF(B792="", "", "Mus musculus")</f>
        <v>0</v>
      </c>
      <c r="I792" s="1">
        <f>IF(B792="", "", "10090")</f>
        <v>0</v>
      </c>
      <c r="J792" s="2">
        <f>IF(B792="", "", "missing: not provided")</f>
        <v>0</v>
      </c>
      <c r="K792" s="1">
        <f>IF(B792="", "", "g")</f>
        <v>0</v>
      </c>
    </row>
    <row r="793" spans="1:11">
      <c r="A793">
        <f>IF(COUNTBLANK(B793:K793)&lt;&gt;COLUMNS(B793:K793),792,"")</f>
        <v>0</v>
      </c>
      <c r="C793" s="1">
        <f>IF(B793="", "", "urban biome")</f>
        <v>0</v>
      </c>
      <c r="D793" s="1">
        <f>IF(B793="", "", "animal-associated habitat")</f>
        <v>0</v>
      </c>
      <c r="E793" s="2">
        <f>IF(B793="", "", "missing: not provided")</f>
        <v>0</v>
      </c>
      <c r="F793" s="1">
        <f>IF(B793="", "", "weeks")</f>
        <v>0</v>
      </c>
      <c r="G793" s="1">
        <f>IF(B793="", "", "mouse")</f>
        <v>0</v>
      </c>
      <c r="H793" s="1">
        <f>IF(B793="", "", "Mus musculus")</f>
        <v>0</v>
      </c>
      <c r="I793" s="1">
        <f>IF(B793="", "", "10090")</f>
        <v>0</v>
      </c>
      <c r="J793" s="2">
        <f>IF(B793="", "", "missing: not provided")</f>
        <v>0</v>
      </c>
      <c r="K793" s="1">
        <f>IF(B793="", "", "g")</f>
        <v>0</v>
      </c>
    </row>
    <row r="794" spans="1:11">
      <c r="A794">
        <f>IF(COUNTBLANK(B794:K794)&lt;&gt;COLUMNS(B794:K794),793,"")</f>
        <v>0</v>
      </c>
      <c r="C794" s="1">
        <f>IF(B794="", "", "urban biome")</f>
        <v>0</v>
      </c>
      <c r="D794" s="1">
        <f>IF(B794="", "", "animal-associated habitat")</f>
        <v>0</v>
      </c>
      <c r="E794" s="2">
        <f>IF(B794="", "", "missing: not provided")</f>
        <v>0</v>
      </c>
      <c r="F794" s="1">
        <f>IF(B794="", "", "weeks")</f>
        <v>0</v>
      </c>
      <c r="G794" s="1">
        <f>IF(B794="", "", "mouse")</f>
        <v>0</v>
      </c>
      <c r="H794" s="1">
        <f>IF(B794="", "", "Mus musculus")</f>
        <v>0</v>
      </c>
      <c r="I794" s="1">
        <f>IF(B794="", "", "10090")</f>
        <v>0</v>
      </c>
      <c r="J794" s="2">
        <f>IF(B794="", "", "missing: not provided")</f>
        <v>0</v>
      </c>
      <c r="K794" s="1">
        <f>IF(B794="", "", "g")</f>
        <v>0</v>
      </c>
    </row>
    <row r="795" spans="1:11">
      <c r="A795">
        <f>IF(COUNTBLANK(B795:K795)&lt;&gt;COLUMNS(B795:K795),794,"")</f>
        <v>0</v>
      </c>
      <c r="C795" s="1">
        <f>IF(B795="", "", "urban biome")</f>
        <v>0</v>
      </c>
      <c r="D795" s="1">
        <f>IF(B795="", "", "animal-associated habitat")</f>
        <v>0</v>
      </c>
      <c r="E795" s="2">
        <f>IF(B795="", "", "missing: not provided")</f>
        <v>0</v>
      </c>
      <c r="F795" s="1">
        <f>IF(B795="", "", "weeks")</f>
        <v>0</v>
      </c>
      <c r="G795" s="1">
        <f>IF(B795="", "", "mouse")</f>
        <v>0</v>
      </c>
      <c r="H795" s="1">
        <f>IF(B795="", "", "Mus musculus")</f>
        <v>0</v>
      </c>
      <c r="I795" s="1">
        <f>IF(B795="", "", "10090")</f>
        <v>0</v>
      </c>
      <c r="J795" s="2">
        <f>IF(B795="", "", "missing: not provided")</f>
        <v>0</v>
      </c>
      <c r="K795" s="1">
        <f>IF(B795="", "", "g")</f>
        <v>0</v>
      </c>
    </row>
    <row r="796" spans="1:11">
      <c r="A796">
        <f>IF(COUNTBLANK(B796:K796)&lt;&gt;COLUMNS(B796:K796),795,"")</f>
        <v>0</v>
      </c>
      <c r="C796" s="1">
        <f>IF(B796="", "", "urban biome")</f>
        <v>0</v>
      </c>
      <c r="D796" s="1">
        <f>IF(B796="", "", "animal-associated habitat")</f>
        <v>0</v>
      </c>
      <c r="E796" s="2">
        <f>IF(B796="", "", "missing: not provided")</f>
        <v>0</v>
      </c>
      <c r="F796" s="1">
        <f>IF(B796="", "", "weeks")</f>
        <v>0</v>
      </c>
      <c r="G796" s="1">
        <f>IF(B796="", "", "mouse")</f>
        <v>0</v>
      </c>
      <c r="H796" s="1">
        <f>IF(B796="", "", "Mus musculus")</f>
        <v>0</v>
      </c>
      <c r="I796" s="1">
        <f>IF(B796="", "", "10090")</f>
        <v>0</v>
      </c>
      <c r="J796" s="2">
        <f>IF(B796="", "", "missing: not provided")</f>
        <v>0</v>
      </c>
      <c r="K796" s="1">
        <f>IF(B796="", "", "g")</f>
        <v>0</v>
      </c>
    </row>
    <row r="797" spans="1:11">
      <c r="A797">
        <f>IF(COUNTBLANK(B797:K797)&lt;&gt;COLUMNS(B797:K797),796,"")</f>
        <v>0</v>
      </c>
      <c r="C797" s="1">
        <f>IF(B797="", "", "urban biome")</f>
        <v>0</v>
      </c>
      <c r="D797" s="1">
        <f>IF(B797="", "", "animal-associated habitat")</f>
        <v>0</v>
      </c>
      <c r="E797" s="2">
        <f>IF(B797="", "", "missing: not provided")</f>
        <v>0</v>
      </c>
      <c r="F797" s="1">
        <f>IF(B797="", "", "weeks")</f>
        <v>0</v>
      </c>
      <c r="G797" s="1">
        <f>IF(B797="", "", "mouse")</f>
        <v>0</v>
      </c>
      <c r="H797" s="1">
        <f>IF(B797="", "", "Mus musculus")</f>
        <v>0</v>
      </c>
      <c r="I797" s="1">
        <f>IF(B797="", "", "10090")</f>
        <v>0</v>
      </c>
      <c r="J797" s="2">
        <f>IF(B797="", "", "missing: not provided")</f>
        <v>0</v>
      </c>
      <c r="K797" s="1">
        <f>IF(B797="", "", "g")</f>
        <v>0</v>
      </c>
    </row>
    <row r="798" spans="1:11">
      <c r="A798">
        <f>IF(COUNTBLANK(B798:K798)&lt;&gt;COLUMNS(B798:K798),797,"")</f>
        <v>0</v>
      </c>
      <c r="C798" s="1">
        <f>IF(B798="", "", "urban biome")</f>
        <v>0</v>
      </c>
      <c r="D798" s="1">
        <f>IF(B798="", "", "animal-associated habitat")</f>
        <v>0</v>
      </c>
      <c r="E798" s="2">
        <f>IF(B798="", "", "missing: not provided")</f>
        <v>0</v>
      </c>
      <c r="F798" s="1">
        <f>IF(B798="", "", "weeks")</f>
        <v>0</v>
      </c>
      <c r="G798" s="1">
        <f>IF(B798="", "", "mouse")</f>
        <v>0</v>
      </c>
      <c r="H798" s="1">
        <f>IF(B798="", "", "Mus musculus")</f>
        <v>0</v>
      </c>
      <c r="I798" s="1">
        <f>IF(B798="", "", "10090")</f>
        <v>0</v>
      </c>
      <c r="J798" s="2">
        <f>IF(B798="", "", "missing: not provided")</f>
        <v>0</v>
      </c>
      <c r="K798" s="1">
        <f>IF(B798="", "", "g")</f>
        <v>0</v>
      </c>
    </row>
    <row r="799" spans="1:11">
      <c r="A799">
        <f>IF(COUNTBLANK(B799:K799)&lt;&gt;COLUMNS(B799:K799),798,"")</f>
        <v>0</v>
      </c>
      <c r="C799" s="1">
        <f>IF(B799="", "", "urban biome")</f>
        <v>0</v>
      </c>
      <c r="D799" s="1">
        <f>IF(B799="", "", "animal-associated habitat")</f>
        <v>0</v>
      </c>
      <c r="E799" s="2">
        <f>IF(B799="", "", "missing: not provided")</f>
        <v>0</v>
      </c>
      <c r="F799" s="1">
        <f>IF(B799="", "", "weeks")</f>
        <v>0</v>
      </c>
      <c r="G799" s="1">
        <f>IF(B799="", "", "mouse")</f>
        <v>0</v>
      </c>
      <c r="H799" s="1">
        <f>IF(B799="", "", "Mus musculus")</f>
        <v>0</v>
      </c>
      <c r="I799" s="1">
        <f>IF(B799="", "", "10090")</f>
        <v>0</v>
      </c>
      <c r="J799" s="2">
        <f>IF(B799="", "", "missing: not provided")</f>
        <v>0</v>
      </c>
      <c r="K799" s="1">
        <f>IF(B799="", "", "g")</f>
        <v>0</v>
      </c>
    </row>
    <row r="800" spans="1:11">
      <c r="A800">
        <f>IF(COUNTBLANK(B800:K800)&lt;&gt;COLUMNS(B800:K800),799,"")</f>
        <v>0</v>
      </c>
      <c r="C800" s="1">
        <f>IF(B800="", "", "urban biome")</f>
        <v>0</v>
      </c>
      <c r="D800" s="1">
        <f>IF(B800="", "", "animal-associated habitat")</f>
        <v>0</v>
      </c>
      <c r="E800" s="2">
        <f>IF(B800="", "", "missing: not provided")</f>
        <v>0</v>
      </c>
      <c r="F800" s="1">
        <f>IF(B800="", "", "weeks")</f>
        <v>0</v>
      </c>
      <c r="G800" s="1">
        <f>IF(B800="", "", "mouse")</f>
        <v>0</v>
      </c>
      <c r="H800" s="1">
        <f>IF(B800="", "", "Mus musculus")</f>
        <v>0</v>
      </c>
      <c r="I800" s="1">
        <f>IF(B800="", "", "10090")</f>
        <v>0</v>
      </c>
      <c r="J800" s="2">
        <f>IF(B800="", "", "missing: not provided")</f>
        <v>0</v>
      </c>
      <c r="K800" s="1">
        <f>IF(B800="", "", "g")</f>
        <v>0</v>
      </c>
    </row>
    <row r="801" spans="1:11">
      <c r="A801">
        <f>IF(COUNTBLANK(B801:K801)&lt;&gt;COLUMNS(B801:K801),800,"")</f>
        <v>0</v>
      </c>
      <c r="C801" s="1">
        <f>IF(B801="", "", "urban biome")</f>
        <v>0</v>
      </c>
      <c r="D801" s="1">
        <f>IF(B801="", "", "animal-associated habitat")</f>
        <v>0</v>
      </c>
      <c r="E801" s="2">
        <f>IF(B801="", "", "missing: not provided")</f>
        <v>0</v>
      </c>
      <c r="F801" s="1">
        <f>IF(B801="", "", "weeks")</f>
        <v>0</v>
      </c>
      <c r="G801" s="1">
        <f>IF(B801="", "", "mouse")</f>
        <v>0</v>
      </c>
      <c r="H801" s="1">
        <f>IF(B801="", "", "Mus musculus")</f>
        <v>0</v>
      </c>
      <c r="I801" s="1">
        <f>IF(B801="", "", "10090")</f>
        <v>0</v>
      </c>
      <c r="J801" s="2">
        <f>IF(B801="", "", "missing: not provided")</f>
        <v>0</v>
      </c>
      <c r="K801" s="1">
        <f>IF(B801="", "", "g")</f>
        <v>0</v>
      </c>
    </row>
    <row r="802" spans="1:11">
      <c r="A802">
        <f>IF(COUNTBLANK(B802:K802)&lt;&gt;COLUMNS(B802:K802),801,"")</f>
        <v>0</v>
      </c>
      <c r="C802" s="1">
        <f>IF(B802="", "", "urban biome")</f>
        <v>0</v>
      </c>
      <c r="D802" s="1">
        <f>IF(B802="", "", "animal-associated habitat")</f>
        <v>0</v>
      </c>
      <c r="E802" s="2">
        <f>IF(B802="", "", "missing: not provided")</f>
        <v>0</v>
      </c>
      <c r="F802" s="1">
        <f>IF(B802="", "", "weeks")</f>
        <v>0</v>
      </c>
      <c r="G802" s="1">
        <f>IF(B802="", "", "mouse")</f>
        <v>0</v>
      </c>
      <c r="H802" s="1">
        <f>IF(B802="", "", "Mus musculus")</f>
        <v>0</v>
      </c>
      <c r="I802" s="1">
        <f>IF(B802="", "", "10090")</f>
        <v>0</v>
      </c>
      <c r="J802" s="2">
        <f>IF(B802="", "", "missing: not provided")</f>
        <v>0</v>
      </c>
      <c r="K802" s="1">
        <f>IF(B802="", "", "g")</f>
        <v>0</v>
      </c>
    </row>
    <row r="803" spans="1:11">
      <c r="A803">
        <f>IF(COUNTBLANK(B803:K803)&lt;&gt;COLUMNS(B803:K803),802,"")</f>
        <v>0</v>
      </c>
      <c r="C803" s="1">
        <f>IF(B803="", "", "urban biome")</f>
        <v>0</v>
      </c>
      <c r="D803" s="1">
        <f>IF(B803="", "", "animal-associated habitat")</f>
        <v>0</v>
      </c>
      <c r="E803" s="2">
        <f>IF(B803="", "", "missing: not provided")</f>
        <v>0</v>
      </c>
      <c r="F803" s="1">
        <f>IF(B803="", "", "weeks")</f>
        <v>0</v>
      </c>
      <c r="G803" s="1">
        <f>IF(B803="", "", "mouse")</f>
        <v>0</v>
      </c>
      <c r="H803" s="1">
        <f>IF(B803="", "", "Mus musculus")</f>
        <v>0</v>
      </c>
      <c r="I803" s="1">
        <f>IF(B803="", "", "10090")</f>
        <v>0</v>
      </c>
      <c r="J803" s="2">
        <f>IF(B803="", "", "missing: not provided")</f>
        <v>0</v>
      </c>
      <c r="K803" s="1">
        <f>IF(B803="", "", "g")</f>
        <v>0</v>
      </c>
    </row>
    <row r="804" spans="1:11">
      <c r="A804">
        <f>IF(COUNTBLANK(B804:K804)&lt;&gt;COLUMNS(B804:K804),803,"")</f>
        <v>0</v>
      </c>
      <c r="C804" s="1">
        <f>IF(B804="", "", "urban biome")</f>
        <v>0</v>
      </c>
      <c r="D804" s="1">
        <f>IF(B804="", "", "animal-associated habitat")</f>
        <v>0</v>
      </c>
      <c r="E804" s="2">
        <f>IF(B804="", "", "missing: not provided")</f>
        <v>0</v>
      </c>
      <c r="F804" s="1">
        <f>IF(B804="", "", "weeks")</f>
        <v>0</v>
      </c>
      <c r="G804" s="1">
        <f>IF(B804="", "", "mouse")</f>
        <v>0</v>
      </c>
      <c r="H804" s="1">
        <f>IF(B804="", "", "Mus musculus")</f>
        <v>0</v>
      </c>
      <c r="I804" s="1">
        <f>IF(B804="", "", "10090")</f>
        <v>0</v>
      </c>
      <c r="J804" s="2">
        <f>IF(B804="", "", "missing: not provided")</f>
        <v>0</v>
      </c>
      <c r="K804" s="1">
        <f>IF(B804="", "", "g")</f>
        <v>0</v>
      </c>
    </row>
    <row r="805" spans="1:11">
      <c r="A805">
        <f>IF(COUNTBLANK(B805:K805)&lt;&gt;COLUMNS(B805:K805),804,"")</f>
        <v>0</v>
      </c>
      <c r="C805" s="1">
        <f>IF(B805="", "", "urban biome")</f>
        <v>0</v>
      </c>
      <c r="D805" s="1">
        <f>IF(B805="", "", "animal-associated habitat")</f>
        <v>0</v>
      </c>
      <c r="E805" s="2">
        <f>IF(B805="", "", "missing: not provided")</f>
        <v>0</v>
      </c>
      <c r="F805" s="1">
        <f>IF(B805="", "", "weeks")</f>
        <v>0</v>
      </c>
      <c r="G805" s="1">
        <f>IF(B805="", "", "mouse")</f>
        <v>0</v>
      </c>
      <c r="H805" s="1">
        <f>IF(B805="", "", "Mus musculus")</f>
        <v>0</v>
      </c>
      <c r="I805" s="1">
        <f>IF(B805="", "", "10090")</f>
        <v>0</v>
      </c>
      <c r="J805" s="2">
        <f>IF(B805="", "", "missing: not provided")</f>
        <v>0</v>
      </c>
      <c r="K805" s="1">
        <f>IF(B805="", "", "g")</f>
        <v>0</v>
      </c>
    </row>
    <row r="806" spans="1:11">
      <c r="A806">
        <f>IF(COUNTBLANK(B806:K806)&lt;&gt;COLUMNS(B806:K806),805,"")</f>
        <v>0</v>
      </c>
      <c r="C806" s="1">
        <f>IF(B806="", "", "urban biome")</f>
        <v>0</v>
      </c>
      <c r="D806" s="1">
        <f>IF(B806="", "", "animal-associated habitat")</f>
        <v>0</v>
      </c>
      <c r="E806" s="2">
        <f>IF(B806="", "", "missing: not provided")</f>
        <v>0</v>
      </c>
      <c r="F806" s="1">
        <f>IF(B806="", "", "weeks")</f>
        <v>0</v>
      </c>
      <c r="G806" s="1">
        <f>IF(B806="", "", "mouse")</f>
        <v>0</v>
      </c>
      <c r="H806" s="1">
        <f>IF(B806="", "", "Mus musculus")</f>
        <v>0</v>
      </c>
      <c r="I806" s="1">
        <f>IF(B806="", "", "10090")</f>
        <v>0</v>
      </c>
      <c r="J806" s="2">
        <f>IF(B806="", "", "missing: not provided")</f>
        <v>0</v>
      </c>
      <c r="K806" s="1">
        <f>IF(B806="", "", "g")</f>
        <v>0</v>
      </c>
    </row>
    <row r="807" spans="1:11">
      <c r="A807">
        <f>IF(COUNTBLANK(B807:K807)&lt;&gt;COLUMNS(B807:K807),806,"")</f>
        <v>0</v>
      </c>
      <c r="C807" s="1">
        <f>IF(B807="", "", "urban biome")</f>
        <v>0</v>
      </c>
      <c r="D807" s="1">
        <f>IF(B807="", "", "animal-associated habitat")</f>
        <v>0</v>
      </c>
      <c r="E807" s="2">
        <f>IF(B807="", "", "missing: not provided")</f>
        <v>0</v>
      </c>
      <c r="F807" s="1">
        <f>IF(B807="", "", "weeks")</f>
        <v>0</v>
      </c>
      <c r="G807" s="1">
        <f>IF(B807="", "", "mouse")</f>
        <v>0</v>
      </c>
      <c r="H807" s="1">
        <f>IF(B807="", "", "Mus musculus")</f>
        <v>0</v>
      </c>
      <c r="I807" s="1">
        <f>IF(B807="", "", "10090")</f>
        <v>0</v>
      </c>
      <c r="J807" s="2">
        <f>IF(B807="", "", "missing: not provided")</f>
        <v>0</v>
      </c>
      <c r="K807" s="1">
        <f>IF(B807="", "", "g")</f>
        <v>0</v>
      </c>
    </row>
    <row r="808" spans="1:11">
      <c r="A808">
        <f>IF(COUNTBLANK(B808:K808)&lt;&gt;COLUMNS(B808:K808),807,"")</f>
        <v>0</v>
      </c>
      <c r="C808" s="1">
        <f>IF(B808="", "", "urban biome")</f>
        <v>0</v>
      </c>
      <c r="D808" s="1">
        <f>IF(B808="", "", "animal-associated habitat")</f>
        <v>0</v>
      </c>
      <c r="E808" s="2">
        <f>IF(B808="", "", "missing: not provided")</f>
        <v>0</v>
      </c>
      <c r="F808" s="1">
        <f>IF(B808="", "", "weeks")</f>
        <v>0</v>
      </c>
      <c r="G808" s="1">
        <f>IF(B808="", "", "mouse")</f>
        <v>0</v>
      </c>
      <c r="H808" s="1">
        <f>IF(B808="", "", "Mus musculus")</f>
        <v>0</v>
      </c>
      <c r="I808" s="1">
        <f>IF(B808="", "", "10090")</f>
        <v>0</v>
      </c>
      <c r="J808" s="2">
        <f>IF(B808="", "", "missing: not provided")</f>
        <v>0</v>
      </c>
      <c r="K808" s="1">
        <f>IF(B808="", "", "g")</f>
        <v>0</v>
      </c>
    </row>
    <row r="809" spans="1:11">
      <c r="A809">
        <f>IF(COUNTBLANK(B809:K809)&lt;&gt;COLUMNS(B809:K809),808,"")</f>
        <v>0</v>
      </c>
      <c r="C809" s="1">
        <f>IF(B809="", "", "urban biome")</f>
        <v>0</v>
      </c>
      <c r="D809" s="1">
        <f>IF(B809="", "", "animal-associated habitat")</f>
        <v>0</v>
      </c>
      <c r="E809" s="2">
        <f>IF(B809="", "", "missing: not provided")</f>
        <v>0</v>
      </c>
      <c r="F809" s="1">
        <f>IF(B809="", "", "weeks")</f>
        <v>0</v>
      </c>
      <c r="G809" s="1">
        <f>IF(B809="", "", "mouse")</f>
        <v>0</v>
      </c>
      <c r="H809" s="1">
        <f>IF(B809="", "", "Mus musculus")</f>
        <v>0</v>
      </c>
      <c r="I809" s="1">
        <f>IF(B809="", "", "10090")</f>
        <v>0</v>
      </c>
      <c r="J809" s="2">
        <f>IF(B809="", "", "missing: not provided")</f>
        <v>0</v>
      </c>
      <c r="K809" s="1">
        <f>IF(B809="", "", "g")</f>
        <v>0</v>
      </c>
    </row>
    <row r="810" spans="1:11">
      <c r="A810">
        <f>IF(COUNTBLANK(B810:K810)&lt;&gt;COLUMNS(B810:K810),809,"")</f>
        <v>0</v>
      </c>
      <c r="C810" s="1">
        <f>IF(B810="", "", "urban biome")</f>
        <v>0</v>
      </c>
      <c r="D810" s="1">
        <f>IF(B810="", "", "animal-associated habitat")</f>
        <v>0</v>
      </c>
      <c r="E810" s="2">
        <f>IF(B810="", "", "missing: not provided")</f>
        <v>0</v>
      </c>
      <c r="F810" s="1">
        <f>IF(B810="", "", "weeks")</f>
        <v>0</v>
      </c>
      <c r="G810" s="1">
        <f>IF(B810="", "", "mouse")</f>
        <v>0</v>
      </c>
      <c r="H810" s="1">
        <f>IF(B810="", "", "Mus musculus")</f>
        <v>0</v>
      </c>
      <c r="I810" s="1">
        <f>IF(B810="", "", "10090")</f>
        <v>0</v>
      </c>
      <c r="J810" s="2">
        <f>IF(B810="", "", "missing: not provided")</f>
        <v>0</v>
      </c>
      <c r="K810" s="1">
        <f>IF(B810="", "", "g")</f>
        <v>0</v>
      </c>
    </row>
    <row r="811" spans="1:11">
      <c r="A811">
        <f>IF(COUNTBLANK(B811:K811)&lt;&gt;COLUMNS(B811:K811),810,"")</f>
        <v>0</v>
      </c>
      <c r="C811" s="1">
        <f>IF(B811="", "", "urban biome")</f>
        <v>0</v>
      </c>
      <c r="D811" s="1">
        <f>IF(B811="", "", "animal-associated habitat")</f>
        <v>0</v>
      </c>
      <c r="E811" s="2">
        <f>IF(B811="", "", "missing: not provided")</f>
        <v>0</v>
      </c>
      <c r="F811" s="1">
        <f>IF(B811="", "", "weeks")</f>
        <v>0</v>
      </c>
      <c r="G811" s="1">
        <f>IF(B811="", "", "mouse")</f>
        <v>0</v>
      </c>
      <c r="H811" s="1">
        <f>IF(B811="", "", "Mus musculus")</f>
        <v>0</v>
      </c>
      <c r="I811" s="1">
        <f>IF(B811="", "", "10090")</f>
        <v>0</v>
      </c>
      <c r="J811" s="2">
        <f>IF(B811="", "", "missing: not provided")</f>
        <v>0</v>
      </c>
      <c r="K811" s="1">
        <f>IF(B811="", "", "g")</f>
        <v>0</v>
      </c>
    </row>
    <row r="812" spans="1:11">
      <c r="A812">
        <f>IF(COUNTBLANK(B812:K812)&lt;&gt;COLUMNS(B812:K812),811,"")</f>
        <v>0</v>
      </c>
      <c r="C812" s="1">
        <f>IF(B812="", "", "urban biome")</f>
        <v>0</v>
      </c>
      <c r="D812" s="1">
        <f>IF(B812="", "", "animal-associated habitat")</f>
        <v>0</v>
      </c>
      <c r="E812" s="2">
        <f>IF(B812="", "", "missing: not provided")</f>
        <v>0</v>
      </c>
      <c r="F812" s="1">
        <f>IF(B812="", "", "weeks")</f>
        <v>0</v>
      </c>
      <c r="G812" s="1">
        <f>IF(B812="", "", "mouse")</f>
        <v>0</v>
      </c>
      <c r="H812" s="1">
        <f>IF(B812="", "", "Mus musculus")</f>
        <v>0</v>
      </c>
      <c r="I812" s="1">
        <f>IF(B812="", "", "10090")</f>
        <v>0</v>
      </c>
      <c r="J812" s="2">
        <f>IF(B812="", "", "missing: not provided")</f>
        <v>0</v>
      </c>
      <c r="K812" s="1">
        <f>IF(B812="", "", "g")</f>
        <v>0</v>
      </c>
    </row>
    <row r="813" spans="1:11">
      <c r="A813">
        <f>IF(COUNTBLANK(B813:K813)&lt;&gt;COLUMNS(B813:K813),812,"")</f>
        <v>0</v>
      </c>
      <c r="C813" s="1">
        <f>IF(B813="", "", "urban biome")</f>
        <v>0</v>
      </c>
      <c r="D813" s="1">
        <f>IF(B813="", "", "animal-associated habitat")</f>
        <v>0</v>
      </c>
      <c r="E813" s="2">
        <f>IF(B813="", "", "missing: not provided")</f>
        <v>0</v>
      </c>
      <c r="F813" s="1">
        <f>IF(B813="", "", "weeks")</f>
        <v>0</v>
      </c>
      <c r="G813" s="1">
        <f>IF(B813="", "", "mouse")</f>
        <v>0</v>
      </c>
      <c r="H813" s="1">
        <f>IF(B813="", "", "Mus musculus")</f>
        <v>0</v>
      </c>
      <c r="I813" s="1">
        <f>IF(B813="", "", "10090")</f>
        <v>0</v>
      </c>
      <c r="J813" s="2">
        <f>IF(B813="", "", "missing: not provided")</f>
        <v>0</v>
      </c>
      <c r="K813" s="1">
        <f>IF(B813="", "", "g")</f>
        <v>0</v>
      </c>
    </row>
    <row r="814" spans="1:11">
      <c r="A814">
        <f>IF(COUNTBLANK(B814:K814)&lt;&gt;COLUMNS(B814:K814),813,"")</f>
        <v>0</v>
      </c>
      <c r="C814" s="1">
        <f>IF(B814="", "", "urban biome")</f>
        <v>0</v>
      </c>
      <c r="D814" s="1">
        <f>IF(B814="", "", "animal-associated habitat")</f>
        <v>0</v>
      </c>
      <c r="E814" s="2">
        <f>IF(B814="", "", "missing: not provided")</f>
        <v>0</v>
      </c>
      <c r="F814" s="1">
        <f>IF(B814="", "", "weeks")</f>
        <v>0</v>
      </c>
      <c r="G814" s="1">
        <f>IF(B814="", "", "mouse")</f>
        <v>0</v>
      </c>
      <c r="H814" s="1">
        <f>IF(B814="", "", "Mus musculus")</f>
        <v>0</v>
      </c>
      <c r="I814" s="1">
        <f>IF(B814="", "", "10090")</f>
        <v>0</v>
      </c>
      <c r="J814" s="2">
        <f>IF(B814="", "", "missing: not provided")</f>
        <v>0</v>
      </c>
      <c r="K814" s="1">
        <f>IF(B814="", "", "g")</f>
        <v>0</v>
      </c>
    </row>
    <row r="815" spans="1:11">
      <c r="A815">
        <f>IF(COUNTBLANK(B815:K815)&lt;&gt;COLUMNS(B815:K815),814,"")</f>
        <v>0</v>
      </c>
      <c r="C815" s="1">
        <f>IF(B815="", "", "urban biome")</f>
        <v>0</v>
      </c>
      <c r="D815" s="1">
        <f>IF(B815="", "", "animal-associated habitat")</f>
        <v>0</v>
      </c>
      <c r="E815" s="2">
        <f>IF(B815="", "", "missing: not provided")</f>
        <v>0</v>
      </c>
      <c r="F815" s="1">
        <f>IF(B815="", "", "weeks")</f>
        <v>0</v>
      </c>
      <c r="G815" s="1">
        <f>IF(B815="", "", "mouse")</f>
        <v>0</v>
      </c>
      <c r="H815" s="1">
        <f>IF(B815="", "", "Mus musculus")</f>
        <v>0</v>
      </c>
      <c r="I815" s="1">
        <f>IF(B815="", "", "10090")</f>
        <v>0</v>
      </c>
      <c r="J815" s="2">
        <f>IF(B815="", "", "missing: not provided")</f>
        <v>0</v>
      </c>
      <c r="K815" s="1">
        <f>IF(B815="", "", "g")</f>
        <v>0</v>
      </c>
    </row>
    <row r="816" spans="1:11">
      <c r="A816">
        <f>IF(COUNTBLANK(B816:K816)&lt;&gt;COLUMNS(B816:K816),815,"")</f>
        <v>0</v>
      </c>
      <c r="C816" s="1">
        <f>IF(B816="", "", "urban biome")</f>
        <v>0</v>
      </c>
      <c r="D816" s="1">
        <f>IF(B816="", "", "animal-associated habitat")</f>
        <v>0</v>
      </c>
      <c r="E816" s="2">
        <f>IF(B816="", "", "missing: not provided")</f>
        <v>0</v>
      </c>
      <c r="F816" s="1">
        <f>IF(B816="", "", "weeks")</f>
        <v>0</v>
      </c>
      <c r="G816" s="1">
        <f>IF(B816="", "", "mouse")</f>
        <v>0</v>
      </c>
      <c r="H816" s="1">
        <f>IF(B816="", "", "Mus musculus")</f>
        <v>0</v>
      </c>
      <c r="I816" s="1">
        <f>IF(B816="", "", "10090")</f>
        <v>0</v>
      </c>
      <c r="J816" s="2">
        <f>IF(B816="", "", "missing: not provided")</f>
        <v>0</v>
      </c>
      <c r="K816" s="1">
        <f>IF(B816="", "", "g")</f>
        <v>0</v>
      </c>
    </row>
    <row r="817" spans="1:11">
      <c r="A817">
        <f>IF(COUNTBLANK(B817:K817)&lt;&gt;COLUMNS(B817:K817),816,"")</f>
        <v>0</v>
      </c>
      <c r="C817" s="1">
        <f>IF(B817="", "", "urban biome")</f>
        <v>0</v>
      </c>
      <c r="D817" s="1">
        <f>IF(B817="", "", "animal-associated habitat")</f>
        <v>0</v>
      </c>
      <c r="E817" s="2">
        <f>IF(B817="", "", "missing: not provided")</f>
        <v>0</v>
      </c>
      <c r="F817" s="1">
        <f>IF(B817="", "", "weeks")</f>
        <v>0</v>
      </c>
      <c r="G817" s="1">
        <f>IF(B817="", "", "mouse")</f>
        <v>0</v>
      </c>
      <c r="H817" s="1">
        <f>IF(B817="", "", "Mus musculus")</f>
        <v>0</v>
      </c>
      <c r="I817" s="1">
        <f>IF(B817="", "", "10090")</f>
        <v>0</v>
      </c>
      <c r="J817" s="2">
        <f>IF(B817="", "", "missing: not provided")</f>
        <v>0</v>
      </c>
      <c r="K817" s="1">
        <f>IF(B817="", "", "g")</f>
        <v>0</v>
      </c>
    </row>
    <row r="818" spans="1:11">
      <c r="A818">
        <f>IF(COUNTBLANK(B818:K818)&lt;&gt;COLUMNS(B818:K818),817,"")</f>
        <v>0</v>
      </c>
      <c r="C818" s="1">
        <f>IF(B818="", "", "urban biome")</f>
        <v>0</v>
      </c>
      <c r="D818" s="1">
        <f>IF(B818="", "", "animal-associated habitat")</f>
        <v>0</v>
      </c>
      <c r="E818" s="2">
        <f>IF(B818="", "", "missing: not provided")</f>
        <v>0</v>
      </c>
      <c r="F818" s="1">
        <f>IF(B818="", "", "weeks")</f>
        <v>0</v>
      </c>
      <c r="G818" s="1">
        <f>IF(B818="", "", "mouse")</f>
        <v>0</v>
      </c>
      <c r="H818" s="1">
        <f>IF(B818="", "", "Mus musculus")</f>
        <v>0</v>
      </c>
      <c r="I818" s="1">
        <f>IF(B818="", "", "10090")</f>
        <v>0</v>
      </c>
      <c r="J818" s="2">
        <f>IF(B818="", "", "missing: not provided")</f>
        <v>0</v>
      </c>
      <c r="K818" s="1">
        <f>IF(B818="", "", "g")</f>
        <v>0</v>
      </c>
    </row>
    <row r="819" spans="1:11">
      <c r="A819">
        <f>IF(COUNTBLANK(B819:K819)&lt;&gt;COLUMNS(B819:K819),818,"")</f>
        <v>0</v>
      </c>
      <c r="C819" s="1">
        <f>IF(B819="", "", "urban biome")</f>
        <v>0</v>
      </c>
      <c r="D819" s="1">
        <f>IF(B819="", "", "animal-associated habitat")</f>
        <v>0</v>
      </c>
      <c r="E819" s="2">
        <f>IF(B819="", "", "missing: not provided")</f>
        <v>0</v>
      </c>
      <c r="F819" s="1">
        <f>IF(B819="", "", "weeks")</f>
        <v>0</v>
      </c>
      <c r="G819" s="1">
        <f>IF(B819="", "", "mouse")</f>
        <v>0</v>
      </c>
      <c r="H819" s="1">
        <f>IF(B819="", "", "Mus musculus")</f>
        <v>0</v>
      </c>
      <c r="I819" s="1">
        <f>IF(B819="", "", "10090")</f>
        <v>0</v>
      </c>
      <c r="J819" s="2">
        <f>IF(B819="", "", "missing: not provided")</f>
        <v>0</v>
      </c>
      <c r="K819" s="1">
        <f>IF(B819="", "", "g")</f>
        <v>0</v>
      </c>
    </row>
    <row r="820" spans="1:11">
      <c r="A820">
        <f>IF(COUNTBLANK(B820:K820)&lt;&gt;COLUMNS(B820:K820),819,"")</f>
        <v>0</v>
      </c>
      <c r="C820" s="1">
        <f>IF(B820="", "", "urban biome")</f>
        <v>0</v>
      </c>
      <c r="D820" s="1">
        <f>IF(B820="", "", "animal-associated habitat")</f>
        <v>0</v>
      </c>
      <c r="E820" s="2">
        <f>IF(B820="", "", "missing: not provided")</f>
        <v>0</v>
      </c>
      <c r="F820" s="1">
        <f>IF(B820="", "", "weeks")</f>
        <v>0</v>
      </c>
      <c r="G820" s="1">
        <f>IF(B820="", "", "mouse")</f>
        <v>0</v>
      </c>
      <c r="H820" s="1">
        <f>IF(B820="", "", "Mus musculus")</f>
        <v>0</v>
      </c>
      <c r="I820" s="1">
        <f>IF(B820="", "", "10090")</f>
        <v>0</v>
      </c>
      <c r="J820" s="2">
        <f>IF(B820="", "", "missing: not provided")</f>
        <v>0</v>
      </c>
      <c r="K820" s="1">
        <f>IF(B820="", "", "g")</f>
        <v>0</v>
      </c>
    </row>
    <row r="821" spans="1:11">
      <c r="A821">
        <f>IF(COUNTBLANK(B821:K821)&lt;&gt;COLUMNS(B821:K821),820,"")</f>
        <v>0</v>
      </c>
      <c r="C821" s="1">
        <f>IF(B821="", "", "urban biome")</f>
        <v>0</v>
      </c>
      <c r="D821" s="1">
        <f>IF(B821="", "", "animal-associated habitat")</f>
        <v>0</v>
      </c>
      <c r="E821" s="2">
        <f>IF(B821="", "", "missing: not provided")</f>
        <v>0</v>
      </c>
      <c r="F821" s="1">
        <f>IF(B821="", "", "weeks")</f>
        <v>0</v>
      </c>
      <c r="G821" s="1">
        <f>IF(B821="", "", "mouse")</f>
        <v>0</v>
      </c>
      <c r="H821" s="1">
        <f>IF(B821="", "", "Mus musculus")</f>
        <v>0</v>
      </c>
      <c r="I821" s="1">
        <f>IF(B821="", "", "10090")</f>
        <v>0</v>
      </c>
      <c r="J821" s="2">
        <f>IF(B821="", "", "missing: not provided")</f>
        <v>0</v>
      </c>
      <c r="K821" s="1">
        <f>IF(B821="", "", "g")</f>
        <v>0</v>
      </c>
    </row>
    <row r="822" spans="1:11">
      <c r="A822">
        <f>IF(COUNTBLANK(B822:K822)&lt;&gt;COLUMNS(B822:K822),821,"")</f>
        <v>0</v>
      </c>
      <c r="C822" s="1">
        <f>IF(B822="", "", "urban biome")</f>
        <v>0</v>
      </c>
      <c r="D822" s="1">
        <f>IF(B822="", "", "animal-associated habitat")</f>
        <v>0</v>
      </c>
      <c r="E822" s="2">
        <f>IF(B822="", "", "missing: not provided")</f>
        <v>0</v>
      </c>
      <c r="F822" s="1">
        <f>IF(B822="", "", "weeks")</f>
        <v>0</v>
      </c>
      <c r="G822" s="1">
        <f>IF(B822="", "", "mouse")</f>
        <v>0</v>
      </c>
      <c r="H822" s="1">
        <f>IF(B822="", "", "Mus musculus")</f>
        <v>0</v>
      </c>
      <c r="I822" s="1">
        <f>IF(B822="", "", "10090")</f>
        <v>0</v>
      </c>
      <c r="J822" s="2">
        <f>IF(B822="", "", "missing: not provided")</f>
        <v>0</v>
      </c>
      <c r="K822" s="1">
        <f>IF(B822="", "", "g")</f>
        <v>0</v>
      </c>
    </row>
    <row r="823" spans="1:11">
      <c r="A823">
        <f>IF(COUNTBLANK(B823:K823)&lt;&gt;COLUMNS(B823:K823),822,"")</f>
        <v>0</v>
      </c>
      <c r="C823" s="1">
        <f>IF(B823="", "", "urban biome")</f>
        <v>0</v>
      </c>
      <c r="D823" s="1">
        <f>IF(B823="", "", "animal-associated habitat")</f>
        <v>0</v>
      </c>
      <c r="E823" s="2">
        <f>IF(B823="", "", "missing: not provided")</f>
        <v>0</v>
      </c>
      <c r="F823" s="1">
        <f>IF(B823="", "", "weeks")</f>
        <v>0</v>
      </c>
      <c r="G823" s="1">
        <f>IF(B823="", "", "mouse")</f>
        <v>0</v>
      </c>
      <c r="H823" s="1">
        <f>IF(B823="", "", "Mus musculus")</f>
        <v>0</v>
      </c>
      <c r="I823" s="1">
        <f>IF(B823="", "", "10090")</f>
        <v>0</v>
      </c>
      <c r="J823" s="2">
        <f>IF(B823="", "", "missing: not provided")</f>
        <v>0</v>
      </c>
      <c r="K823" s="1">
        <f>IF(B823="", "", "g")</f>
        <v>0</v>
      </c>
    </row>
    <row r="824" spans="1:11">
      <c r="A824">
        <f>IF(COUNTBLANK(B824:K824)&lt;&gt;COLUMNS(B824:K824),823,"")</f>
        <v>0</v>
      </c>
      <c r="C824" s="1">
        <f>IF(B824="", "", "urban biome")</f>
        <v>0</v>
      </c>
      <c r="D824" s="1">
        <f>IF(B824="", "", "animal-associated habitat")</f>
        <v>0</v>
      </c>
      <c r="E824" s="2">
        <f>IF(B824="", "", "missing: not provided")</f>
        <v>0</v>
      </c>
      <c r="F824" s="1">
        <f>IF(B824="", "", "weeks")</f>
        <v>0</v>
      </c>
      <c r="G824" s="1">
        <f>IF(B824="", "", "mouse")</f>
        <v>0</v>
      </c>
      <c r="H824" s="1">
        <f>IF(B824="", "", "Mus musculus")</f>
        <v>0</v>
      </c>
      <c r="I824" s="1">
        <f>IF(B824="", "", "10090")</f>
        <v>0</v>
      </c>
      <c r="J824" s="2">
        <f>IF(B824="", "", "missing: not provided")</f>
        <v>0</v>
      </c>
      <c r="K824" s="1">
        <f>IF(B824="", "", "g")</f>
        <v>0</v>
      </c>
    </row>
    <row r="825" spans="1:11">
      <c r="A825">
        <f>IF(COUNTBLANK(B825:K825)&lt;&gt;COLUMNS(B825:K825),824,"")</f>
        <v>0</v>
      </c>
      <c r="C825" s="1">
        <f>IF(B825="", "", "urban biome")</f>
        <v>0</v>
      </c>
      <c r="D825" s="1">
        <f>IF(B825="", "", "animal-associated habitat")</f>
        <v>0</v>
      </c>
      <c r="E825" s="2">
        <f>IF(B825="", "", "missing: not provided")</f>
        <v>0</v>
      </c>
      <c r="F825" s="1">
        <f>IF(B825="", "", "weeks")</f>
        <v>0</v>
      </c>
      <c r="G825" s="1">
        <f>IF(B825="", "", "mouse")</f>
        <v>0</v>
      </c>
      <c r="H825" s="1">
        <f>IF(B825="", "", "Mus musculus")</f>
        <v>0</v>
      </c>
      <c r="I825" s="1">
        <f>IF(B825="", "", "10090")</f>
        <v>0</v>
      </c>
      <c r="J825" s="2">
        <f>IF(B825="", "", "missing: not provided")</f>
        <v>0</v>
      </c>
      <c r="K825" s="1">
        <f>IF(B825="", "", "g")</f>
        <v>0</v>
      </c>
    </row>
    <row r="826" spans="1:11">
      <c r="A826">
        <f>IF(COUNTBLANK(B826:K826)&lt;&gt;COLUMNS(B826:K826),825,"")</f>
        <v>0</v>
      </c>
      <c r="C826" s="1">
        <f>IF(B826="", "", "urban biome")</f>
        <v>0</v>
      </c>
      <c r="D826" s="1">
        <f>IF(B826="", "", "animal-associated habitat")</f>
        <v>0</v>
      </c>
      <c r="E826" s="2">
        <f>IF(B826="", "", "missing: not provided")</f>
        <v>0</v>
      </c>
      <c r="F826" s="1">
        <f>IF(B826="", "", "weeks")</f>
        <v>0</v>
      </c>
      <c r="G826" s="1">
        <f>IF(B826="", "", "mouse")</f>
        <v>0</v>
      </c>
      <c r="H826" s="1">
        <f>IF(B826="", "", "Mus musculus")</f>
        <v>0</v>
      </c>
      <c r="I826" s="1">
        <f>IF(B826="", "", "10090")</f>
        <v>0</v>
      </c>
      <c r="J826" s="2">
        <f>IF(B826="", "", "missing: not provided")</f>
        <v>0</v>
      </c>
      <c r="K826" s="1">
        <f>IF(B826="", "", "g")</f>
        <v>0</v>
      </c>
    </row>
    <row r="827" spans="1:11">
      <c r="A827">
        <f>IF(COUNTBLANK(B827:K827)&lt;&gt;COLUMNS(B827:K827),826,"")</f>
        <v>0</v>
      </c>
      <c r="C827" s="1">
        <f>IF(B827="", "", "urban biome")</f>
        <v>0</v>
      </c>
      <c r="D827" s="1">
        <f>IF(B827="", "", "animal-associated habitat")</f>
        <v>0</v>
      </c>
      <c r="E827" s="2">
        <f>IF(B827="", "", "missing: not provided")</f>
        <v>0</v>
      </c>
      <c r="F827" s="1">
        <f>IF(B827="", "", "weeks")</f>
        <v>0</v>
      </c>
      <c r="G827" s="1">
        <f>IF(B827="", "", "mouse")</f>
        <v>0</v>
      </c>
      <c r="H827" s="1">
        <f>IF(B827="", "", "Mus musculus")</f>
        <v>0</v>
      </c>
      <c r="I827" s="1">
        <f>IF(B827="", "", "10090")</f>
        <v>0</v>
      </c>
      <c r="J827" s="2">
        <f>IF(B827="", "", "missing: not provided")</f>
        <v>0</v>
      </c>
      <c r="K827" s="1">
        <f>IF(B827="", "", "g")</f>
        <v>0</v>
      </c>
    </row>
    <row r="828" spans="1:11">
      <c r="A828">
        <f>IF(COUNTBLANK(B828:K828)&lt;&gt;COLUMNS(B828:K828),827,"")</f>
        <v>0</v>
      </c>
      <c r="C828" s="1">
        <f>IF(B828="", "", "urban biome")</f>
        <v>0</v>
      </c>
      <c r="D828" s="1">
        <f>IF(B828="", "", "animal-associated habitat")</f>
        <v>0</v>
      </c>
      <c r="E828" s="2">
        <f>IF(B828="", "", "missing: not provided")</f>
        <v>0</v>
      </c>
      <c r="F828" s="1">
        <f>IF(B828="", "", "weeks")</f>
        <v>0</v>
      </c>
      <c r="G828" s="1">
        <f>IF(B828="", "", "mouse")</f>
        <v>0</v>
      </c>
      <c r="H828" s="1">
        <f>IF(B828="", "", "Mus musculus")</f>
        <v>0</v>
      </c>
      <c r="I828" s="1">
        <f>IF(B828="", "", "10090")</f>
        <v>0</v>
      </c>
      <c r="J828" s="2">
        <f>IF(B828="", "", "missing: not provided")</f>
        <v>0</v>
      </c>
      <c r="K828" s="1">
        <f>IF(B828="", "", "g")</f>
        <v>0</v>
      </c>
    </row>
    <row r="829" spans="1:11">
      <c r="A829">
        <f>IF(COUNTBLANK(B829:K829)&lt;&gt;COLUMNS(B829:K829),828,"")</f>
        <v>0</v>
      </c>
      <c r="C829" s="1">
        <f>IF(B829="", "", "urban biome")</f>
        <v>0</v>
      </c>
      <c r="D829" s="1">
        <f>IF(B829="", "", "animal-associated habitat")</f>
        <v>0</v>
      </c>
      <c r="E829" s="2">
        <f>IF(B829="", "", "missing: not provided")</f>
        <v>0</v>
      </c>
      <c r="F829" s="1">
        <f>IF(B829="", "", "weeks")</f>
        <v>0</v>
      </c>
      <c r="G829" s="1">
        <f>IF(B829="", "", "mouse")</f>
        <v>0</v>
      </c>
      <c r="H829" s="1">
        <f>IF(B829="", "", "Mus musculus")</f>
        <v>0</v>
      </c>
      <c r="I829" s="1">
        <f>IF(B829="", "", "10090")</f>
        <v>0</v>
      </c>
      <c r="J829" s="2">
        <f>IF(B829="", "", "missing: not provided")</f>
        <v>0</v>
      </c>
      <c r="K829" s="1">
        <f>IF(B829="", "", "g")</f>
        <v>0</v>
      </c>
    </row>
    <row r="830" spans="1:11">
      <c r="A830">
        <f>IF(COUNTBLANK(B830:K830)&lt;&gt;COLUMNS(B830:K830),829,"")</f>
        <v>0</v>
      </c>
      <c r="C830" s="1">
        <f>IF(B830="", "", "urban biome")</f>
        <v>0</v>
      </c>
      <c r="D830" s="1">
        <f>IF(B830="", "", "animal-associated habitat")</f>
        <v>0</v>
      </c>
      <c r="E830" s="2">
        <f>IF(B830="", "", "missing: not provided")</f>
        <v>0</v>
      </c>
      <c r="F830" s="1">
        <f>IF(B830="", "", "weeks")</f>
        <v>0</v>
      </c>
      <c r="G830" s="1">
        <f>IF(B830="", "", "mouse")</f>
        <v>0</v>
      </c>
      <c r="H830" s="1">
        <f>IF(B830="", "", "Mus musculus")</f>
        <v>0</v>
      </c>
      <c r="I830" s="1">
        <f>IF(B830="", "", "10090")</f>
        <v>0</v>
      </c>
      <c r="J830" s="2">
        <f>IF(B830="", "", "missing: not provided")</f>
        <v>0</v>
      </c>
      <c r="K830" s="1">
        <f>IF(B830="", "", "g")</f>
        <v>0</v>
      </c>
    </row>
    <row r="831" spans="1:11">
      <c r="A831">
        <f>IF(COUNTBLANK(B831:K831)&lt;&gt;COLUMNS(B831:K831),830,"")</f>
        <v>0</v>
      </c>
      <c r="C831" s="1">
        <f>IF(B831="", "", "urban biome")</f>
        <v>0</v>
      </c>
      <c r="D831" s="1">
        <f>IF(B831="", "", "animal-associated habitat")</f>
        <v>0</v>
      </c>
      <c r="E831" s="2">
        <f>IF(B831="", "", "missing: not provided")</f>
        <v>0</v>
      </c>
      <c r="F831" s="1">
        <f>IF(B831="", "", "weeks")</f>
        <v>0</v>
      </c>
      <c r="G831" s="1">
        <f>IF(B831="", "", "mouse")</f>
        <v>0</v>
      </c>
      <c r="H831" s="1">
        <f>IF(B831="", "", "Mus musculus")</f>
        <v>0</v>
      </c>
      <c r="I831" s="1">
        <f>IF(B831="", "", "10090")</f>
        <v>0</v>
      </c>
      <c r="J831" s="2">
        <f>IF(B831="", "", "missing: not provided")</f>
        <v>0</v>
      </c>
      <c r="K831" s="1">
        <f>IF(B831="", "", "g")</f>
        <v>0</v>
      </c>
    </row>
    <row r="832" spans="1:11">
      <c r="A832">
        <f>IF(COUNTBLANK(B832:K832)&lt;&gt;COLUMNS(B832:K832),831,"")</f>
        <v>0</v>
      </c>
      <c r="C832" s="1">
        <f>IF(B832="", "", "urban biome")</f>
        <v>0</v>
      </c>
      <c r="D832" s="1">
        <f>IF(B832="", "", "animal-associated habitat")</f>
        <v>0</v>
      </c>
      <c r="E832" s="2">
        <f>IF(B832="", "", "missing: not provided")</f>
        <v>0</v>
      </c>
      <c r="F832" s="1">
        <f>IF(B832="", "", "weeks")</f>
        <v>0</v>
      </c>
      <c r="G832" s="1">
        <f>IF(B832="", "", "mouse")</f>
        <v>0</v>
      </c>
      <c r="H832" s="1">
        <f>IF(B832="", "", "Mus musculus")</f>
        <v>0</v>
      </c>
      <c r="I832" s="1">
        <f>IF(B832="", "", "10090")</f>
        <v>0</v>
      </c>
      <c r="J832" s="2">
        <f>IF(B832="", "", "missing: not provided")</f>
        <v>0</v>
      </c>
      <c r="K832" s="1">
        <f>IF(B832="", "", "g")</f>
        <v>0</v>
      </c>
    </row>
    <row r="833" spans="1:11">
      <c r="A833">
        <f>IF(COUNTBLANK(B833:K833)&lt;&gt;COLUMNS(B833:K833),832,"")</f>
        <v>0</v>
      </c>
      <c r="C833" s="1">
        <f>IF(B833="", "", "urban biome")</f>
        <v>0</v>
      </c>
      <c r="D833" s="1">
        <f>IF(B833="", "", "animal-associated habitat")</f>
        <v>0</v>
      </c>
      <c r="E833" s="2">
        <f>IF(B833="", "", "missing: not provided")</f>
        <v>0</v>
      </c>
      <c r="F833" s="1">
        <f>IF(B833="", "", "weeks")</f>
        <v>0</v>
      </c>
      <c r="G833" s="1">
        <f>IF(B833="", "", "mouse")</f>
        <v>0</v>
      </c>
      <c r="H833" s="1">
        <f>IF(B833="", "", "Mus musculus")</f>
        <v>0</v>
      </c>
      <c r="I833" s="1">
        <f>IF(B833="", "", "10090")</f>
        <v>0</v>
      </c>
      <c r="J833" s="2">
        <f>IF(B833="", "", "missing: not provided")</f>
        <v>0</v>
      </c>
      <c r="K833" s="1">
        <f>IF(B833="", "", "g")</f>
        <v>0</v>
      </c>
    </row>
    <row r="834" spans="1:11">
      <c r="A834">
        <f>IF(COUNTBLANK(B834:K834)&lt;&gt;COLUMNS(B834:K834),833,"")</f>
        <v>0</v>
      </c>
      <c r="C834" s="1">
        <f>IF(B834="", "", "urban biome")</f>
        <v>0</v>
      </c>
      <c r="D834" s="1">
        <f>IF(B834="", "", "animal-associated habitat")</f>
        <v>0</v>
      </c>
      <c r="E834" s="2">
        <f>IF(B834="", "", "missing: not provided")</f>
        <v>0</v>
      </c>
      <c r="F834" s="1">
        <f>IF(B834="", "", "weeks")</f>
        <v>0</v>
      </c>
      <c r="G834" s="1">
        <f>IF(B834="", "", "mouse")</f>
        <v>0</v>
      </c>
      <c r="H834" s="1">
        <f>IF(B834="", "", "Mus musculus")</f>
        <v>0</v>
      </c>
      <c r="I834" s="1">
        <f>IF(B834="", "", "10090")</f>
        <v>0</v>
      </c>
      <c r="J834" s="2">
        <f>IF(B834="", "", "missing: not provided")</f>
        <v>0</v>
      </c>
      <c r="K834" s="1">
        <f>IF(B834="", "", "g")</f>
        <v>0</v>
      </c>
    </row>
    <row r="835" spans="1:11">
      <c r="A835">
        <f>IF(COUNTBLANK(B835:K835)&lt;&gt;COLUMNS(B835:K835),834,"")</f>
        <v>0</v>
      </c>
      <c r="C835" s="1">
        <f>IF(B835="", "", "urban biome")</f>
        <v>0</v>
      </c>
      <c r="D835" s="1">
        <f>IF(B835="", "", "animal-associated habitat")</f>
        <v>0</v>
      </c>
      <c r="E835" s="2">
        <f>IF(B835="", "", "missing: not provided")</f>
        <v>0</v>
      </c>
      <c r="F835" s="1">
        <f>IF(B835="", "", "weeks")</f>
        <v>0</v>
      </c>
      <c r="G835" s="1">
        <f>IF(B835="", "", "mouse")</f>
        <v>0</v>
      </c>
      <c r="H835" s="1">
        <f>IF(B835="", "", "Mus musculus")</f>
        <v>0</v>
      </c>
      <c r="I835" s="1">
        <f>IF(B835="", "", "10090")</f>
        <v>0</v>
      </c>
      <c r="J835" s="2">
        <f>IF(B835="", "", "missing: not provided")</f>
        <v>0</v>
      </c>
      <c r="K835" s="1">
        <f>IF(B835="", "", "g")</f>
        <v>0</v>
      </c>
    </row>
    <row r="836" spans="1:11">
      <c r="A836">
        <f>IF(COUNTBLANK(B836:K836)&lt;&gt;COLUMNS(B836:K836),835,"")</f>
        <v>0</v>
      </c>
      <c r="C836" s="1">
        <f>IF(B836="", "", "urban biome")</f>
        <v>0</v>
      </c>
      <c r="D836" s="1">
        <f>IF(B836="", "", "animal-associated habitat")</f>
        <v>0</v>
      </c>
      <c r="E836" s="2">
        <f>IF(B836="", "", "missing: not provided")</f>
        <v>0</v>
      </c>
      <c r="F836" s="1">
        <f>IF(B836="", "", "weeks")</f>
        <v>0</v>
      </c>
      <c r="G836" s="1">
        <f>IF(B836="", "", "mouse")</f>
        <v>0</v>
      </c>
      <c r="H836" s="1">
        <f>IF(B836="", "", "Mus musculus")</f>
        <v>0</v>
      </c>
      <c r="I836" s="1">
        <f>IF(B836="", "", "10090")</f>
        <v>0</v>
      </c>
      <c r="J836" s="2">
        <f>IF(B836="", "", "missing: not provided")</f>
        <v>0</v>
      </c>
      <c r="K836" s="1">
        <f>IF(B836="", "", "g")</f>
        <v>0</v>
      </c>
    </row>
    <row r="837" spans="1:11">
      <c r="A837">
        <f>IF(COUNTBLANK(B837:K837)&lt;&gt;COLUMNS(B837:K837),836,"")</f>
        <v>0</v>
      </c>
      <c r="C837" s="1">
        <f>IF(B837="", "", "urban biome")</f>
        <v>0</v>
      </c>
      <c r="D837" s="1">
        <f>IF(B837="", "", "animal-associated habitat")</f>
        <v>0</v>
      </c>
      <c r="E837" s="2">
        <f>IF(B837="", "", "missing: not provided")</f>
        <v>0</v>
      </c>
      <c r="F837" s="1">
        <f>IF(B837="", "", "weeks")</f>
        <v>0</v>
      </c>
      <c r="G837" s="1">
        <f>IF(B837="", "", "mouse")</f>
        <v>0</v>
      </c>
      <c r="H837" s="1">
        <f>IF(B837="", "", "Mus musculus")</f>
        <v>0</v>
      </c>
      <c r="I837" s="1">
        <f>IF(B837="", "", "10090")</f>
        <v>0</v>
      </c>
      <c r="J837" s="2">
        <f>IF(B837="", "", "missing: not provided")</f>
        <v>0</v>
      </c>
      <c r="K837" s="1">
        <f>IF(B837="", "", "g")</f>
        <v>0</v>
      </c>
    </row>
    <row r="838" spans="1:11">
      <c r="A838">
        <f>IF(COUNTBLANK(B838:K838)&lt;&gt;COLUMNS(B838:K838),837,"")</f>
        <v>0</v>
      </c>
      <c r="C838" s="1">
        <f>IF(B838="", "", "urban biome")</f>
        <v>0</v>
      </c>
      <c r="D838" s="1">
        <f>IF(B838="", "", "animal-associated habitat")</f>
        <v>0</v>
      </c>
      <c r="E838" s="2">
        <f>IF(B838="", "", "missing: not provided")</f>
        <v>0</v>
      </c>
      <c r="F838" s="1">
        <f>IF(B838="", "", "weeks")</f>
        <v>0</v>
      </c>
      <c r="G838" s="1">
        <f>IF(B838="", "", "mouse")</f>
        <v>0</v>
      </c>
      <c r="H838" s="1">
        <f>IF(B838="", "", "Mus musculus")</f>
        <v>0</v>
      </c>
      <c r="I838" s="1">
        <f>IF(B838="", "", "10090")</f>
        <v>0</v>
      </c>
      <c r="J838" s="2">
        <f>IF(B838="", "", "missing: not provided")</f>
        <v>0</v>
      </c>
      <c r="K838" s="1">
        <f>IF(B838="", "", "g")</f>
        <v>0</v>
      </c>
    </row>
    <row r="839" spans="1:11">
      <c r="A839">
        <f>IF(COUNTBLANK(B839:K839)&lt;&gt;COLUMNS(B839:K839),838,"")</f>
        <v>0</v>
      </c>
      <c r="C839" s="1">
        <f>IF(B839="", "", "urban biome")</f>
        <v>0</v>
      </c>
      <c r="D839" s="1">
        <f>IF(B839="", "", "animal-associated habitat")</f>
        <v>0</v>
      </c>
      <c r="E839" s="2">
        <f>IF(B839="", "", "missing: not provided")</f>
        <v>0</v>
      </c>
      <c r="F839" s="1">
        <f>IF(B839="", "", "weeks")</f>
        <v>0</v>
      </c>
      <c r="G839" s="1">
        <f>IF(B839="", "", "mouse")</f>
        <v>0</v>
      </c>
      <c r="H839" s="1">
        <f>IF(B839="", "", "Mus musculus")</f>
        <v>0</v>
      </c>
      <c r="I839" s="1">
        <f>IF(B839="", "", "10090")</f>
        <v>0</v>
      </c>
      <c r="J839" s="2">
        <f>IF(B839="", "", "missing: not provided")</f>
        <v>0</v>
      </c>
      <c r="K839" s="1">
        <f>IF(B839="", "", "g")</f>
        <v>0</v>
      </c>
    </row>
    <row r="840" spans="1:11">
      <c r="A840">
        <f>IF(COUNTBLANK(B840:K840)&lt;&gt;COLUMNS(B840:K840),839,"")</f>
        <v>0</v>
      </c>
      <c r="C840" s="1">
        <f>IF(B840="", "", "urban biome")</f>
        <v>0</v>
      </c>
      <c r="D840" s="1">
        <f>IF(B840="", "", "animal-associated habitat")</f>
        <v>0</v>
      </c>
      <c r="E840" s="2">
        <f>IF(B840="", "", "missing: not provided")</f>
        <v>0</v>
      </c>
      <c r="F840" s="1">
        <f>IF(B840="", "", "weeks")</f>
        <v>0</v>
      </c>
      <c r="G840" s="1">
        <f>IF(B840="", "", "mouse")</f>
        <v>0</v>
      </c>
      <c r="H840" s="1">
        <f>IF(B840="", "", "Mus musculus")</f>
        <v>0</v>
      </c>
      <c r="I840" s="1">
        <f>IF(B840="", "", "10090")</f>
        <v>0</v>
      </c>
      <c r="J840" s="2">
        <f>IF(B840="", "", "missing: not provided")</f>
        <v>0</v>
      </c>
      <c r="K840" s="1">
        <f>IF(B840="", "", "g")</f>
        <v>0</v>
      </c>
    </row>
    <row r="841" spans="1:11">
      <c r="A841">
        <f>IF(COUNTBLANK(B841:K841)&lt;&gt;COLUMNS(B841:K841),840,"")</f>
        <v>0</v>
      </c>
      <c r="C841" s="1">
        <f>IF(B841="", "", "urban biome")</f>
        <v>0</v>
      </c>
      <c r="D841" s="1">
        <f>IF(B841="", "", "animal-associated habitat")</f>
        <v>0</v>
      </c>
      <c r="E841" s="2">
        <f>IF(B841="", "", "missing: not provided")</f>
        <v>0</v>
      </c>
      <c r="F841" s="1">
        <f>IF(B841="", "", "weeks")</f>
        <v>0</v>
      </c>
      <c r="G841" s="1">
        <f>IF(B841="", "", "mouse")</f>
        <v>0</v>
      </c>
      <c r="H841" s="1">
        <f>IF(B841="", "", "Mus musculus")</f>
        <v>0</v>
      </c>
      <c r="I841" s="1">
        <f>IF(B841="", "", "10090")</f>
        <v>0</v>
      </c>
      <c r="J841" s="2">
        <f>IF(B841="", "", "missing: not provided")</f>
        <v>0</v>
      </c>
      <c r="K841" s="1">
        <f>IF(B841="", "", "g")</f>
        <v>0</v>
      </c>
    </row>
    <row r="842" spans="1:11">
      <c r="A842">
        <f>IF(COUNTBLANK(B842:K842)&lt;&gt;COLUMNS(B842:K842),841,"")</f>
        <v>0</v>
      </c>
      <c r="C842" s="1">
        <f>IF(B842="", "", "urban biome")</f>
        <v>0</v>
      </c>
      <c r="D842" s="1">
        <f>IF(B842="", "", "animal-associated habitat")</f>
        <v>0</v>
      </c>
      <c r="E842" s="2">
        <f>IF(B842="", "", "missing: not provided")</f>
        <v>0</v>
      </c>
      <c r="F842" s="1">
        <f>IF(B842="", "", "weeks")</f>
        <v>0</v>
      </c>
      <c r="G842" s="1">
        <f>IF(B842="", "", "mouse")</f>
        <v>0</v>
      </c>
      <c r="H842" s="1">
        <f>IF(B842="", "", "Mus musculus")</f>
        <v>0</v>
      </c>
      <c r="I842" s="1">
        <f>IF(B842="", "", "10090")</f>
        <v>0</v>
      </c>
      <c r="J842" s="2">
        <f>IF(B842="", "", "missing: not provided")</f>
        <v>0</v>
      </c>
      <c r="K842" s="1">
        <f>IF(B842="", "", "g")</f>
        <v>0</v>
      </c>
    </row>
    <row r="843" spans="1:11">
      <c r="A843">
        <f>IF(COUNTBLANK(B843:K843)&lt;&gt;COLUMNS(B843:K843),842,"")</f>
        <v>0</v>
      </c>
      <c r="C843" s="1">
        <f>IF(B843="", "", "urban biome")</f>
        <v>0</v>
      </c>
      <c r="D843" s="1">
        <f>IF(B843="", "", "animal-associated habitat")</f>
        <v>0</v>
      </c>
      <c r="E843" s="2">
        <f>IF(B843="", "", "missing: not provided")</f>
        <v>0</v>
      </c>
      <c r="F843" s="1">
        <f>IF(B843="", "", "weeks")</f>
        <v>0</v>
      </c>
      <c r="G843" s="1">
        <f>IF(B843="", "", "mouse")</f>
        <v>0</v>
      </c>
      <c r="H843" s="1">
        <f>IF(B843="", "", "Mus musculus")</f>
        <v>0</v>
      </c>
      <c r="I843" s="1">
        <f>IF(B843="", "", "10090")</f>
        <v>0</v>
      </c>
      <c r="J843" s="2">
        <f>IF(B843="", "", "missing: not provided")</f>
        <v>0</v>
      </c>
      <c r="K843" s="1">
        <f>IF(B843="", "", "g")</f>
        <v>0</v>
      </c>
    </row>
    <row r="844" spans="1:11">
      <c r="A844">
        <f>IF(COUNTBLANK(B844:K844)&lt;&gt;COLUMNS(B844:K844),843,"")</f>
        <v>0</v>
      </c>
      <c r="C844" s="1">
        <f>IF(B844="", "", "urban biome")</f>
        <v>0</v>
      </c>
      <c r="D844" s="1">
        <f>IF(B844="", "", "animal-associated habitat")</f>
        <v>0</v>
      </c>
      <c r="E844" s="2">
        <f>IF(B844="", "", "missing: not provided")</f>
        <v>0</v>
      </c>
      <c r="F844" s="1">
        <f>IF(B844="", "", "weeks")</f>
        <v>0</v>
      </c>
      <c r="G844" s="1">
        <f>IF(B844="", "", "mouse")</f>
        <v>0</v>
      </c>
      <c r="H844" s="1">
        <f>IF(B844="", "", "Mus musculus")</f>
        <v>0</v>
      </c>
      <c r="I844" s="1">
        <f>IF(B844="", "", "10090")</f>
        <v>0</v>
      </c>
      <c r="J844" s="2">
        <f>IF(B844="", "", "missing: not provided")</f>
        <v>0</v>
      </c>
      <c r="K844" s="1">
        <f>IF(B844="", "", "g")</f>
        <v>0</v>
      </c>
    </row>
    <row r="845" spans="1:11">
      <c r="A845">
        <f>IF(COUNTBLANK(B845:K845)&lt;&gt;COLUMNS(B845:K845),844,"")</f>
        <v>0</v>
      </c>
      <c r="C845" s="1">
        <f>IF(B845="", "", "urban biome")</f>
        <v>0</v>
      </c>
      <c r="D845" s="1">
        <f>IF(B845="", "", "animal-associated habitat")</f>
        <v>0</v>
      </c>
      <c r="E845" s="2">
        <f>IF(B845="", "", "missing: not provided")</f>
        <v>0</v>
      </c>
      <c r="F845" s="1">
        <f>IF(B845="", "", "weeks")</f>
        <v>0</v>
      </c>
      <c r="G845" s="1">
        <f>IF(B845="", "", "mouse")</f>
        <v>0</v>
      </c>
      <c r="H845" s="1">
        <f>IF(B845="", "", "Mus musculus")</f>
        <v>0</v>
      </c>
      <c r="I845" s="1">
        <f>IF(B845="", "", "10090")</f>
        <v>0</v>
      </c>
      <c r="J845" s="2">
        <f>IF(B845="", "", "missing: not provided")</f>
        <v>0</v>
      </c>
      <c r="K845" s="1">
        <f>IF(B845="", "", "g")</f>
        <v>0</v>
      </c>
    </row>
    <row r="846" spans="1:11">
      <c r="A846">
        <f>IF(COUNTBLANK(B846:K846)&lt;&gt;COLUMNS(B846:K846),845,"")</f>
        <v>0</v>
      </c>
      <c r="C846" s="1">
        <f>IF(B846="", "", "urban biome")</f>
        <v>0</v>
      </c>
      <c r="D846" s="1">
        <f>IF(B846="", "", "animal-associated habitat")</f>
        <v>0</v>
      </c>
      <c r="E846" s="2">
        <f>IF(B846="", "", "missing: not provided")</f>
        <v>0</v>
      </c>
      <c r="F846" s="1">
        <f>IF(B846="", "", "weeks")</f>
        <v>0</v>
      </c>
      <c r="G846" s="1">
        <f>IF(B846="", "", "mouse")</f>
        <v>0</v>
      </c>
      <c r="H846" s="1">
        <f>IF(B846="", "", "Mus musculus")</f>
        <v>0</v>
      </c>
      <c r="I846" s="1">
        <f>IF(B846="", "", "10090")</f>
        <v>0</v>
      </c>
      <c r="J846" s="2">
        <f>IF(B846="", "", "missing: not provided")</f>
        <v>0</v>
      </c>
      <c r="K846" s="1">
        <f>IF(B846="", "", "g")</f>
        <v>0</v>
      </c>
    </row>
    <row r="847" spans="1:11">
      <c r="A847">
        <f>IF(COUNTBLANK(B847:K847)&lt;&gt;COLUMNS(B847:K847),846,"")</f>
        <v>0</v>
      </c>
      <c r="C847" s="1">
        <f>IF(B847="", "", "urban biome")</f>
        <v>0</v>
      </c>
      <c r="D847" s="1">
        <f>IF(B847="", "", "animal-associated habitat")</f>
        <v>0</v>
      </c>
      <c r="E847" s="2">
        <f>IF(B847="", "", "missing: not provided")</f>
        <v>0</v>
      </c>
      <c r="F847" s="1">
        <f>IF(B847="", "", "weeks")</f>
        <v>0</v>
      </c>
      <c r="G847" s="1">
        <f>IF(B847="", "", "mouse")</f>
        <v>0</v>
      </c>
      <c r="H847" s="1">
        <f>IF(B847="", "", "Mus musculus")</f>
        <v>0</v>
      </c>
      <c r="I847" s="1">
        <f>IF(B847="", "", "10090")</f>
        <v>0</v>
      </c>
      <c r="J847" s="2">
        <f>IF(B847="", "", "missing: not provided")</f>
        <v>0</v>
      </c>
      <c r="K847" s="1">
        <f>IF(B847="", "", "g")</f>
        <v>0</v>
      </c>
    </row>
    <row r="848" spans="1:11">
      <c r="A848">
        <f>IF(COUNTBLANK(B848:K848)&lt;&gt;COLUMNS(B848:K848),847,"")</f>
        <v>0</v>
      </c>
      <c r="C848" s="1">
        <f>IF(B848="", "", "urban biome")</f>
        <v>0</v>
      </c>
      <c r="D848" s="1">
        <f>IF(B848="", "", "animal-associated habitat")</f>
        <v>0</v>
      </c>
      <c r="E848" s="2">
        <f>IF(B848="", "", "missing: not provided")</f>
        <v>0</v>
      </c>
      <c r="F848" s="1">
        <f>IF(B848="", "", "weeks")</f>
        <v>0</v>
      </c>
      <c r="G848" s="1">
        <f>IF(B848="", "", "mouse")</f>
        <v>0</v>
      </c>
      <c r="H848" s="1">
        <f>IF(B848="", "", "Mus musculus")</f>
        <v>0</v>
      </c>
      <c r="I848" s="1">
        <f>IF(B848="", "", "10090")</f>
        <v>0</v>
      </c>
      <c r="J848" s="2">
        <f>IF(B848="", "", "missing: not provided")</f>
        <v>0</v>
      </c>
      <c r="K848" s="1">
        <f>IF(B848="", "", "g")</f>
        <v>0</v>
      </c>
    </row>
    <row r="849" spans="1:11">
      <c r="A849">
        <f>IF(COUNTBLANK(B849:K849)&lt;&gt;COLUMNS(B849:K849),848,"")</f>
        <v>0</v>
      </c>
      <c r="C849" s="1">
        <f>IF(B849="", "", "urban biome")</f>
        <v>0</v>
      </c>
      <c r="D849" s="1">
        <f>IF(B849="", "", "animal-associated habitat")</f>
        <v>0</v>
      </c>
      <c r="E849" s="2">
        <f>IF(B849="", "", "missing: not provided")</f>
        <v>0</v>
      </c>
      <c r="F849" s="1">
        <f>IF(B849="", "", "weeks")</f>
        <v>0</v>
      </c>
      <c r="G849" s="1">
        <f>IF(B849="", "", "mouse")</f>
        <v>0</v>
      </c>
      <c r="H849" s="1">
        <f>IF(B849="", "", "Mus musculus")</f>
        <v>0</v>
      </c>
      <c r="I849" s="1">
        <f>IF(B849="", "", "10090")</f>
        <v>0</v>
      </c>
      <c r="J849" s="2">
        <f>IF(B849="", "", "missing: not provided")</f>
        <v>0</v>
      </c>
      <c r="K849" s="1">
        <f>IF(B849="", "", "g")</f>
        <v>0</v>
      </c>
    </row>
    <row r="850" spans="1:11">
      <c r="A850">
        <f>IF(COUNTBLANK(B850:K850)&lt;&gt;COLUMNS(B850:K850),849,"")</f>
        <v>0</v>
      </c>
      <c r="C850" s="1">
        <f>IF(B850="", "", "urban biome")</f>
        <v>0</v>
      </c>
      <c r="D850" s="1">
        <f>IF(B850="", "", "animal-associated habitat")</f>
        <v>0</v>
      </c>
      <c r="E850" s="2">
        <f>IF(B850="", "", "missing: not provided")</f>
        <v>0</v>
      </c>
      <c r="F850" s="1">
        <f>IF(B850="", "", "weeks")</f>
        <v>0</v>
      </c>
      <c r="G850" s="1">
        <f>IF(B850="", "", "mouse")</f>
        <v>0</v>
      </c>
      <c r="H850" s="1">
        <f>IF(B850="", "", "Mus musculus")</f>
        <v>0</v>
      </c>
      <c r="I850" s="1">
        <f>IF(B850="", "", "10090")</f>
        <v>0</v>
      </c>
      <c r="J850" s="2">
        <f>IF(B850="", "", "missing: not provided")</f>
        <v>0</v>
      </c>
      <c r="K850" s="1">
        <f>IF(B850="", "", "g")</f>
        <v>0</v>
      </c>
    </row>
    <row r="851" spans="1:11">
      <c r="A851">
        <f>IF(COUNTBLANK(B851:K851)&lt;&gt;COLUMNS(B851:K851),850,"")</f>
        <v>0</v>
      </c>
      <c r="C851" s="1">
        <f>IF(B851="", "", "urban biome")</f>
        <v>0</v>
      </c>
      <c r="D851" s="1">
        <f>IF(B851="", "", "animal-associated habitat")</f>
        <v>0</v>
      </c>
      <c r="E851" s="2">
        <f>IF(B851="", "", "missing: not provided")</f>
        <v>0</v>
      </c>
      <c r="F851" s="1">
        <f>IF(B851="", "", "weeks")</f>
        <v>0</v>
      </c>
      <c r="G851" s="1">
        <f>IF(B851="", "", "mouse")</f>
        <v>0</v>
      </c>
      <c r="H851" s="1">
        <f>IF(B851="", "", "Mus musculus")</f>
        <v>0</v>
      </c>
      <c r="I851" s="1">
        <f>IF(B851="", "", "10090")</f>
        <v>0</v>
      </c>
      <c r="J851" s="2">
        <f>IF(B851="", "", "missing: not provided")</f>
        <v>0</v>
      </c>
      <c r="K851" s="1">
        <f>IF(B851="", "", "g")</f>
        <v>0</v>
      </c>
    </row>
    <row r="852" spans="1:11">
      <c r="A852">
        <f>IF(COUNTBLANK(B852:K852)&lt;&gt;COLUMNS(B852:K852),851,"")</f>
        <v>0</v>
      </c>
      <c r="C852" s="1">
        <f>IF(B852="", "", "urban biome")</f>
        <v>0</v>
      </c>
      <c r="D852" s="1">
        <f>IF(B852="", "", "animal-associated habitat")</f>
        <v>0</v>
      </c>
      <c r="E852" s="2">
        <f>IF(B852="", "", "missing: not provided")</f>
        <v>0</v>
      </c>
      <c r="F852" s="1">
        <f>IF(B852="", "", "weeks")</f>
        <v>0</v>
      </c>
      <c r="G852" s="1">
        <f>IF(B852="", "", "mouse")</f>
        <v>0</v>
      </c>
      <c r="H852" s="1">
        <f>IF(B852="", "", "Mus musculus")</f>
        <v>0</v>
      </c>
      <c r="I852" s="1">
        <f>IF(B852="", "", "10090")</f>
        <v>0</v>
      </c>
      <c r="J852" s="2">
        <f>IF(B852="", "", "missing: not provided")</f>
        <v>0</v>
      </c>
      <c r="K852" s="1">
        <f>IF(B852="", "", "g")</f>
        <v>0</v>
      </c>
    </row>
    <row r="853" spans="1:11">
      <c r="A853">
        <f>IF(COUNTBLANK(B853:K853)&lt;&gt;COLUMNS(B853:K853),852,"")</f>
        <v>0</v>
      </c>
      <c r="C853" s="1">
        <f>IF(B853="", "", "urban biome")</f>
        <v>0</v>
      </c>
      <c r="D853" s="1">
        <f>IF(B853="", "", "animal-associated habitat")</f>
        <v>0</v>
      </c>
      <c r="E853" s="2">
        <f>IF(B853="", "", "missing: not provided")</f>
        <v>0</v>
      </c>
      <c r="F853" s="1">
        <f>IF(B853="", "", "weeks")</f>
        <v>0</v>
      </c>
      <c r="G853" s="1">
        <f>IF(B853="", "", "mouse")</f>
        <v>0</v>
      </c>
      <c r="H853" s="1">
        <f>IF(B853="", "", "Mus musculus")</f>
        <v>0</v>
      </c>
      <c r="I853" s="1">
        <f>IF(B853="", "", "10090")</f>
        <v>0</v>
      </c>
      <c r="J853" s="2">
        <f>IF(B853="", "", "missing: not provided")</f>
        <v>0</v>
      </c>
      <c r="K853" s="1">
        <f>IF(B853="", "", "g")</f>
        <v>0</v>
      </c>
    </row>
    <row r="854" spans="1:11">
      <c r="A854">
        <f>IF(COUNTBLANK(B854:K854)&lt;&gt;COLUMNS(B854:K854),853,"")</f>
        <v>0</v>
      </c>
      <c r="C854" s="1">
        <f>IF(B854="", "", "urban biome")</f>
        <v>0</v>
      </c>
      <c r="D854" s="1">
        <f>IF(B854="", "", "animal-associated habitat")</f>
        <v>0</v>
      </c>
      <c r="E854" s="2">
        <f>IF(B854="", "", "missing: not provided")</f>
        <v>0</v>
      </c>
      <c r="F854" s="1">
        <f>IF(B854="", "", "weeks")</f>
        <v>0</v>
      </c>
      <c r="G854" s="1">
        <f>IF(B854="", "", "mouse")</f>
        <v>0</v>
      </c>
      <c r="H854" s="1">
        <f>IF(B854="", "", "Mus musculus")</f>
        <v>0</v>
      </c>
      <c r="I854" s="1">
        <f>IF(B854="", "", "10090")</f>
        <v>0</v>
      </c>
      <c r="J854" s="2">
        <f>IF(B854="", "", "missing: not provided")</f>
        <v>0</v>
      </c>
      <c r="K854" s="1">
        <f>IF(B854="", "", "g")</f>
        <v>0</v>
      </c>
    </row>
    <row r="855" spans="1:11">
      <c r="A855">
        <f>IF(COUNTBLANK(B855:K855)&lt;&gt;COLUMNS(B855:K855),854,"")</f>
        <v>0</v>
      </c>
      <c r="C855" s="1">
        <f>IF(B855="", "", "urban biome")</f>
        <v>0</v>
      </c>
      <c r="D855" s="1">
        <f>IF(B855="", "", "animal-associated habitat")</f>
        <v>0</v>
      </c>
      <c r="E855" s="2">
        <f>IF(B855="", "", "missing: not provided")</f>
        <v>0</v>
      </c>
      <c r="F855" s="1">
        <f>IF(B855="", "", "weeks")</f>
        <v>0</v>
      </c>
      <c r="G855" s="1">
        <f>IF(B855="", "", "mouse")</f>
        <v>0</v>
      </c>
      <c r="H855" s="1">
        <f>IF(B855="", "", "Mus musculus")</f>
        <v>0</v>
      </c>
      <c r="I855" s="1">
        <f>IF(B855="", "", "10090")</f>
        <v>0</v>
      </c>
      <c r="J855" s="2">
        <f>IF(B855="", "", "missing: not provided")</f>
        <v>0</v>
      </c>
      <c r="K855" s="1">
        <f>IF(B855="", "", "g")</f>
        <v>0</v>
      </c>
    </row>
    <row r="856" spans="1:11">
      <c r="A856">
        <f>IF(COUNTBLANK(B856:K856)&lt;&gt;COLUMNS(B856:K856),855,"")</f>
        <v>0</v>
      </c>
      <c r="C856" s="1">
        <f>IF(B856="", "", "urban biome")</f>
        <v>0</v>
      </c>
      <c r="D856" s="1">
        <f>IF(B856="", "", "animal-associated habitat")</f>
        <v>0</v>
      </c>
      <c r="E856" s="2">
        <f>IF(B856="", "", "missing: not provided")</f>
        <v>0</v>
      </c>
      <c r="F856" s="1">
        <f>IF(B856="", "", "weeks")</f>
        <v>0</v>
      </c>
      <c r="G856" s="1">
        <f>IF(B856="", "", "mouse")</f>
        <v>0</v>
      </c>
      <c r="H856" s="1">
        <f>IF(B856="", "", "Mus musculus")</f>
        <v>0</v>
      </c>
      <c r="I856" s="1">
        <f>IF(B856="", "", "10090")</f>
        <v>0</v>
      </c>
      <c r="J856" s="2">
        <f>IF(B856="", "", "missing: not provided")</f>
        <v>0</v>
      </c>
      <c r="K856" s="1">
        <f>IF(B856="", "", "g")</f>
        <v>0</v>
      </c>
    </row>
    <row r="857" spans="1:11">
      <c r="A857">
        <f>IF(COUNTBLANK(B857:K857)&lt;&gt;COLUMNS(B857:K857),856,"")</f>
        <v>0</v>
      </c>
      <c r="C857" s="1">
        <f>IF(B857="", "", "urban biome")</f>
        <v>0</v>
      </c>
      <c r="D857" s="1">
        <f>IF(B857="", "", "animal-associated habitat")</f>
        <v>0</v>
      </c>
      <c r="E857" s="2">
        <f>IF(B857="", "", "missing: not provided")</f>
        <v>0</v>
      </c>
      <c r="F857" s="1">
        <f>IF(B857="", "", "weeks")</f>
        <v>0</v>
      </c>
      <c r="G857" s="1">
        <f>IF(B857="", "", "mouse")</f>
        <v>0</v>
      </c>
      <c r="H857" s="1">
        <f>IF(B857="", "", "Mus musculus")</f>
        <v>0</v>
      </c>
      <c r="I857" s="1">
        <f>IF(B857="", "", "10090")</f>
        <v>0</v>
      </c>
      <c r="J857" s="2">
        <f>IF(B857="", "", "missing: not provided")</f>
        <v>0</v>
      </c>
      <c r="K857" s="1">
        <f>IF(B857="", "", "g")</f>
        <v>0</v>
      </c>
    </row>
    <row r="858" spans="1:11">
      <c r="A858">
        <f>IF(COUNTBLANK(B858:K858)&lt;&gt;COLUMNS(B858:K858),857,"")</f>
        <v>0</v>
      </c>
      <c r="C858" s="1">
        <f>IF(B858="", "", "urban biome")</f>
        <v>0</v>
      </c>
      <c r="D858" s="1">
        <f>IF(B858="", "", "animal-associated habitat")</f>
        <v>0</v>
      </c>
      <c r="E858" s="2">
        <f>IF(B858="", "", "missing: not provided")</f>
        <v>0</v>
      </c>
      <c r="F858" s="1">
        <f>IF(B858="", "", "weeks")</f>
        <v>0</v>
      </c>
      <c r="G858" s="1">
        <f>IF(B858="", "", "mouse")</f>
        <v>0</v>
      </c>
      <c r="H858" s="1">
        <f>IF(B858="", "", "Mus musculus")</f>
        <v>0</v>
      </c>
      <c r="I858" s="1">
        <f>IF(B858="", "", "10090")</f>
        <v>0</v>
      </c>
      <c r="J858" s="2">
        <f>IF(B858="", "", "missing: not provided")</f>
        <v>0</v>
      </c>
      <c r="K858" s="1">
        <f>IF(B858="", "", "g")</f>
        <v>0</v>
      </c>
    </row>
    <row r="859" spans="1:11">
      <c r="A859">
        <f>IF(COUNTBLANK(B859:K859)&lt;&gt;COLUMNS(B859:K859),858,"")</f>
        <v>0</v>
      </c>
      <c r="C859" s="1">
        <f>IF(B859="", "", "urban biome")</f>
        <v>0</v>
      </c>
      <c r="D859" s="1">
        <f>IF(B859="", "", "animal-associated habitat")</f>
        <v>0</v>
      </c>
      <c r="E859" s="2">
        <f>IF(B859="", "", "missing: not provided")</f>
        <v>0</v>
      </c>
      <c r="F859" s="1">
        <f>IF(B859="", "", "weeks")</f>
        <v>0</v>
      </c>
      <c r="G859" s="1">
        <f>IF(B859="", "", "mouse")</f>
        <v>0</v>
      </c>
      <c r="H859" s="1">
        <f>IF(B859="", "", "Mus musculus")</f>
        <v>0</v>
      </c>
      <c r="I859" s="1">
        <f>IF(B859="", "", "10090")</f>
        <v>0</v>
      </c>
      <c r="J859" s="2">
        <f>IF(B859="", "", "missing: not provided")</f>
        <v>0</v>
      </c>
      <c r="K859" s="1">
        <f>IF(B859="", "", "g")</f>
        <v>0</v>
      </c>
    </row>
    <row r="860" spans="1:11">
      <c r="A860">
        <f>IF(COUNTBLANK(B860:K860)&lt;&gt;COLUMNS(B860:K860),859,"")</f>
        <v>0</v>
      </c>
      <c r="C860" s="1">
        <f>IF(B860="", "", "urban biome")</f>
        <v>0</v>
      </c>
      <c r="D860" s="1">
        <f>IF(B860="", "", "animal-associated habitat")</f>
        <v>0</v>
      </c>
      <c r="E860" s="2">
        <f>IF(B860="", "", "missing: not provided")</f>
        <v>0</v>
      </c>
      <c r="F860" s="1">
        <f>IF(B860="", "", "weeks")</f>
        <v>0</v>
      </c>
      <c r="G860" s="1">
        <f>IF(B860="", "", "mouse")</f>
        <v>0</v>
      </c>
      <c r="H860" s="1">
        <f>IF(B860="", "", "Mus musculus")</f>
        <v>0</v>
      </c>
      <c r="I860" s="1">
        <f>IF(B860="", "", "10090")</f>
        <v>0</v>
      </c>
      <c r="J860" s="2">
        <f>IF(B860="", "", "missing: not provided")</f>
        <v>0</v>
      </c>
      <c r="K860" s="1">
        <f>IF(B860="", "", "g")</f>
        <v>0</v>
      </c>
    </row>
    <row r="861" spans="1:11">
      <c r="A861">
        <f>IF(COUNTBLANK(B861:K861)&lt;&gt;COLUMNS(B861:K861),860,"")</f>
        <v>0</v>
      </c>
      <c r="C861" s="1">
        <f>IF(B861="", "", "urban biome")</f>
        <v>0</v>
      </c>
      <c r="D861" s="1">
        <f>IF(B861="", "", "animal-associated habitat")</f>
        <v>0</v>
      </c>
      <c r="E861" s="2">
        <f>IF(B861="", "", "missing: not provided")</f>
        <v>0</v>
      </c>
      <c r="F861" s="1">
        <f>IF(B861="", "", "weeks")</f>
        <v>0</v>
      </c>
      <c r="G861" s="1">
        <f>IF(B861="", "", "mouse")</f>
        <v>0</v>
      </c>
      <c r="H861" s="1">
        <f>IF(B861="", "", "Mus musculus")</f>
        <v>0</v>
      </c>
      <c r="I861" s="1">
        <f>IF(B861="", "", "10090")</f>
        <v>0</v>
      </c>
      <c r="J861" s="2">
        <f>IF(B861="", "", "missing: not provided")</f>
        <v>0</v>
      </c>
      <c r="K861" s="1">
        <f>IF(B861="", "", "g")</f>
        <v>0</v>
      </c>
    </row>
    <row r="862" spans="1:11">
      <c r="A862">
        <f>IF(COUNTBLANK(B862:K862)&lt;&gt;COLUMNS(B862:K862),861,"")</f>
        <v>0</v>
      </c>
      <c r="C862" s="1">
        <f>IF(B862="", "", "urban biome")</f>
        <v>0</v>
      </c>
      <c r="D862" s="1">
        <f>IF(B862="", "", "animal-associated habitat")</f>
        <v>0</v>
      </c>
      <c r="E862" s="2">
        <f>IF(B862="", "", "missing: not provided")</f>
        <v>0</v>
      </c>
      <c r="F862" s="1">
        <f>IF(B862="", "", "weeks")</f>
        <v>0</v>
      </c>
      <c r="G862" s="1">
        <f>IF(B862="", "", "mouse")</f>
        <v>0</v>
      </c>
      <c r="H862" s="1">
        <f>IF(B862="", "", "Mus musculus")</f>
        <v>0</v>
      </c>
      <c r="I862" s="1">
        <f>IF(B862="", "", "10090")</f>
        <v>0</v>
      </c>
      <c r="J862" s="2">
        <f>IF(B862="", "", "missing: not provided")</f>
        <v>0</v>
      </c>
      <c r="K862" s="1">
        <f>IF(B862="", "", "g")</f>
        <v>0</v>
      </c>
    </row>
    <row r="863" spans="1:11">
      <c r="A863">
        <f>IF(COUNTBLANK(B863:K863)&lt;&gt;COLUMNS(B863:K863),862,"")</f>
        <v>0</v>
      </c>
      <c r="C863" s="1">
        <f>IF(B863="", "", "urban biome")</f>
        <v>0</v>
      </c>
      <c r="D863" s="1">
        <f>IF(B863="", "", "animal-associated habitat")</f>
        <v>0</v>
      </c>
      <c r="E863" s="2">
        <f>IF(B863="", "", "missing: not provided")</f>
        <v>0</v>
      </c>
      <c r="F863" s="1">
        <f>IF(B863="", "", "weeks")</f>
        <v>0</v>
      </c>
      <c r="G863" s="1">
        <f>IF(B863="", "", "mouse")</f>
        <v>0</v>
      </c>
      <c r="H863" s="1">
        <f>IF(B863="", "", "Mus musculus")</f>
        <v>0</v>
      </c>
      <c r="I863" s="1">
        <f>IF(B863="", "", "10090")</f>
        <v>0</v>
      </c>
      <c r="J863" s="2">
        <f>IF(B863="", "", "missing: not provided")</f>
        <v>0</v>
      </c>
      <c r="K863" s="1">
        <f>IF(B863="", "", "g")</f>
        <v>0</v>
      </c>
    </row>
    <row r="864" spans="1:11">
      <c r="A864">
        <f>IF(COUNTBLANK(B864:K864)&lt;&gt;COLUMNS(B864:K864),863,"")</f>
        <v>0</v>
      </c>
      <c r="C864" s="1">
        <f>IF(B864="", "", "urban biome")</f>
        <v>0</v>
      </c>
      <c r="D864" s="1">
        <f>IF(B864="", "", "animal-associated habitat")</f>
        <v>0</v>
      </c>
      <c r="E864" s="2">
        <f>IF(B864="", "", "missing: not provided")</f>
        <v>0</v>
      </c>
      <c r="F864" s="1">
        <f>IF(B864="", "", "weeks")</f>
        <v>0</v>
      </c>
      <c r="G864" s="1">
        <f>IF(B864="", "", "mouse")</f>
        <v>0</v>
      </c>
      <c r="H864" s="1">
        <f>IF(B864="", "", "Mus musculus")</f>
        <v>0</v>
      </c>
      <c r="I864" s="1">
        <f>IF(B864="", "", "10090")</f>
        <v>0</v>
      </c>
      <c r="J864" s="2">
        <f>IF(B864="", "", "missing: not provided")</f>
        <v>0</v>
      </c>
      <c r="K864" s="1">
        <f>IF(B864="", "", "g")</f>
        <v>0</v>
      </c>
    </row>
    <row r="865" spans="1:11">
      <c r="A865">
        <f>IF(COUNTBLANK(B865:K865)&lt;&gt;COLUMNS(B865:K865),864,"")</f>
        <v>0</v>
      </c>
      <c r="C865" s="1">
        <f>IF(B865="", "", "urban biome")</f>
        <v>0</v>
      </c>
      <c r="D865" s="1">
        <f>IF(B865="", "", "animal-associated habitat")</f>
        <v>0</v>
      </c>
      <c r="E865" s="2">
        <f>IF(B865="", "", "missing: not provided")</f>
        <v>0</v>
      </c>
      <c r="F865" s="1">
        <f>IF(B865="", "", "weeks")</f>
        <v>0</v>
      </c>
      <c r="G865" s="1">
        <f>IF(B865="", "", "mouse")</f>
        <v>0</v>
      </c>
      <c r="H865" s="1">
        <f>IF(B865="", "", "Mus musculus")</f>
        <v>0</v>
      </c>
      <c r="I865" s="1">
        <f>IF(B865="", "", "10090")</f>
        <v>0</v>
      </c>
      <c r="J865" s="2">
        <f>IF(B865="", "", "missing: not provided")</f>
        <v>0</v>
      </c>
      <c r="K865" s="1">
        <f>IF(B865="", "", "g")</f>
        <v>0</v>
      </c>
    </row>
    <row r="866" spans="1:11">
      <c r="A866">
        <f>IF(COUNTBLANK(B866:K866)&lt;&gt;COLUMNS(B866:K866),865,"")</f>
        <v>0</v>
      </c>
      <c r="C866" s="1">
        <f>IF(B866="", "", "urban biome")</f>
        <v>0</v>
      </c>
      <c r="D866" s="1">
        <f>IF(B866="", "", "animal-associated habitat")</f>
        <v>0</v>
      </c>
      <c r="E866" s="2">
        <f>IF(B866="", "", "missing: not provided")</f>
        <v>0</v>
      </c>
      <c r="F866" s="1">
        <f>IF(B866="", "", "weeks")</f>
        <v>0</v>
      </c>
      <c r="G866" s="1">
        <f>IF(B866="", "", "mouse")</f>
        <v>0</v>
      </c>
      <c r="H866" s="1">
        <f>IF(B866="", "", "Mus musculus")</f>
        <v>0</v>
      </c>
      <c r="I866" s="1">
        <f>IF(B866="", "", "10090")</f>
        <v>0</v>
      </c>
      <c r="J866" s="2">
        <f>IF(B866="", "", "missing: not provided")</f>
        <v>0</v>
      </c>
      <c r="K866" s="1">
        <f>IF(B866="", "", "g")</f>
        <v>0</v>
      </c>
    </row>
    <row r="867" spans="1:11">
      <c r="A867">
        <f>IF(COUNTBLANK(B867:K867)&lt;&gt;COLUMNS(B867:K867),866,"")</f>
        <v>0</v>
      </c>
      <c r="C867" s="1">
        <f>IF(B867="", "", "urban biome")</f>
        <v>0</v>
      </c>
      <c r="D867" s="1">
        <f>IF(B867="", "", "animal-associated habitat")</f>
        <v>0</v>
      </c>
      <c r="E867" s="2">
        <f>IF(B867="", "", "missing: not provided")</f>
        <v>0</v>
      </c>
      <c r="F867" s="1">
        <f>IF(B867="", "", "weeks")</f>
        <v>0</v>
      </c>
      <c r="G867" s="1">
        <f>IF(B867="", "", "mouse")</f>
        <v>0</v>
      </c>
      <c r="H867" s="1">
        <f>IF(B867="", "", "Mus musculus")</f>
        <v>0</v>
      </c>
      <c r="I867" s="1">
        <f>IF(B867="", "", "10090")</f>
        <v>0</v>
      </c>
      <c r="J867" s="2">
        <f>IF(B867="", "", "missing: not provided")</f>
        <v>0</v>
      </c>
      <c r="K867" s="1">
        <f>IF(B867="", "", "g")</f>
        <v>0</v>
      </c>
    </row>
    <row r="868" spans="1:11">
      <c r="A868">
        <f>IF(COUNTBLANK(B868:K868)&lt;&gt;COLUMNS(B868:K868),867,"")</f>
        <v>0</v>
      </c>
      <c r="C868" s="1">
        <f>IF(B868="", "", "urban biome")</f>
        <v>0</v>
      </c>
      <c r="D868" s="1">
        <f>IF(B868="", "", "animal-associated habitat")</f>
        <v>0</v>
      </c>
      <c r="E868" s="2">
        <f>IF(B868="", "", "missing: not provided")</f>
        <v>0</v>
      </c>
      <c r="F868" s="1">
        <f>IF(B868="", "", "weeks")</f>
        <v>0</v>
      </c>
      <c r="G868" s="1">
        <f>IF(B868="", "", "mouse")</f>
        <v>0</v>
      </c>
      <c r="H868" s="1">
        <f>IF(B868="", "", "Mus musculus")</f>
        <v>0</v>
      </c>
      <c r="I868" s="1">
        <f>IF(B868="", "", "10090")</f>
        <v>0</v>
      </c>
      <c r="J868" s="2">
        <f>IF(B868="", "", "missing: not provided")</f>
        <v>0</v>
      </c>
      <c r="K868" s="1">
        <f>IF(B868="", "", "g")</f>
        <v>0</v>
      </c>
    </row>
    <row r="869" spans="1:11">
      <c r="A869">
        <f>IF(COUNTBLANK(B869:K869)&lt;&gt;COLUMNS(B869:K869),868,"")</f>
        <v>0</v>
      </c>
      <c r="C869" s="1">
        <f>IF(B869="", "", "urban biome")</f>
        <v>0</v>
      </c>
      <c r="D869" s="1">
        <f>IF(B869="", "", "animal-associated habitat")</f>
        <v>0</v>
      </c>
      <c r="E869" s="2">
        <f>IF(B869="", "", "missing: not provided")</f>
        <v>0</v>
      </c>
      <c r="F869" s="1">
        <f>IF(B869="", "", "weeks")</f>
        <v>0</v>
      </c>
      <c r="G869" s="1">
        <f>IF(B869="", "", "mouse")</f>
        <v>0</v>
      </c>
      <c r="H869" s="1">
        <f>IF(B869="", "", "Mus musculus")</f>
        <v>0</v>
      </c>
      <c r="I869" s="1">
        <f>IF(B869="", "", "10090")</f>
        <v>0</v>
      </c>
      <c r="J869" s="2">
        <f>IF(B869="", "", "missing: not provided")</f>
        <v>0</v>
      </c>
      <c r="K869" s="1">
        <f>IF(B869="", "", "g")</f>
        <v>0</v>
      </c>
    </row>
    <row r="870" spans="1:11">
      <c r="A870">
        <f>IF(COUNTBLANK(B870:K870)&lt;&gt;COLUMNS(B870:K870),869,"")</f>
        <v>0</v>
      </c>
      <c r="C870" s="1">
        <f>IF(B870="", "", "urban biome")</f>
        <v>0</v>
      </c>
      <c r="D870" s="1">
        <f>IF(B870="", "", "animal-associated habitat")</f>
        <v>0</v>
      </c>
      <c r="E870" s="2">
        <f>IF(B870="", "", "missing: not provided")</f>
        <v>0</v>
      </c>
      <c r="F870" s="1">
        <f>IF(B870="", "", "weeks")</f>
        <v>0</v>
      </c>
      <c r="G870" s="1">
        <f>IF(B870="", "", "mouse")</f>
        <v>0</v>
      </c>
      <c r="H870" s="1">
        <f>IF(B870="", "", "Mus musculus")</f>
        <v>0</v>
      </c>
      <c r="I870" s="1">
        <f>IF(B870="", "", "10090")</f>
        <v>0</v>
      </c>
      <c r="J870" s="2">
        <f>IF(B870="", "", "missing: not provided")</f>
        <v>0</v>
      </c>
      <c r="K870" s="1">
        <f>IF(B870="", "", "g")</f>
        <v>0</v>
      </c>
    </row>
    <row r="871" spans="1:11">
      <c r="A871">
        <f>IF(COUNTBLANK(B871:K871)&lt;&gt;COLUMNS(B871:K871),870,"")</f>
        <v>0</v>
      </c>
      <c r="C871" s="1">
        <f>IF(B871="", "", "urban biome")</f>
        <v>0</v>
      </c>
      <c r="D871" s="1">
        <f>IF(B871="", "", "animal-associated habitat")</f>
        <v>0</v>
      </c>
      <c r="E871" s="2">
        <f>IF(B871="", "", "missing: not provided")</f>
        <v>0</v>
      </c>
      <c r="F871" s="1">
        <f>IF(B871="", "", "weeks")</f>
        <v>0</v>
      </c>
      <c r="G871" s="1">
        <f>IF(B871="", "", "mouse")</f>
        <v>0</v>
      </c>
      <c r="H871" s="1">
        <f>IF(B871="", "", "Mus musculus")</f>
        <v>0</v>
      </c>
      <c r="I871" s="1">
        <f>IF(B871="", "", "10090")</f>
        <v>0</v>
      </c>
      <c r="J871" s="2">
        <f>IF(B871="", "", "missing: not provided")</f>
        <v>0</v>
      </c>
      <c r="K871" s="1">
        <f>IF(B871="", "", "g")</f>
        <v>0</v>
      </c>
    </row>
    <row r="872" spans="1:11">
      <c r="A872">
        <f>IF(COUNTBLANK(B872:K872)&lt;&gt;COLUMNS(B872:K872),871,"")</f>
        <v>0</v>
      </c>
      <c r="C872" s="1">
        <f>IF(B872="", "", "urban biome")</f>
        <v>0</v>
      </c>
      <c r="D872" s="1">
        <f>IF(B872="", "", "animal-associated habitat")</f>
        <v>0</v>
      </c>
      <c r="E872" s="2">
        <f>IF(B872="", "", "missing: not provided")</f>
        <v>0</v>
      </c>
      <c r="F872" s="1">
        <f>IF(B872="", "", "weeks")</f>
        <v>0</v>
      </c>
      <c r="G872" s="1">
        <f>IF(B872="", "", "mouse")</f>
        <v>0</v>
      </c>
      <c r="H872" s="1">
        <f>IF(B872="", "", "Mus musculus")</f>
        <v>0</v>
      </c>
      <c r="I872" s="1">
        <f>IF(B872="", "", "10090")</f>
        <v>0</v>
      </c>
      <c r="J872" s="2">
        <f>IF(B872="", "", "missing: not provided")</f>
        <v>0</v>
      </c>
      <c r="K872" s="1">
        <f>IF(B872="", "", "g")</f>
        <v>0</v>
      </c>
    </row>
    <row r="873" spans="1:11">
      <c r="A873">
        <f>IF(COUNTBLANK(B873:K873)&lt;&gt;COLUMNS(B873:K873),872,"")</f>
        <v>0</v>
      </c>
      <c r="C873" s="1">
        <f>IF(B873="", "", "urban biome")</f>
        <v>0</v>
      </c>
      <c r="D873" s="1">
        <f>IF(B873="", "", "animal-associated habitat")</f>
        <v>0</v>
      </c>
      <c r="E873" s="2">
        <f>IF(B873="", "", "missing: not provided")</f>
        <v>0</v>
      </c>
      <c r="F873" s="1">
        <f>IF(B873="", "", "weeks")</f>
        <v>0</v>
      </c>
      <c r="G873" s="1">
        <f>IF(B873="", "", "mouse")</f>
        <v>0</v>
      </c>
      <c r="H873" s="1">
        <f>IF(B873="", "", "Mus musculus")</f>
        <v>0</v>
      </c>
      <c r="I873" s="1">
        <f>IF(B873="", "", "10090")</f>
        <v>0</v>
      </c>
      <c r="J873" s="2">
        <f>IF(B873="", "", "missing: not provided")</f>
        <v>0</v>
      </c>
      <c r="K873" s="1">
        <f>IF(B873="", "", "g")</f>
        <v>0</v>
      </c>
    </row>
    <row r="874" spans="1:11">
      <c r="A874">
        <f>IF(COUNTBLANK(B874:K874)&lt;&gt;COLUMNS(B874:K874),873,"")</f>
        <v>0</v>
      </c>
      <c r="C874" s="1">
        <f>IF(B874="", "", "urban biome")</f>
        <v>0</v>
      </c>
      <c r="D874" s="1">
        <f>IF(B874="", "", "animal-associated habitat")</f>
        <v>0</v>
      </c>
      <c r="E874" s="2">
        <f>IF(B874="", "", "missing: not provided")</f>
        <v>0</v>
      </c>
      <c r="F874" s="1">
        <f>IF(B874="", "", "weeks")</f>
        <v>0</v>
      </c>
      <c r="G874" s="1">
        <f>IF(B874="", "", "mouse")</f>
        <v>0</v>
      </c>
      <c r="H874" s="1">
        <f>IF(B874="", "", "Mus musculus")</f>
        <v>0</v>
      </c>
      <c r="I874" s="1">
        <f>IF(B874="", "", "10090")</f>
        <v>0</v>
      </c>
      <c r="J874" s="2">
        <f>IF(B874="", "", "missing: not provided")</f>
        <v>0</v>
      </c>
      <c r="K874" s="1">
        <f>IF(B874="", "", "g")</f>
        <v>0</v>
      </c>
    </row>
    <row r="875" spans="1:11">
      <c r="A875">
        <f>IF(COUNTBLANK(B875:K875)&lt;&gt;COLUMNS(B875:K875),874,"")</f>
        <v>0</v>
      </c>
      <c r="C875" s="1">
        <f>IF(B875="", "", "urban biome")</f>
        <v>0</v>
      </c>
      <c r="D875" s="1">
        <f>IF(B875="", "", "animal-associated habitat")</f>
        <v>0</v>
      </c>
      <c r="E875" s="2">
        <f>IF(B875="", "", "missing: not provided")</f>
        <v>0</v>
      </c>
      <c r="F875" s="1">
        <f>IF(B875="", "", "weeks")</f>
        <v>0</v>
      </c>
      <c r="G875" s="1">
        <f>IF(B875="", "", "mouse")</f>
        <v>0</v>
      </c>
      <c r="H875" s="1">
        <f>IF(B875="", "", "Mus musculus")</f>
        <v>0</v>
      </c>
      <c r="I875" s="1">
        <f>IF(B875="", "", "10090")</f>
        <v>0</v>
      </c>
      <c r="J875" s="2">
        <f>IF(B875="", "", "missing: not provided")</f>
        <v>0</v>
      </c>
      <c r="K875" s="1">
        <f>IF(B875="", "", "g")</f>
        <v>0</v>
      </c>
    </row>
    <row r="876" spans="1:11">
      <c r="A876">
        <f>IF(COUNTBLANK(B876:K876)&lt;&gt;COLUMNS(B876:K876),875,"")</f>
        <v>0</v>
      </c>
      <c r="C876" s="1">
        <f>IF(B876="", "", "urban biome")</f>
        <v>0</v>
      </c>
      <c r="D876" s="1">
        <f>IF(B876="", "", "animal-associated habitat")</f>
        <v>0</v>
      </c>
      <c r="E876" s="2">
        <f>IF(B876="", "", "missing: not provided")</f>
        <v>0</v>
      </c>
      <c r="F876" s="1">
        <f>IF(B876="", "", "weeks")</f>
        <v>0</v>
      </c>
      <c r="G876" s="1">
        <f>IF(B876="", "", "mouse")</f>
        <v>0</v>
      </c>
      <c r="H876" s="1">
        <f>IF(B876="", "", "Mus musculus")</f>
        <v>0</v>
      </c>
      <c r="I876" s="1">
        <f>IF(B876="", "", "10090")</f>
        <v>0</v>
      </c>
      <c r="J876" s="2">
        <f>IF(B876="", "", "missing: not provided")</f>
        <v>0</v>
      </c>
      <c r="K876" s="1">
        <f>IF(B876="", "", "g")</f>
        <v>0</v>
      </c>
    </row>
    <row r="877" spans="1:11">
      <c r="A877">
        <f>IF(COUNTBLANK(B877:K877)&lt;&gt;COLUMNS(B877:K877),876,"")</f>
        <v>0</v>
      </c>
      <c r="C877" s="1">
        <f>IF(B877="", "", "urban biome")</f>
        <v>0</v>
      </c>
      <c r="D877" s="1">
        <f>IF(B877="", "", "animal-associated habitat")</f>
        <v>0</v>
      </c>
      <c r="E877" s="2">
        <f>IF(B877="", "", "missing: not provided")</f>
        <v>0</v>
      </c>
      <c r="F877" s="1">
        <f>IF(B877="", "", "weeks")</f>
        <v>0</v>
      </c>
      <c r="G877" s="1">
        <f>IF(B877="", "", "mouse")</f>
        <v>0</v>
      </c>
      <c r="H877" s="1">
        <f>IF(B877="", "", "Mus musculus")</f>
        <v>0</v>
      </c>
      <c r="I877" s="1">
        <f>IF(B877="", "", "10090")</f>
        <v>0</v>
      </c>
      <c r="J877" s="2">
        <f>IF(B877="", "", "missing: not provided")</f>
        <v>0</v>
      </c>
      <c r="K877" s="1">
        <f>IF(B877="", "", "g")</f>
        <v>0</v>
      </c>
    </row>
    <row r="878" spans="1:11">
      <c r="A878">
        <f>IF(COUNTBLANK(B878:K878)&lt;&gt;COLUMNS(B878:K878),877,"")</f>
        <v>0</v>
      </c>
      <c r="C878" s="1">
        <f>IF(B878="", "", "urban biome")</f>
        <v>0</v>
      </c>
      <c r="D878" s="1">
        <f>IF(B878="", "", "animal-associated habitat")</f>
        <v>0</v>
      </c>
      <c r="E878" s="2">
        <f>IF(B878="", "", "missing: not provided")</f>
        <v>0</v>
      </c>
      <c r="F878" s="1">
        <f>IF(B878="", "", "weeks")</f>
        <v>0</v>
      </c>
      <c r="G878" s="1">
        <f>IF(B878="", "", "mouse")</f>
        <v>0</v>
      </c>
      <c r="H878" s="1">
        <f>IF(B878="", "", "Mus musculus")</f>
        <v>0</v>
      </c>
      <c r="I878" s="1">
        <f>IF(B878="", "", "10090")</f>
        <v>0</v>
      </c>
      <c r="J878" s="2">
        <f>IF(B878="", "", "missing: not provided")</f>
        <v>0</v>
      </c>
      <c r="K878" s="1">
        <f>IF(B878="", "", "g")</f>
        <v>0</v>
      </c>
    </row>
    <row r="879" spans="1:11">
      <c r="A879">
        <f>IF(COUNTBLANK(B879:K879)&lt;&gt;COLUMNS(B879:K879),878,"")</f>
        <v>0</v>
      </c>
      <c r="C879" s="1">
        <f>IF(B879="", "", "urban biome")</f>
        <v>0</v>
      </c>
      <c r="D879" s="1">
        <f>IF(B879="", "", "animal-associated habitat")</f>
        <v>0</v>
      </c>
      <c r="E879" s="2">
        <f>IF(B879="", "", "missing: not provided")</f>
        <v>0</v>
      </c>
      <c r="F879" s="1">
        <f>IF(B879="", "", "weeks")</f>
        <v>0</v>
      </c>
      <c r="G879" s="1">
        <f>IF(B879="", "", "mouse")</f>
        <v>0</v>
      </c>
      <c r="H879" s="1">
        <f>IF(B879="", "", "Mus musculus")</f>
        <v>0</v>
      </c>
      <c r="I879" s="1">
        <f>IF(B879="", "", "10090")</f>
        <v>0</v>
      </c>
      <c r="J879" s="2">
        <f>IF(B879="", "", "missing: not provided")</f>
        <v>0</v>
      </c>
      <c r="K879" s="1">
        <f>IF(B879="", "", "g")</f>
        <v>0</v>
      </c>
    </row>
    <row r="880" spans="1:11">
      <c r="A880">
        <f>IF(COUNTBLANK(B880:K880)&lt;&gt;COLUMNS(B880:K880),879,"")</f>
        <v>0</v>
      </c>
      <c r="C880" s="1">
        <f>IF(B880="", "", "urban biome")</f>
        <v>0</v>
      </c>
      <c r="D880" s="1">
        <f>IF(B880="", "", "animal-associated habitat")</f>
        <v>0</v>
      </c>
      <c r="E880" s="2">
        <f>IF(B880="", "", "missing: not provided")</f>
        <v>0</v>
      </c>
      <c r="F880" s="1">
        <f>IF(B880="", "", "weeks")</f>
        <v>0</v>
      </c>
      <c r="G880" s="1">
        <f>IF(B880="", "", "mouse")</f>
        <v>0</v>
      </c>
      <c r="H880" s="1">
        <f>IF(B880="", "", "Mus musculus")</f>
        <v>0</v>
      </c>
      <c r="I880" s="1">
        <f>IF(B880="", "", "10090")</f>
        <v>0</v>
      </c>
      <c r="J880" s="2">
        <f>IF(B880="", "", "missing: not provided")</f>
        <v>0</v>
      </c>
      <c r="K880" s="1">
        <f>IF(B880="", "", "g")</f>
        <v>0</v>
      </c>
    </row>
    <row r="881" spans="1:11">
      <c r="A881">
        <f>IF(COUNTBLANK(B881:K881)&lt;&gt;COLUMNS(B881:K881),880,"")</f>
        <v>0</v>
      </c>
      <c r="C881" s="1">
        <f>IF(B881="", "", "urban biome")</f>
        <v>0</v>
      </c>
      <c r="D881" s="1">
        <f>IF(B881="", "", "animal-associated habitat")</f>
        <v>0</v>
      </c>
      <c r="E881" s="2">
        <f>IF(B881="", "", "missing: not provided")</f>
        <v>0</v>
      </c>
      <c r="F881" s="1">
        <f>IF(B881="", "", "weeks")</f>
        <v>0</v>
      </c>
      <c r="G881" s="1">
        <f>IF(B881="", "", "mouse")</f>
        <v>0</v>
      </c>
      <c r="H881" s="1">
        <f>IF(B881="", "", "Mus musculus")</f>
        <v>0</v>
      </c>
      <c r="I881" s="1">
        <f>IF(B881="", "", "10090")</f>
        <v>0</v>
      </c>
      <c r="J881" s="2">
        <f>IF(B881="", "", "missing: not provided")</f>
        <v>0</v>
      </c>
      <c r="K881" s="1">
        <f>IF(B881="", "", "g")</f>
        <v>0</v>
      </c>
    </row>
    <row r="882" spans="1:11">
      <c r="A882">
        <f>IF(COUNTBLANK(B882:K882)&lt;&gt;COLUMNS(B882:K882),881,"")</f>
        <v>0</v>
      </c>
      <c r="C882" s="1">
        <f>IF(B882="", "", "urban biome")</f>
        <v>0</v>
      </c>
      <c r="D882" s="1">
        <f>IF(B882="", "", "animal-associated habitat")</f>
        <v>0</v>
      </c>
      <c r="E882" s="2">
        <f>IF(B882="", "", "missing: not provided")</f>
        <v>0</v>
      </c>
      <c r="F882" s="1">
        <f>IF(B882="", "", "weeks")</f>
        <v>0</v>
      </c>
      <c r="G882" s="1">
        <f>IF(B882="", "", "mouse")</f>
        <v>0</v>
      </c>
      <c r="H882" s="1">
        <f>IF(B882="", "", "Mus musculus")</f>
        <v>0</v>
      </c>
      <c r="I882" s="1">
        <f>IF(B882="", "", "10090")</f>
        <v>0</v>
      </c>
      <c r="J882" s="2">
        <f>IF(B882="", "", "missing: not provided")</f>
        <v>0</v>
      </c>
      <c r="K882" s="1">
        <f>IF(B882="", "", "g")</f>
        <v>0</v>
      </c>
    </row>
    <row r="883" spans="1:11">
      <c r="A883">
        <f>IF(COUNTBLANK(B883:K883)&lt;&gt;COLUMNS(B883:K883),882,"")</f>
        <v>0</v>
      </c>
      <c r="C883" s="1">
        <f>IF(B883="", "", "urban biome")</f>
        <v>0</v>
      </c>
      <c r="D883" s="1">
        <f>IF(B883="", "", "animal-associated habitat")</f>
        <v>0</v>
      </c>
      <c r="E883" s="2">
        <f>IF(B883="", "", "missing: not provided")</f>
        <v>0</v>
      </c>
      <c r="F883" s="1">
        <f>IF(B883="", "", "weeks")</f>
        <v>0</v>
      </c>
      <c r="G883" s="1">
        <f>IF(B883="", "", "mouse")</f>
        <v>0</v>
      </c>
      <c r="H883" s="1">
        <f>IF(B883="", "", "Mus musculus")</f>
        <v>0</v>
      </c>
      <c r="I883" s="1">
        <f>IF(B883="", "", "10090")</f>
        <v>0</v>
      </c>
      <c r="J883" s="2">
        <f>IF(B883="", "", "missing: not provided")</f>
        <v>0</v>
      </c>
      <c r="K883" s="1">
        <f>IF(B883="", "", "g")</f>
        <v>0</v>
      </c>
    </row>
    <row r="884" spans="1:11">
      <c r="A884">
        <f>IF(COUNTBLANK(B884:K884)&lt;&gt;COLUMNS(B884:K884),883,"")</f>
        <v>0</v>
      </c>
      <c r="C884" s="1">
        <f>IF(B884="", "", "urban biome")</f>
        <v>0</v>
      </c>
      <c r="D884" s="1">
        <f>IF(B884="", "", "animal-associated habitat")</f>
        <v>0</v>
      </c>
      <c r="E884" s="2">
        <f>IF(B884="", "", "missing: not provided")</f>
        <v>0</v>
      </c>
      <c r="F884" s="1">
        <f>IF(B884="", "", "weeks")</f>
        <v>0</v>
      </c>
      <c r="G884" s="1">
        <f>IF(B884="", "", "mouse")</f>
        <v>0</v>
      </c>
      <c r="H884" s="1">
        <f>IF(B884="", "", "Mus musculus")</f>
        <v>0</v>
      </c>
      <c r="I884" s="1">
        <f>IF(B884="", "", "10090")</f>
        <v>0</v>
      </c>
      <c r="J884" s="2">
        <f>IF(B884="", "", "missing: not provided")</f>
        <v>0</v>
      </c>
      <c r="K884" s="1">
        <f>IF(B884="", "", "g")</f>
        <v>0</v>
      </c>
    </row>
    <row r="885" spans="1:11">
      <c r="A885">
        <f>IF(COUNTBLANK(B885:K885)&lt;&gt;COLUMNS(B885:K885),884,"")</f>
        <v>0</v>
      </c>
      <c r="C885" s="1">
        <f>IF(B885="", "", "urban biome")</f>
        <v>0</v>
      </c>
      <c r="D885" s="1">
        <f>IF(B885="", "", "animal-associated habitat")</f>
        <v>0</v>
      </c>
      <c r="E885" s="2">
        <f>IF(B885="", "", "missing: not provided")</f>
        <v>0</v>
      </c>
      <c r="F885" s="1">
        <f>IF(B885="", "", "weeks")</f>
        <v>0</v>
      </c>
      <c r="G885" s="1">
        <f>IF(B885="", "", "mouse")</f>
        <v>0</v>
      </c>
      <c r="H885" s="1">
        <f>IF(B885="", "", "Mus musculus")</f>
        <v>0</v>
      </c>
      <c r="I885" s="1">
        <f>IF(B885="", "", "10090")</f>
        <v>0</v>
      </c>
      <c r="J885" s="2">
        <f>IF(B885="", "", "missing: not provided")</f>
        <v>0</v>
      </c>
      <c r="K885" s="1">
        <f>IF(B885="", "", "g")</f>
        <v>0</v>
      </c>
    </row>
    <row r="886" spans="1:11">
      <c r="A886">
        <f>IF(COUNTBLANK(B886:K886)&lt;&gt;COLUMNS(B886:K886),885,"")</f>
        <v>0</v>
      </c>
      <c r="C886" s="1">
        <f>IF(B886="", "", "urban biome")</f>
        <v>0</v>
      </c>
      <c r="D886" s="1">
        <f>IF(B886="", "", "animal-associated habitat")</f>
        <v>0</v>
      </c>
      <c r="E886" s="2">
        <f>IF(B886="", "", "missing: not provided")</f>
        <v>0</v>
      </c>
      <c r="F886" s="1">
        <f>IF(B886="", "", "weeks")</f>
        <v>0</v>
      </c>
      <c r="G886" s="1">
        <f>IF(B886="", "", "mouse")</f>
        <v>0</v>
      </c>
      <c r="H886" s="1">
        <f>IF(B886="", "", "Mus musculus")</f>
        <v>0</v>
      </c>
      <c r="I886" s="1">
        <f>IF(B886="", "", "10090")</f>
        <v>0</v>
      </c>
      <c r="J886" s="2">
        <f>IF(B886="", "", "missing: not provided")</f>
        <v>0</v>
      </c>
      <c r="K886" s="1">
        <f>IF(B886="", "", "g")</f>
        <v>0</v>
      </c>
    </row>
    <row r="887" spans="1:11">
      <c r="A887">
        <f>IF(COUNTBLANK(B887:K887)&lt;&gt;COLUMNS(B887:K887),886,"")</f>
        <v>0</v>
      </c>
      <c r="C887" s="1">
        <f>IF(B887="", "", "urban biome")</f>
        <v>0</v>
      </c>
      <c r="D887" s="1">
        <f>IF(B887="", "", "animal-associated habitat")</f>
        <v>0</v>
      </c>
      <c r="E887" s="2">
        <f>IF(B887="", "", "missing: not provided")</f>
        <v>0</v>
      </c>
      <c r="F887" s="1">
        <f>IF(B887="", "", "weeks")</f>
        <v>0</v>
      </c>
      <c r="G887" s="1">
        <f>IF(B887="", "", "mouse")</f>
        <v>0</v>
      </c>
      <c r="H887" s="1">
        <f>IF(B887="", "", "Mus musculus")</f>
        <v>0</v>
      </c>
      <c r="I887" s="1">
        <f>IF(B887="", "", "10090")</f>
        <v>0</v>
      </c>
      <c r="J887" s="2">
        <f>IF(B887="", "", "missing: not provided")</f>
        <v>0</v>
      </c>
      <c r="K887" s="1">
        <f>IF(B887="", "", "g")</f>
        <v>0</v>
      </c>
    </row>
    <row r="888" spans="1:11">
      <c r="A888">
        <f>IF(COUNTBLANK(B888:K888)&lt;&gt;COLUMNS(B888:K888),887,"")</f>
        <v>0</v>
      </c>
      <c r="C888" s="1">
        <f>IF(B888="", "", "urban biome")</f>
        <v>0</v>
      </c>
      <c r="D888" s="1">
        <f>IF(B888="", "", "animal-associated habitat")</f>
        <v>0</v>
      </c>
      <c r="E888" s="2">
        <f>IF(B888="", "", "missing: not provided")</f>
        <v>0</v>
      </c>
      <c r="F888" s="1">
        <f>IF(B888="", "", "weeks")</f>
        <v>0</v>
      </c>
      <c r="G888" s="1">
        <f>IF(B888="", "", "mouse")</f>
        <v>0</v>
      </c>
      <c r="H888" s="1">
        <f>IF(B888="", "", "Mus musculus")</f>
        <v>0</v>
      </c>
      <c r="I888" s="1">
        <f>IF(B888="", "", "10090")</f>
        <v>0</v>
      </c>
      <c r="J888" s="2">
        <f>IF(B888="", "", "missing: not provided")</f>
        <v>0</v>
      </c>
      <c r="K888" s="1">
        <f>IF(B888="", "", "g")</f>
        <v>0</v>
      </c>
    </row>
    <row r="889" spans="1:11">
      <c r="A889">
        <f>IF(COUNTBLANK(B889:K889)&lt;&gt;COLUMNS(B889:K889),888,"")</f>
        <v>0</v>
      </c>
      <c r="C889" s="1">
        <f>IF(B889="", "", "urban biome")</f>
        <v>0</v>
      </c>
      <c r="D889" s="1">
        <f>IF(B889="", "", "animal-associated habitat")</f>
        <v>0</v>
      </c>
      <c r="E889" s="2">
        <f>IF(B889="", "", "missing: not provided")</f>
        <v>0</v>
      </c>
      <c r="F889" s="1">
        <f>IF(B889="", "", "weeks")</f>
        <v>0</v>
      </c>
      <c r="G889" s="1">
        <f>IF(B889="", "", "mouse")</f>
        <v>0</v>
      </c>
      <c r="H889" s="1">
        <f>IF(B889="", "", "Mus musculus")</f>
        <v>0</v>
      </c>
      <c r="I889" s="1">
        <f>IF(B889="", "", "10090")</f>
        <v>0</v>
      </c>
      <c r="J889" s="2">
        <f>IF(B889="", "", "missing: not provided")</f>
        <v>0</v>
      </c>
      <c r="K889" s="1">
        <f>IF(B889="", "", "g")</f>
        <v>0</v>
      </c>
    </row>
    <row r="890" spans="1:11">
      <c r="A890">
        <f>IF(COUNTBLANK(B890:K890)&lt;&gt;COLUMNS(B890:K890),889,"")</f>
        <v>0</v>
      </c>
      <c r="C890" s="1">
        <f>IF(B890="", "", "urban biome")</f>
        <v>0</v>
      </c>
      <c r="D890" s="1">
        <f>IF(B890="", "", "animal-associated habitat")</f>
        <v>0</v>
      </c>
      <c r="E890" s="2">
        <f>IF(B890="", "", "missing: not provided")</f>
        <v>0</v>
      </c>
      <c r="F890" s="1">
        <f>IF(B890="", "", "weeks")</f>
        <v>0</v>
      </c>
      <c r="G890" s="1">
        <f>IF(B890="", "", "mouse")</f>
        <v>0</v>
      </c>
      <c r="H890" s="1">
        <f>IF(B890="", "", "Mus musculus")</f>
        <v>0</v>
      </c>
      <c r="I890" s="1">
        <f>IF(B890="", "", "10090")</f>
        <v>0</v>
      </c>
      <c r="J890" s="2">
        <f>IF(B890="", "", "missing: not provided")</f>
        <v>0</v>
      </c>
      <c r="K890" s="1">
        <f>IF(B890="", "", "g")</f>
        <v>0</v>
      </c>
    </row>
    <row r="891" spans="1:11">
      <c r="A891">
        <f>IF(COUNTBLANK(B891:K891)&lt;&gt;COLUMNS(B891:K891),890,"")</f>
        <v>0</v>
      </c>
      <c r="C891" s="1">
        <f>IF(B891="", "", "urban biome")</f>
        <v>0</v>
      </c>
      <c r="D891" s="1">
        <f>IF(B891="", "", "animal-associated habitat")</f>
        <v>0</v>
      </c>
      <c r="E891" s="2">
        <f>IF(B891="", "", "missing: not provided")</f>
        <v>0</v>
      </c>
      <c r="F891" s="1">
        <f>IF(B891="", "", "weeks")</f>
        <v>0</v>
      </c>
      <c r="G891" s="1">
        <f>IF(B891="", "", "mouse")</f>
        <v>0</v>
      </c>
      <c r="H891" s="1">
        <f>IF(B891="", "", "Mus musculus")</f>
        <v>0</v>
      </c>
      <c r="I891" s="1">
        <f>IF(B891="", "", "10090")</f>
        <v>0</v>
      </c>
      <c r="J891" s="2">
        <f>IF(B891="", "", "missing: not provided")</f>
        <v>0</v>
      </c>
      <c r="K891" s="1">
        <f>IF(B891="", "", "g")</f>
        <v>0</v>
      </c>
    </row>
    <row r="892" spans="1:11">
      <c r="A892">
        <f>IF(COUNTBLANK(B892:K892)&lt;&gt;COLUMNS(B892:K892),891,"")</f>
        <v>0</v>
      </c>
      <c r="C892" s="1">
        <f>IF(B892="", "", "urban biome")</f>
        <v>0</v>
      </c>
      <c r="D892" s="1">
        <f>IF(B892="", "", "animal-associated habitat")</f>
        <v>0</v>
      </c>
      <c r="E892" s="2">
        <f>IF(B892="", "", "missing: not provided")</f>
        <v>0</v>
      </c>
      <c r="F892" s="1">
        <f>IF(B892="", "", "weeks")</f>
        <v>0</v>
      </c>
      <c r="G892" s="1">
        <f>IF(B892="", "", "mouse")</f>
        <v>0</v>
      </c>
      <c r="H892" s="1">
        <f>IF(B892="", "", "Mus musculus")</f>
        <v>0</v>
      </c>
      <c r="I892" s="1">
        <f>IF(B892="", "", "10090")</f>
        <v>0</v>
      </c>
      <c r="J892" s="2">
        <f>IF(B892="", "", "missing: not provided")</f>
        <v>0</v>
      </c>
      <c r="K892" s="1">
        <f>IF(B892="", "", "g")</f>
        <v>0</v>
      </c>
    </row>
    <row r="893" spans="1:11">
      <c r="A893">
        <f>IF(COUNTBLANK(B893:K893)&lt;&gt;COLUMNS(B893:K893),892,"")</f>
        <v>0</v>
      </c>
      <c r="C893" s="1">
        <f>IF(B893="", "", "urban biome")</f>
        <v>0</v>
      </c>
      <c r="D893" s="1">
        <f>IF(B893="", "", "animal-associated habitat")</f>
        <v>0</v>
      </c>
      <c r="E893" s="2">
        <f>IF(B893="", "", "missing: not provided")</f>
        <v>0</v>
      </c>
      <c r="F893" s="1">
        <f>IF(B893="", "", "weeks")</f>
        <v>0</v>
      </c>
      <c r="G893" s="1">
        <f>IF(B893="", "", "mouse")</f>
        <v>0</v>
      </c>
      <c r="H893" s="1">
        <f>IF(B893="", "", "Mus musculus")</f>
        <v>0</v>
      </c>
      <c r="I893" s="1">
        <f>IF(B893="", "", "10090")</f>
        <v>0</v>
      </c>
      <c r="J893" s="2">
        <f>IF(B893="", "", "missing: not provided")</f>
        <v>0</v>
      </c>
      <c r="K893" s="1">
        <f>IF(B893="", "", "g")</f>
        <v>0</v>
      </c>
    </row>
    <row r="894" spans="1:11">
      <c r="A894">
        <f>IF(COUNTBLANK(B894:K894)&lt;&gt;COLUMNS(B894:K894),893,"")</f>
        <v>0</v>
      </c>
      <c r="C894" s="1">
        <f>IF(B894="", "", "urban biome")</f>
        <v>0</v>
      </c>
      <c r="D894" s="1">
        <f>IF(B894="", "", "animal-associated habitat")</f>
        <v>0</v>
      </c>
      <c r="E894" s="2">
        <f>IF(B894="", "", "missing: not provided")</f>
        <v>0</v>
      </c>
      <c r="F894" s="1">
        <f>IF(B894="", "", "weeks")</f>
        <v>0</v>
      </c>
      <c r="G894" s="1">
        <f>IF(B894="", "", "mouse")</f>
        <v>0</v>
      </c>
      <c r="H894" s="1">
        <f>IF(B894="", "", "Mus musculus")</f>
        <v>0</v>
      </c>
      <c r="I894" s="1">
        <f>IF(B894="", "", "10090")</f>
        <v>0</v>
      </c>
      <c r="J894" s="2">
        <f>IF(B894="", "", "missing: not provided")</f>
        <v>0</v>
      </c>
      <c r="K894" s="1">
        <f>IF(B894="", "", "g")</f>
        <v>0</v>
      </c>
    </row>
    <row r="895" spans="1:11">
      <c r="A895">
        <f>IF(COUNTBLANK(B895:K895)&lt;&gt;COLUMNS(B895:K895),894,"")</f>
        <v>0</v>
      </c>
      <c r="C895" s="1">
        <f>IF(B895="", "", "urban biome")</f>
        <v>0</v>
      </c>
      <c r="D895" s="1">
        <f>IF(B895="", "", "animal-associated habitat")</f>
        <v>0</v>
      </c>
      <c r="E895" s="2">
        <f>IF(B895="", "", "missing: not provided")</f>
        <v>0</v>
      </c>
      <c r="F895" s="1">
        <f>IF(B895="", "", "weeks")</f>
        <v>0</v>
      </c>
      <c r="G895" s="1">
        <f>IF(B895="", "", "mouse")</f>
        <v>0</v>
      </c>
      <c r="H895" s="1">
        <f>IF(B895="", "", "Mus musculus")</f>
        <v>0</v>
      </c>
      <c r="I895" s="1">
        <f>IF(B895="", "", "10090")</f>
        <v>0</v>
      </c>
      <c r="J895" s="2">
        <f>IF(B895="", "", "missing: not provided")</f>
        <v>0</v>
      </c>
      <c r="K895" s="1">
        <f>IF(B895="", "", "g")</f>
        <v>0</v>
      </c>
    </row>
    <row r="896" spans="1:11">
      <c r="A896">
        <f>IF(COUNTBLANK(B896:K896)&lt;&gt;COLUMNS(B896:K896),895,"")</f>
        <v>0</v>
      </c>
      <c r="C896" s="1">
        <f>IF(B896="", "", "urban biome")</f>
        <v>0</v>
      </c>
      <c r="D896" s="1">
        <f>IF(B896="", "", "animal-associated habitat")</f>
        <v>0</v>
      </c>
      <c r="E896" s="2">
        <f>IF(B896="", "", "missing: not provided")</f>
        <v>0</v>
      </c>
      <c r="F896" s="1">
        <f>IF(B896="", "", "weeks")</f>
        <v>0</v>
      </c>
      <c r="G896" s="1">
        <f>IF(B896="", "", "mouse")</f>
        <v>0</v>
      </c>
      <c r="H896" s="1">
        <f>IF(B896="", "", "Mus musculus")</f>
        <v>0</v>
      </c>
      <c r="I896" s="1">
        <f>IF(B896="", "", "10090")</f>
        <v>0</v>
      </c>
      <c r="J896" s="2">
        <f>IF(B896="", "", "missing: not provided")</f>
        <v>0</v>
      </c>
      <c r="K896" s="1">
        <f>IF(B896="", "", "g")</f>
        <v>0</v>
      </c>
    </row>
    <row r="897" spans="1:11">
      <c r="A897">
        <f>IF(COUNTBLANK(B897:K897)&lt;&gt;COLUMNS(B897:K897),896,"")</f>
        <v>0</v>
      </c>
      <c r="C897" s="1">
        <f>IF(B897="", "", "urban biome")</f>
        <v>0</v>
      </c>
      <c r="D897" s="1">
        <f>IF(B897="", "", "animal-associated habitat")</f>
        <v>0</v>
      </c>
      <c r="E897" s="2">
        <f>IF(B897="", "", "missing: not provided")</f>
        <v>0</v>
      </c>
      <c r="F897" s="1">
        <f>IF(B897="", "", "weeks")</f>
        <v>0</v>
      </c>
      <c r="G897" s="1">
        <f>IF(B897="", "", "mouse")</f>
        <v>0</v>
      </c>
      <c r="H897" s="1">
        <f>IF(B897="", "", "Mus musculus")</f>
        <v>0</v>
      </c>
      <c r="I897" s="1">
        <f>IF(B897="", "", "10090")</f>
        <v>0</v>
      </c>
      <c r="J897" s="2">
        <f>IF(B897="", "", "missing: not provided")</f>
        <v>0</v>
      </c>
      <c r="K897" s="1">
        <f>IF(B897="", "", "g")</f>
        <v>0</v>
      </c>
    </row>
    <row r="898" spans="1:11">
      <c r="A898">
        <f>IF(COUNTBLANK(B898:K898)&lt;&gt;COLUMNS(B898:K898),897,"")</f>
        <v>0</v>
      </c>
      <c r="C898" s="1">
        <f>IF(B898="", "", "urban biome")</f>
        <v>0</v>
      </c>
      <c r="D898" s="1">
        <f>IF(B898="", "", "animal-associated habitat")</f>
        <v>0</v>
      </c>
      <c r="E898" s="2">
        <f>IF(B898="", "", "missing: not provided")</f>
        <v>0</v>
      </c>
      <c r="F898" s="1">
        <f>IF(B898="", "", "weeks")</f>
        <v>0</v>
      </c>
      <c r="G898" s="1">
        <f>IF(B898="", "", "mouse")</f>
        <v>0</v>
      </c>
      <c r="H898" s="1">
        <f>IF(B898="", "", "Mus musculus")</f>
        <v>0</v>
      </c>
      <c r="I898" s="1">
        <f>IF(B898="", "", "10090")</f>
        <v>0</v>
      </c>
      <c r="J898" s="2">
        <f>IF(B898="", "", "missing: not provided")</f>
        <v>0</v>
      </c>
      <c r="K898" s="1">
        <f>IF(B898="", "", "g")</f>
        <v>0</v>
      </c>
    </row>
    <row r="899" spans="1:11">
      <c r="A899">
        <f>IF(COUNTBLANK(B899:K899)&lt;&gt;COLUMNS(B899:K899),898,"")</f>
        <v>0</v>
      </c>
      <c r="C899" s="1">
        <f>IF(B899="", "", "urban biome")</f>
        <v>0</v>
      </c>
      <c r="D899" s="1">
        <f>IF(B899="", "", "animal-associated habitat")</f>
        <v>0</v>
      </c>
      <c r="E899" s="2">
        <f>IF(B899="", "", "missing: not provided")</f>
        <v>0</v>
      </c>
      <c r="F899" s="1">
        <f>IF(B899="", "", "weeks")</f>
        <v>0</v>
      </c>
      <c r="G899" s="1">
        <f>IF(B899="", "", "mouse")</f>
        <v>0</v>
      </c>
      <c r="H899" s="1">
        <f>IF(B899="", "", "Mus musculus")</f>
        <v>0</v>
      </c>
      <c r="I899" s="1">
        <f>IF(B899="", "", "10090")</f>
        <v>0</v>
      </c>
      <c r="J899" s="2">
        <f>IF(B899="", "", "missing: not provided")</f>
        <v>0</v>
      </c>
      <c r="K899" s="1">
        <f>IF(B899="", "", "g")</f>
        <v>0</v>
      </c>
    </row>
    <row r="900" spans="1:11">
      <c r="A900">
        <f>IF(COUNTBLANK(B900:K900)&lt;&gt;COLUMNS(B900:K900),899,"")</f>
        <v>0</v>
      </c>
      <c r="C900" s="1">
        <f>IF(B900="", "", "urban biome")</f>
        <v>0</v>
      </c>
      <c r="D900" s="1">
        <f>IF(B900="", "", "animal-associated habitat")</f>
        <v>0</v>
      </c>
      <c r="E900" s="2">
        <f>IF(B900="", "", "missing: not provided")</f>
        <v>0</v>
      </c>
      <c r="F900" s="1">
        <f>IF(B900="", "", "weeks")</f>
        <v>0</v>
      </c>
      <c r="G900" s="1">
        <f>IF(B900="", "", "mouse")</f>
        <v>0</v>
      </c>
      <c r="H900" s="1">
        <f>IF(B900="", "", "Mus musculus")</f>
        <v>0</v>
      </c>
      <c r="I900" s="1">
        <f>IF(B900="", "", "10090")</f>
        <v>0</v>
      </c>
      <c r="J900" s="2">
        <f>IF(B900="", "", "missing: not provided")</f>
        <v>0</v>
      </c>
      <c r="K900" s="1">
        <f>IF(B900="", "", "g")</f>
        <v>0</v>
      </c>
    </row>
    <row r="901" spans="1:11">
      <c r="A901">
        <f>IF(COUNTBLANK(B901:K901)&lt;&gt;COLUMNS(B901:K901),900,"")</f>
        <v>0</v>
      </c>
      <c r="C901" s="1">
        <f>IF(B901="", "", "urban biome")</f>
        <v>0</v>
      </c>
      <c r="D901" s="1">
        <f>IF(B901="", "", "animal-associated habitat")</f>
        <v>0</v>
      </c>
      <c r="E901" s="2">
        <f>IF(B901="", "", "missing: not provided")</f>
        <v>0</v>
      </c>
      <c r="F901" s="1">
        <f>IF(B901="", "", "weeks")</f>
        <v>0</v>
      </c>
      <c r="G901" s="1">
        <f>IF(B901="", "", "mouse")</f>
        <v>0</v>
      </c>
      <c r="H901" s="1">
        <f>IF(B901="", "", "Mus musculus")</f>
        <v>0</v>
      </c>
      <c r="I901" s="1">
        <f>IF(B901="", "", "10090")</f>
        <v>0</v>
      </c>
      <c r="J901" s="2">
        <f>IF(B901="", "", "missing: not provided")</f>
        <v>0</v>
      </c>
      <c r="K901" s="1">
        <f>IF(B901="", "", "g")</f>
        <v>0</v>
      </c>
    </row>
    <row r="902" spans="1:11">
      <c r="A902">
        <f>IF(COUNTBLANK(B902:K902)&lt;&gt;COLUMNS(B902:K902),901,"")</f>
        <v>0</v>
      </c>
      <c r="C902" s="1">
        <f>IF(B902="", "", "urban biome")</f>
        <v>0</v>
      </c>
      <c r="D902" s="1">
        <f>IF(B902="", "", "animal-associated habitat")</f>
        <v>0</v>
      </c>
      <c r="E902" s="2">
        <f>IF(B902="", "", "missing: not provided")</f>
        <v>0</v>
      </c>
      <c r="F902" s="1">
        <f>IF(B902="", "", "weeks")</f>
        <v>0</v>
      </c>
      <c r="G902" s="1">
        <f>IF(B902="", "", "mouse")</f>
        <v>0</v>
      </c>
      <c r="H902" s="1">
        <f>IF(B902="", "", "Mus musculus")</f>
        <v>0</v>
      </c>
      <c r="I902" s="1">
        <f>IF(B902="", "", "10090")</f>
        <v>0</v>
      </c>
      <c r="J902" s="2">
        <f>IF(B902="", "", "missing: not provided")</f>
        <v>0</v>
      </c>
      <c r="K902" s="1">
        <f>IF(B902="", "", "g")</f>
        <v>0</v>
      </c>
    </row>
    <row r="903" spans="1:11">
      <c r="A903">
        <f>IF(COUNTBLANK(B903:K903)&lt;&gt;COLUMNS(B903:K903),902,"")</f>
        <v>0</v>
      </c>
      <c r="C903" s="1">
        <f>IF(B903="", "", "urban biome")</f>
        <v>0</v>
      </c>
      <c r="D903" s="1">
        <f>IF(B903="", "", "animal-associated habitat")</f>
        <v>0</v>
      </c>
      <c r="E903" s="2">
        <f>IF(B903="", "", "missing: not provided")</f>
        <v>0</v>
      </c>
      <c r="F903" s="1">
        <f>IF(B903="", "", "weeks")</f>
        <v>0</v>
      </c>
      <c r="G903" s="1">
        <f>IF(B903="", "", "mouse")</f>
        <v>0</v>
      </c>
      <c r="H903" s="1">
        <f>IF(B903="", "", "Mus musculus")</f>
        <v>0</v>
      </c>
      <c r="I903" s="1">
        <f>IF(B903="", "", "10090")</f>
        <v>0</v>
      </c>
      <c r="J903" s="2">
        <f>IF(B903="", "", "missing: not provided")</f>
        <v>0</v>
      </c>
      <c r="K903" s="1">
        <f>IF(B903="", "", "g")</f>
        <v>0</v>
      </c>
    </row>
    <row r="904" spans="1:11">
      <c r="A904">
        <f>IF(COUNTBLANK(B904:K904)&lt;&gt;COLUMNS(B904:K904),903,"")</f>
        <v>0</v>
      </c>
      <c r="C904" s="1">
        <f>IF(B904="", "", "urban biome")</f>
        <v>0</v>
      </c>
      <c r="D904" s="1">
        <f>IF(B904="", "", "animal-associated habitat")</f>
        <v>0</v>
      </c>
      <c r="E904" s="2">
        <f>IF(B904="", "", "missing: not provided")</f>
        <v>0</v>
      </c>
      <c r="F904" s="1">
        <f>IF(B904="", "", "weeks")</f>
        <v>0</v>
      </c>
      <c r="G904" s="1">
        <f>IF(B904="", "", "mouse")</f>
        <v>0</v>
      </c>
      <c r="H904" s="1">
        <f>IF(B904="", "", "Mus musculus")</f>
        <v>0</v>
      </c>
      <c r="I904" s="1">
        <f>IF(B904="", "", "10090")</f>
        <v>0</v>
      </c>
      <c r="J904" s="2">
        <f>IF(B904="", "", "missing: not provided")</f>
        <v>0</v>
      </c>
      <c r="K904" s="1">
        <f>IF(B904="", "", "g")</f>
        <v>0</v>
      </c>
    </row>
    <row r="905" spans="1:11">
      <c r="A905">
        <f>IF(COUNTBLANK(B905:K905)&lt;&gt;COLUMNS(B905:K905),904,"")</f>
        <v>0</v>
      </c>
      <c r="C905" s="1">
        <f>IF(B905="", "", "urban biome")</f>
        <v>0</v>
      </c>
      <c r="D905" s="1">
        <f>IF(B905="", "", "animal-associated habitat")</f>
        <v>0</v>
      </c>
      <c r="E905" s="2">
        <f>IF(B905="", "", "missing: not provided")</f>
        <v>0</v>
      </c>
      <c r="F905" s="1">
        <f>IF(B905="", "", "weeks")</f>
        <v>0</v>
      </c>
      <c r="G905" s="1">
        <f>IF(B905="", "", "mouse")</f>
        <v>0</v>
      </c>
      <c r="H905" s="1">
        <f>IF(B905="", "", "Mus musculus")</f>
        <v>0</v>
      </c>
      <c r="I905" s="1">
        <f>IF(B905="", "", "10090")</f>
        <v>0</v>
      </c>
      <c r="J905" s="2">
        <f>IF(B905="", "", "missing: not provided")</f>
        <v>0</v>
      </c>
      <c r="K905" s="1">
        <f>IF(B905="", "", "g")</f>
        <v>0</v>
      </c>
    </row>
    <row r="906" spans="1:11">
      <c r="A906">
        <f>IF(COUNTBLANK(B906:K906)&lt;&gt;COLUMNS(B906:K906),905,"")</f>
        <v>0</v>
      </c>
      <c r="C906" s="1">
        <f>IF(B906="", "", "urban biome")</f>
        <v>0</v>
      </c>
      <c r="D906" s="1">
        <f>IF(B906="", "", "animal-associated habitat")</f>
        <v>0</v>
      </c>
      <c r="E906" s="2">
        <f>IF(B906="", "", "missing: not provided")</f>
        <v>0</v>
      </c>
      <c r="F906" s="1">
        <f>IF(B906="", "", "weeks")</f>
        <v>0</v>
      </c>
      <c r="G906" s="1">
        <f>IF(B906="", "", "mouse")</f>
        <v>0</v>
      </c>
      <c r="H906" s="1">
        <f>IF(B906="", "", "Mus musculus")</f>
        <v>0</v>
      </c>
      <c r="I906" s="1">
        <f>IF(B906="", "", "10090")</f>
        <v>0</v>
      </c>
      <c r="J906" s="2">
        <f>IF(B906="", "", "missing: not provided")</f>
        <v>0</v>
      </c>
      <c r="K906" s="1">
        <f>IF(B906="", "", "g")</f>
        <v>0</v>
      </c>
    </row>
    <row r="907" spans="1:11">
      <c r="A907">
        <f>IF(COUNTBLANK(B907:K907)&lt;&gt;COLUMNS(B907:K907),906,"")</f>
        <v>0</v>
      </c>
      <c r="C907" s="1">
        <f>IF(B907="", "", "urban biome")</f>
        <v>0</v>
      </c>
      <c r="D907" s="1">
        <f>IF(B907="", "", "animal-associated habitat")</f>
        <v>0</v>
      </c>
      <c r="E907" s="2">
        <f>IF(B907="", "", "missing: not provided")</f>
        <v>0</v>
      </c>
      <c r="F907" s="1">
        <f>IF(B907="", "", "weeks")</f>
        <v>0</v>
      </c>
      <c r="G907" s="1">
        <f>IF(B907="", "", "mouse")</f>
        <v>0</v>
      </c>
      <c r="H907" s="1">
        <f>IF(B907="", "", "Mus musculus")</f>
        <v>0</v>
      </c>
      <c r="I907" s="1">
        <f>IF(B907="", "", "10090")</f>
        <v>0</v>
      </c>
      <c r="J907" s="2">
        <f>IF(B907="", "", "missing: not provided")</f>
        <v>0</v>
      </c>
      <c r="K907" s="1">
        <f>IF(B907="", "", "g")</f>
        <v>0</v>
      </c>
    </row>
    <row r="908" spans="1:11">
      <c r="A908">
        <f>IF(COUNTBLANK(B908:K908)&lt;&gt;COLUMNS(B908:K908),907,"")</f>
        <v>0</v>
      </c>
      <c r="C908" s="1">
        <f>IF(B908="", "", "urban biome")</f>
        <v>0</v>
      </c>
      <c r="D908" s="1">
        <f>IF(B908="", "", "animal-associated habitat")</f>
        <v>0</v>
      </c>
      <c r="E908" s="2">
        <f>IF(B908="", "", "missing: not provided")</f>
        <v>0</v>
      </c>
      <c r="F908" s="1">
        <f>IF(B908="", "", "weeks")</f>
        <v>0</v>
      </c>
      <c r="G908" s="1">
        <f>IF(B908="", "", "mouse")</f>
        <v>0</v>
      </c>
      <c r="H908" s="1">
        <f>IF(B908="", "", "Mus musculus")</f>
        <v>0</v>
      </c>
      <c r="I908" s="1">
        <f>IF(B908="", "", "10090")</f>
        <v>0</v>
      </c>
      <c r="J908" s="2">
        <f>IF(B908="", "", "missing: not provided")</f>
        <v>0</v>
      </c>
      <c r="K908" s="1">
        <f>IF(B908="", "", "g")</f>
        <v>0</v>
      </c>
    </row>
    <row r="909" spans="1:11">
      <c r="A909">
        <f>IF(COUNTBLANK(B909:K909)&lt;&gt;COLUMNS(B909:K909),908,"")</f>
        <v>0</v>
      </c>
      <c r="C909" s="1">
        <f>IF(B909="", "", "urban biome")</f>
        <v>0</v>
      </c>
      <c r="D909" s="1">
        <f>IF(B909="", "", "animal-associated habitat")</f>
        <v>0</v>
      </c>
      <c r="E909" s="2">
        <f>IF(B909="", "", "missing: not provided")</f>
        <v>0</v>
      </c>
      <c r="F909" s="1">
        <f>IF(B909="", "", "weeks")</f>
        <v>0</v>
      </c>
      <c r="G909" s="1">
        <f>IF(B909="", "", "mouse")</f>
        <v>0</v>
      </c>
      <c r="H909" s="1">
        <f>IF(B909="", "", "Mus musculus")</f>
        <v>0</v>
      </c>
      <c r="I909" s="1">
        <f>IF(B909="", "", "10090")</f>
        <v>0</v>
      </c>
      <c r="J909" s="2">
        <f>IF(B909="", "", "missing: not provided")</f>
        <v>0</v>
      </c>
      <c r="K909" s="1">
        <f>IF(B909="", "", "g")</f>
        <v>0</v>
      </c>
    </row>
    <row r="910" spans="1:11">
      <c r="A910">
        <f>IF(COUNTBLANK(B910:K910)&lt;&gt;COLUMNS(B910:K910),909,"")</f>
        <v>0</v>
      </c>
      <c r="C910" s="1">
        <f>IF(B910="", "", "urban biome")</f>
        <v>0</v>
      </c>
      <c r="D910" s="1">
        <f>IF(B910="", "", "animal-associated habitat")</f>
        <v>0</v>
      </c>
      <c r="E910" s="2">
        <f>IF(B910="", "", "missing: not provided")</f>
        <v>0</v>
      </c>
      <c r="F910" s="1">
        <f>IF(B910="", "", "weeks")</f>
        <v>0</v>
      </c>
      <c r="G910" s="1">
        <f>IF(B910="", "", "mouse")</f>
        <v>0</v>
      </c>
      <c r="H910" s="1">
        <f>IF(B910="", "", "Mus musculus")</f>
        <v>0</v>
      </c>
      <c r="I910" s="1">
        <f>IF(B910="", "", "10090")</f>
        <v>0</v>
      </c>
      <c r="J910" s="2">
        <f>IF(B910="", "", "missing: not provided")</f>
        <v>0</v>
      </c>
      <c r="K910" s="1">
        <f>IF(B910="", "", "g")</f>
        <v>0</v>
      </c>
    </row>
    <row r="911" spans="1:11">
      <c r="A911">
        <f>IF(COUNTBLANK(B911:K911)&lt;&gt;COLUMNS(B911:K911),910,"")</f>
        <v>0</v>
      </c>
      <c r="C911" s="1">
        <f>IF(B911="", "", "urban biome")</f>
        <v>0</v>
      </c>
      <c r="D911" s="1">
        <f>IF(B911="", "", "animal-associated habitat")</f>
        <v>0</v>
      </c>
      <c r="E911" s="2">
        <f>IF(B911="", "", "missing: not provided")</f>
        <v>0</v>
      </c>
      <c r="F911" s="1">
        <f>IF(B911="", "", "weeks")</f>
        <v>0</v>
      </c>
      <c r="G911" s="1">
        <f>IF(B911="", "", "mouse")</f>
        <v>0</v>
      </c>
      <c r="H911" s="1">
        <f>IF(B911="", "", "Mus musculus")</f>
        <v>0</v>
      </c>
      <c r="I911" s="1">
        <f>IF(B911="", "", "10090")</f>
        <v>0</v>
      </c>
      <c r="J911" s="2">
        <f>IF(B911="", "", "missing: not provided")</f>
        <v>0</v>
      </c>
      <c r="K911" s="1">
        <f>IF(B911="", "", "g")</f>
        <v>0</v>
      </c>
    </row>
    <row r="912" spans="1:11">
      <c r="A912">
        <f>IF(COUNTBLANK(B912:K912)&lt;&gt;COLUMNS(B912:K912),911,"")</f>
        <v>0</v>
      </c>
      <c r="C912" s="1">
        <f>IF(B912="", "", "urban biome")</f>
        <v>0</v>
      </c>
      <c r="D912" s="1">
        <f>IF(B912="", "", "animal-associated habitat")</f>
        <v>0</v>
      </c>
      <c r="E912" s="2">
        <f>IF(B912="", "", "missing: not provided")</f>
        <v>0</v>
      </c>
      <c r="F912" s="1">
        <f>IF(B912="", "", "weeks")</f>
        <v>0</v>
      </c>
      <c r="G912" s="1">
        <f>IF(B912="", "", "mouse")</f>
        <v>0</v>
      </c>
      <c r="H912" s="1">
        <f>IF(B912="", "", "Mus musculus")</f>
        <v>0</v>
      </c>
      <c r="I912" s="1">
        <f>IF(B912="", "", "10090")</f>
        <v>0</v>
      </c>
      <c r="J912" s="2">
        <f>IF(B912="", "", "missing: not provided")</f>
        <v>0</v>
      </c>
      <c r="K912" s="1">
        <f>IF(B912="", "", "g")</f>
        <v>0</v>
      </c>
    </row>
    <row r="913" spans="1:11">
      <c r="A913">
        <f>IF(COUNTBLANK(B913:K913)&lt;&gt;COLUMNS(B913:K913),912,"")</f>
        <v>0</v>
      </c>
      <c r="C913" s="1">
        <f>IF(B913="", "", "urban biome")</f>
        <v>0</v>
      </c>
      <c r="D913" s="1">
        <f>IF(B913="", "", "animal-associated habitat")</f>
        <v>0</v>
      </c>
      <c r="E913" s="2">
        <f>IF(B913="", "", "missing: not provided")</f>
        <v>0</v>
      </c>
      <c r="F913" s="1">
        <f>IF(B913="", "", "weeks")</f>
        <v>0</v>
      </c>
      <c r="G913" s="1">
        <f>IF(B913="", "", "mouse")</f>
        <v>0</v>
      </c>
      <c r="H913" s="1">
        <f>IF(B913="", "", "Mus musculus")</f>
        <v>0</v>
      </c>
      <c r="I913" s="1">
        <f>IF(B913="", "", "10090")</f>
        <v>0</v>
      </c>
      <c r="J913" s="2">
        <f>IF(B913="", "", "missing: not provided")</f>
        <v>0</v>
      </c>
      <c r="K913" s="1">
        <f>IF(B913="", "", "g")</f>
        <v>0</v>
      </c>
    </row>
    <row r="914" spans="1:11">
      <c r="A914">
        <f>IF(COUNTBLANK(B914:K914)&lt;&gt;COLUMNS(B914:K914),913,"")</f>
        <v>0</v>
      </c>
      <c r="C914" s="1">
        <f>IF(B914="", "", "urban biome")</f>
        <v>0</v>
      </c>
      <c r="D914" s="1">
        <f>IF(B914="", "", "animal-associated habitat")</f>
        <v>0</v>
      </c>
      <c r="E914" s="2">
        <f>IF(B914="", "", "missing: not provided")</f>
        <v>0</v>
      </c>
      <c r="F914" s="1">
        <f>IF(B914="", "", "weeks")</f>
        <v>0</v>
      </c>
      <c r="G914" s="1">
        <f>IF(B914="", "", "mouse")</f>
        <v>0</v>
      </c>
      <c r="H914" s="1">
        <f>IF(B914="", "", "Mus musculus")</f>
        <v>0</v>
      </c>
      <c r="I914" s="1">
        <f>IF(B914="", "", "10090")</f>
        <v>0</v>
      </c>
      <c r="J914" s="2">
        <f>IF(B914="", "", "missing: not provided")</f>
        <v>0</v>
      </c>
      <c r="K914" s="1">
        <f>IF(B914="", "", "g")</f>
        <v>0</v>
      </c>
    </row>
    <row r="915" spans="1:11">
      <c r="A915">
        <f>IF(COUNTBLANK(B915:K915)&lt;&gt;COLUMNS(B915:K915),914,"")</f>
        <v>0</v>
      </c>
      <c r="C915" s="1">
        <f>IF(B915="", "", "urban biome")</f>
        <v>0</v>
      </c>
      <c r="D915" s="1">
        <f>IF(B915="", "", "animal-associated habitat")</f>
        <v>0</v>
      </c>
      <c r="E915" s="2">
        <f>IF(B915="", "", "missing: not provided")</f>
        <v>0</v>
      </c>
      <c r="F915" s="1">
        <f>IF(B915="", "", "weeks")</f>
        <v>0</v>
      </c>
      <c r="G915" s="1">
        <f>IF(B915="", "", "mouse")</f>
        <v>0</v>
      </c>
      <c r="H915" s="1">
        <f>IF(B915="", "", "Mus musculus")</f>
        <v>0</v>
      </c>
      <c r="I915" s="1">
        <f>IF(B915="", "", "10090")</f>
        <v>0</v>
      </c>
      <c r="J915" s="2">
        <f>IF(B915="", "", "missing: not provided")</f>
        <v>0</v>
      </c>
      <c r="K915" s="1">
        <f>IF(B915="", "", "g")</f>
        <v>0</v>
      </c>
    </row>
    <row r="916" spans="1:11">
      <c r="A916">
        <f>IF(COUNTBLANK(B916:K916)&lt;&gt;COLUMNS(B916:K916),915,"")</f>
        <v>0</v>
      </c>
      <c r="C916" s="1">
        <f>IF(B916="", "", "urban biome")</f>
        <v>0</v>
      </c>
      <c r="D916" s="1">
        <f>IF(B916="", "", "animal-associated habitat")</f>
        <v>0</v>
      </c>
      <c r="E916" s="2">
        <f>IF(B916="", "", "missing: not provided")</f>
        <v>0</v>
      </c>
      <c r="F916" s="1">
        <f>IF(B916="", "", "weeks")</f>
        <v>0</v>
      </c>
      <c r="G916" s="1">
        <f>IF(B916="", "", "mouse")</f>
        <v>0</v>
      </c>
      <c r="H916" s="1">
        <f>IF(B916="", "", "Mus musculus")</f>
        <v>0</v>
      </c>
      <c r="I916" s="1">
        <f>IF(B916="", "", "10090")</f>
        <v>0</v>
      </c>
      <c r="J916" s="2">
        <f>IF(B916="", "", "missing: not provided")</f>
        <v>0</v>
      </c>
      <c r="K916" s="1">
        <f>IF(B916="", "", "g")</f>
        <v>0</v>
      </c>
    </row>
    <row r="917" spans="1:11">
      <c r="A917">
        <f>IF(COUNTBLANK(B917:K917)&lt;&gt;COLUMNS(B917:K917),916,"")</f>
        <v>0</v>
      </c>
      <c r="C917" s="1">
        <f>IF(B917="", "", "urban biome")</f>
        <v>0</v>
      </c>
      <c r="D917" s="1">
        <f>IF(B917="", "", "animal-associated habitat")</f>
        <v>0</v>
      </c>
      <c r="E917" s="2">
        <f>IF(B917="", "", "missing: not provided")</f>
        <v>0</v>
      </c>
      <c r="F917" s="1">
        <f>IF(B917="", "", "weeks")</f>
        <v>0</v>
      </c>
      <c r="G917" s="1">
        <f>IF(B917="", "", "mouse")</f>
        <v>0</v>
      </c>
      <c r="H917" s="1">
        <f>IF(B917="", "", "Mus musculus")</f>
        <v>0</v>
      </c>
      <c r="I917" s="1">
        <f>IF(B917="", "", "10090")</f>
        <v>0</v>
      </c>
      <c r="J917" s="2">
        <f>IF(B917="", "", "missing: not provided")</f>
        <v>0</v>
      </c>
      <c r="K917" s="1">
        <f>IF(B917="", "", "g")</f>
        <v>0</v>
      </c>
    </row>
    <row r="918" spans="1:11">
      <c r="A918">
        <f>IF(COUNTBLANK(B918:K918)&lt;&gt;COLUMNS(B918:K918),917,"")</f>
        <v>0</v>
      </c>
      <c r="C918" s="1">
        <f>IF(B918="", "", "urban biome")</f>
        <v>0</v>
      </c>
      <c r="D918" s="1">
        <f>IF(B918="", "", "animal-associated habitat")</f>
        <v>0</v>
      </c>
      <c r="E918" s="2">
        <f>IF(B918="", "", "missing: not provided")</f>
        <v>0</v>
      </c>
      <c r="F918" s="1">
        <f>IF(B918="", "", "weeks")</f>
        <v>0</v>
      </c>
      <c r="G918" s="1">
        <f>IF(B918="", "", "mouse")</f>
        <v>0</v>
      </c>
      <c r="H918" s="1">
        <f>IF(B918="", "", "Mus musculus")</f>
        <v>0</v>
      </c>
      <c r="I918" s="1">
        <f>IF(B918="", "", "10090")</f>
        <v>0</v>
      </c>
      <c r="J918" s="2">
        <f>IF(B918="", "", "missing: not provided")</f>
        <v>0</v>
      </c>
      <c r="K918" s="1">
        <f>IF(B918="", "", "g")</f>
        <v>0</v>
      </c>
    </row>
    <row r="919" spans="1:11">
      <c r="A919">
        <f>IF(COUNTBLANK(B919:K919)&lt;&gt;COLUMNS(B919:K919),918,"")</f>
        <v>0</v>
      </c>
      <c r="C919" s="1">
        <f>IF(B919="", "", "urban biome")</f>
        <v>0</v>
      </c>
      <c r="D919" s="1">
        <f>IF(B919="", "", "animal-associated habitat")</f>
        <v>0</v>
      </c>
      <c r="E919" s="2">
        <f>IF(B919="", "", "missing: not provided")</f>
        <v>0</v>
      </c>
      <c r="F919" s="1">
        <f>IF(B919="", "", "weeks")</f>
        <v>0</v>
      </c>
      <c r="G919" s="1">
        <f>IF(B919="", "", "mouse")</f>
        <v>0</v>
      </c>
      <c r="H919" s="1">
        <f>IF(B919="", "", "Mus musculus")</f>
        <v>0</v>
      </c>
      <c r="I919" s="1">
        <f>IF(B919="", "", "10090")</f>
        <v>0</v>
      </c>
      <c r="J919" s="2">
        <f>IF(B919="", "", "missing: not provided")</f>
        <v>0</v>
      </c>
      <c r="K919" s="1">
        <f>IF(B919="", "", "g")</f>
        <v>0</v>
      </c>
    </row>
    <row r="920" spans="1:11">
      <c r="A920">
        <f>IF(COUNTBLANK(B920:K920)&lt;&gt;COLUMNS(B920:K920),919,"")</f>
        <v>0</v>
      </c>
      <c r="C920" s="1">
        <f>IF(B920="", "", "urban biome")</f>
        <v>0</v>
      </c>
      <c r="D920" s="1">
        <f>IF(B920="", "", "animal-associated habitat")</f>
        <v>0</v>
      </c>
      <c r="E920" s="2">
        <f>IF(B920="", "", "missing: not provided")</f>
        <v>0</v>
      </c>
      <c r="F920" s="1">
        <f>IF(B920="", "", "weeks")</f>
        <v>0</v>
      </c>
      <c r="G920" s="1">
        <f>IF(B920="", "", "mouse")</f>
        <v>0</v>
      </c>
      <c r="H920" s="1">
        <f>IF(B920="", "", "Mus musculus")</f>
        <v>0</v>
      </c>
      <c r="I920" s="1">
        <f>IF(B920="", "", "10090")</f>
        <v>0</v>
      </c>
      <c r="J920" s="2">
        <f>IF(B920="", "", "missing: not provided")</f>
        <v>0</v>
      </c>
      <c r="K920" s="1">
        <f>IF(B920="", "", "g")</f>
        <v>0</v>
      </c>
    </row>
    <row r="921" spans="1:11">
      <c r="A921">
        <f>IF(COUNTBLANK(B921:K921)&lt;&gt;COLUMNS(B921:K921),920,"")</f>
        <v>0</v>
      </c>
      <c r="C921" s="1">
        <f>IF(B921="", "", "urban biome")</f>
        <v>0</v>
      </c>
      <c r="D921" s="1">
        <f>IF(B921="", "", "animal-associated habitat")</f>
        <v>0</v>
      </c>
      <c r="E921" s="2">
        <f>IF(B921="", "", "missing: not provided")</f>
        <v>0</v>
      </c>
      <c r="F921" s="1">
        <f>IF(B921="", "", "weeks")</f>
        <v>0</v>
      </c>
      <c r="G921" s="1">
        <f>IF(B921="", "", "mouse")</f>
        <v>0</v>
      </c>
      <c r="H921" s="1">
        <f>IF(B921="", "", "Mus musculus")</f>
        <v>0</v>
      </c>
      <c r="I921" s="1">
        <f>IF(B921="", "", "10090")</f>
        <v>0</v>
      </c>
      <c r="J921" s="2">
        <f>IF(B921="", "", "missing: not provided")</f>
        <v>0</v>
      </c>
      <c r="K921" s="1">
        <f>IF(B921="", "", "g")</f>
        <v>0</v>
      </c>
    </row>
    <row r="922" spans="1:11">
      <c r="A922">
        <f>IF(COUNTBLANK(B922:K922)&lt;&gt;COLUMNS(B922:K922),921,"")</f>
        <v>0</v>
      </c>
      <c r="C922" s="1">
        <f>IF(B922="", "", "urban biome")</f>
        <v>0</v>
      </c>
      <c r="D922" s="1">
        <f>IF(B922="", "", "animal-associated habitat")</f>
        <v>0</v>
      </c>
      <c r="E922" s="2">
        <f>IF(B922="", "", "missing: not provided")</f>
        <v>0</v>
      </c>
      <c r="F922" s="1">
        <f>IF(B922="", "", "weeks")</f>
        <v>0</v>
      </c>
      <c r="G922" s="1">
        <f>IF(B922="", "", "mouse")</f>
        <v>0</v>
      </c>
      <c r="H922" s="1">
        <f>IF(B922="", "", "Mus musculus")</f>
        <v>0</v>
      </c>
      <c r="I922" s="1">
        <f>IF(B922="", "", "10090")</f>
        <v>0</v>
      </c>
      <c r="J922" s="2">
        <f>IF(B922="", "", "missing: not provided")</f>
        <v>0</v>
      </c>
      <c r="K922" s="1">
        <f>IF(B922="", "", "g")</f>
        <v>0</v>
      </c>
    </row>
    <row r="923" spans="1:11">
      <c r="A923">
        <f>IF(COUNTBLANK(B923:K923)&lt;&gt;COLUMNS(B923:K923),922,"")</f>
        <v>0</v>
      </c>
      <c r="C923" s="1">
        <f>IF(B923="", "", "urban biome")</f>
        <v>0</v>
      </c>
      <c r="D923" s="1">
        <f>IF(B923="", "", "animal-associated habitat")</f>
        <v>0</v>
      </c>
      <c r="E923" s="2">
        <f>IF(B923="", "", "missing: not provided")</f>
        <v>0</v>
      </c>
      <c r="F923" s="1">
        <f>IF(B923="", "", "weeks")</f>
        <v>0</v>
      </c>
      <c r="G923" s="1">
        <f>IF(B923="", "", "mouse")</f>
        <v>0</v>
      </c>
      <c r="H923" s="1">
        <f>IF(B923="", "", "Mus musculus")</f>
        <v>0</v>
      </c>
      <c r="I923" s="1">
        <f>IF(B923="", "", "10090")</f>
        <v>0</v>
      </c>
      <c r="J923" s="2">
        <f>IF(B923="", "", "missing: not provided")</f>
        <v>0</v>
      </c>
      <c r="K923" s="1">
        <f>IF(B923="", "", "g")</f>
        <v>0</v>
      </c>
    </row>
    <row r="924" spans="1:11">
      <c r="A924">
        <f>IF(COUNTBLANK(B924:K924)&lt;&gt;COLUMNS(B924:K924),923,"")</f>
        <v>0</v>
      </c>
      <c r="C924" s="1">
        <f>IF(B924="", "", "urban biome")</f>
        <v>0</v>
      </c>
      <c r="D924" s="1">
        <f>IF(B924="", "", "animal-associated habitat")</f>
        <v>0</v>
      </c>
      <c r="E924" s="2">
        <f>IF(B924="", "", "missing: not provided")</f>
        <v>0</v>
      </c>
      <c r="F924" s="1">
        <f>IF(B924="", "", "weeks")</f>
        <v>0</v>
      </c>
      <c r="G924" s="1">
        <f>IF(B924="", "", "mouse")</f>
        <v>0</v>
      </c>
      <c r="H924" s="1">
        <f>IF(B924="", "", "Mus musculus")</f>
        <v>0</v>
      </c>
      <c r="I924" s="1">
        <f>IF(B924="", "", "10090")</f>
        <v>0</v>
      </c>
      <c r="J924" s="2">
        <f>IF(B924="", "", "missing: not provided")</f>
        <v>0</v>
      </c>
      <c r="K924" s="1">
        <f>IF(B924="", "", "g")</f>
        <v>0</v>
      </c>
    </row>
    <row r="925" spans="1:11">
      <c r="A925">
        <f>IF(COUNTBLANK(B925:K925)&lt;&gt;COLUMNS(B925:K925),924,"")</f>
        <v>0</v>
      </c>
      <c r="C925" s="1">
        <f>IF(B925="", "", "urban biome")</f>
        <v>0</v>
      </c>
      <c r="D925" s="1">
        <f>IF(B925="", "", "animal-associated habitat")</f>
        <v>0</v>
      </c>
      <c r="E925" s="2">
        <f>IF(B925="", "", "missing: not provided")</f>
        <v>0</v>
      </c>
      <c r="F925" s="1">
        <f>IF(B925="", "", "weeks")</f>
        <v>0</v>
      </c>
      <c r="G925" s="1">
        <f>IF(B925="", "", "mouse")</f>
        <v>0</v>
      </c>
      <c r="H925" s="1">
        <f>IF(B925="", "", "Mus musculus")</f>
        <v>0</v>
      </c>
      <c r="I925" s="1">
        <f>IF(B925="", "", "10090")</f>
        <v>0</v>
      </c>
      <c r="J925" s="2">
        <f>IF(B925="", "", "missing: not provided")</f>
        <v>0</v>
      </c>
      <c r="K925" s="1">
        <f>IF(B925="", "", "g")</f>
        <v>0</v>
      </c>
    </row>
    <row r="926" spans="1:11">
      <c r="A926">
        <f>IF(COUNTBLANK(B926:K926)&lt;&gt;COLUMNS(B926:K926),925,"")</f>
        <v>0</v>
      </c>
      <c r="C926" s="1">
        <f>IF(B926="", "", "urban biome")</f>
        <v>0</v>
      </c>
      <c r="D926" s="1">
        <f>IF(B926="", "", "animal-associated habitat")</f>
        <v>0</v>
      </c>
      <c r="E926" s="2">
        <f>IF(B926="", "", "missing: not provided")</f>
        <v>0</v>
      </c>
      <c r="F926" s="1">
        <f>IF(B926="", "", "weeks")</f>
        <v>0</v>
      </c>
      <c r="G926" s="1">
        <f>IF(B926="", "", "mouse")</f>
        <v>0</v>
      </c>
      <c r="H926" s="1">
        <f>IF(B926="", "", "Mus musculus")</f>
        <v>0</v>
      </c>
      <c r="I926" s="1">
        <f>IF(B926="", "", "10090")</f>
        <v>0</v>
      </c>
      <c r="J926" s="2">
        <f>IF(B926="", "", "missing: not provided")</f>
        <v>0</v>
      </c>
      <c r="K926" s="1">
        <f>IF(B926="", "", "g")</f>
        <v>0</v>
      </c>
    </row>
    <row r="927" spans="1:11">
      <c r="A927">
        <f>IF(COUNTBLANK(B927:K927)&lt;&gt;COLUMNS(B927:K927),926,"")</f>
        <v>0</v>
      </c>
      <c r="C927" s="1">
        <f>IF(B927="", "", "urban biome")</f>
        <v>0</v>
      </c>
      <c r="D927" s="1">
        <f>IF(B927="", "", "animal-associated habitat")</f>
        <v>0</v>
      </c>
      <c r="E927" s="2">
        <f>IF(B927="", "", "missing: not provided")</f>
        <v>0</v>
      </c>
      <c r="F927" s="1">
        <f>IF(B927="", "", "weeks")</f>
        <v>0</v>
      </c>
      <c r="G927" s="1">
        <f>IF(B927="", "", "mouse")</f>
        <v>0</v>
      </c>
      <c r="H927" s="1">
        <f>IF(B927="", "", "Mus musculus")</f>
        <v>0</v>
      </c>
      <c r="I927" s="1">
        <f>IF(B927="", "", "10090")</f>
        <v>0</v>
      </c>
      <c r="J927" s="2">
        <f>IF(B927="", "", "missing: not provided")</f>
        <v>0</v>
      </c>
      <c r="K927" s="1">
        <f>IF(B927="", "", "g")</f>
        <v>0</v>
      </c>
    </row>
    <row r="928" spans="1:11">
      <c r="A928">
        <f>IF(COUNTBLANK(B928:K928)&lt;&gt;COLUMNS(B928:K928),927,"")</f>
        <v>0</v>
      </c>
      <c r="C928" s="1">
        <f>IF(B928="", "", "urban biome")</f>
        <v>0</v>
      </c>
      <c r="D928" s="1">
        <f>IF(B928="", "", "animal-associated habitat")</f>
        <v>0</v>
      </c>
      <c r="E928" s="2">
        <f>IF(B928="", "", "missing: not provided")</f>
        <v>0</v>
      </c>
      <c r="F928" s="1">
        <f>IF(B928="", "", "weeks")</f>
        <v>0</v>
      </c>
      <c r="G928" s="1">
        <f>IF(B928="", "", "mouse")</f>
        <v>0</v>
      </c>
      <c r="H928" s="1">
        <f>IF(B928="", "", "Mus musculus")</f>
        <v>0</v>
      </c>
      <c r="I928" s="1">
        <f>IF(B928="", "", "10090")</f>
        <v>0</v>
      </c>
      <c r="J928" s="2">
        <f>IF(B928="", "", "missing: not provided")</f>
        <v>0</v>
      </c>
      <c r="K928" s="1">
        <f>IF(B928="", "", "g")</f>
        <v>0</v>
      </c>
    </row>
    <row r="929" spans="1:11">
      <c r="A929">
        <f>IF(COUNTBLANK(B929:K929)&lt;&gt;COLUMNS(B929:K929),928,"")</f>
        <v>0</v>
      </c>
      <c r="C929" s="1">
        <f>IF(B929="", "", "urban biome")</f>
        <v>0</v>
      </c>
      <c r="D929" s="1">
        <f>IF(B929="", "", "animal-associated habitat")</f>
        <v>0</v>
      </c>
      <c r="E929" s="2">
        <f>IF(B929="", "", "missing: not provided")</f>
        <v>0</v>
      </c>
      <c r="F929" s="1">
        <f>IF(B929="", "", "weeks")</f>
        <v>0</v>
      </c>
      <c r="G929" s="1">
        <f>IF(B929="", "", "mouse")</f>
        <v>0</v>
      </c>
      <c r="H929" s="1">
        <f>IF(B929="", "", "Mus musculus")</f>
        <v>0</v>
      </c>
      <c r="I929" s="1">
        <f>IF(B929="", "", "10090")</f>
        <v>0</v>
      </c>
      <c r="J929" s="2">
        <f>IF(B929="", "", "missing: not provided")</f>
        <v>0</v>
      </c>
      <c r="K929" s="1">
        <f>IF(B929="", "", "g")</f>
        <v>0</v>
      </c>
    </row>
    <row r="930" spans="1:11">
      <c r="A930">
        <f>IF(COUNTBLANK(B930:K930)&lt;&gt;COLUMNS(B930:K930),929,"")</f>
        <v>0</v>
      </c>
      <c r="C930" s="1">
        <f>IF(B930="", "", "urban biome")</f>
        <v>0</v>
      </c>
      <c r="D930" s="1">
        <f>IF(B930="", "", "animal-associated habitat")</f>
        <v>0</v>
      </c>
      <c r="E930" s="2">
        <f>IF(B930="", "", "missing: not provided")</f>
        <v>0</v>
      </c>
      <c r="F930" s="1">
        <f>IF(B930="", "", "weeks")</f>
        <v>0</v>
      </c>
      <c r="G930" s="1">
        <f>IF(B930="", "", "mouse")</f>
        <v>0</v>
      </c>
      <c r="H930" s="1">
        <f>IF(B930="", "", "Mus musculus")</f>
        <v>0</v>
      </c>
      <c r="I930" s="1">
        <f>IF(B930="", "", "10090")</f>
        <v>0</v>
      </c>
      <c r="J930" s="2">
        <f>IF(B930="", "", "missing: not provided")</f>
        <v>0</v>
      </c>
      <c r="K930" s="1">
        <f>IF(B930="", "", "g")</f>
        <v>0</v>
      </c>
    </row>
    <row r="931" spans="1:11">
      <c r="A931">
        <f>IF(COUNTBLANK(B931:K931)&lt;&gt;COLUMNS(B931:K931),930,"")</f>
        <v>0</v>
      </c>
      <c r="C931" s="1">
        <f>IF(B931="", "", "urban biome")</f>
        <v>0</v>
      </c>
      <c r="D931" s="1">
        <f>IF(B931="", "", "animal-associated habitat")</f>
        <v>0</v>
      </c>
      <c r="E931" s="2">
        <f>IF(B931="", "", "missing: not provided")</f>
        <v>0</v>
      </c>
      <c r="F931" s="1">
        <f>IF(B931="", "", "weeks")</f>
        <v>0</v>
      </c>
      <c r="G931" s="1">
        <f>IF(B931="", "", "mouse")</f>
        <v>0</v>
      </c>
      <c r="H931" s="1">
        <f>IF(B931="", "", "Mus musculus")</f>
        <v>0</v>
      </c>
      <c r="I931" s="1">
        <f>IF(B931="", "", "10090")</f>
        <v>0</v>
      </c>
      <c r="J931" s="2">
        <f>IF(B931="", "", "missing: not provided")</f>
        <v>0</v>
      </c>
      <c r="K931" s="1">
        <f>IF(B931="", "", "g")</f>
        <v>0</v>
      </c>
    </row>
    <row r="932" spans="1:11">
      <c r="A932">
        <f>IF(COUNTBLANK(B932:K932)&lt;&gt;COLUMNS(B932:K932),931,"")</f>
        <v>0</v>
      </c>
      <c r="C932" s="1">
        <f>IF(B932="", "", "urban biome")</f>
        <v>0</v>
      </c>
      <c r="D932" s="1">
        <f>IF(B932="", "", "animal-associated habitat")</f>
        <v>0</v>
      </c>
      <c r="E932" s="2">
        <f>IF(B932="", "", "missing: not provided")</f>
        <v>0</v>
      </c>
      <c r="F932" s="1">
        <f>IF(B932="", "", "weeks")</f>
        <v>0</v>
      </c>
      <c r="G932" s="1">
        <f>IF(B932="", "", "mouse")</f>
        <v>0</v>
      </c>
      <c r="H932" s="1">
        <f>IF(B932="", "", "Mus musculus")</f>
        <v>0</v>
      </c>
      <c r="I932" s="1">
        <f>IF(B932="", "", "10090")</f>
        <v>0</v>
      </c>
      <c r="J932" s="2">
        <f>IF(B932="", "", "missing: not provided")</f>
        <v>0</v>
      </c>
      <c r="K932" s="1">
        <f>IF(B932="", "", "g")</f>
        <v>0</v>
      </c>
    </row>
    <row r="933" spans="1:11">
      <c r="A933">
        <f>IF(COUNTBLANK(B933:K933)&lt;&gt;COLUMNS(B933:K933),932,"")</f>
        <v>0</v>
      </c>
      <c r="C933" s="1">
        <f>IF(B933="", "", "urban biome")</f>
        <v>0</v>
      </c>
      <c r="D933" s="1">
        <f>IF(B933="", "", "animal-associated habitat")</f>
        <v>0</v>
      </c>
      <c r="E933" s="2">
        <f>IF(B933="", "", "missing: not provided")</f>
        <v>0</v>
      </c>
      <c r="F933" s="1">
        <f>IF(B933="", "", "weeks")</f>
        <v>0</v>
      </c>
      <c r="G933" s="1">
        <f>IF(B933="", "", "mouse")</f>
        <v>0</v>
      </c>
      <c r="H933" s="1">
        <f>IF(B933="", "", "Mus musculus")</f>
        <v>0</v>
      </c>
      <c r="I933" s="1">
        <f>IF(B933="", "", "10090")</f>
        <v>0</v>
      </c>
      <c r="J933" s="2">
        <f>IF(B933="", "", "missing: not provided")</f>
        <v>0</v>
      </c>
      <c r="K933" s="1">
        <f>IF(B933="", "", "g")</f>
        <v>0</v>
      </c>
    </row>
    <row r="934" spans="1:11">
      <c r="A934">
        <f>IF(COUNTBLANK(B934:K934)&lt;&gt;COLUMNS(B934:K934),933,"")</f>
        <v>0</v>
      </c>
      <c r="C934" s="1">
        <f>IF(B934="", "", "urban biome")</f>
        <v>0</v>
      </c>
      <c r="D934" s="1">
        <f>IF(B934="", "", "animal-associated habitat")</f>
        <v>0</v>
      </c>
      <c r="E934" s="2">
        <f>IF(B934="", "", "missing: not provided")</f>
        <v>0</v>
      </c>
      <c r="F934" s="1">
        <f>IF(B934="", "", "weeks")</f>
        <v>0</v>
      </c>
      <c r="G934" s="1">
        <f>IF(B934="", "", "mouse")</f>
        <v>0</v>
      </c>
      <c r="H934" s="1">
        <f>IF(B934="", "", "Mus musculus")</f>
        <v>0</v>
      </c>
      <c r="I934" s="1">
        <f>IF(B934="", "", "10090")</f>
        <v>0</v>
      </c>
      <c r="J934" s="2">
        <f>IF(B934="", "", "missing: not provided")</f>
        <v>0</v>
      </c>
      <c r="K934" s="1">
        <f>IF(B934="", "", "g")</f>
        <v>0</v>
      </c>
    </row>
    <row r="935" spans="1:11">
      <c r="A935">
        <f>IF(COUNTBLANK(B935:K935)&lt;&gt;COLUMNS(B935:K935),934,"")</f>
        <v>0</v>
      </c>
      <c r="C935" s="1">
        <f>IF(B935="", "", "urban biome")</f>
        <v>0</v>
      </c>
      <c r="D935" s="1">
        <f>IF(B935="", "", "animal-associated habitat")</f>
        <v>0</v>
      </c>
      <c r="E935" s="2">
        <f>IF(B935="", "", "missing: not provided")</f>
        <v>0</v>
      </c>
      <c r="F935" s="1">
        <f>IF(B935="", "", "weeks")</f>
        <v>0</v>
      </c>
      <c r="G935" s="1">
        <f>IF(B935="", "", "mouse")</f>
        <v>0</v>
      </c>
      <c r="H935" s="1">
        <f>IF(B935="", "", "Mus musculus")</f>
        <v>0</v>
      </c>
      <c r="I935" s="1">
        <f>IF(B935="", "", "10090")</f>
        <v>0</v>
      </c>
      <c r="J935" s="2">
        <f>IF(B935="", "", "missing: not provided")</f>
        <v>0</v>
      </c>
      <c r="K935" s="1">
        <f>IF(B935="", "", "g")</f>
        <v>0</v>
      </c>
    </row>
    <row r="936" spans="1:11">
      <c r="A936">
        <f>IF(COUNTBLANK(B936:K936)&lt;&gt;COLUMNS(B936:K936),935,"")</f>
        <v>0</v>
      </c>
      <c r="C936" s="1">
        <f>IF(B936="", "", "urban biome")</f>
        <v>0</v>
      </c>
      <c r="D936" s="1">
        <f>IF(B936="", "", "animal-associated habitat")</f>
        <v>0</v>
      </c>
      <c r="E936" s="2">
        <f>IF(B936="", "", "missing: not provided")</f>
        <v>0</v>
      </c>
      <c r="F936" s="1">
        <f>IF(B936="", "", "weeks")</f>
        <v>0</v>
      </c>
      <c r="G936" s="1">
        <f>IF(B936="", "", "mouse")</f>
        <v>0</v>
      </c>
      <c r="H936" s="1">
        <f>IF(B936="", "", "Mus musculus")</f>
        <v>0</v>
      </c>
      <c r="I936" s="1">
        <f>IF(B936="", "", "10090")</f>
        <v>0</v>
      </c>
      <c r="J936" s="2">
        <f>IF(B936="", "", "missing: not provided")</f>
        <v>0</v>
      </c>
      <c r="K936" s="1">
        <f>IF(B936="", "", "g")</f>
        <v>0</v>
      </c>
    </row>
    <row r="937" spans="1:11">
      <c r="A937">
        <f>IF(COUNTBLANK(B937:K937)&lt;&gt;COLUMNS(B937:K937),936,"")</f>
        <v>0</v>
      </c>
      <c r="C937" s="1">
        <f>IF(B937="", "", "urban biome")</f>
        <v>0</v>
      </c>
      <c r="D937" s="1">
        <f>IF(B937="", "", "animal-associated habitat")</f>
        <v>0</v>
      </c>
      <c r="E937" s="2">
        <f>IF(B937="", "", "missing: not provided")</f>
        <v>0</v>
      </c>
      <c r="F937" s="1">
        <f>IF(B937="", "", "weeks")</f>
        <v>0</v>
      </c>
      <c r="G937" s="1">
        <f>IF(B937="", "", "mouse")</f>
        <v>0</v>
      </c>
      <c r="H937" s="1">
        <f>IF(B937="", "", "Mus musculus")</f>
        <v>0</v>
      </c>
      <c r="I937" s="1">
        <f>IF(B937="", "", "10090")</f>
        <v>0</v>
      </c>
      <c r="J937" s="2">
        <f>IF(B937="", "", "missing: not provided")</f>
        <v>0</v>
      </c>
      <c r="K937" s="1">
        <f>IF(B937="", "", "g")</f>
        <v>0</v>
      </c>
    </row>
    <row r="938" spans="1:11">
      <c r="A938">
        <f>IF(COUNTBLANK(B938:K938)&lt;&gt;COLUMNS(B938:K938),937,"")</f>
        <v>0</v>
      </c>
      <c r="C938" s="1">
        <f>IF(B938="", "", "urban biome")</f>
        <v>0</v>
      </c>
      <c r="D938" s="1">
        <f>IF(B938="", "", "animal-associated habitat")</f>
        <v>0</v>
      </c>
      <c r="E938" s="2">
        <f>IF(B938="", "", "missing: not provided")</f>
        <v>0</v>
      </c>
      <c r="F938" s="1">
        <f>IF(B938="", "", "weeks")</f>
        <v>0</v>
      </c>
      <c r="G938" s="1">
        <f>IF(B938="", "", "mouse")</f>
        <v>0</v>
      </c>
      <c r="H938" s="1">
        <f>IF(B938="", "", "Mus musculus")</f>
        <v>0</v>
      </c>
      <c r="I938" s="1">
        <f>IF(B938="", "", "10090")</f>
        <v>0</v>
      </c>
      <c r="J938" s="2">
        <f>IF(B938="", "", "missing: not provided")</f>
        <v>0</v>
      </c>
      <c r="K938" s="1">
        <f>IF(B938="", "", "g")</f>
        <v>0</v>
      </c>
    </row>
    <row r="939" spans="1:11">
      <c r="A939">
        <f>IF(COUNTBLANK(B939:K939)&lt;&gt;COLUMNS(B939:K939),938,"")</f>
        <v>0</v>
      </c>
      <c r="C939" s="1">
        <f>IF(B939="", "", "urban biome")</f>
        <v>0</v>
      </c>
      <c r="D939" s="1">
        <f>IF(B939="", "", "animal-associated habitat")</f>
        <v>0</v>
      </c>
      <c r="E939" s="2">
        <f>IF(B939="", "", "missing: not provided")</f>
        <v>0</v>
      </c>
      <c r="F939" s="1">
        <f>IF(B939="", "", "weeks")</f>
        <v>0</v>
      </c>
      <c r="G939" s="1">
        <f>IF(B939="", "", "mouse")</f>
        <v>0</v>
      </c>
      <c r="H939" s="1">
        <f>IF(B939="", "", "Mus musculus")</f>
        <v>0</v>
      </c>
      <c r="I939" s="1">
        <f>IF(B939="", "", "10090")</f>
        <v>0</v>
      </c>
      <c r="J939" s="2">
        <f>IF(B939="", "", "missing: not provided")</f>
        <v>0</v>
      </c>
      <c r="K939" s="1">
        <f>IF(B939="", "", "g")</f>
        <v>0</v>
      </c>
    </row>
    <row r="940" spans="1:11">
      <c r="A940">
        <f>IF(COUNTBLANK(B940:K940)&lt;&gt;COLUMNS(B940:K940),939,"")</f>
        <v>0</v>
      </c>
      <c r="C940" s="1">
        <f>IF(B940="", "", "urban biome")</f>
        <v>0</v>
      </c>
      <c r="D940" s="1">
        <f>IF(B940="", "", "animal-associated habitat")</f>
        <v>0</v>
      </c>
      <c r="E940" s="2">
        <f>IF(B940="", "", "missing: not provided")</f>
        <v>0</v>
      </c>
      <c r="F940" s="1">
        <f>IF(B940="", "", "weeks")</f>
        <v>0</v>
      </c>
      <c r="G940" s="1">
        <f>IF(B940="", "", "mouse")</f>
        <v>0</v>
      </c>
      <c r="H940" s="1">
        <f>IF(B940="", "", "Mus musculus")</f>
        <v>0</v>
      </c>
      <c r="I940" s="1">
        <f>IF(B940="", "", "10090")</f>
        <v>0</v>
      </c>
      <c r="J940" s="2">
        <f>IF(B940="", "", "missing: not provided")</f>
        <v>0</v>
      </c>
      <c r="K940" s="1">
        <f>IF(B940="", "", "g")</f>
        <v>0</v>
      </c>
    </row>
    <row r="941" spans="1:11">
      <c r="A941">
        <f>IF(COUNTBLANK(B941:K941)&lt;&gt;COLUMNS(B941:K941),940,"")</f>
        <v>0</v>
      </c>
      <c r="C941" s="1">
        <f>IF(B941="", "", "urban biome")</f>
        <v>0</v>
      </c>
      <c r="D941" s="1">
        <f>IF(B941="", "", "animal-associated habitat")</f>
        <v>0</v>
      </c>
      <c r="E941" s="2">
        <f>IF(B941="", "", "missing: not provided")</f>
        <v>0</v>
      </c>
      <c r="F941" s="1">
        <f>IF(B941="", "", "weeks")</f>
        <v>0</v>
      </c>
      <c r="G941" s="1">
        <f>IF(B941="", "", "mouse")</f>
        <v>0</v>
      </c>
      <c r="H941" s="1">
        <f>IF(B941="", "", "Mus musculus")</f>
        <v>0</v>
      </c>
      <c r="I941" s="1">
        <f>IF(B941="", "", "10090")</f>
        <v>0</v>
      </c>
      <c r="J941" s="2">
        <f>IF(B941="", "", "missing: not provided")</f>
        <v>0</v>
      </c>
      <c r="K941" s="1">
        <f>IF(B941="", "", "g")</f>
        <v>0</v>
      </c>
    </row>
    <row r="942" spans="1:11">
      <c r="A942">
        <f>IF(COUNTBLANK(B942:K942)&lt;&gt;COLUMNS(B942:K942),941,"")</f>
        <v>0</v>
      </c>
      <c r="C942" s="1">
        <f>IF(B942="", "", "urban biome")</f>
        <v>0</v>
      </c>
      <c r="D942" s="1">
        <f>IF(B942="", "", "animal-associated habitat")</f>
        <v>0</v>
      </c>
      <c r="E942" s="2">
        <f>IF(B942="", "", "missing: not provided")</f>
        <v>0</v>
      </c>
      <c r="F942" s="1">
        <f>IF(B942="", "", "weeks")</f>
        <v>0</v>
      </c>
      <c r="G942" s="1">
        <f>IF(B942="", "", "mouse")</f>
        <v>0</v>
      </c>
      <c r="H942" s="1">
        <f>IF(B942="", "", "Mus musculus")</f>
        <v>0</v>
      </c>
      <c r="I942" s="1">
        <f>IF(B942="", "", "10090")</f>
        <v>0</v>
      </c>
      <c r="J942" s="2">
        <f>IF(B942="", "", "missing: not provided")</f>
        <v>0</v>
      </c>
      <c r="K942" s="1">
        <f>IF(B942="", "", "g")</f>
        <v>0</v>
      </c>
    </row>
    <row r="943" spans="1:11">
      <c r="A943">
        <f>IF(COUNTBLANK(B943:K943)&lt;&gt;COLUMNS(B943:K943),942,"")</f>
        <v>0</v>
      </c>
      <c r="C943" s="1">
        <f>IF(B943="", "", "urban biome")</f>
        <v>0</v>
      </c>
      <c r="D943" s="1">
        <f>IF(B943="", "", "animal-associated habitat")</f>
        <v>0</v>
      </c>
      <c r="E943" s="2">
        <f>IF(B943="", "", "missing: not provided")</f>
        <v>0</v>
      </c>
      <c r="F943" s="1">
        <f>IF(B943="", "", "weeks")</f>
        <v>0</v>
      </c>
      <c r="G943" s="1">
        <f>IF(B943="", "", "mouse")</f>
        <v>0</v>
      </c>
      <c r="H943" s="1">
        <f>IF(B943="", "", "Mus musculus")</f>
        <v>0</v>
      </c>
      <c r="I943" s="1">
        <f>IF(B943="", "", "10090")</f>
        <v>0</v>
      </c>
      <c r="J943" s="2">
        <f>IF(B943="", "", "missing: not provided")</f>
        <v>0</v>
      </c>
      <c r="K943" s="1">
        <f>IF(B943="", "", "g")</f>
        <v>0</v>
      </c>
    </row>
    <row r="944" spans="1:11">
      <c r="A944">
        <f>IF(COUNTBLANK(B944:K944)&lt;&gt;COLUMNS(B944:K944),943,"")</f>
        <v>0</v>
      </c>
      <c r="C944" s="1">
        <f>IF(B944="", "", "urban biome")</f>
        <v>0</v>
      </c>
      <c r="D944" s="1">
        <f>IF(B944="", "", "animal-associated habitat")</f>
        <v>0</v>
      </c>
      <c r="E944" s="2">
        <f>IF(B944="", "", "missing: not provided")</f>
        <v>0</v>
      </c>
      <c r="F944" s="1">
        <f>IF(B944="", "", "weeks")</f>
        <v>0</v>
      </c>
      <c r="G944" s="1">
        <f>IF(B944="", "", "mouse")</f>
        <v>0</v>
      </c>
      <c r="H944" s="1">
        <f>IF(B944="", "", "Mus musculus")</f>
        <v>0</v>
      </c>
      <c r="I944" s="1">
        <f>IF(B944="", "", "10090")</f>
        <v>0</v>
      </c>
      <c r="J944" s="2">
        <f>IF(B944="", "", "missing: not provided")</f>
        <v>0</v>
      </c>
      <c r="K944" s="1">
        <f>IF(B944="", "", "g")</f>
        <v>0</v>
      </c>
    </row>
    <row r="945" spans="1:11">
      <c r="A945">
        <f>IF(COUNTBLANK(B945:K945)&lt;&gt;COLUMNS(B945:K945),944,"")</f>
        <v>0</v>
      </c>
      <c r="C945" s="1">
        <f>IF(B945="", "", "urban biome")</f>
        <v>0</v>
      </c>
      <c r="D945" s="1">
        <f>IF(B945="", "", "animal-associated habitat")</f>
        <v>0</v>
      </c>
      <c r="E945" s="2">
        <f>IF(B945="", "", "missing: not provided")</f>
        <v>0</v>
      </c>
      <c r="F945" s="1">
        <f>IF(B945="", "", "weeks")</f>
        <v>0</v>
      </c>
      <c r="G945" s="1">
        <f>IF(B945="", "", "mouse")</f>
        <v>0</v>
      </c>
      <c r="H945" s="1">
        <f>IF(B945="", "", "Mus musculus")</f>
        <v>0</v>
      </c>
      <c r="I945" s="1">
        <f>IF(B945="", "", "10090")</f>
        <v>0</v>
      </c>
      <c r="J945" s="2">
        <f>IF(B945="", "", "missing: not provided")</f>
        <v>0</v>
      </c>
      <c r="K945" s="1">
        <f>IF(B945="", "", "g")</f>
        <v>0</v>
      </c>
    </row>
    <row r="946" spans="1:11">
      <c r="A946">
        <f>IF(COUNTBLANK(B946:K946)&lt;&gt;COLUMNS(B946:K946),945,"")</f>
        <v>0</v>
      </c>
      <c r="C946" s="1">
        <f>IF(B946="", "", "urban biome")</f>
        <v>0</v>
      </c>
      <c r="D946" s="1">
        <f>IF(B946="", "", "animal-associated habitat")</f>
        <v>0</v>
      </c>
      <c r="E946" s="2">
        <f>IF(B946="", "", "missing: not provided")</f>
        <v>0</v>
      </c>
      <c r="F946" s="1">
        <f>IF(B946="", "", "weeks")</f>
        <v>0</v>
      </c>
      <c r="G946" s="1">
        <f>IF(B946="", "", "mouse")</f>
        <v>0</v>
      </c>
      <c r="H946" s="1">
        <f>IF(B946="", "", "Mus musculus")</f>
        <v>0</v>
      </c>
      <c r="I946" s="1">
        <f>IF(B946="", "", "10090")</f>
        <v>0</v>
      </c>
      <c r="J946" s="2">
        <f>IF(B946="", "", "missing: not provided")</f>
        <v>0</v>
      </c>
      <c r="K946" s="1">
        <f>IF(B946="", "", "g")</f>
        <v>0</v>
      </c>
    </row>
    <row r="947" spans="1:11">
      <c r="A947">
        <f>IF(COUNTBLANK(B947:K947)&lt;&gt;COLUMNS(B947:K947),946,"")</f>
        <v>0</v>
      </c>
      <c r="C947" s="1">
        <f>IF(B947="", "", "urban biome")</f>
        <v>0</v>
      </c>
      <c r="D947" s="1">
        <f>IF(B947="", "", "animal-associated habitat")</f>
        <v>0</v>
      </c>
      <c r="E947" s="2">
        <f>IF(B947="", "", "missing: not provided")</f>
        <v>0</v>
      </c>
      <c r="F947" s="1">
        <f>IF(B947="", "", "weeks")</f>
        <v>0</v>
      </c>
      <c r="G947" s="1">
        <f>IF(B947="", "", "mouse")</f>
        <v>0</v>
      </c>
      <c r="H947" s="1">
        <f>IF(B947="", "", "Mus musculus")</f>
        <v>0</v>
      </c>
      <c r="I947" s="1">
        <f>IF(B947="", "", "10090")</f>
        <v>0</v>
      </c>
      <c r="J947" s="2">
        <f>IF(B947="", "", "missing: not provided")</f>
        <v>0</v>
      </c>
      <c r="K947" s="1">
        <f>IF(B947="", "", "g")</f>
        <v>0</v>
      </c>
    </row>
    <row r="948" spans="1:11">
      <c r="A948">
        <f>IF(COUNTBLANK(B948:K948)&lt;&gt;COLUMNS(B948:K948),947,"")</f>
        <v>0</v>
      </c>
      <c r="C948" s="1">
        <f>IF(B948="", "", "urban biome")</f>
        <v>0</v>
      </c>
      <c r="D948" s="1">
        <f>IF(B948="", "", "animal-associated habitat")</f>
        <v>0</v>
      </c>
      <c r="E948" s="2">
        <f>IF(B948="", "", "missing: not provided")</f>
        <v>0</v>
      </c>
      <c r="F948" s="1">
        <f>IF(B948="", "", "weeks")</f>
        <v>0</v>
      </c>
      <c r="G948" s="1">
        <f>IF(B948="", "", "mouse")</f>
        <v>0</v>
      </c>
      <c r="H948" s="1">
        <f>IF(B948="", "", "Mus musculus")</f>
        <v>0</v>
      </c>
      <c r="I948" s="1">
        <f>IF(B948="", "", "10090")</f>
        <v>0</v>
      </c>
      <c r="J948" s="2">
        <f>IF(B948="", "", "missing: not provided")</f>
        <v>0</v>
      </c>
      <c r="K948" s="1">
        <f>IF(B948="", "", "g")</f>
        <v>0</v>
      </c>
    </row>
    <row r="949" spans="1:11">
      <c r="A949">
        <f>IF(COUNTBLANK(B949:K949)&lt;&gt;COLUMNS(B949:K949),948,"")</f>
        <v>0</v>
      </c>
      <c r="C949" s="1">
        <f>IF(B949="", "", "urban biome")</f>
        <v>0</v>
      </c>
      <c r="D949" s="1">
        <f>IF(B949="", "", "animal-associated habitat")</f>
        <v>0</v>
      </c>
      <c r="E949" s="2">
        <f>IF(B949="", "", "missing: not provided")</f>
        <v>0</v>
      </c>
      <c r="F949" s="1">
        <f>IF(B949="", "", "weeks")</f>
        <v>0</v>
      </c>
      <c r="G949" s="1">
        <f>IF(B949="", "", "mouse")</f>
        <v>0</v>
      </c>
      <c r="H949" s="1">
        <f>IF(B949="", "", "Mus musculus")</f>
        <v>0</v>
      </c>
      <c r="I949" s="1">
        <f>IF(B949="", "", "10090")</f>
        <v>0</v>
      </c>
      <c r="J949" s="2">
        <f>IF(B949="", "", "missing: not provided")</f>
        <v>0</v>
      </c>
      <c r="K949" s="1">
        <f>IF(B949="", "", "g")</f>
        <v>0</v>
      </c>
    </row>
    <row r="950" spans="1:11">
      <c r="A950">
        <f>IF(COUNTBLANK(B950:K950)&lt;&gt;COLUMNS(B950:K950),949,"")</f>
        <v>0</v>
      </c>
      <c r="C950" s="1">
        <f>IF(B950="", "", "urban biome")</f>
        <v>0</v>
      </c>
      <c r="D950" s="1">
        <f>IF(B950="", "", "animal-associated habitat")</f>
        <v>0</v>
      </c>
      <c r="E950" s="2">
        <f>IF(B950="", "", "missing: not provided")</f>
        <v>0</v>
      </c>
      <c r="F950" s="1">
        <f>IF(B950="", "", "weeks")</f>
        <v>0</v>
      </c>
      <c r="G950" s="1">
        <f>IF(B950="", "", "mouse")</f>
        <v>0</v>
      </c>
      <c r="H950" s="1">
        <f>IF(B950="", "", "Mus musculus")</f>
        <v>0</v>
      </c>
      <c r="I950" s="1">
        <f>IF(B950="", "", "10090")</f>
        <v>0</v>
      </c>
      <c r="J950" s="2">
        <f>IF(B950="", "", "missing: not provided")</f>
        <v>0</v>
      </c>
      <c r="K950" s="1">
        <f>IF(B950="", "", "g")</f>
        <v>0</v>
      </c>
    </row>
    <row r="951" spans="1:11">
      <c r="A951">
        <f>IF(COUNTBLANK(B951:K951)&lt;&gt;COLUMNS(B951:K951),950,"")</f>
        <v>0</v>
      </c>
      <c r="C951" s="1">
        <f>IF(B951="", "", "urban biome")</f>
        <v>0</v>
      </c>
      <c r="D951" s="1">
        <f>IF(B951="", "", "animal-associated habitat")</f>
        <v>0</v>
      </c>
      <c r="E951" s="2">
        <f>IF(B951="", "", "missing: not provided")</f>
        <v>0</v>
      </c>
      <c r="F951" s="1">
        <f>IF(B951="", "", "weeks")</f>
        <v>0</v>
      </c>
      <c r="G951" s="1">
        <f>IF(B951="", "", "mouse")</f>
        <v>0</v>
      </c>
      <c r="H951" s="1">
        <f>IF(B951="", "", "Mus musculus")</f>
        <v>0</v>
      </c>
      <c r="I951" s="1">
        <f>IF(B951="", "", "10090")</f>
        <v>0</v>
      </c>
      <c r="J951" s="2">
        <f>IF(B951="", "", "missing: not provided")</f>
        <v>0</v>
      </c>
      <c r="K951" s="1">
        <f>IF(B951="", "", "g")</f>
        <v>0</v>
      </c>
    </row>
    <row r="952" spans="1:11">
      <c r="A952">
        <f>IF(COUNTBLANK(B952:K952)&lt;&gt;COLUMNS(B952:K952),951,"")</f>
        <v>0</v>
      </c>
      <c r="C952" s="1">
        <f>IF(B952="", "", "urban biome")</f>
        <v>0</v>
      </c>
      <c r="D952" s="1">
        <f>IF(B952="", "", "animal-associated habitat")</f>
        <v>0</v>
      </c>
      <c r="E952" s="2">
        <f>IF(B952="", "", "missing: not provided")</f>
        <v>0</v>
      </c>
      <c r="F952" s="1">
        <f>IF(B952="", "", "weeks")</f>
        <v>0</v>
      </c>
      <c r="G952" s="1">
        <f>IF(B952="", "", "mouse")</f>
        <v>0</v>
      </c>
      <c r="H952" s="1">
        <f>IF(B952="", "", "Mus musculus")</f>
        <v>0</v>
      </c>
      <c r="I952" s="1">
        <f>IF(B952="", "", "10090")</f>
        <v>0</v>
      </c>
      <c r="J952" s="2">
        <f>IF(B952="", "", "missing: not provided")</f>
        <v>0</v>
      </c>
      <c r="K952" s="1">
        <f>IF(B952="", "", "g")</f>
        <v>0</v>
      </c>
    </row>
    <row r="953" spans="1:11">
      <c r="A953">
        <f>IF(COUNTBLANK(B953:K953)&lt;&gt;COLUMNS(B953:K953),952,"")</f>
        <v>0</v>
      </c>
      <c r="C953" s="1">
        <f>IF(B953="", "", "urban biome")</f>
        <v>0</v>
      </c>
      <c r="D953" s="1">
        <f>IF(B953="", "", "animal-associated habitat")</f>
        <v>0</v>
      </c>
      <c r="E953" s="2">
        <f>IF(B953="", "", "missing: not provided")</f>
        <v>0</v>
      </c>
      <c r="F953" s="1">
        <f>IF(B953="", "", "weeks")</f>
        <v>0</v>
      </c>
      <c r="G953" s="1">
        <f>IF(B953="", "", "mouse")</f>
        <v>0</v>
      </c>
      <c r="H953" s="1">
        <f>IF(B953="", "", "Mus musculus")</f>
        <v>0</v>
      </c>
      <c r="I953" s="1">
        <f>IF(B953="", "", "10090")</f>
        <v>0</v>
      </c>
      <c r="J953" s="2">
        <f>IF(B953="", "", "missing: not provided")</f>
        <v>0</v>
      </c>
      <c r="K953" s="1">
        <f>IF(B953="", "", "g")</f>
        <v>0</v>
      </c>
    </row>
    <row r="954" spans="1:11">
      <c r="A954">
        <f>IF(COUNTBLANK(B954:K954)&lt;&gt;COLUMNS(B954:K954),953,"")</f>
        <v>0</v>
      </c>
      <c r="C954" s="1">
        <f>IF(B954="", "", "urban biome")</f>
        <v>0</v>
      </c>
      <c r="D954" s="1">
        <f>IF(B954="", "", "animal-associated habitat")</f>
        <v>0</v>
      </c>
      <c r="E954" s="2">
        <f>IF(B954="", "", "missing: not provided")</f>
        <v>0</v>
      </c>
      <c r="F954" s="1">
        <f>IF(B954="", "", "weeks")</f>
        <v>0</v>
      </c>
      <c r="G954" s="1">
        <f>IF(B954="", "", "mouse")</f>
        <v>0</v>
      </c>
      <c r="H954" s="1">
        <f>IF(B954="", "", "Mus musculus")</f>
        <v>0</v>
      </c>
      <c r="I954" s="1">
        <f>IF(B954="", "", "10090")</f>
        <v>0</v>
      </c>
      <c r="J954" s="2">
        <f>IF(B954="", "", "missing: not provided")</f>
        <v>0</v>
      </c>
      <c r="K954" s="1">
        <f>IF(B954="", "", "g")</f>
        <v>0</v>
      </c>
    </row>
    <row r="955" spans="1:11">
      <c r="A955">
        <f>IF(COUNTBLANK(B955:K955)&lt;&gt;COLUMNS(B955:K955),954,"")</f>
        <v>0</v>
      </c>
      <c r="C955" s="1">
        <f>IF(B955="", "", "urban biome")</f>
        <v>0</v>
      </c>
      <c r="D955" s="1">
        <f>IF(B955="", "", "animal-associated habitat")</f>
        <v>0</v>
      </c>
      <c r="E955" s="2">
        <f>IF(B955="", "", "missing: not provided")</f>
        <v>0</v>
      </c>
      <c r="F955" s="1">
        <f>IF(B955="", "", "weeks")</f>
        <v>0</v>
      </c>
      <c r="G955" s="1">
        <f>IF(B955="", "", "mouse")</f>
        <v>0</v>
      </c>
      <c r="H955" s="1">
        <f>IF(B955="", "", "Mus musculus")</f>
        <v>0</v>
      </c>
      <c r="I955" s="1">
        <f>IF(B955="", "", "10090")</f>
        <v>0</v>
      </c>
      <c r="J955" s="2">
        <f>IF(B955="", "", "missing: not provided")</f>
        <v>0</v>
      </c>
      <c r="K955" s="1">
        <f>IF(B955="", "", "g")</f>
        <v>0</v>
      </c>
    </row>
    <row r="956" spans="1:11">
      <c r="A956">
        <f>IF(COUNTBLANK(B956:K956)&lt;&gt;COLUMNS(B956:K956),955,"")</f>
        <v>0</v>
      </c>
      <c r="C956" s="1">
        <f>IF(B956="", "", "urban biome")</f>
        <v>0</v>
      </c>
      <c r="D956" s="1">
        <f>IF(B956="", "", "animal-associated habitat")</f>
        <v>0</v>
      </c>
      <c r="E956" s="2">
        <f>IF(B956="", "", "missing: not provided")</f>
        <v>0</v>
      </c>
      <c r="F956" s="1">
        <f>IF(B956="", "", "weeks")</f>
        <v>0</v>
      </c>
      <c r="G956" s="1">
        <f>IF(B956="", "", "mouse")</f>
        <v>0</v>
      </c>
      <c r="H956" s="1">
        <f>IF(B956="", "", "Mus musculus")</f>
        <v>0</v>
      </c>
      <c r="I956" s="1">
        <f>IF(B956="", "", "10090")</f>
        <v>0</v>
      </c>
      <c r="J956" s="2">
        <f>IF(B956="", "", "missing: not provided")</f>
        <v>0</v>
      </c>
      <c r="K956" s="1">
        <f>IF(B956="", "", "g")</f>
        <v>0</v>
      </c>
    </row>
    <row r="957" spans="1:11">
      <c r="A957">
        <f>IF(COUNTBLANK(B957:K957)&lt;&gt;COLUMNS(B957:K957),956,"")</f>
        <v>0</v>
      </c>
      <c r="C957" s="1">
        <f>IF(B957="", "", "urban biome")</f>
        <v>0</v>
      </c>
      <c r="D957" s="1">
        <f>IF(B957="", "", "animal-associated habitat")</f>
        <v>0</v>
      </c>
      <c r="E957" s="2">
        <f>IF(B957="", "", "missing: not provided")</f>
        <v>0</v>
      </c>
      <c r="F957" s="1">
        <f>IF(B957="", "", "weeks")</f>
        <v>0</v>
      </c>
      <c r="G957" s="1">
        <f>IF(B957="", "", "mouse")</f>
        <v>0</v>
      </c>
      <c r="H957" s="1">
        <f>IF(B957="", "", "Mus musculus")</f>
        <v>0</v>
      </c>
      <c r="I957" s="1">
        <f>IF(B957="", "", "10090")</f>
        <v>0</v>
      </c>
      <c r="J957" s="2">
        <f>IF(B957="", "", "missing: not provided")</f>
        <v>0</v>
      </c>
      <c r="K957" s="1">
        <f>IF(B957="", "", "g")</f>
        <v>0</v>
      </c>
    </row>
    <row r="958" spans="1:11">
      <c r="A958">
        <f>IF(COUNTBLANK(B958:K958)&lt;&gt;COLUMNS(B958:K958),957,"")</f>
        <v>0</v>
      </c>
      <c r="C958" s="1">
        <f>IF(B958="", "", "urban biome")</f>
        <v>0</v>
      </c>
      <c r="D958" s="1">
        <f>IF(B958="", "", "animal-associated habitat")</f>
        <v>0</v>
      </c>
      <c r="E958" s="2">
        <f>IF(B958="", "", "missing: not provided")</f>
        <v>0</v>
      </c>
      <c r="F958" s="1">
        <f>IF(B958="", "", "weeks")</f>
        <v>0</v>
      </c>
      <c r="G958" s="1">
        <f>IF(B958="", "", "mouse")</f>
        <v>0</v>
      </c>
      <c r="H958" s="1">
        <f>IF(B958="", "", "Mus musculus")</f>
        <v>0</v>
      </c>
      <c r="I958" s="1">
        <f>IF(B958="", "", "10090")</f>
        <v>0</v>
      </c>
      <c r="J958" s="2">
        <f>IF(B958="", "", "missing: not provided")</f>
        <v>0</v>
      </c>
      <c r="K958" s="1">
        <f>IF(B958="", "", "g")</f>
        <v>0</v>
      </c>
    </row>
    <row r="959" spans="1:11">
      <c r="A959">
        <f>IF(COUNTBLANK(B959:K959)&lt;&gt;COLUMNS(B959:K959),958,"")</f>
        <v>0</v>
      </c>
      <c r="C959" s="1">
        <f>IF(B959="", "", "urban biome")</f>
        <v>0</v>
      </c>
      <c r="D959" s="1">
        <f>IF(B959="", "", "animal-associated habitat")</f>
        <v>0</v>
      </c>
      <c r="E959" s="2">
        <f>IF(B959="", "", "missing: not provided")</f>
        <v>0</v>
      </c>
      <c r="F959" s="1">
        <f>IF(B959="", "", "weeks")</f>
        <v>0</v>
      </c>
      <c r="G959" s="1">
        <f>IF(B959="", "", "mouse")</f>
        <v>0</v>
      </c>
      <c r="H959" s="1">
        <f>IF(B959="", "", "Mus musculus")</f>
        <v>0</v>
      </c>
      <c r="I959" s="1">
        <f>IF(B959="", "", "10090")</f>
        <v>0</v>
      </c>
      <c r="J959" s="2">
        <f>IF(B959="", "", "missing: not provided")</f>
        <v>0</v>
      </c>
      <c r="K959" s="1">
        <f>IF(B959="", "", "g")</f>
        <v>0</v>
      </c>
    </row>
    <row r="960" spans="1:11">
      <c r="A960">
        <f>IF(COUNTBLANK(B960:K960)&lt;&gt;COLUMNS(B960:K960),959,"")</f>
        <v>0</v>
      </c>
      <c r="C960" s="1">
        <f>IF(B960="", "", "urban biome")</f>
        <v>0</v>
      </c>
      <c r="D960" s="1">
        <f>IF(B960="", "", "animal-associated habitat")</f>
        <v>0</v>
      </c>
      <c r="E960" s="2">
        <f>IF(B960="", "", "missing: not provided")</f>
        <v>0</v>
      </c>
      <c r="F960" s="1">
        <f>IF(B960="", "", "weeks")</f>
        <v>0</v>
      </c>
      <c r="G960" s="1">
        <f>IF(B960="", "", "mouse")</f>
        <v>0</v>
      </c>
      <c r="H960" s="1">
        <f>IF(B960="", "", "Mus musculus")</f>
        <v>0</v>
      </c>
      <c r="I960" s="1">
        <f>IF(B960="", "", "10090")</f>
        <v>0</v>
      </c>
      <c r="J960" s="2">
        <f>IF(B960="", "", "missing: not provided")</f>
        <v>0</v>
      </c>
      <c r="K960" s="1">
        <f>IF(B960="", "", "g")</f>
        <v>0</v>
      </c>
    </row>
    <row r="961" spans="1:11">
      <c r="A961">
        <f>IF(COUNTBLANK(B961:K961)&lt;&gt;COLUMNS(B961:K961),960,"")</f>
        <v>0</v>
      </c>
      <c r="C961" s="1">
        <f>IF(B961="", "", "urban biome")</f>
        <v>0</v>
      </c>
      <c r="D961" s="1">
        <f>IF(B961="", "", "animal-associated habitat")</f>
        <v>0</v>
      </c>
      <c r="E961" s="2">
        <f>IF(B961="", "", "missing: not provided")</f>
        <v>0</v>
      </c>
      <c r="F961" s="1">
        <f>IF(B961="", "", "weeks")</f>
        <v>0</v>
      </c>
      <c r="G961" s="1">
        <f>IF(B961="", "", "mouse")</f>
        <v>0</v>
      </c>
      <c r="H961" s="1">
        <f>IF(B961="", "", "Mus musculus")</f>
        <v>0</v>
      </c>
      <c r="I961" s="1">
        <f>IF(B961="", "", "10090")</f>
        <v>0</v>
      </c>
      <c r="J961" s="2">
        <f>IF(B961="", "", "missing: not provided")</f>
        <v>0</v>
      </c>
      <c r="K961" s="1">
        <f>IF(B961="", "", "g")</f>
        <v>0</v>
      </c>
    </row>
    <row r="962" spans="1:11">
      <c r="A962">
        <f>IF(COUNTBLANK(B962:K962)&lt;&gt;COLUMNS(B962:K962),961,"")</f>
        <v>0</v>
      </c>
      <c r="C962" s="1">
        <f>IF(B962="", "", "urban biome")</f>
        <v>0</v>
      </c>
      <c r="D962" s="1">
        <f>IF(B962="", "", "animal-associated habitat")</f>
        <v>0</v>
      </c>
      <c r="E962" s="2">
        <f>IF(B962="", "", "missing: not provided")</f>
        <v>0</v>
      </c>
      <c r="F962" s="1">
        <f>IF(B962="", "", "weeks")</f>
        <v>0</v>
      </c>
      <c r="G962" s="1">
        <f>IF(B962="", "", "mouse")</f>
        <v>0</v>
      </c>
      <c r="H962" s="1">
        <f>IF(B962="", "", "Mus musculus")</f>
        <v>0</v>
      </c>
      <c r="I962" s="1">
        <f>IF(B962="", "", "10090")</f>
        <v>0</v>
      </c>
      <c r="J962" s="2">
        <f>IF(B962="", "", "missing: not provided")</f>
        <v>0</v>
      </c>
      <c r="K962" s="1">
        <f>IF(B962="", "", "g")</f>
        <v>0</v>
      </c>
    </row>
    <row r="963" spans="1:11">
      <c r="A963">
        <f>IF(COUNTBLANK(B963:K963)&lt;&gt;COLUMNS(B963:K963),962,"")</f>
        <v>0</v>
      </c>
      <c r="C963" s="1">
        <f>IF(B963="", "", "urban biome")</f>
        <v>0</v>
      </c>
      <c r="D963" s="1">
        <f>IF(B963="", "", "animal-associated habitat")</f>
        <v>0</v>
      </c>
      <c r="E963" s="2">
        <f>IF(B963="", "", "missing: not provided")</f>
        <v>0</v>
      </c>
      <c r="F963" s="1">
        <f>IF(B963="", "", "weeks")</f>
        <v>0</v>
      </c>
      <c r="G963" s="1">
        <f>IF(B963="", "", "mouse")</f>
        <v>0</v>
      </c>
      <c r="H963" s="1">
        <f>IF(B963="", "", "Mus musculus")</f>
        <v>0</v>
      </c>
      <c r="I963" s="1">
        <f>IF(B963="", "", "10090")</f>
        <v>0</v>
      </c>
      <c r="J963" s="2">
        <f>IF(B963="", "", "missing: not provided")</f>
        <v>0</v>
      </c>
      <c r="K963" s="1">
        <f>IF(B963="", "", "g")</f>
        <v>0</v>
      </c>
    </row>
    <row r="964" spans="1:11">
      <c r="A964">
        <f>IF(COUNTBLANK(B964:K964)&lt;&gt;COLUMNS(B964:K964),963,"")</f>
        <v>0</v>
      </c>
      <c r="C964" s="1">
        <f>IF(B964="", "", "urban biome")</f>
        <v>0</v>
      </c>
      <c r="D964" s="1">
        <f>IF(B964="", "", "animal-associated habitat")</f>
        <v>0</v>
      </c>
      <c r="E964" s="2">
        <f>IF(B964="", "", "missing: not provided")</f>
        <v>0</v>
      </c>
      <c r="F964" s="1">
        <f>IF(B964="", "", "weeks")</f>
        <v>0</v>
      </c>
      <c r="G964" s="1">
        <f>IF(B964="", "", "mouse")</f>
        <v>0</v>
      </c>
      <c r="H964" s="1">
        <f>IF(B964="", "", "Mus musculus")</f>
        <v>0</v>
      </c>
      <c r="I964" s="1">
        <f>IF(B964="", "", "10090")</f>
        <v>0</v>
      </c>
      <c r="J964" s="2">
        <f>IF(B964="", "", "missing: not provided")</f>
        <v>0</v>
      </c>
      <c r="K964" s="1">
        <f>IF(B964="", "", "g")</f>
        <v>0</v>
      </c>
    </row>
    <row r="965" spans="1:11">
      <c r="A965">
        <f>IF(COUNTBLANK(B965:K965)&lt;&gt;COLUMNS(B965:K965),964,"")</f>
        <v>0</v>
      </c>
      <c r="C965" s="1">
        <f>IF(B965="", "", "urban biome")</f>
        <v>0</v>
      </c>
      <c r="D965" s="1">
        <f>IF(B965="", "", "animal-associated habitat")</f>
        <v>0</v>
      </c>
      <c r="E965" s="2">
        <f>IF(B965="", "", "missing: not provided")</f>
        <v>0</v>
      </c>
      <c r="F965" s="1">
        <f>IF(B965="", "", "weeks")</f>
        <v>0</v>
      </c>
      <c r="G965" s="1">
        <f>IF(B965="", "", "mouse")</f>
        <v>0</v>
      </c>
      <c r="H965" s="1">
        <f>IF(B965="", "", "Mus musculus")</f>
        <v>0</v>
      </c>
      <c r="I965" s="1">
        <f>IF(B965="", "", "10090")</f>
        <v>0</v>
      </c>
      <c r="J965" s="2">
        <f>IF(B965="", "", "missing: not provided")</f>
        <v>0</v>
      </c>
      <c r="K965" s="1">
        <f>IF(B965="", "", "g")</f>
        <v>0</v>
      </c>
    </row>
    <row r="966" spans="1:11">
      <c r="A966">
        <f>IF(COUNTBLANK(B966:K966)&lt;&gt;COLUMNS(B966:K966),965,"")</f>
        <v>0</v>
      </c>
      <c r="C966" s="1">
        <f>IF(B966="", "", "urban biome")</f>
        <v>0</v>
      </c>
      <c r="D966" s="1">
        <f>IF(B966="", "", "animal-associated habitat")</f>
        <v>0</v>
      </c>
      <c r="E966" s="2">
        <f>IF(B966="", "", "missing: not provided")</f>
        <v>0</v>
      </c>
      <c r="F966" s="1">
        <f>IF(B966="", "", "weeks")</f>
        <v>0</v>
      </c>
      <c r="G966" s="1">
        <f>IF(B966="", "", "mouse")</f>
        <v>0</v>
      </c>
      <c r="H966" s="1">
        <f>IF(B966="", "", "Mus musculus")</f>
        <v>0</v>
      </c>
      <c r="I966" s="1">
        <f>IF(B966="", "", "10090")</f>
        <v>0</v>
      </c>
      <c r="J966" s="2">
        <f>IF(B966="", "", "missing: not provided")</f>
        <v>0</v>
      </c>
      <c r="K966" s="1">
        <f>IF(B966="", "", "g")</f>
        <v>0</v>
      </c>
    </row>
    <row r="967" spans="1:11">
      <c r="A967">
        <f>IF(COUNTBLANK(B967:K967)&lt;&gt;COLUMNS(B967:K967),966,"")</f>
        <v>0</v>
      </c>
      <c r="C967" s="1">
        <f>IF(B967="", "", "urban biome")</f>
        <v>0</v>
      </c>
      <c r="D967" s="1">
        <f>IF(B967="", "", "animal-associated habitat")</f>
        <v>0</v>
      </c>
      <c r="E967" s="2">
        <f>IF(B967="", "", "missing: not provided")</f>
        <v>0</v>
      </c>
      <c r="F967" s="1">
        <f>IF(B967="", "", "weeks")</f>
        <v>0</v>
      </c>
      <c r="G967" s="1">
        <f>IF(B967="", "", "mouse")</f>
        <v>0</v>
      </c>
      <c r="H967" s="1">
        <f>IF(B967="", "", "Mus musculus")</f>
        <v>0</v>
      </c>
      <c r="I967" s="1">
        <f>IF(B967="", "", "10090")</f>
        <v>0</v>
      </c>
      <c r="J967" s="2">
        <f>IF(B967="", "", "missing: not provided")</f>
        <v>0</v>
      </c>
      <c r="K967" s="1">
        <f>IF(B967="", "", "g")</f>
        <v>0</v>
      </c>
    </row>
    <row r="968" spans="1:11">
      <c r="A968">
        <f>IF(COUNTBLANK(B968:K968)&lt;&gt;COLUMNS(B968:K968),967,"")</f>
        <v>0</v>
      </c>
      <c r="C968" s="1">
        <f>IF(B968="", "", "urban biome")</f>
        <v>0</v>
      </c>
      <c r="D968" s="1">
        <f>IF(B968="", "", "animal-associated habitat")</f>
        <v>0</v>
      </c>
      <c r="E968" s="2">
        <f>IF(B968="", "", "missing: not provided")</f>
        <v>0</v>
      </c>
      <c r="F968" s="1">
        <f>IF(B968="", "", "weeks")</f>
        <v>0</v>
      </c>
      <c r="G968" s="1">
        <f>IF(B968="", "", "mouse")</f>
        <v>0</v>
      </c>
      <c r="H968" s="1">
        <f>IF(B968="", "", "Mus musculus")</f>
        <v>0</v>
      </c>
      <c r="I968" s="1">
        <f>IF(B968="", "", "10090")</f>
        <v>0</v>
      </c>
      <c r="J968" s="2">
        <f>IF(B968="", "", "missing: not provided")</f>
        <v>0</v>
      </c>
      <c r="K968" s="1">
        <f>IF(B968="", "", "g")</f>
        <v>0</v>
      </c>
    </row>
    <row r="969" spans="1:11">
      <c r="A969">
        <f>IF(COUNTBLANK(B969:K969)&lt;&gt;COLUMNS(B969:K969),968,"")</f>
        <v>0</v>
      </c>
      <c r="C969" s="1">
        <f>IF(B969="", "", "urban biome")</f>
        <v>0</v>
      </c>
      <c r="D969" s="1">
        <f>IF(B969="", "", "animal-associated habitat")</f>
        <v>0</v>
      </c>
      <c r="E969" s="2">
        <f>IF(B969="", "", "missing: not provided")</f>
        <v>0</v>
      </c>
      <c r="F969" s="1">
        <f>IF(B969="", "", "weeks")</f>
        <v>0</v>
      </c>
      <c r="G969" s="1">
        <f>IF(B969="", "", "mouse")</f>
        <v>0</v>
      </c>
      <c r="H969" s="1">
        <f>IF(B969="", "", "Mus musculus")</f>
        <v>0</v>
      </c>
      <c r="I969" s="1">
        <f>IF(B969="", "", "10090")</f>
        <v>0</v>
      </c>
      <c r="J969" s="2">
        <f>IF(B969="", "", "missing: not provided")</f>
        <v>0</v>
      </c>
      <c r="K969" s="1">
        <f>IF(B969="", "", "g")</f>
        <v>0</v>
      </c>
    </row>
    <row r="970" spans="1:11">
      <c r="A970">
        <f>IF(COUNTBLANK(B970:K970)&lt;&gt;COLUMNS(B970:K970),969,"")</f>
        <v>0</v>
      </c>
      <c r="C970" s="1">
        <f>IF(B970="", "", "urban biome")</f>
        <v>0</v>
      </c>
      <c r="D970" s="1">
        <f>IF(B970="", "", "animal-associated habitat")</f>
        <v>0</v>
      </c>
      <c r="E970" s="2">
        <f>IF(B970="", "", "missing: not provided")</f>
        <v>0</v>
      </c>
      <c r="F970" s="1">
        <f>IF(B970="", "", "weeks")</f>
        <v>0</v>
      </c>
      <c r="G970" s="1">
        <f>IF(B970="", "", "mouse")</f>
        <v>0</v>
      </c>
      <c r="H970" s="1">
        <f>IF(B970="", "", "Mus musculus")</f>
        <v>0</v>
      </c>
      <c r="I970" s="1">
        <f>IF(B970="", "", "10090")</f>
        <v>0</v>
      </c>
      <c r="J970" s="2">
        <f>IF(B970="", "", "missing: not provided")</f>
        <v>0</v>
      </c>
      <c r="K970" s="1">
        <f>IF(B970="", "", "g")</f>
        <v>0</v>
      </c>
    </row>
    <row r="971" spans="1:11">
      <c r="A971">
        <f>IF(COUNTBLANK(B971:K971)&lt;&gt;COLUMNS(B971:K971),970,"")</f>
        <v>0</v>
      </c>
      <c r="C971" s="1">
        <f>IF(B971="", "", "urban biome")</f>
        <v>0</v>
      </c>
      <c r="D971" s="1">
        <f>IF(B971="", "", "animal-associated habitat")</f>
        <v>0</v>
      </c>
      <c r="E971" s="2">
        <f>IF(B971="", "", "missing: not provided")</f>
        <v>0</v>
      </c>
      <c r="F971" s="1">
        <f>IF(B971="", "", "weeks")</f>
        <v>0</v>
      </c>
      <c r="G971" s="1">
        <f>IF(B971="", "", "mouse")</f>
        <v>0</v>
      </c>
      <c r="H971" s="1">
        <f>IF(B971="", "", "Mus musculus")</f>
        <v>0</v>
      </c>
      <c r="I971" s="1">
        <f>IF(B971="", "", "10090")</f>
        <v>0</v>
      </c>
      <c r="J971" s="2">
        <f>IF(B971="", "", "missing: not provided")</f>
        <v>0</v>
      </c>
      <c r="K971" s="1">
        <f>IF(B971="", "", "g")</f>
        <v>0</v>
      </c>
    </row>
    <row r="972" spans="1:11">
      <c r="A972">
        <f>IF(COUNTBLANK(B972:K972)&lt;&gt;COLUMNS(B972:K972),971,"")</f>
        <v>0</v>
      </c>
      <c r="C972" s="1">
        <f>IF(B972="", "", "urban biome")</f>
        <v>0</v>
      </c>
      <c r="D972" s="1">
        <f>IF(B972="", "", "animal-associated habitat")</f>
        <v>0</v>
      </c>
      <c r="E972" s="2">
        <f>IF(B972="", "", "missing: not provided")</f>
        <v>0</v>
      </c>
      <c r="F972" s="1">
        <f>IF(B972="", "", "weeks")</f>
        <v>0</v>
      </c>
      <c r="G972" s="1">
        <f>IF(B972="", "", "mouse")</f>
        <v>0</v>
      </c>
      <c r="H972" s="1">
        <f>IF(B972="", "", "Mus musculus")</f>
        <v>0</v>
      </c>
      <c r="I972" s="1">
        <f>IF(B972="", "", "10090")</f>
        <v>0</v>
      </c>
      <c r="J972" s="2">
        <f>IF(B972="", "", "missing: not provided")</f>
        <v>0</v>
      </c>
      <c r="K972" s="1">
        <f>IF(B972="", "", "g")</f>
        <v>0</v>
      </c>
    </row>
    <row r="973" spans="1:11">
      <c r="A973">
        <f>IF(COUNTBLANK(B973:K973)&lt;&gt;COLUMNS(B973:K973),972,"")</f>
        <v>0</v>
      </c>
      <c r="C973" s="1">
        <f>IF(B973="", "", "urban biome")</f>
        <v>0</v>
      </c>
      <c r="D973" s="1">
        <f>IF(B973="", "", "animal-associated habitat")</f>
        <v>0</v>
      </c>
      <c r="E973" s="2">
        <f>IF(B973="", "", "missing: not provided")</f>
        <v>0</v>
      </c>
      <c r="F973" s="1">
        <f>IF(B973="", "", "weeks")</f>
        <v>0</v>
      </c>
      <c r="G973" s="1">
        <f>IF(B973="", "", "mouse")</f>
        <v>0</v>
      </c>
      <c r="H973" s="1">
        <f>IF(B973="", "", "Mus musculus")</f>
        <v>0</v>
      </c>
      <c r="I973" s="1">
        <f>IF(B973="", "", "10090")</f>
        <v>0</v>
      </c>
      <c r="J973" s="2">
        <f>IF(B973="", "", "missing: not provided")</f>
        <v>0</v>
      </c>
      <c r="K973" s="1">
        <f>IF(B973="", "", "g")</f>
        <v>0</v>
      </c>
    </row>
    <row r="974" spans="1:11">
      <c r="A974">
        <f>IF(COUNTBLANK(B974:K974)&lt;&gt;COLUMNS(B974:K974),973,"")</f>
        <v>0</v>
      </c>
      <c r="C974" s="1">
        <f>IF(B974="", "", "urban biome")</f>
        <v>0</v>
      </c>
      <c r="D974" s="1">
        <f>IF(B974="", "", "animal-associated habitat")</f>
        <v>0</v>
      </c>
      <c r="E974" s="2">
        <f>IF(B974="", "", "missing: not provided")</f>
        <v>0</v>
      </c>
      <c r="F974" s="1">
        <f>IF(B974="", "", "weeks")</f>
        <v>0</v>
      </c>
      <c r="G974" s="1">
        <f>IF(B974="", "", "mouse")</f>
        <v>0</v>
      </c>
      <c r="H974" s="1">
        <f>IF(B974="", "", "Mus musculus")</f>
        <v>0</v>
      </c>
      <c r="I974" s="1">
        <f>IF(B974="", "", "10090")</f>
        <v>0</v>
      </c>
      <c r="J974" s="2">
        <f>IF(B974="", "", "missing: not provided")</f>
        <v>0</v>
      </c>
      <c r="K974" s="1">
        <f>IF(B974="", "", "g")</f>
        <v>0</v>
      </c>
    </row>
    <row r="975" spans="1:11">
      <c r="A975">
        <f>IF(COUNTBLANK(B975:K975)&lt;&gt;COLUMNS(B975:K975),974,"")</f>
        <v>0</v>
      </c>
      <c r="C975" s="1">
        <f>IF(B975="", "", "urban biome")</f>
        <v>0</v>
      </c>
      <c r="D975" s="1">
        <f>IF(B975="", "", "animal-associated habitat")</f>
        <v>0</v>
      </c>
      <c r="E975" s="2">
        <f>IF(B975="", "", "missing: not provided")</f>
        <v>0</v>
      </c>
      <c r="F975" s="1">
        <f>IF(B975="", "", "weeks")</f>
        <v>0</v>
      </c>
      <c r="G975" s="1">
        <f>IF(B975="", "", "mouse")</f>
        <v>0</v>
      </c>
      <c r="H975" s="1">
        <f>IF(B975="", "", "Mus musculus")</f>
        <v>0</v>
      </c>
      <c r="I975" s="1">
        <f>IF(B975="", "", "10090")</f>
        <v>0</v>
      </c>
      <c r="J975" s="2">
        <f>IF(B975="", "", "missing: not provided")</f>
        <v>0</v>
      </c>
      <c r="K975" s="1">
        <f>IF(B975="", "", "g")</f>
        <v>0</v>
      </c>
    </row>
    <row r="976" spans="1:11">
      <c r="A976">
        <f>IF(COUNTBLANK(B976:K976)&lt;&gt;COLUMNS(B976:K976),975,"")</f>
        <v>0</v>
      </c>
      <c r="C976" s="1">
        <f>IF(B976="", "", "urban biome")</f>
        <v>0</v>
      </c>
      <c r="D976" s="1">
        <f>IF(B976="", "", "animal-associated habitat")</f>
        <v>0</v>
      </c>
      <c r="E976" s="2">
        <f>IF(B976="", "", "missing: not provided")</f>
        <v>0</v>
      </c>
      <c r="F976" s="1">
        <f>IF(B976="", "", "weeks")</f>
        <v>0</v>
      </c>
      <c r="G976" s="1">
        <f>IF(B976="", "", "mouse")</f>
        <v>0</v>
      </c>
      <c r="H976" s="1">
        <f>IF(B976="", "", "Mus musculus")</f>
        <v>0</v>
      </c>
      <c r="I976" s="1">
        <f>IF(B976="", "", "10090")</f>
        <v>0</v>
      </c>
      <c r="J976" s="2">
        <f>IF(B976="", "", "missing: not provided")</f>
        <v>0</v>
      </c>
      <c r="K976" s="1">
        <f>IF(B976="", "", "g")</f>
        <v>0</v>
      </c>
    </row>
    <row r="977" spans="1:11">
      <c r="A977">
        <f>IF(COUNTBLANK(B977:K977)&lt;&gt;COLUMNS(B977:K977),976,"")</f>
        <v>0</v>
      </c>
      <c r="C977" s="1">
        <f>IF(B977="", "", "urban biome")</f>
        <v>0</v>
      </c>
      <c r="D977" s="1">
        <f>IF(B977="", "", "animal-associated habitat")</f>
        <v>0</v>
      </c>
      <c r="E977" s="2">
        <f>IF(B977="", "", "missing: not provided")</f>
        <v>0</v>
      </c>
      <c r="F977" s="1">
        <f>IF(B977="", "", "weeks")</f>
        <v>0</v>
      </c>
      <c r="G977" s="1">
        <f>IF(B977="", "", "mouse")</f>
        <v>0</v>
      </c>
      <c r="H977" s="1">
        <f>IF(B977="", "", "Mus musculus")</f>
        <v>0</v>
      </c>
      <c r="I977" s="1">
        <f>IF(B977="", "", "10090")</f>
        <v>0</v>
      </c>
      <c r="J977" s="2">
        <f>IF(B977="", "", "missing: not provided")</f>
        <v>0</v>
      </c>
      <c r="K977" s="1">
        <f>IF(B977="", "", "g")</f>
        <v>0</v>
      </c>
    </row>
    <row r="978" spans="1:11">
      <c r="A978">
        <f>IF(COUNTBLANK(B978:K978)&lt;&gt;COLUMNS(B978:K978),977,"")</f>
        <v>0</v>
      </c>
      <c r="C978" s="1">
        <f>IF(B978="", "", "urban biome")</f>
        <v>0</v>
      </c>
      <c r="D978" s="1">
        <f>IF(B978="", "", "animal-associated habitat")</f>
        <v>0</v>
      </c>
      <c r="E978" s="2">
        <f>IF(B978="", "", "missing: not provided")</f>
        <v>0</v>
      </c>
      <c r="F978" s="1">
        <f>IF(B978="", "", "weeks")</f>
        <v>0</v>
      </c>
      <c r="G978" s="1">
        <f>IF(B978="", "", "mouse")</f>
        <v>0</v>
      </c>
      <c r="H978" s="1">
        <f>IF(B978="", "", "Mus musculus")</f>
        <v>0</v>
      </c>
      <c r="I978" s="1">
        <f>IF(B978="", "", "10090")</f>
        <v>0</v>
      </c>
      <c r="J978" s="2">
        <f>IF(B978="", "", "missing: not provided")</f>
        <v>0</v>
      </c>
      <c r="K978" s="1">
        <f>IF(B978="", "", "g")</f>
        <v>0</v>
      </c>
    </row>
    <row r="979" spans="1:11">
      <c r="A979">
        <f>IF(COUNTBLANK(B979:K979)&lt;&gt;COLUMNS(B979:K979),978,"")</f>
        <v>0</v>
      </c>
      <c r="C979" s="1">
        <f>IF(B979="", "", "urban biome")</f>
        <v>0</v>
      </c>
      <c r="D979" s="1">
        <f>IF(B979="", "", "animal-associated habitat")</f>
        <v>0</v>
      </c>
      <c r="E979" s="2">
        <f>IF(B979="", "", "missing: not provided")</f>
        <v>0</v>
      </c>
      <c r="F979" s="1">
        <f>IF(B979="", "", "weeks")</f>
        <v>0</v>
      </c>
      <c r="G979" s="1">
        <f>IF(B979="", "", "mouse")</f>
        <v>0</v>
      </c>
      <c r="H979" s="1">
        <f>IF(B979="", "", "Mus musculus")</f>
        <v>0</v>
      </c>
      <c r="I979" s="1">
        <f>IF(B979="", "", "10090")</f>
        <v>0</v>
      </c>
      <c r="J979" s="2">
        <f>IF(B979="", "", "missing: not provided")</f>
        <v>0</v>
      </c>
      <c r="K979" s="1">
        <f>IF(B979="", "", "g")</f>
        <v>0</v>
      </c>
    </row>
    <row r="980" spans="1:11">
      <c r="A980">
        <f>IF(COUNTBLANK(B980:K980)&lt;&gt;COLUMNS(B980:K980),979,"")</f>
        <v>0</v>
      </c>
      <c r="C980" s="1">
        <f>IF(B980="", "", "urban biome")</f>
        <v>0</v>
      </c>
      <c r="D980" s="1">
        <f>IF(B980="", "", "animal-associated habitat")</f>
        <v>0</v>
      </c>
      <c r="E980" s="2">
        <f>IF(B980="", "", "missing: not provided")</f>
        <v>0</v>
      </c>
      <c r="F980" s="1">
        <f>IF(B980="", "", "weeks")</f>
        <v>0</v>
      </c>
      <c r="G980" s="1">
        <f>IF(B980="", "", "mouse")</f>
        <v>0</v>
      </c>
      <c r="H980" s="1">
        <f>IF(B980="", "", "Mus musculus")</f>
        <v>0</v>
      </c>
      <c r="I980" s="1">
        <f>IF(B980="", "", "10090")</f>
        <v>0</v>
      </c>
      <c r="J980" s="2">
        <f>IF(B980="", "", "missing: not provided")</f>
        <v>0</v>
      </c>
      <c r="K980" s="1">
        <f>IF(B980="", "", "g")</f>
        <v>0</v>
      </c>
    </row>
    <row r="981" spans="1:11">
      <c r="A981">
        <f>IF(COUNTBLANK(B981:K981)&lt;&gt;COLUMNS(B981:K981),980,"")</f>
        <v>0</v>
      </c>
      <c r="C981" s="1">
        <f>IF(B981="", "", "urban biome")</f>
        <v>0</v>
      </c>
      <c r="D981" s="1">
        <f>IF(B981="", "", "animal-associated habitat")</f>
        <v>0</v>
      </c>
      <c r="E981" s="2">
        <f>IF(B981="", "", "missing: not provided")</f>
        <v>0</v>
      </c>
      <c r="F981" s="1">
        <f>IF(B981="", "", "weeks")</f>
        <v>0</v>
      </c>
      <c r="G981" s="1">
        <f>IF(B981="", "", "mouse")</f>
        <v>0</v>
      </c>
      <c r="H981" s="1">
        <f>IF(B981="", "", "Mus musculus")</f>
        <v>0</v>
      </c>
      <c r="I981" s="1">
        <f>IF(B981="", "", "10090")</f>
        <v>0</v>
      </c>
      <c r="J981" s="2">
        <f>IF(B981="", "", "missing: not provided")</f>
        <v>0</v>
      </c>
      <c r="K981" s="1">
        <f>IF(B981="", "", "g")</f>
        <v>0</v>
      </c>
    </row>
    <row r="982" spans="1:11">
      <c r="A982">
        <f>IF(COUNTBLANK(B982:K982)&lt;&gt;COLUMNS(B982:K982),981,"")</f>
        <v>0</v>
      </c>
      <c r="C982" s="1">
        <f>IF(B982="", "", "urban biome")</f>
        <v>0</v>
      </c>
      <c r="D982" s="1">
        <f>IF(B982="", "", "animal-associated habitat")</f>
        <v>0</v>
      </c>
      <c r="E982" s="2">
        <f>IF(B982="", "", "missing: not provided")</f>
        <v>0</v>
      </c>
      <c r="F982" s="1">
        <f>IF(B982="", "", "weeks")</f>
        <v>0</v>
      </c>
      <c r="G982" s="1">
        <f>IF(B982="", "", "mouse")</f>
        <v>0</v>
      </c>
      <c r="H982" s="1">
        <f>IF(B982="", "", "Mus musculus")</f>
        <v>0</v>
      </c>
      <c r="I982" s="1">
        <f>IF(B982="", "", "10090")</f>
        <v>0</v>
      </c>
      <c r="J982" s="2">
        <f>IF(B982="", "", "missing: not provided")</f>
        <v>0</v>
      </c>
      <c r="K982" s="1">
        <f>IF(B982="", "", "g")</f>
        <v>0</v>
      </c>
    </row>
    <row r="983" spans="1:11">
      <c r="A983">
        <f>IF(COUNTBLANK(B983:K983)&lt;&gt;COLUMNS(B983:K983),982,"")</f>
        <v>0</v>
      </c>
      <c r="C983" s="1">
        <f>IF(B983="", "", "urban biome")</f>
        <v>0</v>
      </c>
      <c r="D983" s="1">
        <f>IF(B983="", "", "animal-associated habitat")</f>
        <v>0</v>
      </c>
      <c r="E983" s="2">
        <f>IF(B983="", "", "missing: not provided")</f>
        <v>0</v>
      </c>
      <c r="F983" s="1">
        <f>IF(B983="", "", "weeks")</f>
        <v>0</v>
      </c>
      <c r="G983" s="1">
        <f>IF(B983="", "", "mouse")</f>
        <v>0</v>
      </c>
      <c r="H983" s="1">
        <f>IF(B983="", "", "Mus musculus")</f>
        <v>0</v>
      </c>
      <c r="I983" s="1">
        <f>IF(B983="", "", "10090")</f>
        <v>0</v>
      </c>
      <c r="J983" s="2">
        <f>IF(B983="", "", "missing: not provided")</f>
        <v>0</v>
      </c>
      <c r="K983" s="1">
        <f>IF(B983="", "", "g")</f>
        <v>0</v>
      </c>
    </row>
    <row r="984" spans="1:11">
      <c r="A984">
        <f>IF(COUNTBLANK(B984:K984)&lt;&gt;COLUMNS(B984:K984),983,"")</f>
        <v>0</v>
      </c>
      <c r="C984" s="1">
        <f>IF(B984="", "", "urban biome")</f>
        <v>0</v>
      </c>
      <c r="D984" s="1">
        <f>IF(B984="", "", "animal-associated habitat")</f>
        <v>0</v>
      </c>
      <c r="E984" s="2">
        <f>IF(B984="", "", "missing: not provided")</f>
        <v>0</v>
      </c>
      <c r="F984" s="1">
        <f>IF(B984="", "", "weeks")</f>
        <v>0</v>
      </c>
      <c r="G984" s="1">
        <f>IF(B984="", "", "mouse")</f>
        <v>0</v>
      </c>
      <c r="H984" s="1">
        <f>IF(B984="", "", "Mus musculus")</f>
        <v>0</v>
      </c>
      <c r="I984" s="1">
        <f>IF(B984="", "", "10090")</f>
        <v>0</v>
      </c>
      <c r="J984" s="2">
        <f>IF(B984="", "", "missing: not provided")</f>
        <v>0</v>
      </c>
      <c r="K984" s="1">
        <f>IF(B984="", "", "g")</f>
        <v>0</v>
      </c>
    </row>
    <row r="985" spans="1:11">
      <c r="A985">
        <f>IF(COUNTBLANK(B985:K985)&lt;&gt;COLUMNS(B985:K985),984,"")</f>
        <v>0</v>
      </c>
      <c r="C985" s="1">
        <f>IF(B985="", "", "urban biome")</f>
        <v>0</v>
      </c>
      <c r="D985" s="1">
        <f>IF(B985="", "", "animal-associated habitat")</f>
        <v>0</v>
      </c>
      <c r="E985" s="2">
        <f>IF(B985="", "", "missing: not provided")</f>
        <v>0</v>
      </c>
      <c r="F985" s="1">
        <f>IF(B985="", "", "weeks")</f>
        <v>0</v>
      </c>
      <c r="G985" s="1">
        <f>IF(B985="", "", "mouse")</f>
        <v>0</v>
      </c>
      <c r="H985" s="1">
        <f>IF(B985="", "", "Mus musculus")</f>
        <v>0</v>
      </c>
      <c r="I985" s="1">
        <f>IF(B985="", "", "10090")</f>
        <v>0</v>
      </c>
      <c r="J985" s="2">
        <f>IF(B985="", "", "missing: not provided")</f>
        <v>0</v>
      </c>
      <c r="K985" s="1">
        <f>IF(B985="", "", "g")</f>
        <v>0</v>
      </c>
    </row>
    <row r="986" spans="1:11">
      <c r="A986">
        <f>IF(COUNTBLANK(B986:K986)&lt;&gt;COLUMNS(B986:K986),985,"")</f>
        <v>0</v>
      </c>
      <c r="C986" s="1">
        <f>IF(B986="", "", "urban biome")</f>
        <v>0</v>
      </c>
      <c r="D986" s="1">
        <f>IF(B986="", "", "animal-associated habitat")</f>
        <v>0</v>
      </c>
      <c r="E986" s="2">
        <f>IF(B986="", "", "missing: not provided")</f>
        <v>0</v>
      </c>
      <c r="F986" s="1">
        <f>IF(B986="", "", "weeks")</f>
        <v>0</v>
      </c>
      <c r="G986" s="1">
        <f>IF(B986="", "", "mouse")</f>
        <v>0</v>
      </c>
      <c r="H986" s="1">
        <f>IF(B986="", "", "Mus musculus")</f>
        <v>0</v>
      </c>
      <c r="I986" s="1">
        <f>IF(B986="", "", "10090")</f>
        <v>0</v>
      </c>
      <c r="J986" s="2">
        <f>IF(B986="", "", "missing: not provided")</f>
        <v>0</v>
      </c>
      <c r="K986" s="1">
        <f>IF(B986="", "", "g")</f>
        <v>0</v>
      </c>
    </row>
    <row r="987" spans="1:11">
      <c r="A987">
        <f>IF(COUNTBLANK(B987:K987)&lt;&gt;COLUMNS(B987:K987),986,"")</f>
        <v>0</v>
      </c>
      <c r="C987" s="1">
        <f>IF(B987="", "", "urban biome")</f>
        <v>0</v>
      </c>
      <c r="D987" s="1">
        <f>IF(B987="", "", "animal-associated habitat")</f>
        <v>0</v>
      </c>
      <c r="E987" s="2">
        <f>IF(B987="", "", "missing: not provided")</f>
        <v>0</v>
      </c>
      <c r="F987" s="1">
        <f>IF(B987="", "", "weeks")</f>
        <v>0</v>
      </c>
      <c r="G987" s="1">
        <f>IF(B987="", "", "mouse")</f>
        <v>0</v>
      </c>
      <c r="H987" s="1">
        <f>IF(B987="", "", "Mus musculus")</f>
        <v>0</v>
      </c>
      <c r="I987" s="1">
        <f>IF(B987="", "", "10090")</f>
        <v>0</v>
      </c>
      <c r="J987" s="2">
        <f>IF(B987="", "", "missing: not provided")</f>
        <v>0</v>
      </c>
      <c r="K987" s="1">
        <f>IF(B987="", "", "g")</f>
        <v>0</v>
      </c>
    </row>
    <row r="988" spans="1:11">
      <c r="A988">
        <f>IF(COUNTBLANK(B988:K988)&lt;&gt;COLUMNS(B988:K988),987,"")</f>
        <v>0</v>
      </c>
      <c r="C988" s="1">
        <f>IF(B988="", "", "urban biome")</f>
        <v>0</v>
      </c>
      <c r="D988" s="1">
        <f>IF(B988="", "", "animal-associated habitat")</f>
        <v>0</v>
      </c>
      <c r="E988" s="2">
        <f>IF(B988="", "", "missing: not provided")</f>
        <v>0</v>
      </c>
      <c r="F988" s="1">
        <f>IF(B988="", "", "weeks")</f>
        <v>0</v>
      </c>
      <c r="G988" s="1">
        <f>IF(B988="", "", "mouse")</f>
        <v>0</v>
      </c>
      <c r="H988" s="1">
        <f>IF(B988="", "", "Mus musculus")</f>
        <v>0</v>
      </c>
      <c r="I988" s="1">
        <f>IF(B988="", "", "10090")</f>
        <v>0</v>
      </c>
      <c r="J988" s="2">
        <f>IF(B988="", "", "missing: not provided")</f>
        <v>0</v>
      </c>
      <c r="K988" s="1">
        <f>IF(B988="", "", "g")</f>
        <v>0</v>
      </c>
    </row>
    <row r="989" spans="1:11">
      <c r="A989">
        <f>IF(COUNTBLANK(B989:K989)&lt;&gt;COLUMNS(B989:K989),988,"")</f>
        <v>0</v>
      </c>
      <c r="C989" s="1">
        <f>IF(B989="", "", "urban biome")</f>
        <v>0</v>
      </c>
      <c r="D989" s="1">
        <f>IF(B989="", "", "animal-associated habitat")</f>
        <v>0</v>
      </c>
      <c r="E989" s="2">
        <f>IF(B989="", "", "missing: not provided")</f>
        <v>0</v>
      </c>
      <c r="F989" s="1">
        <f>IF(B989="", "", "weeks")</f>
        <v>0</v>
      </c>
      <c r="G989" s="1">
        <f>IF(B989="", "", "mouse")</f>
        <v>0</v>
      </c>
      <c r="H989" s="1">
        <f>IF(B989="", "", "Mus musculus")</f>
        <v>0</v>
      </c>
      <c r="I989" s="1">
        <f>IF(B989="", "", "10090")</f>
        <v>0</v>
      </c>
      <c r="J989" s="2">
        <f>IF(B989="", "", "missing: not provided")</f>
        <v>0</v>
      </c>
      <c r="K989" s="1">
        <f>IF(B989="", "", "g")</f>
        <v>0</v>
      </c>
    </row>
    <row r="990" spans="1:11">
      <c r="A990">
        <f>IF(COUNTBLANK(B990:K990)&lt;&gt;COLUMNS(B990:K990),989,"")</f>
        <v>0</v>
      </c>
      <c r="C990" s="1">
        <f>IF(B990="", "", "urban biome")</f>
        <v>0</v>
      </c>
      <c r="D990" s="1">
        <f>IF(B990="", "", "animal-associated habitat")</f>
        <v>0</v>
      </c>
      <c r="E990" s="2">
        <f>IF(B990="", "", "missing: not provided")</f>
        <v>0</v>
      </c>
      <c r="F990" s="1">
        <f>IF(B990="", "", "weeks")</f>
        <v>0</v>
      </c>
      <c r="G990" s="1">
        <f>IF(B990="", "", "mouse")</f>
        <v>0</v>
      </c>
      <c r="H990" s="1">
        <f>IF(B990="", "", "Mus musculus")</f>
        <v>0</v>
      </c>
      <c r="I990" s="1">
        <f>IF(B990="", "", "10090")</f>
        <v>0</v>
      </c>
      <c r="J990" s="2">
        <f>IF(B990="", "", "missing: not provided")</f>
        <v>0</v>
      </c>
      <c r="K990" s="1">
        <f>IF(B990="", "", "g")</f>
        <v>0</v>
      </c>
    </row>
    <row r="991" spans="1:11">
      <c r="A991">
        <f>IF(COUNTBLANK(B991:K991)&lt;&gt;COLUMNS(B991:K991),990,"")</f>
        <v>0</v>
      </c>
      <c r="C991" s="1">
        <f>IF(B991="", "", "urban biome")</f>
        <v>0</v>
      </c>
      <c r="D991" s="1">
        <f>IF(B991="", "", "animal-associated habitat")</f>
        <v>0</v>
      </c>
      <c r="E991" s="2">
        <f>IF(B991="", "", "missing: not provided")</f>
        <v>0</v>
      </c>
      <c r="F991" s="1">
        <f>IF(B991="", "", "weeks")</f>
        <v>0</v>
      </c>
      <c r="G991" s="1">
        <f>IF(B991="", "", "mouse")</f>
        <v>0</v>
      </c>
      <c r="H991" s="1">
        <f>IF(B991="", "", "Mus musculus")</f>
        <v>0</v>
      </c>
      <c r="I991" s="1">
        <f>IF(B991="", "", "10090")</f>
        <v>0</v>
      </c>
      <c r="J991" s="2">
        <f>IF(B991="", "", "missing: not provided")</f>
        <v>0</v>
      </c>
      <c r="K991" s="1">
        <f>IF(B991="", "", "g")</f>
        <v>0</v>
      </c>
    </row>
    <row r="992" spans="1:11">
      <c r="A992">
        <f>IF(COUNTBLANK(B992:K992)&lt;&gt;COLUMNS(B992:K992),991,"")</f>
        <v>0</v>
      </c>
      <c r="C992" s="1">
        <f>IF(B992="", "", "urban biome")</f>
        <v>0</v>
      </c>
      <c r="D992" s="1">
        <f>IF(B992="", "", "animal-associated habitat")</f>
        <v>0</v>
      </c>
      <c r="E992" s="2">
        <f>IF(B992="", "", "missing: not provided")</f>
        <v>0</v>
      </c>
      <c r="F992" s="1">
        <f>IF(B992="", "", "weeks")</f>
        <v>0</v>
      </c>
      <c r="G992" s="1">
        <f>IF(B992="", "", "mouse")</f>
        <v>0</v>
      </c>
      <c r="H992" s="1">
        <f>IF(B992="", "", "Mus musculus")</f>
        <v>0</v>
      </c>
      <c r="I992" s="1">
        <f>IF(B992="", "", "10090")</f>
        <v>0</v>
      </c>
      <c r="J992" s="2">
        <f>IF(B992="", "", "missing: not provided")</f>
        <v>0</v>
      </c>
      <c r="K992" s="1">
        <f>IF(B992="", "", "g")</f>
        <v>0</v>
      </c>
    </row>
    <row r="993" spans="1:11">
      <c r="A993">
        <f>IF(COUNTBLANK(B993:K993)&lt;&gt;COLUMNS(B993:K993),992,"")</f>
        <v>0</v>
      </c>
      <c r="C993" s="1">
        <f>IF(B993="", "", "urban biome")</f>
        <v>0</v>
      </c>
      <c r="D993" s="1">
        <f>IF(B993="", "", "animal-associated habitat")</f>
        <v>0</v>
      </c>
      <c r="E993" s="2">
        <f>IF(B993="", "", "missing: not provided")</f>
        <v>0</v>
      </c>
      <c r="F993" s="1">
        <f>IF(B993="", "", "weeks")</f>
        <v>0</v>
      </c>
      <c r="G993" s="1">
        <f>IF(B993="", "", "mouse")</f>
        <v>0</v>
      </c>
      <c r="H993" s="1">
        <f>IF(B993="", "", "Mus musculus")</f>
        <v>0</v>
      </c>
      <c r="I993" s="1">
        <f>IF(B993="", "", "10090")</f>
        <v>0</v>
      </c>
      <c r="J993" s="2">
        <f>IF(B993="", "", "missing: not provided")</f>
        <v>0</v>
      </c>
      <c r="K993" s="1">
        <f>IF(B993="", "", "g")</f>
        <v>0</v>
      </c>
    </row>
    <row r="994" spans="1:11">
      <c r="A994">
        <f>IF(COUNTBLANK(B994:K994)&lt;&gt;COLUMNS(B994:K994),993,"")</f>
        <v>0</v>
      </c>
      <c r="C994" s="1">
        <f>IF(B994="", "", "urban biome")</f>
        <v>0</v>
      </c>
      <c r="D994" s="1">
        <f>IF(B994="", "", "animal-associated habitat")</f>
        <v>0</v>
      </c>
      <c r="E994" s="2">
        <f>IF(B994="", "", "missing: not provided")</f>
        <v>0</v>
      </c>
      <c r="F994" s="1">
        <f>IF(B994="", "", "weeks")</f>
        <v>0</v>
      </c>
      <c r="G994" s="1">
        <f>IF(B994="", "", "mouse")</f>
        <v>0</v>
      </c>
      <c r="H994" s="1">
        <f>IF(B994="", "", "Mus musculus")</f>
        <v>0</v>
      </c>
      <c r="I994" s="1">
        <f>IF(B994="", "", "10090")</f>
        <v>0</v>
      </c>
      <c r="J994" s="2">
        <f>IF(B994="", "", "missing: not provided")</f>
        <v>0</v>
      </c>
      <c r="K994" s="1">
        <f>IF(B994="", "", "g")</f>
        <v>0</v>
      </c>
    </row>
    <row r="995" spans="1:11">
      <c r="A995">
        <f>IF(COUNTBLANK(B995:K995)&lt;&gt;COLUMNS(B995:K995),994,"")</f>
        <v>0</v>
      </c>
      <c r="C995" s="1">
        <f>IF(B995="", "", "urban biome")</f>
        <v>0</v>
      </c>
      <c r="D995" s="1">
        <f>IF(B995="", "", "animal-associated habitat")</f>
        <v>0</v>
      </c>
      <c r="E995" s="2">
        <f>IF(B995="", "", "missing: not provided")</f>
        <v>0</v>
      </c>
      <c r="F995" s="1">
        <f>IF(B995="", "", "weeks")</f>
        <v>0</v>
      </c>
      <c r="G995" s="1">
        <f>IF(B995="", "", "mouse")</f>
        <v>0</v>
      </c>
      <c r="H995" s="1">
        <f>IF(B995="", "", "Mus musculus")</f>
        <v>0</v>
      </c>
      <c r="I995" s="1">
        <f>IF(B995="", "", "10090")</f>
        <v>0</v>
      </c>
      <c r="J995" s="2">
        <f>IF(B995="", "", "missing: not provided")</f>
        <v>0</v>
      </c>
      <c r="K995" s="1">
        <f>IF(B995="", "", "g")</f>
        <v>0</v>
      </c>
    </row>
    <row r="996" spans="1:11">
      <c r="A996">
        <f>IF(COUNTBLANK(B996:K996)&lt;&gt;COLUMNS(B996:K996),995,"")</f>
        <v>0</v>
      </c>
      <c r="C996" s="1">
        <f>IF(B996="", "", "urban biome")</f>
        <v>0</v>
      </c>
      <c r="D996" s="1">
        <f>IF(B996="", "", "animal-associated habitat")</f>
        <v>0</v>
      </c>
      <c r="E996" s="2">
        <f>IF(B996="", "", "missing: not provided")</f>
        <v>0</v>
      </c>
      <c r="F996" s="1">
        <f>IF(B996="", "", "weeks")</f>
        <v>0</v>
      </c>
      <c r="G996" s="1">
        <f>IF(B996="", "", "mouse")</f>
        <v>0</v>
      </c>
      <c r="H996" s="1">
        <f>IF(B996="", "", "Mus musculus")</f>
        <v>0</v>
      </c>
      <c r="I996" s="1">
        <f>IF(B996="", "", "10090")</f>
        <v>0</v>
      </c>
      <c r="J996" s="2">
        <f>IF(B996="", "", "missing: not provided")</f>
        <v>0</v>
      </c>
      <c r="K996" s="1">
        <f>IF(B996="", "", "g")</f>
        <v>0</v>
      </c>
    </row>
    <row r="997" spans="1:11">
      <c r="A997">
        <f>IF(COUNTBLANK(B997:K997)&lt;&gt;COLUMNS(B997:K997),996,"")</f>
        <v>0</v>
      </c>
      <c r="C997" s="1">
        <f>IF(B997="", "", "urban biome")</f>
        <v>0</v>
      </c>
      <c r="D997" s="1">
        <f>IF(B997="", "", "animal-associated habitat")</f>
        <v>0</v>
      </c>
      <c r="E997" s="2">
        <f>IF(B997="", "", "missing: not provided")</f>
        <v>0</v>
      </c>
      <c r="F997" s="1">
        <f>IF(B997="", "", "weeks")</f>
        <v>0</v>
      </c>
      <c r="G997" s="1">
        <f>IF(B997="", "", "mouse")</f>
        <v>0</v>
      </c>
      <c r="H997" s="1">
        <f>IF(B997="", "", "Mus musculus")</f>
        <v>0</v>
      </c>
      <c r="I997" s="1">
        <f>IF(B997="", "", "10090")</f>
        <v>0</v>
      </c>
      <c r="J997" s="2">
        <f>IF(B997="", "", "missing: not provided")</f>
        <v>0</v>
      </c>
      <c r="K997" s="1">
        <f>IF(B997="", "", "g")</f>
        <v>0</v>
      </c>
    </row>
    <row r="998" spans="1:11">
      <c r="A998">
        <f>IF(COUNTBLANK(B998:K998)&lt;&gt;COLUMNS(B998:K998),997,"")</f>
        <v>0</v>
      </c>
      <c r="C998" s="1">
        <f>IF(B998="", "", "urban biome")</f>
        <v>0</v>
      </c>
      <c r="D998" s="1">
        <f>IF(B998="", "", "animal-associated habitat")</f>
        <v>0</v>
      </c>
      <c r="E998" s="2">
        <f>IF(B998="", "", "missing: not provided")</f>
        <v>0</v>
      </c>
      <c r="F998" s="1">
        <f>IF(B998="", "", "weeks")</f>
        <v>0</v>
      </c>
      <c r="G998" s="1">
        <f>IF(B998="", "", "mouse")</f>
        <v>0</v>
      </c>
      <c r="H998" s="1">
        <f>IF(B998="", "", "Mus musculus")</f>
        <v>0</v>
      </c>
      <c r="I998" s="1">
        <f>IF(B998="", "", "10090")</f>
        <v>0</v>
      </c>
      <c r="J998" s="2">
        <f>IF(B998="", "", "missing: not provided")</f>
        <v>0</v>
      </c>
      <c r="K998" s="1">
        <f>IF(B998="", "", "g")</f>
        <v>0</v>
      </c>
    </row>
    <row r="999" spans="1:11">
      <c r="A999">
        <f>IF(COUNTBLANK(B999:K999)&lt;&gt;COLUMNS(B999:K999),998,"")</f>
        <v>0</v>
      </c>
      <c r="C999" s="1">
        <f>IF(B999="", "", "urban biome")</f>
        <v>0</v>
      </c>
      <c r="D999" s="1">
        <f>IF(B999="", "", "animal-associated habitat")</f>
        <v>0</v>
      </c>
      <c r="E999" s="2">
        <f>IF(B999="", "", "missing: not provided")</f>
        <v>0</v>
      </c>
      <c r="F999" s="1">
        <f>IF(B999="", "", "weeks")</f>
        <v>0</v>
      </c>
      <c r="G999" s="1">
        <f>IF(B999="", "", "mouse")</f>
        <v>0</v>
      </c>
      <c r="H999" s="1">
        <f>IF(B999="", "", "Mus musculus")</f>
        <v>0</v>
      </c>
      <c r="I999" s="1">
        <f>IF(B999="", "", "10090")</f>
        <v>0</v>
      </c>
      <c r="J999" s="2">
        <f>IF(B999="", "", "missing: not provided")</f>
        <v>0</v>
      </c>
      <c r="K999" s="1">
        <f>IF(B999="", "", "g")</f>
        <v>0</v>
      </c>
    </row>
    <row r="1000" spans="1:11">
      <c r="A1000">
        <f>IF(COUNTBLANK(B1000:K1000)&lt;&gt;COLUMNS(B1000:K1000),999,"")</f>
        <v>0</v>
      </c>
      <c r="C1000" s="1">
        <f>IF(B1000="", "", "urban biome")</f>
        <v>0</v>
      </c>
      <c r="D1000" s="1">
        <f>IF(B1000="", "", "animal-associated habitat")</f>
        <v>0</v>
      </c>
      <c r="E1000" s="2">
        <f>IF(B1000="", "", "missing: not provided")</f>
        <v>0</v>
      </c>
      <c r="F1000" s="1">
        <f>IF(B1000="", "", "weeks")</f>
        <v>0</v>
      </c>
      <c r="G1000" s="1">
        <f>IF(B1000="", "", "mouse")</f>
        <v>0</v>
      </c>
      <c r="H1000" s="1">
        <f>IF(B1000="", "", "Mus musculus")</f>
        <v>0</v>
      </c>
      <c r="I1000" s="1">
        <f>IF(B1000="", "", "10090")</f>
        <v>0</v>
      </c>
      <c r="J1000" s="2">
        <f>IF(B1000="", "", "missing: not provided")</f>
        <v>0</v>
      </c>
      <c r="K1000" s="1">
        <f>IF(B1000="", "", "g")</f>
        <v>0</v>
      </c>
    </row>
    <row r="1001" spans="1:11">
      <c r="A1001">
        <f>IF(COUNTBLANK(B1001:K1001)&lt;&gt;COLUMNS(B1001:K1001),1000,"")</f>
        <v>0</v>
      </c>
      <c r="C1001" s="1">
        <f>IF(B1001="", "", "urban biome")</f>
        <v>0</v>
      </c>
      <c r="D1001" s="1">
        <f>IF(B1001="", "", "animal-associated habitat")</f>
        <v>0</v>
      </c>
      <c r="E1001" s="2">
        <f>IF(B1001="", "", "missing: not provided")</f>
        <v>0</v>
      </c>
      <c r="F1001" s="1">
        <f>IF(B1001="", "", "weeks")</f>
        <v>0</v>
      </c>
      <c r="G1001" s="1">
        <f>IF(B1001="", "", "mouse")</f>
        <v>0</v>
      </c>
      <c r="H1001" s="1">
        <f>IF(B1001="", "", "Mus musculus")</f>
        <v>0</v>
      </c>
      <c r="I1001" s="1">
        <f>IF(B1001="", "", "10090")</f>
        <v>0</v>
      </c>
      <c r="J1001" s="2">
        <f>IF(B1001="", "", "missing: not provided")</f>
        <v>0</v>
      </c>
      <c r="K1001" s="1">
        <f>IF(B1001="", "", "g")</f>
        <v>0</v>
      </c>
    </row>
    <row r="1002" spans="1:11">
      <c r="B1002" s="3" t="s">
        <v>2</v>
      </c>
    </row>
  </sheetData>
  <sheetProtection sheet="1" objects="1" scenarios="1" formatCells="0" formatColumns="0" formatRows="0"/>
  <dataValidations count="10">
    <dataValidation type="custom" allowBlank="1" showInputMessage="1" showErrorMessage="1" errorTitle="Invalid sample_name" error="The sample_name value entered is not valid. The value must be a string and must be unique and the value must contain only alphanumeric characters and/or periods." promptTitle="Enter sample_name" prompt="The value must be a string and must be unique and the value must contain only alphanumeric characters and/or periods." sqref="B2:B1001">
      <formula1>(AND(IF(B2="",FALSE,TRUE),COUNTIF(B:B, B2) = 1,NOT(ISERROR(SUMPRODUCT(SEARCH(MID(B2,ROW(INDIRECT("1:"&amp;LEN(B2))), 1),"0123456789abcdefghijklmnopqrstuvwxyzABCDEFGHIJKLMNOPQRSTUVWXYZ."))))))</formula1>
    </dataValidation>
    <dataValidation type="list" allowBlank="1" showInputMessage="1" showErrorMessage="1" errorTitle="Invalid env_biome" error="The env_biome value entered is not valid. The value must be a string and must equal &quot;urban biome&quot;. The default value is urban biome." promptTitle="Enter env_biome" prompt="The value must be a string and must equal &quot;urban biome&quot;. The default value is urban biome." sqref="C2:C1001">
      <formula1>"urban biome"</formula1>
    </dataValidation>
    <dataValidation type="list" allowBlank="1" showInputMessage="1" showErrorMessage="1" errorTitle="Invalid env_feature" error="The env_feature value entered is not valid. The value must be a string and must equal &quot;animal-associated habitat&quot;. The default value is animal-associated habitat." promptTitle="Enter env_feature" prompt="The value must be a string and must equal &quot;animal-associated habitat&quot;. The default value is animal-associated habitat." sqref="D2:D1001">
      <formula1>"animal-associated habitat"</formula1>
    </dataValidation>
    <dataValidation type="custom" allowBlank="1" showInputMessage="1" showErrorMessage="1" errorTitle="Invalid host_age" error="The host_age value entered is not valid. Host age in appropriate units. The value must be a string and must equal &quot;not applicable&quot; or must equal &quot;missing: not collected&quot; or must[text truncated: please refer to Data Dictionary sheet for full requirements]." promptTitle="Enter host_age" prompt="Host age in appropriate units. The value must be a string and must equal &quot;not applicable&quot; or must equal &quot;missing: not collected&quot; or must equal &quot;missing: not provided&quot; or must eq[text truncated: please refer to Data Dictionary sheet for full requirements]." sqref="E2:E1001">
      <formula1>(OR(AND(IF(E2="",FALSE,TRUE),OR(exact(E2,"not applicable"),exact(E2,"missing: not collected"),exact(E2,"missing: not provided"),exact(E2,"missing: restricted access"))),AND(IF(E2="",FALSE,ISNUMBER(VALUE(E2))),E2&gt;0)))</formula1>
    </dataValidation>
    <dataValidation type="list" allowBlank="1" showInputMessage="1" showErrorMessage="1" errorTitle="Invalid host_age_units" error="The host_age_units value entered is not valid. The value must be a string and must equal &quot;weeks&quot;. The default value is weeks." promptTitle="Enter host_age_units" prompt="The value must be a string and must equal &quot;weeks&quot;. The default value is weeks." sqref="F2:F1001">
      <formula1>"weeks"</formula1>
    </dataValidation>
    <dataValidation type="list" allowBlank="1" showInputMessage="1" showErrorMessage="1" errorTitle="Invalid host_common_name" error="The host_common_name value entered is not valid. The value must be a string and must equal &quot;mouse&quot;. The default value is mouse." promptTitle="Enter host_common_name" prompt="The value must be a string and must equal &quot;mouse&quot;. The default value is mouse." sqref="G2:G1001">
      <formula1>"mouse"</formula1>
    </dataValidation>
    <dataValidation type="list" allowBlank="1" showInputMessage="1" showErrorMessage="1" errorTitle="Invalid host_scientific_name" error="The host_scientific_name value entered is not valid. The value must be a string and must equal &quot;Mus musculus&quot;. The default value is Mus musculus." promptTitle="Enter host_scientific_name" prompt="The value must be a string and must equal &quot;Mus musculus&quot;. The default value is Mus musculus." sqref="H2:H1001">
      <formula1>"Mus musculus"</formula1>
    </dataValidation>
    <dataValidation type="list" allowBlank="1" showInputMessage="1" showErrorMessage="1" errorTitle="Invalid host_taxid" error="The host_taxid value entered is not valid. The value must be a string and must equal &quot;10090&quot;. The default value is 10090." promptTitle="Enter host_taxid" prompt="The value must be a string and must equal &quot;10090&quot;. The default value is 10090." sqref="I2:I1001">
      <formula1>"10090"</formula1>
    </dataValidation>
    <dataValidation type="custom" allowBlank="1" showInputMessage="1" showErrorMessage="1" errorTitle="Invalid host_weight" error="The host_weight value entered is not valid. In grams preferred. . The value must be a string and must equal &quot;not applicable&quot; or must equal &quot;missing: not collected&quot; or must equal[text truncated: please refer to Data Dictionary sheet for full requirements]." promptTitle="Enter host_weight" prompt="In grams preferred. . The value must be a string and must equal &quot;not applicable&quot; or must equal &quot;missing: not collected&quot; or must equal &quot;missing: not provided&quot; or must equal &quot;miss[text truncated: please refer to Data Dictionary sheet for full requirements]." sqref="J2:J1001">
      <formula1>(OR(AND(IF(J2="",FALSE,TRUE),OR(exact(J2,"not applicable"),exact(J2,"missing: not collected"),exact(J2,"missing: not provided"),exact(J2,"missing: restricted access"))),AND(IF(J2="",FALSE,ISNUMBER(VALUE(J2))),J2&gt;0)))</formula1>
    </dataValidation>
    <dataValidation type="list" allowBlank="1" showInputMessage="1" showErrorMessage="1" errorTitle="Invalid host_weight_units" error="The host_weight_units value entered is not valid. The value must be a string and must equal &quot;g&quot;. The default value is g." promptTitle="Enter host_weight_units" prompt="The value must be a string and must equal &quot;g&quot;. The default value is g." sqref="K2:K1001">
      <formula1>"g"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0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zeroHeight="1"/>
  <cols>
    <col min="2" max="2" width="9.140625" style="4"/>
    <col min="3" max="3" width="9.140625" style="4"/>
    <col min="4" max="4" width="9.140625" style="4"/>
    <col min="5" max="5" width="9.140625" style="4"/>
    <col min="6" max="6" width="9.140625" style="4"/>
    <col min="7" max="7" width="9.140625" style="4"/>
    <col min="8" max="8" width="9.140625" style="4"/>
    <col min="9" max="9" width="9.140625" style="4"/>
    <col min="10" max="10" width="9.140625" style="4"/>
    <col min="11" max="11" width="9.140625" style="4"/>
    <col min="15" max="21" width="0" hidden="1" customWidth="1"/>
    <col min="22" max="31" width="0" hidden="1" customWidth="1"/>
  </cols>
  <sheetData>
    <row r="1" spans="1:31">
      <c r="A1" s="3" t="s">
        <v>1</v>
      </c>
      <c r="B1" s="3">
        <f>IF(B2=" ", " ", INDEX($V$1:$AE$1, 1, MATCH(COLUMNS($V$1006:V1006),$V$1006:$AE$1006,0)))</f>
        <v>0</v>
      </c>
      <c r="C1" s="3">
        <f>IF(C2=" ", " ", INDEX($V$1:$AE$1, 1, MATCH(COLUMNS($V$1006:W1006),$V$1006:$AE$1006,0)))</f>
        <v>0</v>
      </c>
      <c r="D1" s="3">
        <f>IF(D2=" ", " ", INDEX($V$1:$AE$1, 1, MATCH(COLUMNS($V$1006:X1006),$V$1006:$AE$1006,0)))</f>
        <v>0</v>
      </c>
      <c r="E1" s="3">
        <f>IF(E2=" ", " ", INDEX($V$1:$AE$1, 1, MATCH(COLUMNS($V$1006:Y1006),$V$1006:$AE$1006,0)))</f>
        <v>0</v>
      </c>
      <c r="F1" s="3">
        <f>IF(F2=" ", " ", INDEX($V$1:$AE$1, 1, MATCH(COLUMNS($V$1006:Z1006),$V$1006:$AE$1006,0)))</f>
        <v>0</v>
      </c>
      <c r="G1" s="3">
        <f>IF(G2=" ", " ", INDEX($V$1:$AE$1, 1, MATCH(COLUMNS($V$1006:AA1006),$V$1006:$AE$1006,0)))</f>
        <v>0</v>
      </c>
      <c r="H1" s="3">
        <f>IF(H2=" ", " ", INDEX($V$1:$AE$1, 1, MATCH(COLUMNS($V$1006:AB1006),$V$1006:$AE$1006,0)))</f>
        <v>0</v>
      </c>
      <c r="I1" s="3">
        <f>IF(I2=" ", " ", INDEX($V$1:$AE$1, 1, MATCH(COLUMNS($V$1006:AC1006),$V$1006:$AE$1006,0)))</f>
        <v>0</v>
      </c>
      <c r="J1" s="3">
        <f>IF(J2=" ", " ", INDEX($V$1:$AE$1, 1, MATCH(COLUMNS($V$1006:AD1006),$V$1006:$AE$1006,0)))</f>
        <v>0</v>
      </c>
      <c r="K1" s="3">
        <f>IF(K2=" ", " ", INDEX($V$1:$AE$1, 1, MATCH(COLUMNS($V$1006:AE1006),$V$1006:$AE$1006,0)))</f>
        <v>0</v>
      </c>
      <c r="O1" s="3" t="s">
        <v>16</v>
      </c>
      <c r="P1" s="3" t="s">
        <v>15</v>
      </c>
      <c r="Q1" s="3" t="s">
        <v>14</v>
      </c>
      <c r="R1" s="3" t="s">
        <v>13</v>
      </c>
      <c r="S1" s="3" t="s">
        <v>12</v>
      </c>
      <c r="T1" s="3" t="s">
        <v>1</v>
      </c>
      <c r="V1" s="3" t="s">
        <v>1</v>
      </c>
      <c r="W1" s="3" t="s">
        <v>3</v>
      </c>
      <c r="X1" s="3" t="s">
        <v>4</v>
      </c>
      <c r="Y1" s="3" t="s">
        <v>5</v>
      </c>
      <c r="Z1" s="3" t="s">
        <v>6</v>
      </c>
      <c r="AA1" s="3" t="s">
        <v>7</v>
      </c>
      <c r="AB1" s="3" t="s">
        <v>8</v>
      </c>
      <c r="AC1" s="3" t="s">
        <v>9</v>
      </c>
      <c r="AD1" s="3" t="s">
        <v>10</v>
      </c>
      <c r="AE1" s="3" t="s">
        <v>11</v>
      </c>
    </row>
    <row r="2" spans="1:31">
      <c r="A2" s="5">
        <f>IF(B2=" "," ",HYPERLINK(CONCATENATE("#metadata!",ADDRESS(INDEX($Q$2:$Q$1001,MATCH(ROWS($O$2:O2),$O$2:$O$1001,0),0),1)),INDEX($T$2:$T$1001,MATCH(ROWS($O$2:O2),$O$2:$O$1001,0),0)))</f>
        <v>0</v>
      </c>
      <c r="B2" s="4">
        <f>IF(OR(INDEX($P$2:$P$1001,MATCH(ROWS($O$2:O2),$O$2:$O$1001,0),1)&gt;=100000,INDEX($V$1005:$AE$1005,1,MATCH(COLUMNS($V$1006:V1006),$V$1006:$AE$1006,0))&gt;=100000), " ",IF(INDEX($V$2:$AE$1001,MATCH(ROWS($O$2:O2),$O$2:$O$1001,0),MATCH(COLUMNS($V$1006:V1006),$V$1006:$AE$1006,0)), HYPERLINK("#",""), HYPERLINK(CONCATENATE("#Metadata!", ADDRESS(INDEX($Q$2:$Q$1001,MATCH(ROWS($O$2:O2),$O$2:$O$1001,0),0), INDEX($V$1004:$AE$1004,1,MATCH(COLUMNS($V$1006:V1006),$V$1006:$AE$1006,0)))),"Fix")))</f>
        <v>0</v>
      </c>
      <c r="C2" s="4">
        <f>IF(OR(INDEX($P$2:$P$1001,MATCH(ROWS($O$2:O2),$O$2:$O$1001,0),1)&gt;=100000,INDEX($V$1005:$AE$1005,1,MATCH(COLUMNS($V$1006:W1006),$V$1006:$AE$1006,0))&gt;=100000), " ",IF(INDEX($V$2:$AE$1001,MATCH(ROWS($O$2:O2),$O$2:$O$1001,0),MATCH(COLUMNS($V$1006:W1006),$V$1006:$AE$1006,0)), HYPERLINK("#",""), HYPERLINK(CONCATENATE("#Metadata!", ADDRESS(INDEX($Q$2:$Q$1001,MATCH(ROWS($O$2:O2),$O$2:$O$1001,0),0), INDEX($V$1004:$AE$1004,1,MATCH(COLUMNS($V$1006:W1006),$V$1006:$AE$1006,0)))),"Fix")))</f>
        <v>0</v>
      </c>
      <c r="D2" s="4">
        <f>IF(OR(INDEX($P$2:$P$1001,MATCH(ROWS($O$2:O2),$O$2:$O$1001,0),1)&gt;=100000,INDEX($V$1005:$AE$1005,1,MATCH(COLUMNS($V$1006:X1006),$V$1006:$AE$1006,0))&gt;=100000), " ",IF(INDEX($V$2:$AE$1001,MATCH(ROWS($O$2:O2),$O$2:$O$1001,0),MATCH(COLUMNS($V$1006:X1006),$V$1006:$AE$1006,0)), HYPERLINK("#",""), HYPERLINK(CONCATENATE("#Metadata!", ADDRESS(INDEX($Q$2:$Q$1001,MATCH(ROWS($O$2:O2),$O$2:$O$1001,0),0), INDEX($V$1004:$AE$1004,1,MATCH(COLUMNS($V$1006:X1006),$V$1006:$AE$1006,0)))),"Fix")))</f>
        <v>0</v>
      </c>
      <c r="E2" s="4">
        <f>IF(OR(INDEX($P$2:$P$1001,MATCH(ROWS($O$2:O2),$O$2:$O$1001,0),1)&gt;=100000,INDEX($V$1005:$AE$1005,1,MATCH(COLUMNS($V$1006:Y1006),$V$1006:$AE$1006,0))&gt;=100000), " ",IF(INDEX($V$2:$AE$1001,MATCH(ROWS($O$2:O2),$O$2:$O$1001,0),MATCH(COLUMNS($V$1006:Y1006),$V$1006:$AE$1006,0)), HYPERLINK("#",""), HYPERLINK(CONCATENATE("#Metadata!", ADDRESS(INDEX($Q$2:$Q$1001,MATCH(ROWS($O$2:O2),$O$2:$O$1001,0),0), INDEX($V$1004:$AE$1004,1,MATCH(COLUMNS($V$1006:Y1006),$V$1006:$AE$1006,0)))),"Fix")))</f>
        <v>0</v>
      </c>
      <c r="F2" s="4">
        <f>IF(OR(INDEX($P$2:$P$1001,MATCH(ROWS($O$2:O2),$O$2:$O$1001,0),1)&gt;=100000,INDEX($V$1005:$AE$1005,1,MATCH(COLUMNS($V$1006:Z1006),$V$1006:$AE$1006,0))&gt;=100000), " ",IF(INDEX($V$2:$AE$1001,MATCH(ROWS($O$2:O2),$O$2:$O$1001,0),MATCH(COLUMNS($V$1006:Z1006),$V$1006:$AE$1006,0)), HYPERLINK("#",""), HYPERLINK(CONCATENATE("#Metadata!", ADDRESS(INDEX($Q$2:$Q$1001,MATCH(ROWS($O$2:O2),$O$2:$O$1001,0),0), INDEX($V$1004:$AE$1004,1,MATCH(COLUMNS($V$1006:Z1006),$V$1006:$AE$1006,0)))),"Fix")))</f>
        <v>0</v>
      </c>
      <c r="G2" s="4">
        <f>IF(OR(INDEX($P$2:$P$1001,MATCH(ROWS($O$2:O2),$O$2:$O$1001,0),1)&gt;=100000,INDEX($V$1005:$AE$1005,1,MATCH(COLUMNS($V$1006:AA1006),$V$1006:$AE$1006,0))&gt;=100000), " ",IF(INDEX($V$2:$AE$1001,MATCH(ROWS($O$2:O2),$O$2:$O$1001,0),MATCH(COLUMNS($V$1006:AA1006),$V$1006:$AE$1006,0)), HYPERLINK("#",""), HYPERLINK(CONCATENATE("#Metadata!", ADDRESS(INDEX($Q$2:$Q$1001,MATCH(ROWS($O$2:O2),$O$2:$O$1001,0),0), INDEX($V$1004:$AE$1004,1,MATCH(COLUMNS($V$1006:AA1006),$V$1006:$AE$1006,0)))),"Fix")))</f>
        <v>0</v>
      </c>
      <c r="H2" s="4">
        <f>IF(OR(INDEX($P$2:$P$1001,MATCH(ROWS($O$2:O2),$O$2:$O$1001,0),1)&gt;=100000,INDEX($V$1005:$AE$1005,1,MATCH(COLUMNS($V$1006:AB1006),$V$1006:$AE$1006,0))&gt;=100000), " ",IF(INDEX($V$2:$AE$1001,MATCH(ROWS($O$2:O2),$O$2:$O$1001,0),MATCH(COLUMNS($V$1006:AB1006),$V$1006:$AE$1006,0)), HYPERLINK("#",""), HYPERLINK(CONCATENATE("#Metadata!", ADDRESS(INDEX($Q$2:$Q$1001,MATCH(ROWS($O$2:O2),$O$2:$O$1001,0),0), INDEX($V$1004:$AE$1004,1,MATCH(COLUMNS($V$1006:AB1006),$V$1006:$AE$1006,0)))),"Fix")))</f>
        <v>0</v>
      </c>
      <c r="I2" s="4">
        <f>IF(OR(INDEX($P$2:$P$1001,MATCH(ROWS($O$2:O2),$O$2:$O$1001,0),1)&gt;=100000,INDEX($V$1005:$AE$1005,1,MATCH(COLUMNS($V$1006:AC1006),$V$1006:$AE$1006,0))&gt;=100000), " ",IF(INDEX($V$2:$AE$1001,MATCH(ROWS($O$2:O2),$O$2:$O$1001,0),MATCH(COLUMNS($V$1006:AC1006),$V$1006:$AE$1006,0)), HYPERLINK("#",""), HYPERLINK(CONCATENATE("#Metadata!", ADDRESS(INDEX($Q$2:$Q$1001,MATCH(ROWS($O$2:O2),$O$2:$O$1001,0),0), INDEX($V$1004:$AE$1004,1,MATCH(COLUMNS($V$1006:AC1006),$V$1006:$AE$1006,0)))),"Fix")))</f>
        <v>0</v>
      </c>
      <c r="J2" s="4">
        <f>IF(OR(INDEX($P$2:$P$1001,MATCH(ROWS($O$2:O2),$O$2:$O$1001,0),1)&gt;=100000,INDEX($V$1005:$AE$1005,1,MATCH(COLUMNS($V$1006:AD1006),$V$1006:$AE$1006,0))&gt;=100000), " ",IF(INDEX($V$2:$AE$1001,MATCH(ROWS($O$2:O2),$O$2:$O$1001,0),MATCH(COLUMNS($V$1006:AD1006),$V$1006:$AE$1006,0)), HYPERLINK("#",""), HYPERLINK(CONCATENATE("#Metadata!", ADDRESS(INDEX($Q$2:$Q$1001,MATCH(ROWS($O$2:O2),$O$2:$O$1001,0),0), INDEX($V$1004:$AE$1004,1,MATCH(COLUMNS($V$1006:AD1006),$V$1006:$AE$1006,0)))),"Fix")))</f>
        <v>0</v>
      </c>
      <c r="K2" s="4">
        <f>IF(OR(INDEX($P$2:$P$1001,MATCH(ROWS($O$2:O2),$O$2:$O$1001,0),1)&gt;=100000,INDEX($V$1005:$AE$1005,1,MATCH(COLUMNS($V$1006:AE1006),$V$1006:$AE$1006,0))&gt;=100000), " ",IF(INDEX($V$2:$AE$1001,MATCH(ROWS($O$2:O2),$O$2:$O$1001,0),MATCH(COLUMNS($V$1006:AE1006),$V$1006:$AE$1006,0)), HYPERLINK("#",""), HYPERLINK(CONCATENATE("#Metadata!", ADDRESS(INDEX($Q$2:$Q$1001,MATCH(ROWS($O$2:O2),$O$2:$O$1001,0),0), INDEX($V$1004:$AE$1004,1,MATCH(COLUMNS($V$1006:AE1006),$V$1006:$AE$1006,0)))),"Fix")))</f>
        <v>0</v>
      </c>
      <c r="O2">
        <f t="array" ref="O2:O1001">COUNTIF(P$2:P$1001,"&lt;="&amp;$P2:$P1001)</f>
        <v>0</v>
      </c>
      <c r="P2">
        <f t="array" ref="P2:P1001">INT(R2:R1001)*100000+$Q$2:$Q$1001</f>
        <v>0</v>
      </c>
      <c r="Q2">
        <f t="array" ref="Q2:Q1001">ROW(Metadata!B2:B1001)</f>
        <v>0</v>
      </c>
      <c r="R2">
        <f>IF(S2,TRUE,AND(V2:AE2))</f>
        <v>0</v>
      </c>
      <c r="S2">
        <f>COUNTBLANK(Metadata!B2:K2)=COLUMNS(Metadata!B2:K2)</f>
        <v>0</v>
      </c>
      <c r="T2">
        <f t="array" ref="T2:T1001">IF(Metadata!B2:B1001="","",Metadata!B2:B1001)</f>
        <v>0</v>
      </c>
      <c r="V2">
        <f>AND(IF(Metadata!B2="",FALSE,TRUE),COUNTIF(Metadata!B:B, Metadata!B2) = 1,NOT(ISERROR(SUMPRODUCT(SEARCH(MID(Metadata!B2,ROW(INDIRECT("1:"&amp;LEN(Metadata!B2))), 1),"0123456789abcdefghijklmnopqrstuvwxyzABCDEFGHIJKLMNOPQRSTUVWXYZ.")))))</f>
        <v>0</v>
      </c>
      <c r="W2">
        <f>AND(IF(Metadata!C2="",FALSE,TRUE),exact(Metadata!C2,"urban biome"))</f>
        <v>0</v>
      </c>
      <c r="X2">
        <f>AND(IF(Metadata!D2="",FALSE,TRUE),exact(Metadata!D2,"animal-associated habitat"))</f>
        <v>0</v>
      </c>
      <c r="Y2">
        <f>OR(AND(IF(Metadata!E2="",FALSE,TRUE),OR(exact(Metadata!E2,"not applicable"),exact(Metadata!E2,"missing: not collected"),exact(Metadata!E2,"missing: not provided"),exact(Metadata!E2,"missing: restricted access"))),AND(IF(Metadata!E2="",FALSE,ISNUMBER(VALUE(Metadata!E2))),Metadata!E2&gt;0))</f>
        <v>0</v>
      </c>
      <c r="Z2">
        <f>AND(IF(Metadata!F2="",FALSE,TRUE),exact(Metadata!F2,"weeks"))</f>
        <v>0</v>
      </c>
      <c r="AA2">
        <f>AND(IF(Metadata!G2="",FALSE,TRUE),exact(Metadata!G2,"mouse"))</f>
        <v>0</v>
      </c>
      <c r="AB2">
        <f>AND(IF(Metadata!H2="",FALSE,TRUE),exact(Metadata!H2,"Mus musculus"))</f>
        <v>0</v>
      </c>
      <c r="AC2">
        <f>AND(IF(Metadata!I2="",FALSE,TRUE),exact(Metadata!I2,"10090"))</f>
        <v>0</v>
      </c>
      <c r="AD2">
        <f>OR(AND(IF(Metadata!J2="",FALSE,TRUE),OR(exact(Metadata!J2,"not applicable"),exact(Metadata!J2,"missing: not collected"),exact(Metadata!J2,"missing: not provided"),exact(Metadata!J2,"missing: restricted access"))),AND(IF(Metadata!J2="",FALSE,ISNUMBER(VALUE(Metadata!J2))),Metadata!J2&gt;0))</f>
        <v>0</v>
      </c>
      <c r="AE2">
        <f>AND(IF(Metadata!K2="",FALSE,TRUE),exact(Metadata!K2,"g"))</f>
        <v>0</v>
      </c>
    </row>
    <row r="3" spans="1:31">
      <c r="A3" s="5">
        <f>IF(B3=" "," ",HYPERLINK(CONCATENATE("#metadata!",ADDRESS(INDEX($Q$2:$Q$1001,MATCH(ROWS($O$2:O3),$O$2:$O$1001,0),0),1)),INDEX($T$2:$T$1001,MATCH(ROWS($O$2:O3),$O$2:$O$1001,0),0)))</f>
        <v>0</v>
      </c>
      <c r="B3" s="4">
        <f>IF(OR(INDEX($P$2:$P$1001,MATCH(ROWS($O$2:O3),$O$2:$O$1001,0),1)&gt;=100000,INDEX($V$1005:$AE$1005,1,MATCH(COLUMNS($V$1006:V1006),$V$1006:$AE$1006,0))&gt;=100000), " ",IF(INDEX($V$2:$AE$1001,MATCH(ROWS($O$2:O3),$O$2:$O$1001,0),MATCH(COLUMNS($V$1006:V1006),$V$1006:$AE$1006,0)), HYPERLINK("#",""), HYPERLINK(CONCATENATE("#Metadata!", ADDRESS(INDEX($Q$2:$Q$1001,MATCH(ROWS($O$2:O3),$O$2:$O$1001,0),0), INDEX($V$1004:$AE$1004,1,MATCH(COLUMNS($V$1006:V1006),$V$1006:$AE$1006,0)))),"Fix")))</f>
        <v>0</v>
      </c>
      <c r="C3" s="4">
        <f>IF(OR(INDEX($P$2:$P$1001,MATCH(ROWS($O$2:O3),$O$2:$O$1001,0),1)&gt;=100000,INDEX($V$1005:$AE$1005,1,MATCH(COLUMNS($V$1006:W1006),$V$1006:$AE$1006,0))&gt;=100000), " ",IF(INDEX($V$2:$AE$1001,MATCH(ROWS($O$2:O3),$O$2:$O$1001,0),MATCH(COLUMNS($V$1006:W1006),$V$1006:$AE$1006,0)), HYPERLINK("#",""), HYPERLINK(CONCATENATE("#Metadata!", ADDRESS(INDEX($Q$2:$Q$1001,MATCH(ROWS($O$2:O3),$O$2:$O$1001,0),0), INDEX($V$1004:$AE$1004,1,MATCH(COLUMNS($V$1006:W1006),$V$1006:$AE$1006,0)))),"Fix")))</f>
        <v>0</v>
      </c>
      <c r="D3" s="4">
        <f>IF(OR(INDEX($P$2:$P$1001,MATCH(ROWS($O$2:O3),$O$2:$O$1001,0),1)&gt;=100000,INDEX($V$1005:$AE$1005,1,MATCH(COLUMNS($V$1006:X1006),$V$1006:$AE$1006,0))&gt;=100000), " ",IF(INDEX($V$2:$AE$1001,MATCH(ROWS($O$2:O3),$O$2:$O$1001,0),MATCH(COLUMNS($V$1006:X1006),$V$1006:$AE$1006,0)), HYPERLINK("#",""), HYPERLINK(CONCATENATE("#Metadata!", ADDRESS(INDEX($Q$2:$Q$1001,MATCH(ROWS($O$2:O3),$O$2:$O$1001,0),0), INDEX($V$1004:$AE$1004,1,MATCH(COLUMNS($V$1006:X1006),$V$1006:$AE$1006,0)))),"Fix")))</f>
        <v>0</v>
      </c>
      <c r="E3" s="4">
        <f>IF(OR(INDEX($P$2:$P$1001,MATCH(ROWS($O$2:O3),$O$2:$O$1001,0),1)&gt;=100000,INDEX($V$1005:$AE$1005,1,MATCH(COLUMNS($V$1006:Y1006),$V$1006:$AE$1006,0))&gt;=100000), " ",IF(INDEX($V$2:$AE$1001,MATCH(ROWS($O$2:O3),$O$2:$O$1001,0),MATCH(COLUMNS($V$1006:Y1006),$V$1006:$AE$1006,0)), HYPERLINK("#",""), HYPERLINK(CONCATENATE("#Metadata!", ADDRESS(INDEX($Q$2:$Q$1001,MATCH(ROWS($O$2:O3),$O$2:$O$1001,0),0), INDEX($V$1004:$AE$1004,1,MATCH(COLUMNS($V$1006:Y1006),$V$1006:$AE$1006,0)))),"Fix")))</f>
        <v>0</v>
      </c>
      <c r="F3" s="4">
        <f>IF(OR(INDEX($P$2:$P$1001,MATCH(ROWS($O$2:O3),$O$2:$O$1001,0),1)&gt;=100000,INDEX($V$1005:$AE$1005,1,MATCH(COLUMNS($V$1006:Z1006),$V$1006:$AE$1006,0))&gt;=100000), " ",IF(INDEX($V$2:$AE$1001,MATCH(ROWS($O$2:O3),$O$2:$O$1001,0),MATCH(COLUMNS($V$1006:Z1006),$V$1006:$AE$1006,0)), HYPERLINK("#",""), HYPERLINK(CONCATENATE("#Metadata!", ADDRESS(INDEX($Q$2:$Q$1001,MATCH(ROWS($O$2:O3),$O$2:$O$1001,0),0), INDEX($V$1004:$AE$1004,1,MATCH(COLUMNS($V$1006:Z1006),$V$1006:$AE$1006,0)))),"Fix")))</f>
        <v>0</v>
      </c>
      <c r="G3" s="4">
        <f>IF(OR(INDEX($P$2:$P$1001,MATCH(ROWS($O$2:O3),$O$2:$O$1001,0),1)&gt;=100000,INDEX($V$1005:$AE$1005,1,MATCH(COLUMNS($V$1006:AA1006),$V$1006:$AE$1006,0))&gt;=100000), " ",IF(INDEX($V$2:$AE$1001,MATCH(ROWS($O$2:O3),$O$2:$O$1001,0),MATCH(COLUMNS($V$1006:AA1006),$V$1006:$AE$1006,0)), HYPERLINK("#",""), HYPERLINK(CONCATENATE("#Metadata!", ADDRESS(INDEX($Q$2:$Q$1001,MATCH(ROWS($O$2:O3),$O$2:$O$1001,0),0), INDEX($V$1004:$AE$1004,1,MATCH(COLUMNS($V$1006:AA1006),$V$1006:$AE$1006,0)))),"Fix")))</f>
        <v>0</v>
      </c>
      <c r="H3" s="4">
        <f>IF(OR(INDEX($P$2:$P$1001,MATCH(ROWS($O$2:O3),$O$2:$O$1001,0),1)&gt;=100000,INDEX($V$1005:$AE$1005,1,MATCH(COLUMNS($V$1006:AB1006),$V$1006:$AE$1006,0))&gt;=100000), " ",IF(INDEX($V$2:$AE$1001,MATCH(ROWS($O$2:O3),$O$2:$O$1001,0),MATCH(COLUMNS($V$1006:AB1006),$V$1006:$AE$1006,0)), HYPERLINK("#",""), HYPERLINK(CONCATENATE("#Metadata!", ADDRESS(INDEX($Q$2:$Q$1001,MATCH(ROWS($O$2:O3),$O$2:$O$1001,0),0), INDEX($V$1004:$AE$1004,1,MATCH(COLUMNS($V$1006:AB1006),$V$1006:$AE$1006,0)))),"Fix")))</f>
        <v>0</v>
      </c>
      <c r="I3" s="4">
        <f>IF(OR(INDEX($P$2:$P$1001,MATCH(ROWS($O$2:O3),$O$2:$O$1001,0),1)&gt;=100000,INDEX($V$1005:$AE$1005,1,MATCH(COLUMNS($V$1006:AC1006),$V$1006:$AE$1006,0))&gt;=100000), " ",IF(INDEX($V$2:$AE$1001,MATCH(ROWS($O$2:O3),$O$2:$O$1001,0),MATCH(COLUMNS($V$1006:AC1006),$V$1006:$AE$1006,0)), HYPERLINK("#",""), HYPERLINK(CONCATENATE("#Metadata!", ADDRESS(INDEX($Q$2:$Q$1001,MATCH(ROWS($O$2:O3),$O$2:$O$1001,0),0), INDEX($V$1004:$AE$1004,1,MATCH(COLUMNS($V$1006:AC1006),$V$1006:$AE$1006,0)))),"Fix")))</f>
        <v>0</v>
      </c>
      <c r="J3" s="4">
        <f>IF(OR(INDEX($P$2:$P$1001,MATCH(ROWS($O$2:O3),$O$2:$O$1001,0),1)&gt;=100000,INDEX($V$1005:$AE$1005,1,MATCH(COLUMNS($V$1006:AD1006),$V$1006:$AE$1006,0))&gt;=100000), " ",IF(INDEX($V$2:$AE$1001,MATCH(ROWS($O$2:O3),$O$2:$O$1001,0),MATCH(COLUMNS($V$1006:AD1006),$V$1006:$AE$1006,0)), HYPERLINK("#",""), HYPERLINK(CONCATENATE("#Metadata!", ADDRESS(INDEX($Q$2:$Q$1001,MATCH(ROWS($O$2:O3),$O$2:$O$1001,0),0), INDEX($V$1004:$AE$1004,1,MATCH(COLUMNS($V$1006:AD1006),$V$1006:$AE$1006,0)))),"Fix")))</f>
        <v>0</v>
      </c>
      <c r="K3" s="4">
        <f>IF(OR(INDEX($P$2:$P$1001,MATCH(ROWS($O$2:O3),$O$2:$O$1001,0),1)&gt;=100000,INDEX($V$1005:$AE$1005,1,MATCH(COLUMNS($V$1006:AE1006),$V$1006:$AE$1006,0))&gt;=100000), " ",IF(INDEX($V$2:$AE$1001,MATCH(ROWS($O$2:O3),$O$2:$O$1001,0),MATCH(COLUMNS($V$1006:AE1006),$V$1006:$AE$1006,0)), HYPERLINK("#",""), HYPERLINK(CONCATENATE("#Metadata!", ADDRESS(INDEX($Q$2:$Q$1001,MATCH(ROWS($O$2:O3),$O$2:$O$1001,0),0), INDEX($V$1004:$AE$1004,1,MATCH(COLUMNS($V$1006:AE1006),$V$1006:$AE$1006,0)))),"Fix")))</f>
        <v>0</v>
      </c>
      <c r="O3">
        <v>0</v>
      </c>
      <c r="P3">
        <v>0</v>
      </c>
      <c r="Q3">
        <v>0</v>
      </c>
      <c r="R3">
        <f>IF(S3,TRUE,AND(V3:AE3))</f>
        <v>0</v>
      </c>
      <c r="S3">
        <f>COUNTBLANK(Metadata!B3:K3)=COLUMNS(Metadata!B3:K3)</f>
        <v>0</v>
      </c>
      <c r="T3">
        <v>0</v>
      </c>
      <c r="V3">
        <f>AND(IF(Metadata!B3="",FALSE,TRUE),COUNTIF(Metadata!B:B, Metadata!B3) = 1,NOT(ISERROR(SUMPRODUCT(SEARCH(MID(Metadata!B3,ROW(INDIRECT("1:"&amp;LEN(Metadata!B3))), 1),"0123456789abcdefghijklmnopqrstuvwxyzABCDEFGHIJKLMNOPQRSTUVWXYZ.")))))</f>
        <v>0</v>
      </c>
      <c r="W3">
        <f>AND(IF(Metadata!C3="",FALSE,TRUE),exact(Metadata!C3,"urban biome"))</f>
        <v>0</v>
      </c>
      <c r="X3">
        <f>AND(IF(Metadata!D3="",FALSE,TRUE),exact(Metadata!D3,"animal-associated habitat"))</f>
        <v>0</v>
      </c>
      <c r="Y3">
        <f>OR(AND(IF(Metadata!E3="",FALSE,TRUE),OR(exact(Metadata!E3,"not applicable"),exact(Metadata!E3,"missing: not collected"),exact(Metadata!E3,"missing: not provided"),exact(Metadata!E3,"missing: restricted access"))),AND(IF(Metadata!E3="",FALSE,ISNUMBER(VALUE(Metadata!E3))),Metadata!E3&gt;0))</f>
        <v>0</v>
      </c>
      <c r="Z3">
        <f>AND(IF(Metadata!F3="",FALSE,TRUE),exact(Metadata!F3,"weeks"))</f>
        <v>0</v>
      </c>
      <c r="AA3">
        <f>AND(IF(Metadata!G3="",FALSE,TRUE),exact(Metadata!G3,"mouse"))</f>
        <v>0</v>
      </c>
      <c r="AB3">
        <f>AND(IF(Metadata!H3="",FALSE,TRUE),exact(Metadata!H3,"Mus musculus"))</f>
        <v>0</v>
      </c>
      <c r="AC3">
        <f>AND(IF(Metadata!I3="",FALSE,TRUE),exact(Metadata!I3,"10090"))</f>
        <v>0</v>
      </c>
      <c r="AD3">
        <f>OR(AND(IF(Metadata!J3="",FALSE,TRUE),OR(exact(Metadata!J3,"not applicable"),exact(Metadata!J3,"missing: not collected"),exact(Metadata!J3,"missing: not provided"),exact(Metadata!J3,"missing: restricted access"))),AND(IF(Metadata!J3="",FALSE,ISNUMBER(VALUE(Metadata!J3))),Metadata!J3&gt;0))</f>
        <v>0</v>
      </c>
      <c r="AE3">
        <f>AND(IF(Metadata!K3="",FALSE,TRUE),exact(Metadata!K3,"g"))</f>
        <v>0</v>
      </c>
    </row>
    <row r="4" spans="1:31">
      <c r="A4" s="5">
        <f>IF(B4=" "," ",HYPERLINK(CONCATENATE("#metadata!",ADDRESS(INDEX($Q$2:$Q$1001,MATCH(ROWS($O$2:O4),$O$2:$O$1001,0),0),1)),INDEX($T$2:$T$1001,MATCH(ROWS($O$2:O4),$O$2:$O$1001,0),0)))</f>
        <v>0</v>
      </c>
      <c r="B4" s="4">
        <f>IF(OR(INDEX($P$2:$P$1001,MATCH(ROWS($O$2:O4),$O$2:$O$1001,0),1)&gt;=100000,INDEX($V$1005:$AE$1005,1,MATCH(COLUMNS($V$1006:V1006),$V$1006:$AE$1006,0))&gt;=100000), " ",IF(INDEX($V$2:$AE$1001,MATCH(ROWS($O$2:O4),$O$2:$O$1001,0),MATCH(COLUMNS($V$1006:V1006),$V$1006:$AE$1006,0)), HYPERLINK("#",""), HYPERLINK(CONCATENATE("#Metadata!", ADDRESS(INDEX($Q$2:$Q$1001,MATCH(ROWS($O$2:O4),$O$2:$O$1001,0),0), INDEX($V$1004:$AE$1004,1,MATCH(COLUMNS($V$1006:V1006),$V$1006:$AE$1006,0)))),"Fix")))</f>
        <v>0</v>
      </c>
      <c r="C4" s="4">
        <f>IF(OR(INDEX($P$2:$P$1001,MATCH(ROWS($O$2:O4),$O$2:$O$1001,0),1)&gt;=100000,INDEX($V$1005:$AE$1005,1,MATCH(COLUMNS($V$1006:W1006),$V$1006:$AE$1006,0))&gt;=100000), " ",IF(INDEX($V$2:$AE$1001,MATCH(ROWS($O$2:O4),$O$2:$O$1001,0),MATCH(COLUMNS($V$1006:W1006),$V$1006:$AE$1006,0)), HYPERLINK("#",""), HYPERLINK(CONCATENATE("#Metadata!", ADDRESS(INDEX($Q$2:$Q$1001,MATCH(ROWS($O$2:O4),$O$2:$O$1001,0),0), INDEX($V$1004:$AE$1004,1,MATCH(COLUMNS($V$1006:W1006),$V$1006:$AE$1006,0)))),"Fix")))</f>
        <v>0</v>
      </c>
      <c r="D4" s="4">
        <f>IF(OR(INDEX($P$2:$P$1001,MATCH(ROWS($O$2:O4),$O$2:$O$1001,0),1)&gt;=100000,INDEX($V$1005:$AE$1005,1,MATCH(COLUMNS($V$1006:X1006),$V$1006:$AE$1006,0))&gt;=100000), " ",IF(INDEX($V$2:$AE$1001,MATCH(ROWS($O$2:O4),$O$2:$O$1001,0),MATCH(COLUMNS($V$1006:X1006),$V$1006:$AE$1006,0)), HYPERLINK("#",""), HYPERLINK(CONCATENATE("#Metadata!", ADDRESS(INDEX($Q$2:$Q$1001,MATCH(ROWS($O$2:O4),$O$2:$O$1001,0),0), INDEX($V$1004:$AE$1004,1,MATCH(COLUMNS($V$1006:X1006),$V$1006:$AE$1006,0)))),"Fix")))</f>
        <v>0</v>
      </c>
      <c r="E4" s="4">
        <f>IF(OR(INDEX($P$2:$P$1001,MATCH(ROWS($O$2:O4),$O$2:$O$1001,0),1)&gt;=100000,INDEX($V$1005:$AE$1005,1,MATCH(COLUMNS($V$1006:Y1006),$V$1006:$AE$1006,0))&gt;=100000), " ",IF(INDEX($V$2:$AE$1001,MATCH(ROWS($O$2:O4),$O$2:$O$1001,0),MATCH(COLUMNS($V$1006:Y1006),$V$1006:$AE$1006,0)), HYPERLINK("#",""), HYPERLINK(CONCATENATE("#Metadata!", ADDRESS(INDEX($Q$2:$Q$1001,MATCH(ROWS($O$2:O4),$O$2:$O$1001,0),0), INDEX($V$1004:$AE$1004,1,MATCH(COLUMNS($V$1006:Y1006),$V$1006:$AE$1006,0)))),"Fix")))</f>
        <v>0</v>
      </c>
      <c r="F4" s="4">
        <f>IF(OR(INDEX($P$2:$P$1001,MATCH(ROWS($O$2:O4),$O$2:$O$1001,0),1)&gt;=100000,INDEX($V$1005:$AE$1005,1,MATCH(COLUMNS($V$1006:Z1006),$V$1006:$AE$1006,0))&gt;=100000), " ",IF(INDEX($V$2:$AE$1001,MATCH(ROWS($O$2:O4),$O$2:$O$1001,0),MATCH(COLUMNS($V$1006:Z1006),$V$1006:$AE$1006,0)), HYPERLINK("#",""), HYPERLINK(CONCATENATE("#Metadata!", ADDRESS(INDEX($Q$2:$Q$1001,MATCH(ROWS($O$2:O4),$O$2:$O$1001,0),0), INDEX($V$1004:$AE$1004,1,MATCH(COLUMNS($V$1006:Z1006),$V$1006:$AE$1006,0)))),"Fix")))</f>
        <v>0</v>
      </c>
      <c r="G4" s="4">
        <f>IF(OR(INDEX($P$2:$P$1001,MATCH(ROWS($O$2:O4),$O$2:$O$1001,0),1)&gt;=100000,INDEX($V$1005:$AE$1005,1,MATCH(COLUMNS($V$1006:AA1006),$V$1006:$AE$1006,0))&gt;=100000), " ",IF(INDEX($V$2:$AE$1001,MATCH(ROWS($O$2:O4),$O$2:$O$1001,0),MATCH(COLUMNS($V$1006:AA1006),$V$1006:$AE$1006,0)), HYPERLINK("#",""), HYPERLINK(CONCATENATE("#Metadata!", ADDRESS(INDEX($Q$2:$Q$1001,MATCH(ROWS($O$2:O4),$O$2:$O$1001,0),0), INDEX($V$1004:$AE$1004,1,MATCH(COLUMNS($V$1006:AA1006),$V$1006:$AE$1006,0)))),"Fix")))</f>
        <v>0</v>
      </c>
      <c r="H4" s="4">
        <f>IF(OR(INDEX($P$2:$P$1001,MATCH(ROWS($O$2:O4),$O$2:$O$1001,0),1)&gt;=100000,INDEX($V$1005:$AE$1005,1,MATCH(COLUMNS($V$1006:AB1006),$V$1006:$AE$1006,0))&gt;=100000), " ",IF(INDEX($V$2:$AE$1001,MATCH(ROWS($O$2:O4),$O$2:$O$1001,0),MATCH(COLUMNS($V$1006:AB1006),$V$1006:$AE$1006,0)), HYPERLINK("#",""), HYPERLINK(CONCATENATE("#Metadata!", ADDRESS(INDEX($Q$2:$Q$1001,MATCH(ROWS($O$2:O4),$O$2:$O$1001,0),0), INDEX($V$1004:$AE$1004,1,MATCH(COLUMNS($V$1006:AB1006),$V$1006:$AE$1006,0)))),"Fix")))</f>
        <v>0</v>
      </c>
      <c r="I4" s="4">
        <f>IF(OR(INDEX($P$2:$P$1001,MATCH(ROWS($O$2:O4),$O$2:$O$1001,0),1)&gt;=100000,INDEX($V$1005:$AE$1005,1,MATCH(COLUMNS($V$1006:AC1006),$V$1006:$AE$1006,0))&gt;=100000), " ",IF(INDEX($V$2:$AE$1001,MATCH(ROWS($O$2:O4),$O$2:$O$1001,0),MATCH(COLUMNS($V$1006:AC1006),$V$1006:$AE$1006,0)), HYPERLINK("#",""), HYPERLINK(CONCATENATE("#Metadata!", ADDRESS(INDEX($Q$2:$Q$1001,MATCH(ROWS($O$2:O4),$O$2:$O$1001,0),0), INDEX($V$1004:$AE$1004,1,MATCH(COLUMNS($V$1006:AC1006),$V$1006:$AE$1006,0)))),"Fix")))</f>
        <v>0</v>
      </c>
      <c r="J4" s="4">
        <f>IF(OR(INDEX($P$2:$P$1001,MATCH(ROWS($O$2:O4),$O$2:$O$1001,0),1)&gt;=100000,INDEX($V$1005:$AE$1005,1,MATCH(COLUMNS($V$1006:AD1006),$V$1006:$AE$1006,0))&gt;=100000), " ",IF(INDEX($V$2:$AE$1001,MATCH(ROWS($O$2:O4),$O$2:$O$1001,0),MATCH(COLUMNS($V$1006:AD1006),$V$1006:$AE$1006,0)), HYPERLINK("#",""), HYPERLINK(CONCATENATE("#Metadata!", ADDRESS(INDEX($Q$2:$Q$1001,MATCH(ROWS($O$2:O4),$O$2:$O$1001,0),0), INDEX($V$1004:$AE$1004,1,MATCH(COLUMNS($V$1006:AD1006),$V$1006:$AE$1006,0)))),"Fix")))</f>
        <v>0</v>
      </c>
      <c r="K4" s="4">
        <f>IF(OR(INDEX($P$2:$P$1001,MATCH(ROWS($O$2:O4),$O$2:$O$1001,0),1)&gt;=100000,INDEX($V$1005:$AE$1005,1,MATCH(COLUMNS($V$1006:AE1006),$V$1006:$AE$1006,0))&gt;=100000), " ",IF(INDEX($V$2:$AE$1001,MATCH(ROWS($O$2:O4),$O$2:$O$1001,0),MATCH(COLUMNS($V$1006:AE1006),$V$1006:$AE$1006,0)), HYPERLINK("#",""), HYPERLINK(CONCATENATE("#Metadata!", ADDRESS(INDEX($Q$2:$Q$1001,MATCH(ROWS($O$2:O4),$O$2:$O$1001,0),0), INDEX($V$1004:$AE$1004,1,MATCH(COLUMNS($V$1006:AE1006),$V$1006:$AE$1006,0)))),"Fix")))</f>
        <v>0</v>
      </c>
      <c r="O4">
        <v>0</v>
      </c>
      <c r="P4">
        <v>0</v>
      </c>
      <c r="Q4">
        <v>0</v>
      </c>
      <c r="R4">
        <f>IF(S4,TRUE,AND(V4:AE4))</f>
        <v>0</v>
      </c>
      <c r="S4">
        <f>COUNTBLANK(Metadata!B4:K4)=COLUMNS(Metadata!B4:K4)</f>
        <v>0</v>
      </c>
      <c r="T4">
        <v>0</v>
      </c>
      <c r="V4">
        <f>AND(IF(Metadata!B4="",FALSE,TRUE),COUNTIF(Metadata!B:B, Metadata!B4) = 1,NOT(ISERROR(SUMPRODUCT(SEARCH(MID(Metadata!B4,ROW(INDIRECT("1:"&amp;LEN(Metadata!B4))), 1),"0123456789abcdefghijklmnopqrstuvwxyzABCDEFGHIJKLMNOPQRSTUVWXYZ.")))))</f>
        <v>0</v>
      </c>
      <c r="W4">
        <f>AND(IF(Metadata!C4="",FALSE,TRUE),exact(Metadata!C4,"urban biome"))</f>
        <v>0</v>
      </c>
      <c r="X4">
        <f>AND(IF(Metadata!D4="",FALSE,TRUE),exact(Metadata!D4,"animal-associated habitat"))</f>
        <v>0</v>
      </c>
      <c r="Y4">
        <f>OR(AND(IF(Metadata!E4="",FALSE,TRUE),OR(exact(Metadata!E4,"not applicable"),exact(Metadata!E4,"missing: not collected"),exact(Metadata!E4,"missing: not provided"),exact(Metadata!E4,"missing: restricted access"))),AND(IF(Metadata!E4="",FALSE,ISNUMBER(VALUE(Metadata!E4))),Metadata!E4&gt;0))</f>
        <v>0</v>
      </c>
      <c r="Z4">
        <f>AND(IF(Metadata!F4="",FALSE,TRUE),exact(Metadata!F4,"weeks"))</f>
        <v>0</v>
      </c>
      <c r="AA4">
        <f>AND(IF(Metadata!G4="",FALSE,TRUE),exact(Metadata!G4,"mouse"))</f>
        <v>0</v>
      </c>
      <c r="AB4">
        <f>AND(IF(Metadata!H4="",FALSE,TRUE),exact(Metadata!H4,"Mus musculus"))</f>
        <v>0</v>
      </c>
      <c r="AC4">
        <f>AND(IF(Metadata!I4="",FALSE,TRUE),exact(Metadata!I4,"10090"))</f>
        <v>0</v>
      </c>
      <c r="AD4">
        <f>OR(AND(IF(Metadata!J4="",FALSE,TRUE),OR(exact(Metadata!J4,"not applicable"),exact(Metadata!J4,"missing: not collected"),exact(Metadata!J4,"missing: not provided"),exact(Metadata!J4,"missing: restricted access"))),AND(IF(Metadata!J4="",FALSE,ISNUMBER(VALUE(Metadata!J4))),Metadata!J4&gt;0))</f>
        <v>0</v>
      </c>
      <c r="AE4">
        <f>AND(IF(Metadata!K4="",FALSE,TRUE),exact(Metadata!K4,"g"))</f>
        <v>0</v>
      </c>
    </row>
    <row r="5" spans="1:31">
      <c r="A5" s="5">
        <f>IF(B5=" "," ",HYPERLINK(CONCATENATE("#metadata!",ADDRESS(INDEX($Q$2:$Q$1001,MATCH(ROWS($O$2:O5),$O$2:$O$1001,0),0),1)),INDEX($T$2:$T$1001,MATCH(ROWS($O$2:O5),$O$2:$O$1001,0),0)))</f>
        <v>0</v>
      </c>
      <c r="B5" s="4">
        <f>IF(OR(INDEX($P$2:$P$1001,MATCH(ROWS($O$2:O5),$O$2:$O$1001,0),1)&gt;=100000,INDEX($V$1005:$AE$1005,1,MATCH(COLUMNS($V$1006:V1006),$V$1006:$AE$1006,0))&gt;=100000), " ",IF(INDEX($V$2:$AE$1001,MATCH(ROWS($O$2:O5),$O$2:$O$1001,0),MATCH(COLUMNS($V$1006:V1006),$V$1006:$AE$1006,0)), HYPERLINK("#",""), HYPERLINK(CONCATENATE("#Metadata!", ADDRESS(INDEX($Q$2:$Q$1001,MATCH(ROWS($O$2:O5),$O$2:$O$1001,0),0), INDEX($V$1004:$AE$1004,1,MATCH(COLUMNS($V$1006:V1006),$V$1006:$AE$1006,0)))),"Fix")))</f>
        <v>0</v>
      </c>
      <c r="C5" s="4">
        <f>IF(OR(INDEX($P$2:$P$1001,MATCH(ROWS($O$2:O5),$O$2:$O$1001,0),1)&gt;=100000,INDEX($V$1005:$AE$1005,1,MATCH(COLUMNS($V$1006:W1006),$V$1006:$AE$1006,0))&gt;=100000), " ",IF(INDEX($V$2:$AE$1001,MATCH(ROWS($O$2:O5),$O$2:$O$1001,0),MATCH(COLUMNS($V$1006:W1006),$V$1006:$AE$1006,0)), HYPERLINK("#",""), HYPERLINK(CONCATENATE("#Metadata!", ADDRESS(INDEX($Q$2:$Q$1001,MATCH(ROWS($O$2:O5),$O$2:$O$1001,0),0), INDEX($V$1004:$AE$1004,1,MATCH(COLUMNS($V$1006:W1006),$V$1006:$AE$1006,0)))),"Fix")))</f>
        <v>0</v>
      </c>
      <c r="D5" s="4">
        <f>IF(OR(INDEX($P$2:$P$1001,MATCH(ROWS($O$2:O5),$O$2:$O$1001,0),1)&gt;=100000,INDEX($V$1005:$AE$1005,1,MATCH(COLUMNS($V$1006:X1006),$V$1006:$AE$1006,0))&gt;=100000), " ",IF(INDEX($V$2:$AE$1001,MATCH(ROWS($O$2:O5),$O$2:$O$1001,0),MATCH(COLUMNS($V$1006:X1006),$V$1006:$AE$1006,0)), HYPERLINK("#",""), HYPERLINK(CONCATENATE("#Metadata!", ADDRESS(INDEX($Q$2:$Q$1001,MATCH(ROWS($O$2:O5),$O$2:$O$1001,0),0), INDEX($V$1004:$AE$1004,1,MATCH(COLUMNS($V$1006:X1006),$V$1006:$AE$1006,0)))),"Fix")))</f>
        <v>0</v>
      </c>
      <c r="E5" s="4">
        <f>IF(OR(INDEX($P$2:$P$1001,MATCH(ROWS($O$2:O5),$O$2:$O$1001,0),1)&gt;=100000,INDEX($V$1005:$AE$1005,1,MATCH(COLUMNS($V$1006:Y1006),$V$1006:$AE$1006,0))&gt;=100000), " ",IF(INDEX($V$2:$AE$1001,MATCH(ROWS($O$2:O5),$O$2:$O$1001,0),MATCH(COLUMNS($V$1006:Y1006),$V$1006:$AE$1006,0)), HYPERLINK("#",""), HYPERLINK(CONCATENATE("#Metadata!", ADDRESS(INDEX($Q$2:$Q$1001,MATCH(ROWS($O$2:O5),$O$2:$O$1001,0),0), INDEX($V$1004:$AE$1004,1,MATCH(COLUMNS($V$1006:Y1006),$V$1006:$AE$1006,0)))),"Fix")))</f>
        <v>0</v>
      </c>
      <c r="F5" s="4">
        <f>IF(OR(INDEX($P$2:$P$1001,MATCH(ROWS($O$2:O5),$O$2:$O$1001,0),1)&gt;=100000,INDEX($V$1005:$AE$1005,1,MATCH(COLUMNS($V$1006:Z1006),$V$1006:$AE$1006,0))&gt;=100000), " ",IF(INDEX($V$2:$AE$1001,MATCH(ROWS($O$2:O5),$O$2:$O$1001,0),MATCH(COLUMNS($V$1006:Z1006),$V$1006:$AE$1006,0)), HYPERLINK("#",""), HYPERLINK(CONCATENATE("#Metadata!", ADDRESS(INDEX($Q$2:$Q$1001,MATCH(ROWS($O$2:O5),$O$2:$O$1001,0),0), INDEX($V$1004:$AE$1004,1,MATCH(COLUMNS($V$1006:Z1006),$V$1006:$AE$1006,0)))),"Fix")))</f>
        <v>0</v>
      </c>
      <c r="G5" s="4">
        <f>IF(OR(INDEX($P$2:$P$1001,MATCH(ROWS($O$2:O5),$O$2:$O$1001,0),1)&gt;=100000,INDEX($V$1005:$AE$1005,1,MATCH(COLUMNS($V$1006:AA1006),$V$1006:$AE$1006,0))&gt;=100000), " ",IF(INDEX($V$2:$AE$1001,MATCH(ROWS($O$2:O5),$O$2:$O$1001,0),MATCH(COLUMNS($V$1006:AA1006),$V$1006:$AE$1006,0)), HYPERLINK("#",""), HYPERLINK(CONCATENATE("#Metadata!", ADDRESS(INDEX($Q$2:$Q$1001,MATCH(ROWS($O$2:O5),$O$2:$O$1001,0),0), INDEX($V$1004:$AE$1004,1,MATCH(COLUMNS($V$1006:AA1006),$V$1006:$AE$1006,0)))),"Fix")))</f>
        <v>0</v>
      </c>
      <c r="H5" s="4">
        <f>IF(OR(INDEX($P$2:$P$1001,MATCH(ROWS($O$2:O5),$O$2:$O$1001,0),1)&gt;=100000,INDEX($V$1005:$AE$1005,1,MATCH(COLUMNS($V$1006:AB1006),$V$1006:$AE$1006,0))&gt;=100000), " ",IF(INDEX($V$2:$AE$1001,MATCH(ROWS($O$2:O5),$O$2:$O$1001,0),MATCH(COLUMNS($V$1006:AB1006),$V$1006:$AE$1006,0)), HYPERLINK("#",""), HYPERLINK(CONCATENATE("#Metadata!", ADDRESS(INDEX($Q$2:$Q$1001,MATCH(ROWS($O$2:O5),$O$2:$O$1001,0),0), INDEX($V$1004:$AE$1004,1,MATCH(COLUMNS($V$1006:AB1006),$V$1006:$AE$1006,0)))),"Fix")))</f>
        <v>0</v>
      </c>
      <c r="I5" s="4">
        <f>IF(OR(INDEX($P$2:$P$1001,MATCH(ROWS($O$2:O5),$O$2:$O$1001,0),1)&gt;=100000,INDEX($V$1005:$AE$1005,1,MATCH(COLUMNS($V$1006:AC1006),$V$1006:$AE$1006,0))&gt;=100000), " ",IF(INDEX($V$2:$AE$1001,MATCH(ROWS($O$2:O5),$O$2:$O$1001,0),MATCH(COLUMNS($V$1006:AC1006),$V$1006:$AE$1006,0)), HYPERLINK("#",""), HYPERLINK(CONCATENATE("#Metadata!", ADDRESS(INDEX($Q$2:$Q$1001,MATCH(ROWS($O$2:O5),$O$2:$O$1001,0),0), INDEX($V$1004:$AE$1004,1,MATCH(COLUMNS($V$1006:AC1006),$V$1006:$AE$1006,0)))),"Fix")))</f>
        <v>0</v>
      </c>
      <c r="J5" s="4">
        <f>IF(OR(INDEX($P$2:$P$1001,MATCH(ROWS($O$2:O5),$O$2:$O$1001,0),1)&gt;=100000,INDEX($V$1005:$AE$1005,1,MATCH(COLUMNS($V$1006:AD1006),$V$1006:$AE$1006,0))&gt;=100000), " ",IF(INDEX($V$2:$AE$1001,MATCH(ROWS($O$2:O5),$O$2:$O$1001,0),MATCH(COLUMNS($V$1006:AD1006),$V$1006:$AE$1006,0)), HYPERLINK("#",""), HYPERLINK(CONCATENATE("#Metadata!", ADDRESS(INDEX($Q$2:$Q$1001,MATCH(ROWS($O$2:O5),$O$2:$O$1001,0),0), INDEX($V$1004:$AE$1004,1,MATCH(COLUMNS($V$1006:AD1006),$V$1006:$AE$1006,0)))),"Fix")))</f>
        <v>0</v>
      </c>
      <c r="K5" s="4">
        <f>IF(OR(INDEX($P$2:$P$1001,MATCH(ROWS($O$2:O5),$O$2:$O$1001,0),1)&gt;=100000,INDEX($V$1005:$AE$1005,1,MATCH(COLUMNS($V$1006:AE1006),$V$1006:$AE$1006,0))&gt;=100000), " ",IF(INDEX($V$2:$AE$1001,MATCH(ROWS($O$2:O5),$O$2:$O$1001,0),MATCH(COLUMNS($V$1006:AE1006),$V$1006:$AE$1006,0)), HYPERLINK("#",""), HYPERLINK(CONCATENATE("#Metadata!", ADDRESS(INDEX($Q$2:$Q$1001,MATCH(ROWS($O$2:O5),$O$2:$O$1001,0),0), INDEX($V$1004:$AE$1004,1,MATCH(COLUMNS($V$1006:AE1006),$V$1006:$AE$1006,0)))),"Fix")))</f>
        <v>0</v>
      </c>
      <c r="O5">
        <v>0</v>
      </c>
      <c r="P5">
        <v>0</v>
      </c>
      <c r="Q5">
        <v>0</v>
      </c>
      <c r="R5">
        <f>IF(S5,TRUE,AND(V5:AE5))</f>
        <v>0</v>
      </c>
      <c r="S5">
        <f>COUNTBLANK(Metadata!B5:K5)=COLUMNS(Metadata!B5:K5)</f>
        <v>0</v>
      </c>
      <c r="T5">
        <v>0</v>
      </c>
      <c r="V5">
        <f>AND(IF(Metadata!B5="",FALSE,TRUE),COUNTIF(Metadata!B:B, Metadata!B5) = 1,NOT(ISERROR(SUMPRODUCT(SEARCH(MID(Metadata!B5,ROW(INDIRECT("1:"&amp;LEN(Metadata!B5))), 1),"0123456789abcdefghijklmnopqrstuvwxyzABCDEFGHIJKLMNOPQRSTUVWXYZ.")))))</f>
        <v>0</v>
      </c>
      <c r="W5">
        <f>AND(IF(Metadata!C5="",FALSE,TRUE),exact(Metadata!C5,"urban biome"))</f>
        <v>0</v>
      </c>
      <c r="X5">
        <f>AND(IF(Metadata!D5="",FALSE,TRUE),exact(Metadata!D5,"animal-associated habitat"))</f>
        <v>0</v>
      </c>
      <c r="Y5">
        <f>OR(AND(IF(Metadata!E5="",FALSE,TRUE),OR(exact(Metadata!E5,"not applicable"),exact(Metadata!E5,"missing: not collected"),exact(Metadata!E5,"missing: not provided"),exact(Metadata!E5,"missing: restricted access"))),AND(IF(Metadata!E5="",FALSE,ISNUMBER(VALUE(Metadata!E5))),Metadata!E5&gt;0))</f>
        <v>0</v>
      </c>
      <c r="Z5">
        <f>AND(IF(Metadata!F5="",FALSE,TRUE),exact(Metadata!F5,"weeks"))</f>
        <v>0</v>
      </c>
      <c r="AA5">
        <f>AND(IF(Metadata!G5="",FALSE,TRUE),exact(Metadata!G5,"mouse"))</f>
        <v>0</v>
      </c>
      <c r="AB5">
        <f>AND(IF(Metadata!H5="",FALSE,TRUE),exact(Metadata!H5,"Mus musculus"))</f>
        <v>0</v>
      </c>
      <c r="AC5">
        <f>AND(IF(Metadata!I5="",FALSE,TRUE),exact(Metadata!I5,"10090"))</f>
        <v>0</v>
      </c>
      <c r="AD5">
        <f>OR(AND(IF(Metadata!J5="",FALSE,TRUE),OR(exact(Metadata!J5,"not applicable"),exact(Metadata!J5,"missing: not collected"),exact(Metadata!J5,"missing: not provided"),exact(Metadata!J5,"missing: restricted access"))),AND(IF(Metadata!J5="",FALSE,ISNUMBER(VALUE(Metadata!J5))),Metadata!J5&gt;0))</f>
        <v>0</v>
      </c>
      <c r="AE5">
        <f>AND(IF(Metadata!K5="",FALSE,TRUE),exact(Metadata!K5,"g"))</f>
        <v>0</v>
      </c>
    </row>
    <row r="6" spans="1:31">
      <c r="A6" s="5">
        <f>IF(B6=" "," ",HYPERLINK(CONCATENATE("#metadata!",ADDRESS(INDEX($Q$2:$Q$1001,MATCH(ROWS($O$2:O6),$O$2:$O$1001,0),0),1)),INDEX($T$2:$T$1001,MATCH(ROWS($O$2:O6),$O$2:$O$1001,0),0)))</f>
        <v>0</v>
      </c>
      <c r="B6" s="4">
        <f>IF(OR(INDEX($P$2:$P$1001,MATCH(ROWS($O$2:O6),$O$2:$O$1001,0),1)&gt;=100000,INDEX($V$1005:$AE$1005,1,MATCH(COLUMNS($V$1006:V1006),$V$1006:$AE$1006,0))&gt;=100000), " ",IF(INDEX($V$2:$AE$1001,MATCH(ROWS($O$2:O6),$O$2:$O$1001,0),MATCH(COLUMNS($V$1006:V1006),$V$1006:$AE$1006,0)), HYPERLINK("#",""), HYPERLINK(CONCATENATE("#Metadata!", ADDRESS(INDEX($Q$2:$Q$1001,MATCH(ROWS($O$2:O6),$O$2:$O$1001,0),0), INDEX($V$1004:$AE$1004,1,MATCH(COLUMNS($V$1006:V1006),$V$1006:$AE$1006,0)))),"Fix")))</f>
        <v>0</v>
      </c>
      <c r="C6" s="4">
        <f>IF(OR(INDEX($P$2:$P$1001,MATCH(ROWS($O$2:O6),$O$2:$O$1001,0),1)&gt;=100000,INDEX($V$1005:$AE$1005,1,MATCH(COLUMNS($V$1006:W1006),$V$1006:$AE$1006,0))&gt;=100000), " ",IF(INDEX($V$2:$AE$1001,MATCH(ROWS($O$2:O6),$O$2:$O$1001,0),MATCH(COLUMNS($V$1006:W1006),$V$1006:$AE$1006,0)), HYPERLINK("#",""), HYPERLINK(CONCATENATE("#Metadata!", ADDRESS(INDEX($Q$2:$Q$1001,MATCH(ROWS($O$2:O6),$O$2:$O$1001,0),0), INDEX($V$1004:$AE$1004,1,MATCH(COLUMNS($V$1006:W1006),$V$1006:$AE$1006,0)))),"Fix")))</f>
        <v>0</v>
      </c>
      <c r="D6" s="4">
        <f>IF(OR(INDEX($P$2:$P$1001,MATCH(ROWS($O$2:O6),$O$2:$O$1001,0),1)&gt;=100000,INDEX($V$1005:$AE$1005,1,MATCH(COLUMNS($V$1006:X1006),$V$1006:$AE$1006,0))&gt;=100000), " ",IF(INDEX($V$2:$AE$1001,MATCH(ROWS($O$2:O6),$O$2:$O$1001,0),MATCH(COLUMNS($V$1006:X1006),$V$1006:$AE$1006,0)), HYPERLINK("#",""), HYPERLINK(CONCATENATE("#Metadata!", ADDRESS(INDEX($Q$2:$Q$1001,MATCH(ROWS($O$2:O6),$O$2:$O$1001,0),0), INDEX($V$1004:$AE$1004,1,MATCH(COLUMNS($V$1006:X1006),$V$1006:$AE$1006,0)))),"Fix")))</f>
        <v>0</v>
      </c>
      <c r="E6" s="4">
        <f>IF(OR(INDEX($P$2:$P$1001,MATCH(ROWS($O$2:O6),$O$2:$O$1001,0),1)&gt;=100000,INDEX($V$1005:$AE$1005,1,MATCH(COLUMNS($V$1006:Y1006),$V$1006:$AE$1006,0))&gt;=100000), " ",IF(INDEX($V$2:$AE$1001,MATCH(ROWS($O$2:O6),$O$2:$O$1001,0),MATCH(COLUMNS($V$1006:Y1006),$V$1006:$AE$1006,0)), HYPERLINK("#",""), HYPERLINK(CONCATENATE("#Metadata!", ADDRESS(INDEX($Q$2:$Q$1001,MATCH(ROWS($O$2:O6),$O$2:$O$1001,0),0), INDEX($V$1004:$AE$1004,1,MATCH(COLUMNS($V$1006:Y1006),$V$1006:$AE$1006,0)))),"Fix")))</f>
        <v>0</v>
      </c>
      <c r="F6" s="4">
        <f>IF(OR(INDEX($P$2:$P$1001,MATCH(ROWS($O$2:O6),$O$2:$O$1001,0),1)&gt;=100000,INDEX($V$1005:$AE$1005,1,MATCH(COLUMNS($V$1006:Z1006),$V$1006:$AE$1006,0))&gt;=100000), " ",IF(INDEX($V$2:$AE$1001,MATCH(ROWS($O$2:O6),$O$2:$O$1001,0),MATCH(COLUMNS($V$1006:Z1006),$V$1006:$AE$1006,0)), HYPERLINK("#",""), HYPERLINK(CONCATENATE("#Metadata!", ADDRESS(INDEX($Q$2:$Q$1001,MATCH(ROWS($O$2:O6),$O$2:$O$1001,0),0), INDEX($V$1004:$AE$1004,1,MATCH(COLUMNS($V$1006:Z1006),$V$1006:$AE$1006,0)))),"Fix")))</f>
        <v>0</v>
      </c>
      <c r="G6" s="4">
        <f>IF(OR(INDEX($P$2:$P$1001,MATCH(ROWS($O$2:O6),$O$2:$O$1001,0),1)&gt;=100000,INDEX($V$1005:$AE$1005,1,MATCH(COLUMNS($V$1006:AA1006),$V$1006:$AE$1006,0))&gt;=100000), " ",IF(INDEX($V$2:$AE$1001,MATCH(ROWS($O$2:O6),$O$2:$O$1001,0),MATCH(COLUMNS($V$1006:AA1006),$V$1006:$AE$1006,0)), HYPERLINK("#",""), HYPERLINK(CONCATENATE("#Metadata!", ADDRESS(INDEX($Q$2:$Q$1001,MATCH(ROWS($O$2:O6),$O$2:$O$1001,0),0), INDEX($V$1004:$AE$1004,1,MATCH(COLUMNS($V$1006:AA1006),$V$1006:$AE$1006,0)))),"Fix")))</f>
        <v>0</v>
      </c>
      <c r="H6" s="4">
        <f>IF(OR(INDEX($P$2:$P$1001,MATCH(ROWS($O$2:O6),$O$2:$O$1001,0),1)&gt;=100000,INDEX($V$1005:$AE$1005,1,MATCH(COLUMNS($V$1006:AB1006),$V$1006:$AE$1006,0))&gt;=100000), " ",IF(INDEX($V$2:$AE$1001,MATCH(ROWS($O$2:O6),$O$2:$O$1001,0),MATCH(COLUMNS($V$1006:AB1006),$V$1006:$AE$1006,0)), HYPERLINK("#",""), HYPERLINK(CONCATENATE("#Metadata!", ADDRESS(INDEX($Q$2:$Q$1001,MATCH(ROWS($O$2:O6),$O$2:$O$1001,0),0), INDEX($V$1004:$AE$1004,1,MATCH(COLUMNS($V$1006:AB1006),$V$1006:$AE$1006,0)))),"Fix")))</f>
        <v>0</v>
      </c>
      <c r="I6" s="4">
        <f>IF(OR(INDEX($P$2:$P$1001,MATCH(ROWS($O$2:O6),$O$2:$O$1001,0),1)&gt;=100000,INDEX($V$1005:$AE$1005,1,MATCH(COLUMNS($V$1006:AC1006),$V$1006:$AE$1006,0))&gt;=100000), " ",IF(INDEX($V$2:$AE$1001,MATCH(ROWS($O$2:O6),$O$2:$O$1001,0),MATCH(COLUMNS($V$1006:AC1006),$V$1006:$AE$1006,0)), HYPERLINK("#",""), HYPERLINK(CONCATENATE("#Metadata!", ADDRESS(INDEX($Q$2:$Q$1001,MATCH(ROWS($O$2:O6),$O$2:$O$1001,0),0), INDEX($V$1004:$AE$1004,1,MATCH(COLUMNS($V$1006:AC1006),$V$1006:$AE$1006,0)))),"Fix")))</f>
        <v>0</v>
      </c>
      <c r="J6" s="4">
        <f>IF(OR(INDEX($P$2:$P$1001,MATCH(ROWS($O$2:O6),$O$2:$O$1001,0),1)&gt;=100000,INDEX($V$1005:$AE$1005,1,MATCH(COLUMNS($V$1006:AD1006),$V$1006:$AE$1006,0))&gt;=100000), " ",IF(INDEX($V$2:$AE$1001,MATCH(ROWS($O$2:O6),$O$2:$O$1001,0),MATCH(COLUMNS($V$1006:AD1006),$V$1006:$AE$1006,0)), HYPERLINK("#",""), HYPERLINK(CONCATENATE("#Metadata!", ADDRESS(INDEX($Q$2:$Q$1001,MATCH(ROWS($O$2:O6),$O$2:$O$1001,0),0), INDEX($V$1004:$AE$1004,1,MATCH(COLUMNS($V$1006:AD1006),$V$1006:$AE$1006,0)))),"Fix")))</f>
        <v>0</v>
      </c>
      <c r="K6" s="4">
        <f>IF(OR(INDEX($P$2:$P$1001,MATCH(ROWS($O$2:O6),$O$2:$O$1001,0),1)&gt;=100000,INDEX($V$1005:$AE$1005,1,MATCH(COLUMNS($V$1006:AE1006),$V$1006:$AE$1006,0))&gt;=100000), " ",IF(INDEX($V$2:$AE$1001,MATCH(ROWS($O$2:O6),$O$2:$O$1001,0),MATCH(COLUMNS($V$1006:AE1006),$V$1006:$AE$1006,0)), HYPERLINK("#",""), HYPERLINK(CONCATENATE("#Metadata!", ADDRESS(INDEX($Q$2:$Q$1001,MATCH(ROWS($O$2:O6),$O$2:$O$1001,0),0), INDEX($V$1004:$AE$1004,1,MATCH(COLUMNS($V$1006:AE1006),$V$1006:$AE$1006,0)))),"Fix")))</f>
        <v>0</v>
      </c>
      <c r="O6">
        <v>0</v>
      </c>
      <c r="P6">
        <v>0</v>
      </c>
      <c r="Q6">
        <v>0</v>
      </c>
      <c r="R6">
        <f>IF(S6,TRUE,AND(V6:AE6))</f>
        <v>0</v>
      </c>
      <c r="S6">
        <f>COUNTBLANK(Metadata!B6:K6)=COLUMNS(Metadata!B6:K6)</f>
        <v>0</v>
      </c>
      <c r="T6">
        <v>0</v>
      </c>
      <c r="V6">
        <f>AND(IF(Metadata!B6="",FALSE,TRUE),COUNTIF(Metadata!B:B, Metadata!B6) = 1,NOT(ISERROR(SUMPRODUCT(SEARCH(MID(Metadata!B6,ROW(INDIRECT("1:"&amp;LEN(Metadata!B6))), 1),"0123456789abcdefghijklmnopqrstuvwxyzABCDEFGHIJKLMNOPQRSTUVWXYZ.")))))</f>
        <v>0</v>
      </c>
      <c r="W6">
        <f>AND(IF(Metadata!C6="",FALSE,TRUE),exact(Metadata!C6,"urban biome"))</f>
        <v>0</v>
      </c>
      <c r="X6">
        <f>AND(IF(Metadata!D6="",FALSE,TRUE),exact(Metadata!D6,"animal-associated habitat"))</f>
        <v>0</v>
      </c>
      <c r="Y6">
        <f>OR(AND(IF(Metadata!E6="",FALSE,TRUE),OR(exact(Metadata!E6,"not applicable"),exact(Metadata!E6,"missing: not collected"),exact(Metadata!E6,"missing: not provided"),exact(Metadata!E6,"missing: restricted access"))),AND(IF(Metadata!E6="",FALSE,ISNUMBER(VALUE(Metadata!E6))),Metadata!E6&gt;0))</f>
        <v>0</v>
      </c>
      <c r="Z6">
        <f>AND(IF(Metadata!F6="",FALSE,TRUE),exact(Metadata!F6,"weeks"))</f>
        <v>0</v>
      </c>
      <c r="AA6">
        <f>AND(IF(Metadata!G6="",FALSE,TRUE),exact(Metadata!G6,"mouse"))</f>
        <v>0</v>
      </c>
      <c r="AB6">
        <f>AND(IF(Metadata!H6="",FALSE,TRUE),exact(Metadata!H6,"Mus musculus"))</f>
        <v>0</v>
      </c>
      <c r="AC6">
        <f>AND(IF(Metadata!I6="",FALSE,TRUE),exact(Metadata!I6,"10090"))</f>
        <v>0</v>
      </c>
      <c r="AD6">
        <f>OR(AND(IF(Metadata!J6="",FALSE,TRUE),OR(exact(Metadata!J6,"not applicable"),exact(Metadata!J6,"missing: not collected"),exact(Metadata!J6,"missing: not provided"),exact(Metadata!J6,"missing: restricted access"))),AND(IF(Metadata!J6="",FALSE,ISNUMBER(VALUE(Metadata!J6))),Metadata!J6&gt;0))</f>
        <v>0</v>
      </c>
      <c r="AE6">
        <f>AND(IF(Metadata!K6="",FALSE,TRUE),exact(Metadata!K6,"g"))</f>
        <v>0</v>
      </c>
    </row>
    <row r="7" spans="1:31">
      <c r="A7" s="5">
        <f>IF(B7=" "," ",HYPERLINK(CONCATENATE("#metadata!",ADDRESS(INDEX($Q$2:$Q$1001,MATCH(ROWS($O$2:O7),$O$2:$O$1001,0),0),1)),INDEX($T$2:$T$1001,MATCH(ROWS($O$2:O7),$O$2:$O$1001,0),0)))</f>
        <v>0</v>
      </c>
      <c r="B7" s="4">
        <f>IF(OR(INDEX($P$2:$P$1001,MATCH(ROWS($O$2:O7),$O$2:$O$1001,0),1)&gt;=100000,INDEX($V$1005:$AE$1005,1,MATCH(COLUMNS($V$1006:V1006),$V$1006:$AE$1006,0))&gt;=100000), " ",IF(INDEX($V$2:$AE$1001,MATCH(ROWS($O$2:O7),$O$2:$O$1001,0),MATCH(COLUMNS($V$1006:V1006),$V$1006:$AE$1006,0)), HYPERLINK("#",""), HYPERLINK(CONCATENATE("#Metadata!", ADDRESS(INDEX($Q$2:$Q$1001,MATCH(ROWS($O$2:O7),$O$2:$O$1001,0),0), INDEX($V$1004:$AE$1004,1,MATCH(COLUMNS($V$1006:V1006),$V$1006:$AE$1006,0)))),"Fix")))</f>
        <v>0</v>
      </c>
      <c r="C7" s="4">
        <f>IF(OR(INDEX($P$2:$P$1001,MATCH(ROWS($O$2:O7),$O$2:$O$1001,0),1)&gt;=100000,INDEX($V$1005:$AE$1005,1,MATCH(COLUMNS($V$1006:W1006),$V$1006:$AE$1006,0))&gt;=100000), " ",IF(INDEX($V$2:$AE$1001,MATCH(ROWS($O$2:O7),$O$2:$O$1001,0),MATCH(COLUMNS($V$1006:W1006),$V$1006:$AE$1006,0)), HYPERLINK("#",""), HYPERLINK(CONCATENATE("#Metadata!", ADDRESS(INDEX($Q$2:$Q$1001,MATCH(ROWS($O$2:O7),$O$2:$O$1001,0),0), INDEX($V$1004:$AE$1004,1,MATCH(COLUMNS($V$1006:W1006),$V$1006:$AE$1006,0)))),"Fix")))</f>
        <v>0</v>
      </c>
      <c r="D7" s="4">
        <f>IF(OR(INDEX($P$2:$P$1001,MATCH(ROWS($O$2:O7),$O$2:$O$1001,0),1)&gt;=100000,INDEX($V$1005:$AE$1005,1,MATCH(COLUMNS($V$1006:X1006),$V$1006:$AE$1006,0))&gt;=100000), " ",IF(INDEX($V$2:$AE$1001,MATCH(ROWS($O$2:O7),$O$2:$O$1001,0),MATCH(COLUMNS($V$1006:X1006),$V$1006:$AE$1006,0)), HYPERLINK("#",""), HYPERLINK(CONCATENATE("#Metadata!", ADDRESS(INDEX($Q$2:$Q$1001,MATCH(ROWS($O$2:O7),$O$2:$O$1001,0),0), INDEX($V$1004:$AE$1004,1,MATCH(COLUMNS($V$1006:X1006),$V$1006:$AE$1006,0)))),"Fix")))</f>
        <v>0</v>
      </c>
      <c r="E7" s="4">
        <f>IF(OR(INDEX($P$2:$P$1001,MATCH(ROWS($O$2:O7),$O$2:$O$1001,0),1)&gt;=100000,INDEX($V$1005:$AE$1005,1,MATCH(COLUMNS($V$1006:Y1006),$V$1006:$AE$1006,0))&gt;=100000), " ",IF(INDEX($V$2:$AE$1001,MATCH(ROWS($O$2:O7),$O$2:$O$1001,0),MATCH(COLUMNS($V$1006:Y1006),$V$1006:$AE$1006,0)), HYPERLINK("#",""), HYPERLINK(CONCATENATE("#Metadata!", ADDRESS(INDEX($Q$2:$Q$1001,MATCH(ROWS($O$2:O7),$O$2:$O$1001,0),0), INDEX($V$1004:$AE$1004,1,MATCH(COLUMNS($V$1006:Y1006),$V$1006:$AE$1006,0)))),"Fix")))</f>
        <v>0</v>
      </c>
      <c r="F7" s="4">
        <f>IF(OR(INDEX($P$2:$P$1001,MATCH(ROWS($O$2:O7),$O$2:$O$1001,0),1)&gt;=100000,INDEX($V$1005:$AE$1005,1,MATCH(COLUMNS($V$1006:Z1006),$V$1006:$AE$1006,0))&gt;=100000), " ",IF(INDEX($V$2:$AE$1001,MATCH(ROWS($O$2:O7),$O$2:$O$1001,0),MATCH(COLUMNS($V$1006:Z1006),$V$1006:$AE$1006,0)), HYPERLINK("#",""), HYPERLINK(CONCATENATE("#Metadata!", ADDRESS(INDEX($Q$2:$Q$1001,MATCH(ROWS($O$2:O7),$O$2:$O$1001,0),0), INDEX($V$1004:$AE$1004,1,MATCH(COLUMNS($V$1006:Z1006),$V$1006:$AE$1006,0)))),"Fix")))</f>
        <v>0</v>
      </c>
      <c r="G7" s="4">
        <f>IF(OR(INDEX($P$2:$P$1001,MATCH(ROWS($O$2:O7),$O$2:$O$1001,0),1)&gt;=100000,INDEX($V$1005:$AE$1005,1,MATCH(COLUMNS($V$1006:AA1006),$V$1006:$AE$1006,0))&gt;=100000), " ",IF(INDEX($V$2:$AE$1001,MATCH(ROWS($O$2:O7),$O$2:$O$1001,0),MATCH(COLUMNS($V$1006:AA1006),$V$1006:$AE$1006,0)), HYPERLINK("#",""), HYPERLINK(CONCATENATE("#Metadata!", ADDRESS(INDEX($Q$2:$Q$1001,MATCH(ROWS($O$2:O7),$O$2:$O$1001,0),0), INDEX($V$1004:$AE$1004,1,MATCH(COLUMNS($V$1006:AA1006),$V$1006:$AE$1006,0)))),"Fix")))</f>
        <v>0</v>
      </c>
      <c r="H7" s="4">
        <f>IF(OR(INDEX($P$2:$P$1001,MATCH(ROWS($O$2:O7),$O$2:$O$1001,0),1)&gt;=100000,INDEX($V$1005:$AE$1005,1,MATCH(COLUMNS($V$1006:AB1006),$V$1006:$AE$1006,0))&gt;=100000), " ",IF(INDEX($V$2:$AE$1001,MATCH(ROWS($O$2:O7),$O$2:$O$1001,0),MATCH(COLUMNS($V$1006:AB1006),$V$1006:$AE$1006,0)), HYPERLINK("#",""), HYPERLINK(CONCATENATE("#Metadata!", ADDRESS(INDEX($Q$2:$Q$1001,MATCH(ROWS($O$2:O7),$O$2:$O$1001,0),0), INDEX($V$1004:$AE$1004,1,MATCH(COLUMNS($V$1006:AB1006),$V$1006:$AE$1006,0)))),"Fix")))</f>
        <v>0</v>
      </c>
      <c r="I7" s="4">
        <f>IF(OR(INDEX($P$2:$P$1001,MATCH(ROWS($O$2:O7),$O$2:$O$1001,0),1)&gt;=100000,INDEX($V$1005:$AE$1005,1,MATCH(COLUMNS($V$1006:AC1006),$V$1006:$AE$1006,0))&gt;=100000), " ",IF(INDEX($V$2:$AE$1001,MATCH(ROWS($O$2:O7),$O$2:$O$1001,0),MATCH(COLUMNS($V$1006:AC1006),$V$1006:$AE$1006,0)), HYPERLINK("#",""), HYPERLINK(CONCATENATE("#Metadata!", ADDRESS(INDEX($Q$2:$Q$1001,MATCH(ROWS($O$2:O7),$O$2:$O$1001,0),0), INDEX($V$1004:$AE$1004,1,MATCH(COLUMNS($V$1006:AC1006),$V$1006:$AE$1006,0)))),"Fix")))</f>
        <v>0</v>
      </c>
      <c r="J7" s="4">
        <f>IF(OR(INDEX($P$2:$P$1001,MATCH(ROWS($O$2:O7),$O$2:$O$1001,0),1)&gt;=100000,INDEX($V$1005:$AE$1005,1,MATCH(COLUMNS($V$1006:AD1006),$V$1006:$AE$1006,0))&gt;=100000), " ",IF(INDEX($V$2:$AE$1001,MATCH(ROWS($O$2:O7),$O$2:$O$1001,0),MATCH(COLUMNS($V$1006:AD1006),$V$1006:$AE$1006,0)), HYPERLINK("#",""), HYPERLINK(CONCATENATE("#Metadata!", ADDRESS(INDEX($Q$2:$Q$1001,MATCH(ROWS($O$2:O7),$O$2:$O$1001,0),0), INDEX($V$1004:$AE$1004,1,MATCH(COLUMNS($V$1006:AD1006),$V$1006:$AE$1006,0)))),"Fix")))</f>
        <v>0</v>
      </c>
      <c r="K7" s="4">
        <f>IF(OR(INDEX($P$2:$P$1001,MATCH(ROWS($O$2:O7),$O$2:$O$1001,0),1)&gt;=100000,INDEX($V$1005:$AE$1005,1,MATCH(COLUMNS($V$1006:AE1006),$V$1006:$AE$1006,0))&gt;=100000), " ",IF(INDEX($V$2:$AE$1001,MATCH(ROWS($O$2:O7),$O$2:$O$1001,0),MATCH(COLUMNS($V$1006:AE1006),$V$1006:$AE$1006,0)), HYPERLINK("#",""), HYPERLINK(CONCATENATE("#Metadata!", ADDRESS(INDEX($Q$2:$Q$1001,MATCH(ROWS($O$2:O7),$O$2:$O$1001,0),0), INDEX($V$1004:$AE$1004,1,MATCH(COLUMNS($V$1006:AE1006),$V$1006:$AE$1006,0)))),"Fix")))</f>
        <v>0</v>
      </c>
      <c r="O7">
        <v>0</v>
      </c>
      <c r="P7">
        <v>0</v>
      </c>
      <c r="Q7">
        <v>0</v>
      </c>
      <c r="R7">
        <f>IF(S7,TRUE,AND(V7:AE7))</f>
        <v>0</v>
      </c>
      <c r="S7">
        <f>COUNTBLANK(Metadata!B7:K7)=COLUMNS(Metadata!B7:K7)</f>
        <v>0</v>
      </c>
      <c r="T7">
        <v>0</v>
      </c>
      <c r="V7">
        <f>AND(IF(Metadata!B7="",FALSE,TRUE),COUNTIF(Metadata!B:B, Metadata!B7) = 1,NOT(ISERROR(SUMPRODUCT(SEARCH(MID(Metadata!B7,ROW(INDIRECT("1:"&amp;LEN(Metadata!B7))), 1),"0123456789abcdefghijklmnopqrstuvwxyzABCDEFGHIJKLMNOPQRSTUVWXYZ.")))))</f>
        <v>0</v>
      </c>
      <c r="W7">
        <f>AND(IF(Metadata!C7="",FALSE,TRUE),exact(Metadata!C7,"urban biome"))</f>
        <v>0</v>
      </c>
      <c r="X7">
        <f>AND(IF(Metadata!D7="",FALSE,TRUE),exact(Metadata!D7,"animal-associated habitat"))</f>
        <v>0</v>
      </c>
      <c r="Y7">
        <f>OR(AND(IF(Metadata!E7="",FALSE,TRUE),OR(exact(Metadata!E7,"not applicable"),exact(Metadata!E7,"missing: not collected"),exact(Metadata!E7,"missing: not provided"),exact(Metadata!E7,"missing: restricted access"))),AND(IF(Metadata!E7="",FALSE,ISNUMBER(VALUE(Metadata!E7))),Metadata!E7&gt;0))</f>
        <v>0</v>
      </c>
      <c r="Z7">
        <f>AND(IF(Metadata!F7="",FALSE,TRUE),exact(Metadata!F7,"weeks"))</f>
        <v>0</v>
      </c>
      <c r="AA7">
        <f>AND(IF(Metadata!G7="",FALSE,TRUE),exact(Metadata!G7,"mouse"))</f>
        <v>0</v>
      </c>
      <c r="AB7">
        <f>AND(IF(Metadata!H7="",FALSE,TRUE),exact(Metadata!H7,"Mus musculus"))</f>
        <v>0</v>
      </c>
      <c r="AC7">
        <f>AND(IF(Metadata!I7="",FALSE,TRUE),exact(Metadata!I7,"10090"))</f>
        <v>0</v>
      </c>
      <c r="AD7">
        <f>OR(AND(IF(Metadata!J7="",FALSE,TRUE),OR(exact(Metadata!J7,"not applicable"),exact(Metadata!J7,"missing: not collected"),exact(Metadata!J7,"missing: not provided"),exact(Metadata!J7,"missing: restricted access"))),AND(IF(Metadata!J7="",FALSE,ISNUMBER(VALUE(Metadata!J7))),Metadata!J7&gt;0))</f>
        <v>0</v>
      </c>
      <c r="AE7">
        <f>AND(IF(Metadata!K7="",FALSE,TRUE),exact(Metadata!K7,"g"))</f>
        <v>0</v>
      </c>
    </row>
    <row r="8" spans="1:31">
      <c r="A8" s="5">
        <f>IF(B8=" "," ",HYPERLINK(CONCATENATE("#metadata!",ADDRESS(INDEX($Q$2:$Q$1001,MATCH(ROWS($O$2:O8),$O$2:$O$1001,0),0),1)),INDEX($T$2:$T$1001,MATCH(ROWS($O$2:O8),$O$2:$O$1001,0),0)))</f>
        <v>0</v>
      </c>
      <c r="B8" s="4">
        <f>IF(OR(INDEX($P$2:$P$1001,MATCH(ROWS($O$2:O8),$O$2:$O$1001,0),1)&gt;=100000,INDEX($V$1005:$AE$1005,1,MATCH(COLUMNS($V$1006:V1006),$V$1006:$AE$1006,0))&gt;=100000), " ",IF(INDEX($V$2:$AE$1001,MATCH(ROWS($O$2:O8),$O$2:$O$1001,0),MATCH(COLUMNS($V$1006:V1006),$V$1006:$AE$1006,0)), HYPERLINK("#",""), HYPERLINK(CONCATENATE("#Metadata!", ADDRESS(INDEX($Q$2:$Q$1001,MATCH(ROWS($O$2:O8),$O$2:$O$1001,0),0), INDEX($V$1004:$AE$1004,1,MATCH(COLUMNS($V$1006:V1006),$V$1006:$AE$1006,0)))),"Fix")))</f>
        <v>0</v>
      </c>
      <c r="C8" s="4">
        <f>IF(OR(INDEX($P$2:$P$1001,MATCH(ROWS($O$2:O8),$O$2:$O$1001,0),1)&gt;=100000,INDEX($V$1005:$AE$1005,1,MATCH(COLUMNS($V$1006:W1006),$V$1006:$AE$1006,0))&gt;=100000), " ",IF(INDEX($V$2:$AE$1001,MATCH(ROWS($O$2:O8),$O$2:$O$1001,0),MATCH(COLUMNS($V$1006:W1006),$V$1006:$AE$1006,0)), HYPERLINK("#",""), HYPERLINK(CONCATENATE("#Metadata!", ADDRESS(INDEX($Q$2:$Q$1001,MATCH(ROWS($O$2:O8),$O$2:$O$1001,0),0), INDEX($V$1004:$AE$1004,1,MATCH(COLUMNS($V$1006:W1006),$V$1006:$AE$1006,0)))),"Fix")))</f>
        <v>0</v>
      </c>
      <c r="D8" s="4">
        <f>IF(OR(INDEX($P$2:$P$1001,MATCH(ROWS($O$2:O8),$O$2:$O$1001,0),1)&gt;=100000,INDEX($V$1005:$AE$1005,1,MATCH(COLUMNS($V$1006:X1006),$V$1006:$AE$1006,0))&gt;=100000), " ",IF(INDEX($V$2:$AE$1001,MATCH(ROWS($O$2:O8),$O$2:$O$1001,0),MATCH(COLUMNS($V$1006:X1006),$V$1006:$AE$1006,0)), HYPERLINK("#",""), HYPERLINK(CONCATENATE("#Metadata!", ADDRESS(INDEX($Q$2:$Q$1001,MATCH(ROWS($O$2:O8),$O$2:$O$1001,0),0), INDEX($V$1004:$AE$1004,1,MATCH(COLUMNS($V$1006:X1006),$V$1006:$AE$1006,0)))),"Fix")))</f>
        <v>0</v>
      </c>
      <c r="E8" s="4">
        <f>IF(OR(INDEX($P$2:$P$1001,MATCH(ROWS($O$2:O8),$O$2:$O$1001,0),1)&gt;=100000,INDEX($V$1005:$AE$1005,1,MATCH(COLUMNS($V$1006:Y1006),$V$1006:$AE$1006,0))&gt;=100000), " ",IF(INDEX($V$2:$AE$1001,MATCH(ROWS($O$2:O8),$O$2:$O$1001,0),MATCH(COLUMNS($V$1006:Y1006),$V$1006:$AE$1006,0)), HYPERLINK("#",""), HYPERLINK(CONCATENATE("#Metadata!", ADDRESS(INDEX($Q$2:$Q$1001,MATCH(ROWS($O$2:O8),$O$2:$O$1001,0),0), INDEX($V$1004:$AE$1004,1,MATCH(COLUMNS($V$1006:Y1006),$V$1006:$AE$1006,0)))),"Fix")))</f>
        <v>0</v>
      </c>
      <c r="F8" s="4">
        <f>IF(OR(INDEX($P$2:$P$1001,MATCH(ROWS($O$2:O8),$O$2:$O$1001,0),1)&gt;=100000,INDEX($V$1005:$AE$1005,1,MATCH(COLUMNS($V$1006:Z1006),$V$1006:$AE$1006,0))&gt;=100000), " ",IF(INDEX($V$2:$AE$1001,MATCH(ROWS($O$2:O8),$O$2:$O$1001,0),MATCH(COLUMNS($V$1006:Z1006),$V$1006:$AE$1006,0)), HYPERLINK("#",""), HYPERLINK(CONCATENATE("#Metadata!", ADDRESS(INDEX($Q$2:$Q$1001,MATCH(ROWS($O$2:O8),$O$2:$O$1001,0),0), INDEX($V$1004:$AE$1004,1,MATCH(COLUMNS($V$1006:Z1006),$V$1006:$AE$1006,0)))),"Fix")))</f>
        <v>0</v>
      </c>
      <c r="G8" s="4">
        <f>IF(OR(INDEX($P$2:$P$1001,MATCH(ROWS($O$2:O8),$O$2:$O$1001,0),1)&gt;=100000,INDEX($V$1005:$AE$1005,1,MATCH(COLUMNS($V$1006:AA1006),$V$1006:$AE$1006,0))&gt;=100000), " ",IF(INDEX($V$2:$AE$1001,MATCH(ROWS($O$2:O8),$O$2:$O$1001,0),MATCH(COLUMNS($V$1006:AA1006),$V$1006:$AE$1006,0)), HYPERLINK("#",""), HYPERLINK(CONCATENATE("#Metadata!", ADDRESS(INDEX($Q$2:$Q$1001,MATCH(ROWS($O$2:O8),$O$2:$O$1001,0),0), INDEX($V$1004:$AE$1004,1,MATCH(COLUMNS($V$1006:AA1006),$V$1006:$AE$1006,0)))),"Fix")))</f>
        <v>0</v>
      </c>
      <c r="H8" s="4">
        <f>IF(OR(INDEX($P$2:$P$1001,MATCH(ROWS($O$2:O8),$O$2:$O$1001,0),1)&gt;=100000,INDEX($V$1005:$AE$1005,1,MATCH(COLUMNS($V$1006:AB1006),$V$1006:$AE$1006,0))&gt;=100000), " ",IF(INDEX($V$2:$AE$1001,MATCH(ROWS($O$2:O8),$O$2:$O$1001,0),MATCH(COLUMNS($V$1006:AB1006),$V$1006:$AE$1006,0)), HYPERLINK("#",""), HYPERLINK(CONCATENATE("#Metadata!", ADDRESS(INDEX($Q$2:$Q$1001,MATCH(ROWS($O$2:O8),$O$2:$O$1001,0),0), INDEX($V$1004:$AE$1004,1,MATCH(COLUMNS($V$1006:AB1006),$V$1006:$AE$1006,0)))),"Fix")))</f>
        <v>0</v>
      </c>
      <c r="I8" s="4">
        <f>IF(OR(INDEX($P$2:$P$1001,MATCH(ROWS($O$2:O8),$O$2:$O$1001,0),1)&gt;=100000,INDEX($V$1005:$AE$1005,1,MATCH(COLUMNS($V$1006:AC1006),$V$1006:$AE$1006,0))&gt;=100000), " ",IF(INDEX($V$2:$AE$1001,MATCH(ROWS($O$2:O8),$O$2:$O$1001,0),MATCH(COLUMNS($V$1006:AC1006),$V$1006:$AE$1006,0)), HYPERLINK("#",""), HYPERLINK(CONCATENATE("#Metadata!", ADDRESS(INDEX($Q$2:$Q$1001,MATCH(ROWS($O$2:O8),$O$2:$O$1001,0),0), INDEX($V$1004:$AE$1004,1,MATCH(COLUMNS($V$1006:AC1006),$V$1006:$AE$1006,0)))),"Fix")))</f>
        <v>0</v>
      </c>
      <c r="J8" s="4">
        <f>IF(OR(INDEX($P$2:$P$1001,MATCH(ROWS($O$2:O8),$O$2:$O$1001,0),1)&gt;=100000,INDEX($V$1005:$AE$1005,1,MATCH(COLUMNS($V$1006:AD1006),$V$1006:$AE$1006,0))&gt;=100000), " ",IF(INDEX($V$2:$AE$1001,MATCH(ROWS($O$2:O8),$O$2:$O$1001,0),MATCH(COLUMNS($V$1006:AD1006),$V$1006:$AE$1006,0)), HYPERLINK("#",""), HYPERLINK(CONCATENATE("#Metadata!", ADDRESS(INDEX($Q$2:$Q$1001,MATCH(ROWS($O$2:O8),$O$2:$O$1001,0),0), INDEX($V$1004:$AE$1004,1,MATCH(COLUMNS($V$1006:AD1006),$V$1006:$AE$1006,0)))),"Fix")))</f>
        <v>0</v>
      </c>
      <c r="K8" s="4">
        <f>IF(OR(INDEX($P$2:$P$1001,MATCH(ROWS($O$2:O8),$O$2:$O$1001,0),1)&gt;=100000,INDEX($V$1005:$AE$1005,1,MATCH(COLUMNS($V$1006:AE1006),$V$1006:$AE$1006,0))&gt;=100000), " ",IF(INDEX($V$2:$AE$1001,MATCH(ROWS($O$2:O8),$O$2:$O$1001,0),MATCH(COLUMNS($V$1006:AE1006),$V$1006:$AE$1006,0)), HYPERLINK("#",""), HYPERLINK(CONCATENATE("#Metadata!", ADDRESS(INDEX($Q$2:$Q$1001,MATCH(ROWS($O$2:O8),$O$2:$O$1001,0),0), INDEX($V$1004:$AE$1004,1,MATCH(COLUMNS($V$1006:AE1006),$V$1006:$AE$1006,0)))),"Fix")))</f>
        <v>0</v>
      </c>
      <c r="O8">
        <v>0</v>
      </c>
      <c r="P8">
        <v>0</v>
      </c>
      <c r="Q8">
        <v>0</v>
      </c>
      <c r="R8">
        <f>IF(S8,TRUE,AND(V8:AE8))</f>
        <v>0</v>
      </c>
      <c r="S8">
        <f>COUNTBLANK(Metadata!B8:K8)=COLUMNS(Metadata!B8:K8)</f>
        <v>0</v>
      </c>
      <c r="T8">
        <v>0</v>
      </c>
      <c r="V8">
        <f>AND(IF(Metadata!B8="",FALSE,TRUE),COUNTIF(Metadata!B:B, Metadata!B8) = 1,NOT(ISERROR(SUMPRODUCT(SEARCH(MID(Metadata!B8,ROW(INDIRECT("1:"&amp;LEN(Metadata!B8))), 1),"0123456789abcdefghijklmnopqrstuvwxyzABCDEFGHIJKLMNOPQRSTUVWXYZ.")))))</f>
        <v>0</v>
      </c>
      <c r="W8">
        <f>AND(IF(Metadata!C8="",FALSE,TRUE),exact(Metadata!C8,"urban biome"))</f>
        <v>0</v>
      </c>
      <c r="X8">
        <f>AND(IF(Metadata!D8="",FALSE,TRUE),exact(Metadata!D8,"animal-associated habitat"))</f>
        <v>0</v>
      </c>
      <c r="Y8">
        <f>OR(AND(IF(Metadata!E8="",FALSE,TRUE),OR(exact(Metadata!E8,"not applicable"),exact(Metadata!E8,"missing: not collected"),exact(Metadata!E8,"missing: not provided"),exact(Metadata!E8,"missing: restricted access"))),AND(IF(Metadata!E8="",FALSE,ISNUMBER(VALUE(Metadata!E8))),Metadata!E8&gt;0))</f>
        <v>0</v>
      </c>
      <c r="Z8">
        <f>AND(IF(Metadata!F8="",FALSE,TRUE),exact(Metadata!F8,"weeks"))</f>
        <v>0</v>
      </c>
      <c r="AA8">
        <f>AND(IF(Metadata!G8="",FALSE,TRUE),exact(Metadata!G8,"mouse"))</f>
        <v>0</v>
      </c>
      <c r="AB8">
        <f>AND(IF(Metadata!H8="",FALSE,TRUE),exact(Metadata!H8,"Mus musculus"))</f>
        <v>0</v>
      </c>
      <c r="AC8">
        <f>AND(IF(Metadata!I8="",FALSE,TRUE),exact(Metadata!I8,"10090"))</f>
        <v>0</v>
      </c>
      <c r="AD8">
        <f>OR(AND(IF(Metadata!J8="",FALSE,TRUE),OR(exact(Metadata!J8,"not applicable"),exact(Metadata!J8,"missing: not collected"),exact(Metadata!J8,"missing: not provided"),exact(Metadata!J8,"missing: restricted access"))),AND(IF(Metadata!J8="",FALSE,ISNUMBER(VALUE(Metadata!J8))),Metadata!J8&gt;0))</f>
        <v>0</v>
      </c>
      <c r="AE8">
        <f>AND(IF(Metadata!K8="",FALSE,TRUE),exact(Metadata!K8,"g"))</f>
        <v>0</v>
      </c>
    </row>
    <row r="9" spans="1:31">
      <c r="A9" s="5">
        <f>IF(B9=" "," ",HYPERLINK(CONCATENATE("#metadata!",ADDRESS(INDEX($Q$2:$Q$1001,MATCH(ROWS($O$2:O9),$O$2:$O$1001,0),0),1)),INDEX($T$2:$T$1001,MATCH(ROWS($O$2:O9),$O$2:$O$1001,0),0)))</f>
        <v>0</v>
      </c>
      <c r="B9" s="4">
        <f>IF(OR(INDEX($P$2:$P$1001,MATCH(ROWS($O$2:O9),$O$2:$O$1001,0),1)&gt;=100000,INDEX($V$1005:$AE$1005,1,MATCH(COLUMNS($V$1006:V1006),$V$1006:$AE$1006,0))&gt;=100000), " ",IF(INDEX($V$2:$AE$1001,MATCH(ROWS($O$2:O9),$O$2:$O$1001,0),MATCH(COLUMNS($V$1006:V1006),$V$1006:$AE$1006,0)), HYPERLINK("#",""), HYPERLINK(CONCATENATE("#Metadata!", ADDRESS(INDEX($Q$2:$Q$1001,MATCH(ROWS($O$2:O9),$O$2:$O$1001,0),0), INDEX($V$1004:$AE$1004,1,MATCH(COLUMNS($V$1006:V1006),$V$1006:$AE$1006,0)))),"Fix")))</f>
        <v>0</v>
      </c>
      <c r="C9" s="4">
        <f>IF(OR(INDEX($P$2:$P$1001,MATCH(ROWS($O$2:O9),$O$2:$O$1001,0),1)&gt;=100000,INDEX($V$1005:$AE$1005,1,MATCH(COLUMNS($V$1006:W1006),$V$1006:$AE$1006,0))&gt;=100000), " ",IF(INDEX($V$2:$AE$1001,MATCH(ROWS($O$2:O9),$O$2:$O$1001,0),MATCH(COLUMNS($V$1006:W1006),$V$1006:$AE$1006,0)), HYPERLINK("#",""), HYPERLINK(CONCATENATE("#Metadata!", ADDRESS(INDEX($Q$2:$Q$1001,MATCH(ROWS($O$2:O9),$O$2:$O$1001,0),0), INDEX($V$1004:$AE$1004,1,MATCH(COLUMNS($V$1006:W1006),$V$1006:$AE$1006,0)))),"Fix")))</f>
        <v>0</v>
      </c>
      <c r="D9" s="4">
        <f>IF(OR(INDEX($P$2:$P$1001,MATCH(ROWS($O$2:O9),$O$2:$O$1001,0),1)&gt;=100000,INDEX($V$1005:$AE$1005,1,MATCH(COLUMNS($V$1006:X1006),$V$1006:$AE$1006,0))&gt;=100000), " ",IF(INDEX($V$2:$AE$1001,MATCH(ROWS($O$2:O9),$O$2:$O$1001,0),MATCH(COLUMNS($V$1006:X1006),$V$1006:$AE$1006,0)), HYPERLINK("#",""), HYPERLINK(CONCATENATE("#Metadata!", ADDRESS(INDEX($Q$2:$Q$1001,MATCH(ROWS($O$2:O9),$O$2:$O$1001,0),0), INDEX($V$1004:$AE$1004,1,MATCH(COLUMNS($V$1006:X1006),$V$1006:$AE$1006,0)))),"Fix")))</f>
        <v>0</v>
      </c>
      <c r="E9" s="4">
        <f>IF(OR(INDEX($P$2:$P$1001,MATCH(ROWS($O$2:O9),$O$2:$O$1001,0),1)&gt;=100000,INDEX($V$1005:$AE$1005,1,MATCH(COLUMNS($V$1006:Y1006),$V$1006:$AE$1006,0))&gt;=100000), " ",IF(INDEX($V$2:$AE$1001,MATCH(ROWS($O$2:O9),$O$2:$O$1001,0),MATCH(COLUMNS($V$1006:Y1006),$V$1006:$AE$1006,0)), HYPERLINK("#",""), HYPERLINK(CONCATENATE("#Metadata!", ADDRESS(INDEX($Q$2:$Q$1001,MATCH(ROWS($O$2:O9),$O$2:$O$1001,0),0), INDEX($V$1004:$AE$1004,1,MATCH(COLUMNS($V$1006:Y1006),$V$1006:$AE$1006,0)))),"Fix")))</f>
        <v>0</v>
      </c>
      <c r="F9" s="4">
        <f>IF(OR(INDEX($P$2:$P$1001,MATCH(ROWS($O$2:O9),$O$2:$O$1001,0),1)&gt;=100000,INDEX($V$1005:$AE$1005,1,MATCH(COLUMNS($V$1006:Z1006),$V$1006:$AE$1006,0))&gt;=100000), " ",IF(INDEX($V$2:$AE$1001,MATCH(ROWS($O$2:O9),$O$2:$O$1001,0),MATCH(COLUMNS($V$1006:Z1006),$V$1006:$AE$1006,0)), HYPERLINK("#",""), HYPERLINK(CONCATENATE("#Metadata!", ADDRESS(INDEX($Q$2:$Q$1001,MATCH(ROWS($O$2:O9),$O$2:$O$1001,0),0), INDEX($V$1004:$AE$1004,1,MATCH(COLUMNS($V$1006:Z1006),$V$1006:$AE$1006,0)))),"Fix")))</f>
        <v>0</v>
      </c>
      <c r="G9" s="4">
        <f>IF(OR(INDEX($P$2:$P$1001,MATCH(ROWS($O$2:O9),$O$2:$O$1001,0),1)&gt;=100000,INDEX($V$1005:$AE$1005,1,MATCH(COLUMNS($V$1006:AA1006),$V$1006:$AE$1006,0))&gt;=100000), " ",IF(INDEX($V$2:$AE$1001,MATCH(ROWS($O$2:O9),$O$2:$O$1001,0),MATCH(COLUMNS($V$1006:AA1006),$V$1006:$AE$1006,0)), HYPERLINK("#",""), HYPERLINK(CONCATENATE("#Metadata!", ADDRESS(INDEX($Q$2:$Q$1001,MATCH(ROWS($O$2:O9),$O$2:$O$1001,0),0), INDEX($V$1004:$AE$1004,1,MATCH(COLUMNS($V$1006:AA1006),$V$1006:$AE$1006,0)))),"Fix")))</f>
        <v>0</v>
      </c>
      <c r="H9" s="4">
        <f>IF(OR(INDEX($P$2:$P$1001,MATCH(ROWS($O$2:O9),$O$2:$O$1001,0),1)&gt;=100000,INDEX($V$1005:$AE$1005,1,MATCH(COLUMNS($V$1006:AB1006),$V$1006:$AE$1006,0))&gt;=100000), " ",IF(INDEX($V$2:$AE$1001,MATCH(ROWS($O$2:O9),$O$2:$O$1001,0),MATCH(COLUMNS($V$1006:AB1006),$V$1006:$AE$1006,0)), HYPERLINK("#",""), HYPERLINK(CONCATENATE("#Metadata!", ADDRESS(INDEX($Q$2:$Q$1001,MATCH(ROWS($O$2:O9),$O$2:$O$1001,0),0), INDEX($V$1004:$AE$1004,1,MATCH(COLUMNS($V$1006:AB1006),$V$1006:$AE$1006,0)))),"Fix")))</f>
        <v>0</v>
      </c>
      <c r="I9" s="4">
        <f>IF(OR(INDEX($P$2:$P$1001,MATCH(ROWS($O$2:O9),$O$2:$O$1001,0),1)&gt;=100000,INDEX($V$1005:$AE$1005,1,MATCH(COLUMNS($V$1006:AC1006),$V$1006:$AE$1006,0))&gt;=100000), " ",IF(INDEX($V$2:$AE$1001,MATCH(ROWS($O$2:O9),$O$2:$O$1001,0),MATCH(COLUMNS($V$1006:AC1006),$V$1006:$AE$1006,0)), HYPERLINK("#",""), HYPERLINK(CONCATENATE("#Metadata!", ADDRESS(INDEX($Q$2:$Q$1001,MATCH(ROWS($O$2:O9),$O$2:$O$1001,0),0), INDEX($V$1004:$AE$1004,1,MATCH(COLUMNS($V$1006:AC1006),$V$1006:$AE$1006,0)))),"Fix")))</f>
        <v>0</v>
      </c>
      <c r="J9" s="4">
        <f>IF(OR(INDEX($P$2:$P$1001,MATCH(ROWS($O$2:O9),$O$2:$O$1001,0),1)&gt;=100000,INDEX($V$1005:$AE$1005,1,MATCH(COLUMNS($V$1006:AD1006),$V$1006:$AE$1006,0))&gt;=100000), " ",IF(INDEX($V$2:$AE$1001,MATCH(ROWS($O$2:O9),$O$2:$O$1001,0),MATCH(COLUMNS($V$1006:AD1006),$V$1006:$AE$1006,0)), HYPERLINK("#",""), HYPERLINK(CONCATENATE("#Metadata!", ADDRESS(INDEX($Q$2:$Q$1001,MATCH(ROWS($O$2:O9),$O$2:$O$1001,0),0), INDEX($V$1004:$AE$1004,1,MATCH(COLUMNS($V$1006:AD1006),$V$1006:$AE$1006,0)))),"Fix")))</f>
        <v>0</v>
      </c>
      <c r="K9" s="4">
        <f>IF(OR(INDEX($P$2:$P$1001,MATCH(ROWS($O$2:O9),$O$2:$O$1001,0),1)&gt;=100000,INDEX($V$1005:$AE$1005,1,MATCH(COLUMNS($V$1006:AE1006),$V$1006:$AE$1006,0))&gt;=100000), " ",IF(INDEX($V$2:$AE$1001,MATCH(ROWS($O$2:O9),$O$2:$O$1001,0),MATCH(COLUMNS($V$1006:AE1006),$V$1006:$AE$1006,0)), HYPERLINK("#",""), HYPERLINK(CONCATENATE("#Metadata!", ADDRESS(INDEX($Q$2:$Q$1001,MATCH(ROWS($O$2:O9),$O$2:$O$1001,0),0), INDEX($V$1004:$AE$1004,1,MATCH(COLUMNS($V$1006:AE1006),$V$1006:$AE$1006,0)))),"Fix")))</f>
        <v>0</v>
      </c>
      <c r="O9">
        <v>0</v>
      </c>
      <c r="P9">
        <v>0</v>
      </c>
      <c r="Q9">
        <v>0</v>
      </c>
      <c r="R9">
        <f>IF(S9,TRUE,AND(V9:AE9))</f>
        <v>0</v>
      </c>
      <c r="S9">
        <f>COUNTBLANK(Metadata!B9:K9)=COLUMNS(Metadata!B9:K9)</f>
        <v>0</v>
      </c>
      <c r="T9">
        <v>0</v>
      </c>
      <c r="V9">
        <f>AND(IF(Metadata!B9="",FALSE,TRUE),COUNTIF(Metadata!B:B, Metadata!B9) = 1,NOT(ISERROR(SUMPRODUCT(SEARCH(MID(Metadata!B9,ROW(INDIRECT("1:"&amp;LEN(Metadata!B9))), 1),"0123456789abcdefghijklmnopqrstuvwxyzABCDEFGHIJKLMNOPQRSTUVWXYZ.")))))</f>
        <v>0</v>
      </c>
      <c r="W9">
        <f>AND(IF(Metadata!C9="",FALSE,TRUE),exact(Metadata!C9,"urban biome"))</f>
        <v>0</v>
      </c>
      <c r="X9">
        <f>AND(IF(Metadata!D9="",FALSE,TRUE),exact(Metadata!D9,"animal-associated habitat"))</f>
        <v>0</v>
      </c>
      <c r="Y9">
        <f>OR(AND(IF(Metadata!E9="",FALSE,TRUE),OR(exact(Metadata!E9,"not applicable"),exact(Metadata!E9,"missing: not collected"),exact(Metadata!E9,"missing: not provided"),exact(Metadata!E9,"missing: restricted access"))),AND(IF(Metadata!E9="",FALSE,ISNUMBER(VALUE(Metadata!E9))),Metadata!E9&gt;0))</f>
        <v>0</v>
      </c>
      <c r="Z9">
        <f>AND(IF(Metadata!F9="",FALSE,TRUE),exact(Metadata!F9,"weeks"))</f>
        <v>0</v>
      </c>
      <c r="AA9">
        <f>AND(IF(Metadata!G9="",FALSE,TRUE),exact(Metadata!G9,"mouse"))</f>
        <v>0</v>
      </c>
      <c r="AB9">
        <f>AND(IF(Metadata!H9="",FALSE,TRUE),exact(Metadata!H9,"Mus musculus"))</f>
        <v>0</v>
      </c>
      <c r="AC9">
        <f>AND(IF(Metadata!I9="",FALSE,TRUE),exact(Metadata!I9,"10090"))</f>
        <v>0</v>
      </c>
      <c r="AD9">
        <f>OR(AND(IF(Metadata!J9="",FALSE,TRUE),OR(exact(Metadata!J9,"not applicable"),exact(Metadata!J9,"missing: not collected"),exact(Metadata!J9,"missing: not provided"),exact(Metadata!J9,"missing: restricted access"))),AND(IF(Metadata!J9="",FALSE,ISNUMBER(VALUE(Metadata!J9))),Metadata!J9&gt;0))</f>
        <v>0</v>
      </c>
      <c r="AE9">
        <f>AND(IF(Metadata!K9="",FALSE,TRUE),exact(Metadata!K9,"g"))</f>
        <v>0</v>
      </c>
    </row>
    <row r="10" spans="1:31">
      <c r="A10" s="5">
        <f>IF(B10=" "," ",HYPERLINK(CONCATENATE("#metadata!",ADDRESS(INDEX($Q$2:$Q$1001,MATCH(ROWS($O$2:O10),$O$2:$O$1001,0),0),1)),INDEX($T$2:$T$1001,MATCH(ROWS($O$2:O10),$O$2:$O$1001,0),0)))</f>
        <v>0</v>
      </c>
      <c r="B10" s="4">
        <f>IF(OR(INDEX($P$2:$P$1001,MATCH(ROWS($O$2:O10),$O$2:$O$1001,0),1)&gt;=100000,INDEX($V$1005:$AE$1005,1,MATCH(COLUMNS($V$1006:V1006),$V$1006:$AE$1006,0))&gt;=100000), " ",IF(INDEX($V$2:$AE$1001,MATCH(ROWS($O$2:O10),$O$2:$O$1001,0),MATCH(COLUMNS($V$1006:V1006),$V$1006:$AE$1006,0)), HYPERLINK("#",""), HYPERLINK(CONCATENATE("#Metadata!", ADDRESS(INDEX($Q$2:$Q$1001,MATCH(ROWS($O$2:O10),$O$2:$O$1001,0),0), INDEX($V$1004:$AE$1004,1,MATCH(COLUMNS($V$1006:V1006),$V$1006:$AE$1006,0)))),"Fix")))</f>
        <v>0</v>
      </c>
      <c r="C10" s="4">
        <f>IF(OR(INDEX($P$2:$P$1001,MATCH(ROWS($O$2:O10),$O$2:$O$1001,0),1)&gt;=100000,INDEX($V$1005:$AE$1005,1,MATCH(COLUMNS($V$1006:W1006),$V$1006:$AE$1006,0))&gt;=100000), " ",IF(INDEX($V$2:$AE$1001,MATCH(ROWS($O$2:O10),$O$2:$O$1001,0),MATCH(COLUMNS($V$1006:W1006),$V$1006:$AE$1006,0)), HYPERLINK("#",""), HYPERLINK(CONCATENATE("#Metadata!", ADDRESS(INDEX($Q$2:$Q$1001,MATCH(ROWS($O$2:O10),$O$2:$O$1001,0),0), INDEX($V$1004:$AE$1004,1,MATCH(COLUMNS($V$1006:W1006),$V$1006:$AE$1006,0)))),"Fix")))</f>
        <v>0</v>
      </c>
      <c r="D10" s="4">
        <f>IF(OR(INDEX($P$2:$P$1001,MATCH(ROWS($O$2:O10),$O$2:$O$1001,0),1)&gt;=100000,INDEX($V$1005:$AE$1005,1,MATCH(COLUMNS($V$1006:X1006),$V$1006:$AE$1006,0))&gt;=100000), " ",IF(INDEX($V$2:$AE$1001,MATCH(ROWS($O$2:O10),$O$2:$O$1001,0),MATCH(COLUMNS($V$1006:X1006),$V$1006:$AE$1006,0)), HYPERLINK("#",""), HYPERLINK(CONCATENATE("#Metadata!", ADDRESS(INDEX($Q$2:$Q$1001,MATCH(ROWS($O$2:O10),$O$2:$O$1001,0),0), INDEX($V$1004:$AE$1004,1,MATCH(COLUMNS($V$1006:X1006),$V$1006:$AE$1006,0)))),"Fix")))</f>
        <v>0</v>
      </c>
      <c r="E10" s="4">
        <f>IF(OR(INDEX($P$2:$P$1001,MATCH(ROWS($O$2:O10),$O$2:$O$1001,0),1)&gt;=100000,INDEX($V$1005:$AE$1005,1,MATCH(COLUMNS($V$1006:Y1006),$V$1006:$AE$1006,0))&gt;=100000), " ",IF(INDEX($V$2:$AE$1001,MATCH(ROWS($O$2:O10),$O$2:$O$1001,0),MATCH(COLUMNS($V$1006:Y1006),$V$1006:$AE$1006,0)), HYPERLINK("#",""), HYPERLINK(CONCATENATE("#Metadata!", ADDRESS(INDEX($Q$2:$Q$1001,MATCH(ROWS($O$2:O10),$O$2:$O$1001,0),0), INDEX($V$1004:$AE$1004,1,MATCH(COLUMNS($V$1006:Y1006),$V$1006:$AE$1006,0)))),"Fix")))</f>
        <v>0</v>
      </c>
      <c r="F10" s="4">
        <f>IF(OR(INDEX($P$2:$P$1001,MATCH(ROWS($O$2:O10),$O$2:$O$1001,0),1)&gt;=100000,INDEX($V$1005:$AE$1005,1,MATCH(COLUMNS($V$1006:Z1006),$V$1006:$AE$1006,0))&gt;=100000), " ",IF(INDEX($V$2:$AE$1001,MATCH(ROWS($O$2:O10),$O$2:$O$1001,0),MATCH(COLUMNS($V$1006:Z1006),$V$1006:$AE$1006,0)), HYPERLINK("#",""), HYPERLINK(CONCATENATE("#Metadata!", ADDRESS(INDEX($Q$2:$Q$1001,MATCH(ROWS($O$2:O10),$O$2:$O$1001,0),0), INDEX($V$1004:$AE$1004,1,MATCH(COLUMNS($V$1006:Z1006),$V$1006:$AE$1006,0)))),"Fix")))</f>
        <v>0</v>
      </c>
      <c r="G10" s="4">
        <f>IF(OR(INDEX($P$2:$P$1001,MATCH(ROWS($O$2:O10),$O$2:$O$1001,0),1)&gt;=100000,INDEX($V$1005:$AE$1005,1,MATCH(COLUMNS($V$1006:AA1006),$V$1006:$AE$1006,0))&gt;=100000), " ",IF(INDEX($V$2:$AE$1001,MATCH(ROWS($O$2:O10),$O$2:$O$1001,0),MATCH(COLUMNS($V$1006:AA1006),$V$1006:$AE$1006,0)), HYPERLINK("#",""), HYPERLINK(CONCATENATE("#Metadata!", ADDRESS(INDEX($Q$2:$Q$1001,MATCH(ROWS($O$2:O10),$O$2:$O$1001,0),0), INDEX($V$1004:$AE$1004,1,MATCH(COLUMNS($V$1006:AA1006),$V$1006:$AE$1006,0)))),"Fix")))</f>
        <v>0</v>
      </c>
      <c r="H10" s="4">
        <f>IF(OR(INDEX($P$2:$P$1001,MATCH(ROWS($O$2:O10),$O$2:$O$1001,0),1)&gt;=100000,INDEX($V$1005:$AE$1005,1,MATCH(COLUMNS($V$1006:AB1006),$V$1006:$AE$1006,0))&gt;=100000), " ",IF(INDEX($V$2:$AE$1001,MATCH(ROWS($O$2:O10),$O$2:$O$1001,0),MATCH(COLUMNS($V$1006:AB1006),$V$1006:$AE$1006,0)), HYPERLINK("#",""), HYPERLINK(CONCATENATE("#Metadata!", ADDRESS(INDEX($Q$2:$Q$1001,MATCH(ROWS($O$2:O10),$O$2:$O$1001,0),0), INDEX($V$1004:$AE$1004,1,MATCH(COLUMNS($V$1006:AB1006),$V$1006:$AE$1006,0)))),"Fix")))</f>
        <v>0</v>
      </c>
      <c r="I10" s="4">
        <f>IF(OR(INDEX($P$2:$P$1001,MATCH(ROWS($O$2:O10),$O$2:$O$1001,0),1)&gt;=100000,INDEX($V$1005:$AE$1005,1,MATCH(COLUMNS($V$1006:AC1006),$V$1006:$AE$1006,0))&gt;=100000), " ",IF(INDEX($V$2:$AE$1001,MATCH(ROWS($O$2:O10),$O$2:$O$1001,0),MATCH(COLUMNS($V$1006:AC1006),$V$1006:$AE$1006,0)), HYPERLINK("#",""), HYPERLINK(CONCATENATE("#Metadata!", ADDRESS(INDEX($Q$2:$Q$1001,MATCH(ROWS($O$2:O10),$O$2:$O$1001,0),0), INDEX($V$1004:$AE$1004,1,MATCH(COLUMNS($V$1006:AC1006),$V$1006:$AE$1006,0)))),"Fix")))</f>
        <v>0</v>
      </c>
      <c r="J10" s="4">
        <f>IF(OR(INDEX($P$2:$P$1001,MATCH(ROWS($O$2:O10),$O$2:$O$1001,0),1)&gt;=100000,INDEX($V$1005:$AE$1005,1,MATCH(COLUMNS($V$1006:AD1006),$V$1006:$AE$1006,0))&gt;=100000), " ",IF(INDEX($V$2:$AE$1001,MATCH(ROWS($O$2:O10),$O$2:$O$1001,0),MATCH(COLUMNS($V$1006:AD1006),$V$1006:$AE$1006,0)), HYPERLINK("#",""), HYPERLINK(CONCATENATE("#Metadata!", ADDRESS(INDEX($Q$2:$Q$1001,MATCH(ROWS($O$2:O10),$O$2:$O$1001,0),0), INDEX($V$1004:$AE$1004,1,MATCH(COLUMNS($V$1006:AD1006),$V$1006:$AE$1006,0)))),"Fix")))</f>
        <v>0</v>
      </c>
      <c r="K10" s="4">
        <f>IF(OR(INDEX($P$2:$P$1001,MATCH(ROWS($O$2:O10),$O$2:$O$1001,0),1)&gt;=100000,INDEX($V$1005:$AE$1005,1,MATCH(COLUMNS($V$1006:AE1006),$V$1006:$AE$1006,0))&gt;=100000), " ",IF(INDEX($V$2:$AE$1001,MATCH(ROWS($O$2:O10),$O$2:$O$1001,0),MATCH(COLUMNS($V$1006:AE1006),$V$1006:$AE$1006,0)), HYPERLINK("#",""), HYPERLINK(CONCATENATE("#Metadata!", ADDRESS(INDEX($Q$2:$Q$1001,MATCH(ROWS($O$2:O10),$O$2:$O$1001,0),0), INDEX($V$1004:$AE$1004,1,MATCH(COLUMNS($V$1006:AE1006),$V$1006:$AE$1006,0)))),"Fix")))</f>
        <v>0</v>
      </c>
      <c r="O10">
        <v>0</v>
      </c>
      <c r="P10">
        <v>0</v>
      </c>
      <c r="Q10">
        <v>0</v>
      </c>
      <c r="R10">
        <f>IF(S10,TRUE,AND(V10:AE10))</f>
        <v>0</v>
      </c>
      <c r="S10">
        <f>COUNTBLANK(Metadata!B10:K10)=COLUMNS(Metadata!B10:K10)</f>
        <v>0</v>
      </c>
      <c r="T10">
        <v>0</v>
      </c>
      <c r="V10">
        <f>AND(IF(Metadata!B10="",FALSE,TRUE),COUNTIF(Metadata!B:B, Metadata!B10) = 1,NOT(ISERROR(SUMPRODUCT(SEARCH(MID(Metadata!B10,ROW(INDIRECT("1:"&amp;LEN(Metadata!B10))), 1),"0123456789abcdefghijklmnopqrstuvwxyzABCDEFGHIJKLMNOPQRSTUVWXYZ.")))))</f>
        <v>0</v>
      </c>
      <c r="W10">
        <f>AND(IF(Metadata!C10="",FALSE,TRUE),exact(Metadata!C10,"urban biome"))</f>
        <v>0</v>
      </c>
      <c r="X10">
        <f>AND(IF(Metadata!D10="",FALSE,TRUE),exact(Metadata!D10,"animal-associated habitat"))</f>
        <v>0</v>
      </c>
      <c r="Y10">
        <f>OR(AND(IF(Metadata!E10="",FALSE,TRUE),OR(exact(Metadata!E10,"not applicable"),exact(Metadata!E10,"missing: not collected"),exact(Metadata!E10,"missing: not provided"),exact(Metadata!E10,"missing: restricted access"))),AND(IF(Metadata!E10="",FALSE,ISNUMBER(VALUE(Metadata!E10))),Metadata!E10&gt;0))</f>
        <v>0</v>
      </c>
      <c r="Z10">
        <f>AND(IF(Metadata!F10="",FALSE,TRUE),exact(Metadata!F10,"weeks"))</f>
        <v>0</v>
      </c>
      <c r="AA10">
        <f>AND(IF(Metadata!G10="",FALSE,TRUE),exact(Metadata!G10,"mouse"))</f>
        <v>0</v>
      </c>
      <c r="AB10">
        <f>AND(IF(Metadata!H10="",FALSE,TRUE),exact(Metadata!H10,"Mus musculus"))</f>
        <v>0</v>
      </c>
      <c r="AC10">
        <f>AND(IF(Metadata!I10="",FALSE,TRUE),exact(Metadata!I10,"10090"))</f>
        <v>0</v>
      </c>
      <c r="AD10">
        <f>OR(AND(IF(Metadata!J10="",FALSE,TRUE),OR(exact(Metadata!J10,"not applicable"),exact(Metadata!J10,"missing: not collected"),exact(Metadata!J10,"missing: not provided"),exact(Metadata!J10,"missing: restricted access"))),AND(IF(Metadata!J10="",FALSE,ISNUMBER(VALUE(Metadata!J10))),Metadata!J10&gt;0))</f>
        <v>0</v>
      </c>
      <c r="AE10">
        <f>AND(IF(Metadata!K10="",FALSE,TRUE),exact(Metadata!K10,"g"))</f>
        <v>0</v>
      </c>
    </row>
    <row r="11" spans="1:31">
      <c r="A11" s="5">
        <f>IF(B11=" "," ",HYPERLINK(CONCATENATE("#metadata!",ADDRESS(INDEX($Q$2:$Q$1001,MATCH(ROWS($O$2:O11),$O$2:$O$1001,0),0),1)),INDEX($T$2:$T$1001,MATCH(ROWS($O$2:O11),$O$2:$O$1001,0),0)))</f>
        <v>0</v>
      </c>
      <c r="B11" s="4">
        <f>IF(OR(INDEX($P$2:$P$1001,MATCH(ROWS($O$2:O11),$O$2:$O$1001,0),1)&gt;=100000,INDEX($V$1005:$AE$1005,1,MATCH(COLUMNS($V$1006:V1006),$V$1006:$AE$1006,0))&gt;=100000), " ",IF(INDEX($V$2:$AE$1001,MATCH(ROWS($O$2:O11),$O$2:$O$1001,0),MATCH(COLUMNS($V$1006:V1006),$V$1006:$AE$1006,0)), HYPERLINK("#",""), HYPERLINK(CONCATENATE("#Metadata!", ADDRESS(INDEX($Q$2:$Q$1001,MATCH(ROWS($O$2:O11),$O$2:$O$1001,0),0), INDEX($V$1004:$AE$1004,1,MATCH(COLUMNS($V$1006:V1006),$V$1006:$AE$1006,0)))),"Fix")))</f>
        <v>0</v>
      </c>
      <c r="C11" s="4">
        <f>IF(OR(INDEX($P$2:$P$1001,MATCH(ROWS($O$2:O11),$O$2:$O$1001,0),1)&gt;=100000,INDEX($V$1005:$AE$1005,1,MATCH(COLUMNS($V$1006:W1006),$V$1006:$AE$1006,0))&gt;=100000), " ",IF(INDEX($V$2:$AE$1001,MATCH(ROWS($O$2:O11),$O$2:$O$1001,0),MATCH(COLUMNS($V$1006:W1006),$V$1006:$AE$1006,0)), HYPERLINK("#",""), HYPERLINK(CONCATENATE("#Metadata!", ADDRESS(INDEX($Q$2:$Q$1001,MATCH(ROWS($O$2:O11),$O$2:$O$1001,0),0), INDEX($V$1004:$AE$1004,1,MATCH(COLUMNS($V$1006:W1006),$V$1006:$AE$1006,0)))),"Fix")))</f>
        <v>0</v>
      </c>
      <c r="D11" s="4">
        <f>IF(OR(INDEX($P$2:$P$1001,MATCH(ROWS($O$2:O11),$O$2:$O$1001,0),1)&gt;=100000,INDEX($V$1005:$AE$1005,1,MATCH(COLUMNS($V$1006:X1006),$V$1006:$AE$1006,0))&gt;=100000), " ",IF(INDEX($V$2:$AE$1001,MATCH(ROWS($O$2:O11),$O$2:$O$1001,0),MATCH(COLUMNS($V$1006:X1006),$V$1006:$AE$1006,0)), HYPERLINK("#",""), HYPERLINK(CONCATENATE("#Metadata!", ADDRESS(INDEX($Q$2:$Q$1001,MATCH(ROWS($O$2:O11),$O$2:$O$1001,0),0), INDEX($V$1004:$AE$1004,1,MATCH(COLUMNS($V$1006:X1006),$V$1006:$AE$1006,0)))),"Fix")))</f>
        <v>0</v>
      </c>
      <c r="E11" s="4">
        <f>IF(OR(INDEX($P$2:$P$1001,MATCH(ROWS($O$2:O11),$O$2:$O$1001,0),1)&gt;=100000,INDEX($V$1005:$AE$1005,1,MATCH(COLUMNS($V$1006:Y1006),$V$1006:$AE$1006,0))&gt;=100000), " ",IF(INDEX($V$2:$AE$1001,MATCH(ROWS($O$2:O11),$O$2:$O$1001,0),MATCH(COLUMNS($V$1006:Y1006),$V$1006:$AE$1006,0)), HYPERLINK("#",""), HYPERLINK(CONCATENATE("#Metadata!", ADDRESS(INDEX($Q$2:$Q$1001,MATCH(ROWS($O$2:O11),$O$2:$O$1001,0),0), INDEX($V$1004:$AE$1004,1,MATCH(COLUMNS($V$1006:Y1006),$V$1006:$AE$1006,0)))),"Fix")))</f>
        <v>0</v>
      </c>
      <c r="F11" s="4">
        <f>IF(OR(INDEX($P$2:$P$1001,MATCH(ROWS($O$2:O11),$O$2:$O$1001,0),1)&gt;=100000,INDEX($V$1005:$AE$1005,1,MATCH(COLUMNS($V$1006:Z1006),$V$1006:$AE$1006,0))&gt;=100000), " ",IF(INDEX($V$2:$AE$1001,MATCH(ROWS($O$2:O11),$O$2:$O$1001,0),MATCH(COLUMNS($V$1006:Z1006),$V$1006:$AE$1006,0)), HYPERLINK("#",""), HYPERLINK(CONCATENATE("#Metadata!", ADDRESS(INDEX($Q$2:$Q$1001,MATCH(ROWS($O$2:O11),$O$2:$O$1001,0),0), INDEX($V$1004:$AE$1004,1,MATCH(COLUMNS($V$1006:Z1006),$V$1006:$AE$1006,0)))),"Fix")))</f>
        <v>0</v>
      </c>
      <c r="G11" s="4">
        <f>IF(OR(INDEX($P$2:$P$1001,MATCH(ROWS($O$2:O11),$O$2:$O$1001,0),1)&gt;=100000,INDEX($V$1005:$AE$1005,1,MATCH(COLUMNS($V$1006:AA1006),$V$1006:$AE$1006,0))&gt;=100000), " ",IF(INDEX($V$2:$AE$1001,MATCH(ROWS($O$2:O11),$O$2:$O$1001,0),MATCH(COLUMNS($V$1006:AA1006),$V$1006:$AE$1006,0)), HYPERLINK("#",""), HYPERLINK(CONCATENATE("#Metadata!", ADDRESS(INDEX($Q$2:$Q$1001,MATCH(ROWS($O$2:O11),$O$2:$O$1001,0),0), INDEX($V$1004:$AE$1004,1,MATCH(COLUMNS($V$1006:AA1006),$V$1006:$AE$1006,0)))),"Fix")))</f>
        <v>0</v>
      </c>
      <c r="H11" s="4">
        <f>IF(OR(INDEX($P$2:$P$1001,MATCH(ROWS($O$2:O11),$O$2:$O$1001,0),1)&gt;=100000,INDEX($V$1005:$AE$1005,1,MATCH(COLUMNS($V$1006:AB1006),$V$1006:$AE$1006,0))&gt;=100000), " ",IF(INDEX($V$2:$AE$1001,MATCH(ROWS($O$2:O11),$O$2:$O$1001,0),MATCH(COLUMNS($V$1006:AB1006),$V$1006:$AE$1006,0)), HYPERLINK("#",""), HYPERLINK(CONCATENATE("#Metadata!", ADDRESS(INDEX($Q$2:$Q$1001,MATCH(ROWS($O$2:O11),$O$2:$O$1001,0),0), INDEX($V$1004:$AE$1004,1,MATCH(COLUMNS($V$1006:AB1006),$V$1006:$AE$1006,0)))),"Fix")))</f>
        <v>0</v>
      </c>
      <c r="I11" s="4">
        <f>IF(OR(INDEX($P$2:$P$1001,MATCH(ROWS($O$2:O11),$O$2:$O$1001,0),1)&gt;=100000,INDEX($V$1005:$AE$1005,1,MATCH(COLUMNS($V$1006:AC1006),$V$1006:$AE$1006,0))&gt;=100000), " ",IF(INDEX($V$2:$AE$1001,MATCH(ROWS($O$2:O11),$O$2:$O$1001,0),MATCH(COLUMNS($V$1006:AC1006),$V$1006:$AE$1006,0)), HYPERLINK("#",""), HYPERLINK(CONCATENATE("#Metadata!", ADDRESS(INDEX($Q$2:$Q$1001,MATCH(ROWS($O$2:O11),$O$2:$O$1001,0),0), INDEX($V$1004:$AE$1004,1,MATCH(COLUMNS($V$1006:AC1006),$V$1006:$AE$1006,0)))),"Fix")))</f>
        <v>0</v>
      </c>
      <c r="J11" s="4">
        <f>IF(OR(INDEX($P$2:$P$1001,MATCH(ROWS($O$2:O11),$O$2:$O$1001,0),1)&gt;=100000,INDEX($V$1005:$AE$1005,1,MATCH(COLUMNS($V$1006:AD1006),$V$1006:$AE$1006,0))&gt;=100000), " ",IF(INDEX($V$2:$AE$1001,MATCH(ROWS($O$2:O11),$O$2:$O$1001,0),MATCH(COLUMNS($V$1006:AD1006),$V$1006:$AE$1006,0)), HYPERLINK("#",""), HYPERLINK(CONCATENATE("#Metadata!", ADDRESS(INDEX($Q$2:$Q$1001,MATCH(ROWS($O$2:O11),$O$2:$O$1001,0),0), INDEX($V$1004:$AE$1004,1,MATCH(COLUMNS($V$1006:AD1006),$V$1006:$AE$1006,0)))),"Fix")))</f>
        <v>0</v>
      </c>
      <c r="K11" s="4">
        <f>IF(OR(INDEX($P$2:$P$1001,MATCH(ROWS($O$2:O11),$O$2:$O$1001,0),1)&gt;=100000,INDEX($V$1005:$AE$1005,1,MATCH(COLUMNS($V$1006:AE1006),$V$1006:$AE$1006,0))&gt;=100000), " ",IF(INDEX($V$2:$AE$1001,MATCH(ROWS($O$2:O11),$O$2:$O$1001,0),MATCH(COLUMNS($V$1006:AE1006),$V$1006:$AE$1006,0)), HYPERLINK("#",""), HYPERLINK(CONCATENATE("#Metadata!", ADDRESS(INDEX($Q$2:$Q$1001,MATCH(ROWS($O$2:O11),$O$2:$O$1001,0),0), INDEX($V$1004:$AE$1004,1,MATCH(COLUMNS($V$1006:AE1006),$V$1006:$AE$1006,0)))),"Fix")))</f>
        <v>0</v>
      </c>
      <c r="O11">
        <v>0</v>
      </c>
      <c r="P11">
        <v>0</v>
      </c>
      <c r="Q11">
        <v>0</v>
      </c>
      <c r="R11">
        <f>IF(S11,TRUE,AND(V11:AE11))</f>
        <v>0</v>
      </c>
      <c r="S11">
        <f>COUNTBLANK(Metadata!B11:K11)=COLUMNS(Metadata!B11:K11)</f>
        <v>0</v>
      </c>
      <c r="T11">
        <v>0</v>
      </c>
      <c r="V11">
        <f>AND(IF(Metadata!B11="",FALSE,TRUE),COUNTIF(Metadata!B:B, Metadata!B11) = 1,NOT(ISERROR(SUMPRODUCT(SEARCH(MID(Metadata!B11,ROW(INDIRECT("1:"&amp;LEN(Metadata!B11))), 1),"0123456789abcdefghijklmnopqrstuvwxyzABCDEFGHIJKLMNOPQRSTUVWXYZ.")))))</f>
        <v>0</v>
      </c>
      <c r="W11">
        <f>AND(IF(Metadata!C11="",FALSE,TRUE),exact(Metadata!C11,"urban biome"))</f>
        <v>0</v>
      </c>
      <c r="X11">
        <f>AND(IF(Metadata!D11="",FALSE,TRUE),exact(Metadata!D11,"animal-associated habitat"))</f>
        <v>0</v>
      </c>
      <c r="Y11">
        <f>OR(AND(IF(Metadata!E11="",FALSE,TRUE),OR(exact(Metadata!E11,"not applicable"),exact(Metadata!E11,"missing: not collected"),exact(Metadata!E11,"missing: not provided"),exact(Metadata!E11,"missing: restricted access"))),AND(IF(Metadata!E11="",FALSE,ISNUMBER(VALUE(Metadata!E11))),Metadata!E11&gt;0))</f>
        <v>0</v>
      </c>
      <c r="Z11">
        <f>AND(IF(Metadata!F11="",FALSE,TRUE),exact(Metadata!F11,"weeks"))</f>
        <v>0</v>
      </c>
      <c r="AA11">
        <f>AND(IF(Metadata!G11="",FALSE,TRUE),exact(Metadata!G11,"mouse"))</f>
        <v>0</v>
      </c>
      <c r="AB11">
        <f>AND(IF(Metadata!H11="",FALSE,TRUE),exact(Metadata!H11,"Mus musculus"))</f>
        <v>0</v>
      </c>
      <c r="AC11">
        <f>AND(IF(Metadata!I11="",FALSE,TRUE),exact(Metadata!I11,"10090"))</f>
        <v>0</v>
      </c>
      <c r="AD11">
        <f>OR(AND(IF(Metadata!J11="",FALSE,TRUE),OR(exact(Metadata!J11,"not applicable"),exact(Metadata!J11,"missing: not collected"),exact(Metadata!J11,"missing: not provided"),exact(Metadata!J11,"missing: restricted access"))),AND(IF(Metadata!J11="",FALSE,ISNUMBER(VALUE(Metadata!J11))),Metadata!J11&gt;0))</f>
        <v>0</v>
      </c>
      <c r="AE11">
        <f>AND(IF(Metadata!K11="",FALSE,TRUE),exact(Metadata!K11,"g"))</f>
        <v>0</v>
      </c>
    </row>
    <row r="12" spans="1:31">
      <c r="A12" s="5">
        <f>IF(B12=" "," ",HYPERLINK(CONCATENATE("#metadata!",ADDRESS(INDEX($Q$2:$Q$1001,MATCH(ROWS($O$2:O12),$O$2:$O$1001,0),0),1)),INDEX($T$2:$T$1001,MATCH(ROWS($O$2:O12),$O$2:$O$1001,0),0)))</f>
        <v>0</v>
      </c>
      <c r="B12" s="4">
        <f>IF(OR(INDEX($P$2:$P$1001,MATCH(ROWS($O$2:O12),$O$2:$O$1001,0),1)&gt;=100000,INDEX($V$1005:$AE$1005,1,MATCH(COLUMNS($V$1006:V1006),$V$1006:$AE$1006,0))&gt;=100000), " ",IF(INDEX($V$2:$AE$1001,MATCH(ROWS($O$2:O12),$O$2:$O$1001,0),MATCH(COLUMNS($V$1006:V1006),$V$1006:$AE$1006,0)), HYPERLINK("#",""), HYPERLINK(CONCATENATE("#Metadata!", ADDRESS(INDEX($Q$2:$Q$1001,MATCH(ROWS($O$2:O12),$O$2:$O$1001,0),0), INDEX($V$1004:$AE$1004,1,MATCH(COLUMNS($V$1006:V1006),$V$1006:$AE$1006,0)))),"Fix")))</f>
        <v>0</v>
      </c>
      <c r="C12" s="4">
        <f>IF(OR(INDEX($P$2:$P$1001,MATCH(ROWS($O$2:O12),$O$2:$O$1001,0),1)&gt;=100000,INDEX($V$1005:$AE$1005,1,MATCH(COLUMNS($V$1006:W1006),$V$1006:$AE$1006,0))&gt;=100000), " ",IF(INDEX($V$2:$AE$1001,MATCH(ROWS($O$2:O12),$O$2:$O$1001,0),MATCH(COLUMNS($V$1006:W1006),$V$1006:$AE$1006,0)), HYPERLINK("#",""), HYPERLINK(CONCATENATE("#Metadata!", ADDRESS(INDEX($Q$2:$Q$1001,MATCH(ROWS($O$2:O12),$O$2:$O$1001,0),0), INDEX($V$1004:$AE$1004,1,MATCH(COLUMNS($V$1006:W1006),$V$1006:$AE$1006,0)))),"Fix")))</f>
        <v>0</v>
      </c>
      <c r="D12" s="4">
        <f>IF(OR(INDEX($P$2:$P$1001,MATCH(ROWS($O$2:O12),$O$2:$O$1001,0),1)&gt;=100000,INDEX($V$1005:$AE$1005,1,MATCH(COLUMNS($V$1006:X1006),$V$1006:$AE$1006,0))&gt;=100000), " ",IF(INDEX($V$2:$AE$1001,MATCH(ROWS($O$2:O12),$O$2:$O$1001,0),MATCH(COLUMNS($V$1006:X1006),$V$1006:$AE$1006,0)), HYPERLINK("#",""), HYPERLINK(CONCATENATE("#Metadata!", ADDRESS(INDEX($Q$2:$Q$1001,MATCH(ROWS($O$2:O12),$O$2:$O$1001,0),0), INDEX($V$1004:$AE$1004,1,MATCH(COLUMNS($V$1006:X1006),$V$1006:$AE$1006,0)))),"Fix")))</f>
        <v>0</v>
      </c>
      <c r="E12" s="4">
        <f>IF(OR(INDEX($P$2:$P$1001,MATCH(ROWS($O$2:O12),$O$2:$O$1001,0),1)&gt;=100000,INDEX($V$1005:$AE$1005,1,MATCH(COLUMNS($V$1006:Y1006),$V$1006:$AE$1006,0))&gt;=100000), " ",IF(INDEX($V$2:$AE$1001,MATCH(ROWS($O$2:O12),$O$2:$O$1001,0),MATCH(COLUMNS($V$1006:Y1006),$V$1006:$AE$1006,0)), HYPERLINK("#",""), HYPERLINK(CONCATENATE("#Metadata!", ADDRESS(INDEX($Q$2:$Q$1001,MATCH(ROWS($O$2:O12),$O$2:$O$1001,0),0), INDEX($V$1004:$AE$1004,1,MATCH(COLUMNS($V$1006:Y1006),$V$1006:$AE$1006,0)))),"Fix")))</f>
        <v>0</v>
      </c>
      <c r="F12" s="4">
        <f>IF(OR(INDEX($P$2:$P$1001,MATCH(ROWS($O$2:O12),$O$2:$O$1001,0),1)&gt;=100000,INDEX($V$1005:$AE$1005,1,MATCH(COLUMNS($V$1006:Z1006),$V$1006:$AE$1006,0))&gt;=100000), " ",IF(INDEX($V$2:$AE$1001,MATCH(ROWS($O$2:O12),$O$2:$O$1001,0),MATCH(COLUMNS($V$1006:Z1006),$V$1006:$AE$1006,0)), HYPERLINK("#",""), HYPERLINK(CONCATENATE("#Metadata!", ADDRESS(INDEX($Q$2:$Q$1001,MATCH(ROWS($O$2:O12),$O$2:$O$1001,0),0), INDEX($V$1004:$AE$1004,1,MATCH(COLUMNS($V$1006:Z1006),$V$1006:$AE$1006,0)))),"Fix")))</f>
        <v>0</v>
      </c>
      <c r="G12" s="4">
        <f>IF(OR(INDEX($P$2:$P$1001,MATCH(ROWS($O$2:O12),$O$2:$O$1001,0),1)&gt;=100000,INDEX($V$1005:$AE$1005,1,MATCH(COLUMNS($V$1006:AA1006),$V$1006:$AE$1006,0))&gt;=100000), " ",IF(INDEX($V$2:$AE$1001,MATCH(ROWS($O$2:O12),$O$2:$O$1001,0),MATCH(COLUMNS($V$1006:AA1006),$V$1006:$AE$1006,0)), HYPERLINK("#",""), HYPERLINK(CONCATENATE("#Metadata!", ADDRESS(INDEX($Q$2:$Q$1001,MATCH(ROWS($O$2:O12),$O$2:$O$1001,0),0), INDEX($V$1004:$AE$1004,1,MATCH(COLUMNS($V$1006:AA1006),$V$1006:$AE$1006,0)))),"Fix")))</f>
        <v>0</v>
      </c>
      <c r="H12" s="4">
        <f>IF(OR(INDEX($P$2:$P$1001,MATCH(ROWS($O$2:O12),$O$2:$O$1001,0),1)&gt;=100000,INDEX($V$1005:$AE$1005,1,MATCH(COLUMNS($V$1006:AB1006),$V$1006:$AE$1006,0))&gt;=100000), " ",IF(INDEX($V$2:$AE$1001,MATCH(ROWS($O$2:O12),$O$2:$O$1001,0),MATCH(COLUMNS($V$1006:AB1006),$V$1006:$AE$1006,0)), HYPERLINK("#",""), HYPERLINK(CONCATENATE("#Metadata!", ADDRESS(INDEX($Q$2:$Q$1001,MATCH(ROWS($O$2:O12),$O$2:$O$1001,0),0), INDEX($V$1004:$AE$1004,1,MATCH(COLUMNS($V$1006:AB1006),$V$1006:$AE$1006,0)))),"Fix")))</f>
        <v>0</v>
      </c>
      <c r="I12" s="4">
        <f>IF(OR(INDEX($P$2:$P$1001,MATCH(ROWS($O$2:O12),$O$2:$O$1001,0),1)&gt;=100000,INDEX($V$1005:$AE$1005,1,MATCH(COLUMNS($V$1006:AC1006),$V$1006:$AE$1006,0))&gt;=100000), " ",IF(INDEX($V$2:$AE$1001,MATCH(ROWS($O$2:O12),$O$2:$O$1001,0),MATCH(COLUMNS($V$1006:AC1006),$V$1006:$AE$1006,0)), HYPERLINK("#",""), HYPERLINK(CONCATENATE("#Metadata!", ADDRESS(INDEX($Q$2:$Q$1001,MATCH(ROWS($O$2:O12),$O$2:$O$1001,0),0), INDEX($V$1004:$AE$1004,1,MATCH(COLUMNS($V$1006:AC1006),$V$1006:$AE$1006,0)))),"Fix")))</f>
        <v>0</v>
      </c>
      <c r="J12" s="4">
        <f>IF(OR(INDEX($P$2:$P$1001,MATCH(ROWS($O$2:O12),$O$2:$O$1001,0),1)&gt;=100000,INDEX($V$1005:$AE$1005,1,MATCH(COLUMNS($V$1006:AD1006),$V$1006:$AE$1006,0))&gt;=100000), " ",IF(INDEX($V$2:$AE$1001,MATCH(ROWS($O$2:O12),$O$2:$O$1001,0),MATCH(COLUMNS($V$1006:AD1006),$V$1006:$AE$1006,0)), HYPERLINK("#",""), HYPERLINK(CONCATENATE("#Metadata!", ADDRESS(INDEX($Q$2:$Q$1001,MATCH(ROWS($O$2:O12),$O$2:$O$1001,0),0), INDEX($V$1004:$AE$1004,1,MATCH(COLUMNS($V$1006:AD1006),$V$1006:$AE$1006,0)))),"Fix")))</f>
        <v>0</v>
      </c>
      <c r="K12" s="4">
        <f>IF(OR(INDEX($P$2:$P$1001,MATCH(ROWS($O$2:O12),$O$2:$O$1001,0),1)&gt;=100000,INDEX($V$1005:$AE$1005,1,MATCH(COLUMNS($V$1006:AE1006),$V$1006:$AE$1006,0))&gt;=100000), " ",IF(INDEX($V$2:$AE$1001,MATCH(ROWS($O$2:O12),$O$2:$O$1001,0),MATCH(COLUMNS($V$1006:AE1006),$V$1006:$AE$1006,0)), HYPERLINK("#",""), HYPERLINK(CONCATENATE("#Metadata!", ADDRESS(INDEX($Q$2:$Q$1001,MATCH(ROWS($O$2:O12),$O$2:$O$1001,0),0), INDEX($V$1004:$AE$1004,1,MATCH(COLUMNS($V$1006:AE1006),$V$1006:$AE$1006,0)))),"Fix")))</f>
        <v>0</v>
      </c>
      <c r="O12">
        <v>0</v>
      </c>
      <c r="P12">
        <v>0</v>
      </c>
      <c r="Q12">
        <v>0</v>
      </c>
      <c r="R12">
        <f>IF(S12,TRUE,AND(V12:AE12))</f>
        <v>0</v>
      </c>
      <c r="S12">
        <f>COUNTBLANK(Metadata!B12:K12)=COLUMNS(Metadata!B12:K12)</f>
        <v>0</v>
      </c>
      <c r="T12">
        <v>0</v>
      </c>
      <c r="V12">
        <f>AND(IF(Metadata!B12="",FALSE,TRUE),COUNTIF(Metadata!B:B, Metadata!B12) = 1,NOT(ISERROR(SUMPRODUCT(SEARCH(MID(Metadata!B12,ROW(INDIRECT("1:"&amp;LEN(Metadata!B12))), 1),"0123456789abcdefghijklmnopqrstuvwxyzABCDEFGHIJKLMNOPQRSTUVWXYZ.")))))</f>
        <v>0</v>
      </c>
      <c r="W12">
        <f>AND(IF(Metadata!C12="",FALSE,TRUE),exact(Metadata!C12,"urban biome"))</f>
        <v>0</v>
      </c>
      <c r="X12">
        <f>AND(IF(Metadata!D12="",FALSE,TRUE),exact(Metadata!D12,"animal-associated habitat"))</f>
        <v>0</v>
      </c>
      <c r="Y12">
        <f>OR(AND(IF(Metadata!E12="",FALSE,TRUE),OR(exact(Metadata!E12,"not applicable"),exact(Metadata!E12,"missing: not collected"),exact(Metadata!E12,"missing: not provided"),exact(Metadata!E12,"missing: restricted access"))),AND(IF(Metadata!E12="",FALSE,ISNUMBER(VALUE(Metadata!E12))),Metadata!E12&gt;0))</f>
        <v>0</v>
      </c>
      <c r="Z12">
        <f>AND(IF(Metadata!F12="",FALSE,TRUE),exact(Metadata!F12,"weeks"))</f>
        <v>0</v>
      </c>
      <c r="AA12">
        <f>AND(IF(Metadata!G12="",FALSE,TRUE),exact(Metadata!G12,"mouse"))</f>
        <v>0</v>
      </c>
      <c r="AB12">
        <f>AND(IF(Metadata!H12="",FALSE,TRUE),exact(Metadata!H12,"Mus musculus"))</f>
        <v>0</v>
      </c>
      <c r="AC12">
        <f>AND(IF(Metadata!I12="",FALSE,TRUE),exact(Metadata!I12,"10090"))</f>
        <v>0</v>
      </c>
      <c r="AD12">
        <f>OR(AND(IF(Metadata!J12="",FALSE,TRUE),OR(exact(Metadata!J12,"not applicable"),exact(Metadata!J12,"missing: not collected"),exact(Metadata!J12,"missing: not provided"),exact(Metadata!J12,"missing: restricted access"))),AND(IF(Metadata!J12="",FALSE,ISNUMBER(VALUE(Metadata!J12))),Metadata!J12&gt;0))</f>
        <v>0</v>
      </c>
      <c r="AE12">
        <f>AND(IF(Metadata!K12="",FALSE,TRUE),exact(Metadata!K12,"g"))</f>
        <v>0</v>
      </c>
    </row>
    <row r="13" spans="1:31">
      <c r="A13" s="5">
        <f>IF(B13=" "," ",HYPERLINK(CONCATENATE("#metadata!",ADDRESS(INDEX($Q$2:$Q$1001,MATCH(ROWS($O$2:O13),$O$2:$O$1001,0),0),1)),INDEX($T$2:$T$1001,MATCH(ROWS($O$2:O13),$O$2:$O$1001,0),0)))</f>
        <v>0</v>
      </c>
      <c r="B13" s="4">
        <f>IF(OR(INDEX($P$2:$P$1001,MATCH(ROWS($O$2:O13),$O$2:$O$1001,0),1)&gt;=100000,INDEX($V$1005:$AE$1005,1,MATCH(COLUMNS($V$1006:V1006),$V$1006:$AE$1006,0))&gt;=100000), " ",IF(INDEX($V$2:$AE$1001,MATCH(ROWS($O$2:O13),$O$2:$O$1001,0),MATCH(COLUMNS($V$1006:V1006),$V$1006:$AE$1006,0)), HYPERLINK("#",""), HYPERLINK(CONCATENATE("#Metadata!", ADDRESS(INDEX($Q$2:$Q$1001,MATCH(ROWS($O$2:O13),$O$2:$O$1001,0),0), INDEX($V$1004:$AE$1004,1,MATCH(COLUMNS($V$1006:V1006),$V$1006:$AE$1006,0)))),"Fix")))</f>
        <v>0</v>
      </c>
      <c r="C13" s="4">
        <f>IF(OR(INDEX($P$2:$P$1001,MATCH(ROWS($O$2:O13),$O$2:$O$1001,0),1)&gt;=100000,INDEX($V$1005:$AE$1005,1,MATCH(COLUMNS($V$1006:W1006),$V$1006:$AE$1006,0))&gt;=100000), " ",IF(INDEX($V$2:$AE$1001,MATCH(ROWS($O$2:O13),$O$2:$O$1001,0),MATCH(COLUMNS($V$1006:W1006),$V$1006:$AE$1006,0)), HYPERLINK("#",""), HYPERLINK(CONCATENATE("#Metadata!", ADDRESS(INDEX($Q$2:$Q$1001,MATCH(ROWS($O$2:O13),$O$2:$O$1001,0),0), INDEX($V$1004:$AE$1004,1,MATCH(COLUMNS($V$1006:W1006),$V$1006:$AE$1006,0)))),"Fix")))</f>
        <v>0</v>
      </c>
      <c r="D13" s="4">
        <f>IF(OR(INDEX($P$2:$P$1001,MATCH(ROWS($O$2:O13),$O$2:$O$1001,0),1)&gt;=100000,INDEX($V$1005:$AE$1005,1,MATCH(COLUMNS($V$1006:X1006),$V$1006:$AE$1006,0))&gt;=100000), " ",IF(INDEX($V$2:$AE$1001,MATCH(ROWS($O$2:O13),$O$2:$O$1001,0),MATCH(COLUMNS($V$1006:X1006),$V$1006:$AE$1006,0)), HYPERLINK("#",""), HYPERLINK(CONCATENATE("#Metadata!", ADDRESS(INDEX($Q$2:$Q$1001,MATCH(ROWS($O$2:O13),$O$2:$O$1001,0),0), INDEX($V$1004:$AE$1004,1,MATCH(COLUMNS($V$1006:X1006),$V$1006:$AE$1006,0)))),"Fix")))</f>
        <v>0</v>
      </c>
      <c r="E13" s="4">
        <f>IF(OR(INDEX($P$2:$P$1001,MATCH(ROWS($O$2:O13),$O$2:$O$1001,0),1)&gt;=100000,INDEX($V$1005:$AE$1005,1,MATCH(COLUMNS($V$1006:Y1006),$V$1006:$AE$1006,0))&gt;=100000), " ",IF(INDEX($V$2:$AE$1001,MATCH(ROWS($O$2:O13),$O$2:$O$1001,0),MATCH(COLUMNS($V$1006:Y1006),$V$1006:$AE$1006,0)), HYPERLINK("#",""), HYPERLINK(CONCATENATE("#Metadata!", ADDRESS(INDEX($Q$2:$Q$1001,MATCH(ROWS($O$2:O13),$O$2:$O$1001,0),0), INDEX($V$1004:$AE$1004,1,MATCH(COLUMNS($V$1006:Y1006),$V$1006:$AE$1006,0)))),"Fix")))</f>
        <v>0</v>
      </c>
      <c r="F13" s="4">
        <f>IF(OR(INDEX($P$2:$P$1001,MATCH(ROWS($O$2:O13),$O$2:$O$1001,0),1)&gt;=100000,INDEX($V$1005:$AE$1005,1,MATCH(COLUMNS($V$1006:Z1006),$V$1006:$AE$1006,0))&gt;=100000), " ",IF(INDEX($V$2:$AE$1001,MATCH(ROWS($O$2:O13),$O$2:$O$1001,0),MATCH(COLUMNS($V$1006:Z1006),$V$1006:$AE$1006,0)), HYPERLINK("#",""), HYPERLINK(CONCATENATE("#Metadata!", ADDRESS(INDEX($Q$2:$Q$1001,MATCH(ROWS($O$2:O13),$O$2:$O$1001,0),0), INDEX($V$1004:$AE$1004,1,MATCH(COLUMNS($V$1006:Z1006),$V$1006:$AE$1006,0)))),"Fix")))</f>
        <v>0</v>
      </c>
      <c r="G13" s="4">
        <f>IF(OR(INDEX($P$2:$P$1001,MATCH(ROWS($O$2:O13),$O$2:$O$1001,0),1)&gt;=100000,INDEX($V$1005:$AE$1005,1,MATCH(COLUMNS($V$1006:AA1006),$V$1006:$AE$1006,0))&gt;=100000), " ",IF(INDEX($V$2:$AE$1001,MATCH(ROWS($O$2:O13),$O$2:$O$1001,0),MATCH(COLUMNS($V$1006:AA1006),$V$1006:$AE$1006,0)), HYPERLINK("#",""), HYPERLINK(CONCATENATE("#Metadata!", ADDRESS(INDEX($Q$2:$Q$1001,MATCH(ROWS($O$2:O13),$O$2:$O$1001,0),0), INDEX($V$1004:$AE$1004,1,MATCH(COLUMNS($V$1006:AA1006),$V$1006:$AE$1006,0)))),"Fix")))</f>
        <v>0</v>
      </c>
      <c r="H13" s="4">
        <f>IF(OR(INDEX($P$2:$P$1001,MATCH(ROWS($O$2:O13),$O$2:$O$1001,0),1)&gt;=100000,INDEX($V$1005:$AE$1005,1,MATCH(COLUMNS($V$1006:AB1006),$V$1006:$AE$1006,0))&gt;=100000), " ",IF(INDEX($V$2:$AE$1001,MATCH(ROWS($O$2:O13),$O$2:$O$1001,0),MATCH(COLUMNS($V$1006:AB1006),$V$1006:$AE$1006,0)), HYPERLINK("#",""), HYPERLINK(CONCATENATE("#Metadata!", ADDRESS(INDEX($Q$2:$Q$1001,MATCH(ROWS($O$2:O13),$O$2:$O$1001,0),0), INDEX($V$1004:$AE$1004,1,MATCH(COLUMNS($V$1006:AB1006),$V$1006:$AE$1006,0)))),"Fix")))</f>
        <v>0</v>
      </c>
      <c r="I13" s="4">
        <f>IF(OR(INDEX($P$2:$P$1001,MATCH(ROWS($O$2:O13),$O$2:$O$1001,0),1)&gt;=100000,INDEX($V$1005:$AE$1005,1,MATCH(COLUMNS($V$1006:AC1006),$V$1006:$AE$1006,0))&gt;=100000), " ",IF(INDEX($V$2:$AE$1001,MATCH(ROWS($O$2:O13),$O$2:$O$1001,0),MATCH(COLUMNS($V$1006:AC1006),$V$1006:$AE$1006,0)), HYPERLINK("#",""), HYPERLINK(CONCATENATE("#Metadata!", ADDRESS(INDEX($Q$2:$Q$1001,MATCH(ROWS($O$2:O13),$O$2:$O$1001,0),0), INDEX($V$1004:$AE$1004,1,MATCH(COLUMNS($V$1006:AC1006),$V$1006:$AE$1006,0)))),"Fix")))</f>
        <v>0</v>
      </c>
      <c r="J13" s="4">
        <f>IF(OR(INDEX($P$2:$P$1001,MATCH(ROWS($O$2:O13),$O$2:$O$1001,0),1)&gt;=100000,INDEX($V$1005:$AE$1005,1,MATCH(COLUMNS($V$1006:AD1006),$V$1006:$AE$1006,0))&gt;=100000), " ",IF(INDEX($V$2:$AE$1001,MATCH(ROWS($O$2:O13),$O$2:$O$1001,0),MATCH(COLUMNS($V$1006:AD1006),$V$1006:$AE$1006,0)), HYPERLINK("#",""), HYPERLINK(CONCATENATE("#Metadata!", ADDRESS(INDEX($Q$2:$Q$1001,MATCH(ROWS($O$2:O13),$O$2:$O$1001,0),0), INDEX($V$1004:$AE$1004,1,MATCH(COLUMNS($V$1006:AD1006),$V$1006:$AE$1006,0)))),"Fix")))</f>
        <v>0</v>
      </c>
      <c r="K13" s="4">
        <f>IF(OR(INDEX($P$2:$P$1001,MATCH(ROWS($O$2:O13),$O$2:$O$1001,0),1)&gt;=100000,INDEX($V$1005:$AE$1005,1,MATCH(COLUMNS($V$1006:AE1006),$V$1006:$AE$1006,0))&gt;=100000), " ",IF(INDEX($V$2:$AE$1001,MATCH(ROWS($O$2:O13),$O$2:$O$1001,0),MATCH(COLUMNS($V$1006:AE1006),$V$1006:$AE$1006,0)), HYPERLINK("#",""), HYPERLINK(CONCATENATE("#Metadata!", ADDRESS(INDEX($Q$2:$Q$1001,MATCH(ROWS($O$2:O13),$O$2:$O$1001,0),0), INDEX($V$1004:$AE$1004,1,MATCH(COLUMNS($V$1006:AE1006),$V$1006:$AE$1006,0)))),"Fix")))</f>
        <v>0</v>
      </c>
      <c r="O13">
        <v>0</v>
      </c>
      <c r="P13">
        <v>0</v>
      </c>
      <c r="Q13">
        <v>0</v>
      </c>
      <c r="R13">
        <f>IF(S13,TRUE,AND(V13:AE13))</f>
        <v>0</v>
      </c>
      <c r="S13">
        <f>COUNTBLANK(Metadata!B13:K13)=COLUMNS(Metadata!B13:K13)</f>
        <v>0</v>
      </c>
      <c r="T13">
        <v>0</v>
      </c>
      <c r="V13">
        <f>AND(IF(Metadata!B13="",FALSE,TRUE),COUNTIF(Metadata!B:B, Metadata!B13) = 1,NOT(ISERROR(SUMPRODUCT(SEARCH(MID(Metadata!B13,ROW(INDIRECT("1:"&amp;LEN(Metadata!B13))), 1),"0123456789abcdefghijklmnopqrstuvwxyzABCDEFGHIJKLMNOPQRSTUVWXYZ.")))))</f>
        <v>0</v>
      </c>
      <c r="W13">
        <f>AND(IF(Metadata!C13="",FALSE,TRUE),exact(Metadata!C13,"urban biome"))</f>
        <v>0</v>
      </c>
      <c r="X13">
        <f>AND(IF(Metadata!D13="",FALSE,TRUE),exact(Metadata!D13,"animal-associated habitat"))</f>
        <v>0</v>
      </c>
      <c r="Y13">
        <f>OR(AND(IF(Metadata!E13="",FALSE,TRUE),OR(exact(Metadata!E13,"not applicable"),exact(Metadata!E13,"missing: not collected"),exact(Metadata!E13,"missing: not provided"),exact(Metadata!E13,"missing: restricted access"))),AND(IF(Metadata!E13="",FALSE,ISNUMBER(VALUE(Metadata!E13))),Metadata!E13&gt;0))</f>
        <v>0</v>
      </c>
      <c r="Z13">
        <f>AND(IF(Metadata!F13="",FALSE,TRUE),exact(Metadata!F13,"weeks"))</f>
        <v>0</v>
      </c>
      <c r="AA13">
        <f>AND(IF(Metadata!G13="",FALSE,TRUE),exact(Metadata!G13,"mouse"))</f>
        <v>0</v>
      </c>
      <c r="AB13">
        <f>AND(IF(Metadata!H13="",FALSE,TRUE),exact(Metadata!H13,"Mus musculus"))</f>
        <v>0</v>
      </c>
      <c r="AC13">
        <f>AND(IF(Metadata!I13="",FALSE,TRUE),exact(Metadata!I13,"10090"))</f>
        <v>0</v>
      </c>
      <c r="AD13">
        <f>OR(AND(IF(Metadata!J13="",FALSE,TRUE),OR(exact(Metadata!J13,"not applicable"),exact(Metadata!J13,"missing: not collected"),exact(Metadata!J13,"missing: not provided"),exact(Metadata!J13,"missing: restricted access"))),AND(IF(Metadata!J13="",FALSE,ISNUMBER(VALUE(Metadata!J13))),Metadata!J13&gt;0))</f>
        <v>0</v>
      </c>
      <c r="AE13">
        <f>AND(IF(Metadata!K13="",FALSE,TRUE),exact(Metadata!K13,"g"))</f>
        <v>0</v>
      </c>
    </row>
    <row r="14" spans="1:31">
      <c r="A14" s="5">
        <f>IF(B14=" "," ",HYPERLINK(CONCATENATE("#metadata!",ADDRESS(INDEX($Q$2:$Q$1001,MATCH(ROWS($O$2:O14),$O$2:$O$1001,0),0),1)),INDEX($T$2:$T$1001,MATCH(ROWS($O$2:O14),$O$2:$O$1001,0),0)))</f>
        <v>0</v>
      </c>
      <c r="B14" s="4">
        <f>IF(OR(INDEX($P$2:$P$1001,MATCH(ROWS($O$2:O14),$O$2:$O$1001,0),1)&gt;=100000,INDEX($V$1005:$AE$1005,1,MATCH(COLUMNS($V$1006:V1006),$V$1006:$AE$1006,0))&gt;=100000), " ",IF(INDEX($V$2:$AE$1001,MATCH(ROWS($O$2:O14),$O$2:$O$1001,0),MATCH(COLUMNS($V$1006:V1006),$V$1006:$AE$1006,0)), HYPERLINK("#",""), HYPERLINK(CONCATENATE("#Metadata!", ADDRESS(INDEX($Q$2:$Q$1001,MATCH(ROWS($O$2:O14),$O$2:$O$1001,0),0), INDEX($V$1004:$AE$1004,1,MATCH(COLUMNS($V$1006:V1006),$V$1006:$AE$1006,0)))),"Fix")))</f>
        <v>0</v>
      </c>
      <c r="C14" s="4">
        <f>IF(OR(INDEX($P$2:$P$1001,MATCH(ROWS($O$2:O14),$O$2:$O$1001,0),1)&gt;=100000,INDEX($V$1005:$AE$1005,1,MATCH(COLUMNS($V$1006:W1006),$V$1006:$AE$1006,0))&gt;=100000), " ",IF(INDEX($V$2:$AE$1001,MATCH(ROWS($O$2:O14),$O$2:$O$1001,0),MATCH(COLUMNS($V$1006:W1006),$V$1006:$AE$1006,0)), HYPERLINK("#",""), HYPERLINK(CONCATENATE("#Metadata!", ADDRESS(INDEX($Q$2:$Q$1001,MATCH(ROWS($O$2:O14),$O$2:$O$1001,0),0), INDEX($V$1004:$AE$1004,1,MATCH(COLUMNS($V$1006:W1006),$V$1006:$AE$1006,0)))),"Fix")))</f>
        <v>0</v>
      </c>
      <c r="D14" s="4">
        <f>IF(OR(INDEX($P$2:$P$1001,MATCH(ROWS($O$2:O14),$O$2:$O$1001,0),1)&gt;=100000,INDEX($V$1005:$AE$1005,1,MATCH(COLUMNS($V$1006:X1006),$V$1006:$AE$1006,0))&gt;=100000), " ",IF(INDEX($V$2:$AE$1001,MATCH(ROWS($O$2:O14),$O$2:$O$1001,0),MATCH(COLUMNS($V$1006:X1006),$V$1006:$AE$1006,0)), HYPERLINK("#",""), HYPERLINK(CONCATENATE("#Metadata!", ADDRESS(INDEX($Q$2:$Q$1001,MATCH(ROWS($O$2:O14),$O$2:$O$1001,0),0), INDEX($V$1004:$AE$1004,1,MATCH(COLUMNS($V$1006:X1006),$V$1006:$AE$1006,0)))),"Fix")))</f>
        <v>0</v>
      </c>
      <c r="E14" s="4">
        <f>IF(OR(INDEX($P$2:$P$1001,MATCH(ROWS($O$2:O14),$O$2:$O$1001,0),1)&gt;=100000,INDEX($V$1005:$AE$1005,1,MATCH(COLUMNS($V$1006:Y1006),$V$1006:$AE$1006,0))&gt;=100000), " ",IF(INDEX($V$2:$AE$1001,MATCH(ROWS($O$2:O14),$O$2:$O$1001,0),MATCH(COLUMNS($V$1006:Y1006),$V$1006:$AE$1006,0)), HYPERLINK("#",""), HYPERLINK(CONCATENATE("#Metadata!", ADDRESS(INDEX($Q$2:$Q$1001,MATCH(ROWS($O$2:O14),$O$2:$O$1001,0),0), INDEX($V$1004:$AE$1004,1,MATCH(COLUMNS($V$1006:Y1006),$V$1006:$AE$1006,0)))),"Fix")))</f>
        <v>0</v>
      </c>
      <c r="F14" s="4">
        <f>IF(OR(INDEX($P$2:$P$1001,MATCH(ROWS($O$2:O14),$O$2:$O$1001,0),1)&gt;=100000,INDEX($V$1005:$AE$1005,1,MATCH(COLUMNS($V$1006:Z1006),$V$1006:$AE$1006,0))&gt;=100000), " ",IF(INDEX($V$2:$AE$1001,MATCH(ROWS($O$2:O14),$O$2:$O$1001,0),MATCH(COLUMNS($V$1006:Z1006),$V$1006:$AE$1006,0)), HYPERLINK("#",""), HYPERLINK(CONCATENATE("#Metadata!", ADDRESS(INDEX($Q$2:$Q$1001,MATCH(ROWS($O$2:O14),$O$2:$O$1001,0),0), INDEX($V$1004:$AE$1004,1,MATCH(COLUMNS($V$1006:Z1006),$V$1006:$AE$1006,0)))),"Fix")))</f>
        <v>0</v>
      </c>
      <c r="G14" s="4">
        <f>IF(OR(INDEX($P$2:$P$1001,MATCH(ROWS($O$2:O14),$O$2:$O$1001,0),1)&gt;=100000,INDEX($V$1005:$AE$1005,1,MATCH(COLUMNS($V$1006:AA1006),$V$1006:$AE$1006,0))&gt;=100000), " ",IF(INDEX($V$2:$AE$1001,MATCH(ROWS($O$2:O14),$O$2:$O$1001,0),MATCH(COLUMNS($V$1006:AA1006),$V$1006:$AE$1006,0)), HYPERLINK("#",""), HYPERLINK(CONCATENATE("#Metadata!", ADDRESS(INDEX($Q$2:$Q$1001,MATCH(ROWS($O$2:O14),$O$2:$O$1001,0),0), INDEX($V$1004:$AE$1004,1,MATCH(COLUMNS($V$1006:AA1006),$V$1006:$AE$1006,0)))),"Fix")))</f>
        <v>0</v>
      </c>
      <c r="H14" s="4">
        <f>IF(OR(INDEX($P$2:$P$1001,MATCH(ROWS($O$2:O14),$O$2:$O$1001,0),1)&gt;=100000,INDEX($V$1005:$AE$1005,1,MATCH(COLUMNS($V$1006:AB1006),$V$1006:$AE$1006,0))&gt;=100000), " ",IF(INDEX($V$2:$AE$1001,MATCH(ROWS($O$2:O14),$O$2:$O$1001,0),MATCH(COLUMNS($V$1006:AB1006),$V$1006:$AE$1006,0)), HYPERLINK("#",""), HYPERLINK(CONCATENATE("#Metadata!", ADDRESS(INDEX($Q$2:$Q$1001,MATCH(ROWS($O$2:O14),$O$2:$O$1001,0),0), INDEX($V$1004:$AE$1004,1,MATCH(COLUMNS($V$1006:AB1006),$V$1006:$AE$1006,0)))),"Fix")))</f>
        <v>0</v>
      </c>
      <c r="I14" s="4">
        <f>IF(OR(INDEX($P$2:$P$1001,MATCH(ROWS($O$2:O14),$O$2:$O$1001,0),1)&gt;=100000,INDEX($V$1005:$AE$1005,1,MATCH(COLUMNS($V$1006:AC1006),$V$1006:$AE$1006,0))&gt;=100000), " ",IF(INDEX($V$2:$AE$1001,MATCH(ROWS($O$2:O14),$O$2:$O$1001,0),MATCH(COLUMNS($V$1006:AC1006),$V$1006:$AE$1006,0)), HYPERLINK("#",""), HYPERLINK(CONCATENATE("#Metadata!", ADDRESS(INDEX($Q$2:$Q$1001,MATCH(ROWS($O$2:O14),$O$2:$O$1001,0),0), INDEX($V$1004:$AE$1004,1,MATCH(COLUMNS($V$1006:AC1006),$V$1006:$AE$1006,0)))),"Fix")))</f>
        <v>0</v>
      </c>
      <c r="J14" s="4">
        <f>IF(OR(INDEX($P$2:$P$1001,MATCH(ROWS($O$2:O14),$O$2:$O$1001,0),1)&gt;=100000,INDEX($V$1005:$AE$1005,1,MATCH(COLUMNS($V$1006:AD1006),$V$1006:$AE$1006,0))&gt;=100000), " ",IF(INDEX($V$2:$AE$1001,MATCH(ROWS($O$2:O14),$O$2:$O$1001,0),MATCH(COLUMNS($V$1006:AD1006),$V$1006:$AE$1006,0)), HYPERLINK("#",""), HYPERLINK(CONCATENATE("#Metadata!", ADDRESS(INDEX($Q$2:$Q$1001,MATCH(ROWS($O$2:O14),$O$2:$O$1001,0),0), INDEX($V$1004:$AE$1004,1,MATCH(COLUMNS($V$1006:AD1006),$V$1006:$AE$1006,0)))),"Fix")))</f>
        <v>0</v>
      </c>
      <c r="K14" s="4">
        <f>IF(OR(INDEX($P$2:$P$1001,MATCH(ROWS($O$2:O14),$O$2:$O$1001,0),1)&gt;=100000,INDEX($V$1005:$AE$1005,1,MATCH(COLUMNS($V$1006:AE1006),$V$1006:$AE$1006,0))&gt;=100000), " ",IF(INDEX($V$2:$AE$1001,MATCH(ROWS($O$2:O14),$O$2:$O$1001,0),MATCH(COLUMNS($V$1006:AE1006),$V$1006:$AE$1006,0)), HYPERLINK("#",""), HYPERLINK(CONCATENATE("#Metadata!", ADDRESS(INDEX($Q$2:$Q$1001,MATCH(ROWS($O$2:O14),$O$2:$O$1001,0),0), INDEX($V$1004:$AE$1004,1,MATCH(COLUMNS($V$1006:AE1006),$V$1006:$AE$1006,0)))),"Fix")))</f>
        <v>0</v>
      </c>
      <c r="O14">
        <v>0</v>
      </c>
      <c r="P14">
        <v>0</v>
      </c>
      <c r="Q14">
        <v>0</v>
      </c>
      <c r="R14">
        <f>IF(S14,TRUE,AND(V14:AE14))</f>
        <v>0</v>
      </c>
      <c r="S14">
        <f>COUNTBLANK(Metadata!B14:K14)=COLUMNS(Metadata!B14:K14)</f>
        <v>0</v>
      </c>
      <c r="T14">
        <v>0</v>
      </c>
      <c r="V14">
        <f>AND(IF(Metadata!B14="",FALSE,TRUE),COUNTIF(Metadata!B:B, Metadata!B14) = 1,NOT(ISERROR(SUMPRODUCT(SEARCH(MID(Metadata!B14,ROW(INDIRECT("1:"&amp;LEN(Metadata!B14))), 1),"0123456789abcdefghijklmnopqrstuvwxyzABCDEFGHIJKLMNOPQRSTUVWXYZ.")))))</f>
        <v>0</v>
      </c>
      <c r="W14">
        <f>AND(IF(Metadata!C14="",FALSE,TRUE),exact(Metadata!C14,"urban biome"))</f>
        <v>0</v>
      </c>
      <c r="X14">
        <f>AND(IF(Metadata!D14="",FALSE,TRUE),exact(Metadata!D14,"animal-associated habitat"))</f>
        <v>0</v>
      </c>
      <c r="Y14">
        <f>OR(AND(IF(Metadata!E14="",FALSE,TRUE),OR(exact(Metadata!E14,"not applicable"),exact(Metadata!E14,"missing: not collected"),exact(Metadata!E14,"missing: not provided"),exact(Metadata!E14,"missing: restricted access"))),AND(IF(Metadata!E14="",FALSE,ISNUMBER(VALUE(Metadata!E14))),Metadata!E14&gt;0))</f>
        <v>0</v>
      </c>
      <c r="Z14">
        <f>AND(IF(Metadata!F14="",FALSE,TRUE),exact(Metadata!F14,"weeks"))</f>
        <v>0</v>
      </c>
      <c r="AA14">
        <f>AND(IF(Metadata!G14="",FALSE,TRUE),exact(Metadata!G14,"mouse"))</f>
        <v>0</v>
      </c>
      <c r="AB14">
        <f>AND(IF(Metadata!H14="",FALSE,TRUE),exact(Metadata!H14,"Mus musculus"))</f>
        <v>0</v>
      </c>
      <c r="AC14">
        <f>AND(IF(Metadata!I14="",FALSE,TRUE),exact(Metadata!I14,"10090"))</f>
        <v>0</v>
      </c>
      <c r="AD14">
        <f>OR(AND(IF(Metadata!J14="",FALSE,TRUE),OR(exact(Metadata!J14,"not applicable"),exact(Metadata!J14,"missing: not collected"),exact(Metadata!J14,"missing: not provided"),exact(Metadata!J14,"missing: restricted access"))),AND(IF(Metadata!J14="",FALSE,ISNUMBER(VALUE(Metadata!J14))),Metadata!J14&gt;0))</f>
        <v>0</v>
      </c>
      <c r="AE14">
        <f>AND(IF(Metadata!K14="",FALSE,TRUE),exact(Metadata!K14,"g"))</f>
        <v>0</v>
      </c>
    </row>
    <row r="15" spans="1:31">
      <c r="A15" s="5">
        <f>IF(B15=" "," ",HYPERLINK(CONCATENATE("#metadata!",ADDRESS(INDEX($Q$2:$Q$1001,MATCH(ROWS($O$2:O15),$O$2:$O$1001,0),0),1)),INDEX($T$2:$T$1001,MATCH(ROWS($O$2:O15),$O$2:$O$1001,0),0)))</f>
        <v>0</v>
      </c>
      <c r="B15" s="4">
        <f>IF(OR(INDEX($P$2:$P$1001,MATCH(ROWS($O$2:O15),$O$2:$O$1001,0),1)&gt;=100000,INDEX($V$1005:$AE$1005,1,MATCH(COLUMNS($V$1006:V1006),$V$1006:$AE$1006,0))&gt;=100000), " ",IF(INDEX($V$2:$AE$1001,MATCH(ROWS($O$2:O15),$O$2:$O$1001,0),MATCH(COLUMNS($V$1006:V1006),$V$1006:$AE$1006,0)), HYPERLINK("#",""), HYPERLINK(CONCATENATE("#Metadata!", ADDRESS(INDEX($Q$2:$Q$1001,MATCH(ROWS($O$2:O15),$O$2:$O$1001,0),0), INDEX($V$1004:$AE$1004,1,MATCH(COLUMNS($V$1006:V1006),$V$1006:$AE$1006,0)))),"Fix")))</f>
        <v>0</v>
      </c>
      <c r="C15" s="4">
        <f>IF(OR(INDEX($P$2:$P$1001,MATCH(ROWS($O$2:O15),$O$2:$O$1001,0),1)&gt;=100000,INDEX($V$1005:$AE$1005,1,MATCH(COLUMNS($V$1006:W1006),$V$1006:$AE$1006,0))&gt;=100000), " ",IF(INDEX($V$2:$AE$1001,MATCH(ROWS($O$2:O15),$O$2:$O$1001,0),MATCH(COLUMNS($V$1006:W1006),$V$1006:$AE$1006,0)), HYPERLINK("#",""), HYPERLINK(CONCATENATE("#Metadata!", ADDRESS(INDEX($Q$2:$Q$1001,MATCH(ROWS($O$2:O15),$O$2:$O$1001,0),0), INDEX($V$1004:$AE$1004,1,MATCH(COLUMNS($V$1006:W1006),$V$1006:$AE$1006,0)))),"Fix")))</f>
        <v>0</v>
      </c>
      <c r="D15" s="4">
        <f>IF(OR(INDEX($P$2:$P$1001,MATCH(ROWS($O$2:O15),$O$2:$O$1001,0),1)&gt;=100000,INDEX($V$1005:$AE$1005,1,MATCH(COLUMNS($V$1006:X1006),$V$1006:$AE$1006,0))&gt;=100000), " ",IF(INDEX($V$2:$AE$1001,MATCH(ROWS($O$2:O15),$O$2:$O$1001,0),MATCH(COLUMNS($V$1006:X1006),$V$1006:$AE$1006,0)), HYPERLINK("#",""), HYPERLINK(CONCATENATE("#Metadata!", ADDRESS(INDEX($Q$2:$Q$1001,MATCH(ROWS($O$2:O15),$O$2:$O$1001,0),0), INDEX($V$1004:$AE$1004,1,MATCH(COLUMNS($V$1006:X1006),$V$1006:$AE$1006,0)))),"Fix")))</f>
        <v>0</v>
      </c>
      <c r="E15" s="4">
        <f>IF(OR(INDEX($P$2:$P$1001,MATCH(ROWS($O$2:O15),$O$2:$O$1001,0),1)&gt;=100000,INDEX($V$1005:$AE$1005,1,MATCH(COLUMNS($V$1006:Y1006),$V$1006:$AE$1006,0))&gt;=100000), " ",IF(INDEX($V$2:$AE$1001,MATCH(ROWS($O$2:O15),$O$2:$O$1001,0),MATCH(COLUMNS($V$1006:Y1006),$V$1006:$AE$1006,0)), HYPERLINK("#",""), HYPERLINK(CONCATENATE("#Metadata!", ADDRESS(INDEX($Q$2:$Q$1001,MATCH(ROWS($O$2:O15),$O$2:$O$1001,0),0), INDEX($V$1004:$AE$1004,1,MATCH(COLUMNS($V$1006:Y1006),$V$1006:$AE$1006,0)))),"Fix")))</f>
        <v>0</v>
      </c>
      <c r="F15" s="4">
        <f>IF(OR(INDEX($P$2:$P$1001,MATCH(ROWS($O$2:O15),$O$2:$O$1001,0),1)&gt;=100000,INDEX($V$1005:$AE$1005,1,MATCH(COLUMNS($V$1006:Z1006),$V$1006:$AE$1006,0))&gt;=100000), " ",IF(INDEX($V$2:$AE$1001,MATCH(ROWS($O$2:O15),$O$2:$O$1001,0),MATCH(COLUMNS($V$1006:Z1006),$V$1006:$AE$1006,0)), HYPERLINK("#",""), HYPERLINK(CONCATENATE("#Metadata!", ADDRESS(INDEX($Q$2:$Q$1001,MATCH(ROWS($O$2:O15),$O$2:$O$1001,0),0), INDEX($V$1004:$AE$1004,1,MATCH(COLUMNS($V$1006:Z1006),$V$1006:$AE$1006,0)))),"Fix")))</f>
        <v>0</v>
      </c>
      <c r="G15" s="4">
        <f>IF(OR(INDEX($P$2:$P$1001,MATCH(ROWS($O$2:O15),$O$2:$O$1001,0),1)&gt;=100000,INDEX($V$1005:$AE$1005,1,MATCH(COLUMNS($V$1006:AA1006),$V$1006:$AE$1006,0))&gt;=100000), " ",IF(INDEX($V$2:$AE$1001,MATCH(ROWS($O$2:O15),$O$2:$O$1001,0),MATCH(COLUMNS($V$1006:AA1006),$V$1006:$AE$1006,0)), HYPERLINK("#",""), HYPERLINK(CONCATENATE("#Metadata!", ADDRESS(INDEX($Q$2:$Q$1001,MATCH(ROWS($O$2:O15),$O$2:$O$1001,0),0), INDEX($V$1004:$AE$1004,1,MATCH(COLUMNS($V$1006:AA1006),$V$1006:$AE$1006,0)))),"Fix")))</f>
        <v>0</v>
      </c>
      <c r="H15" s="4">
        <f>IF(OR(INDEX($P$2:$P$1001,MATCH(ROWS($O$2:O15),$O$2:$O$1001,0),1)&gt;=100000,INDEX($V$1005:$AE$1005,1,MATCH(COLUMNS($V$1006:AB1006),$V$1006:$AE$1006,0))&gt;=100000), " ",IF(INDEX($V$2:$AE$1001,MATCH(ROWS($O$2:O15),$O$2:$O$1001,0),MATCH(COLUMNS($V$1006:AB1006),$V$1006:$AE$1006,0)), HYPERLINK("#",""), HYPERLINK(CONCATENATE("#Metadata!", ADDRESS(INDEX($Q$2:$Q$1001,MATCH(ROWS($O$2:O15),$O$2:$O$1001,0),0), INDEX($V$1004:$AE$1004,1,MATCH(COLUMNS($V$1006:AB1006),$V$1006:$AE$1006,0)))),"Fix")))</f>
        <v>0</v>
      </c>
      <c r="I15" s="4">
        <f>IF(OR(INDEX($P$2:$P$1001,MATCH(ROWS($O$2:O15),$O$2:$O$1001,0),1)&gt;=100000,INDEX($V$1005:$AE$1005,1,MATCH(COLUMNS($V$1006:AC1006),$V$1006:$AE$1006,0))&gt;=100000), " ",IF(INDEX($V$2:$AE$1001,MATCH(ROWS($O$2:O15),$O$2:$O$1001,0),MATCH(COLUMNS($V$1006:AC1006),$V$1006:$AE$1006,0)), HYPERLINK("#",""), HYPERLINK(CONCATENATE("#Metadata!", ADDRESS(INDEX($Q$2:$Q$1001,MATCH(ROWS($O$2:O15),$O$2:$O$1001,0),0), INDEX($V$1004:$AE$1004,1,MATCH(COLUMNS($V$1006:AC1006),$V$1006:$AE$1006,0)))),"Fix")))</f>
        <v>0</v>
      </c>
      <c r="J15" s="4">
        <f>IF(OR(INDEX($P$2:$P$1001,MATCH(ROWS($O$2:O15),$O$2:$O$1001,0),1)&gt;=100000,INDEX($V$1005:$AE$1005,1,MATCH(COLUMNS($V$1006:AD1006),$V$1006:$AE$1006,0))&gt;=100000), " ",IF(INDEX($V$2:$AE$1001,MATCH(ROWS($O$2:O15),$O$2:$O$1001,0),MATCH(COLUMNS($V$1006:AD1006),$V$1006:$AE$1006,0)), HYPERLINK("#",""), HYPERLINK(CONCATENATE("#Metadata!", ADDRESS(INDEX($Q$2:$Q$1001,MATCH(ROWS($O$2:O15),$O$2:$O$1001,0),0), INDEX($V$1004:$AE$1004,1,MATCH(COLUMNS($V$1006:AD1006),$V$1006:$AE$1006,0)))),"Fix")))</f>
        <v>0</v>
      </c>
      <c r="K15" s="4">
        <f>IF(OR(INDEX($P$2:$P$1001,MATCH(ROWS($O$2:O15),$O$2:$O$1001,0),1)&gt;=100000,INDEX($V$1005:$AE$1005,1,MATCH(COLUMNS($V$1006:AE1006),$V$1006:$AE$1006,0))&gt;=100000), " ",IF(INDEX($V$2:$AE$1001,MATCH(ROWS($O$2:O15),$O$2:$O$1001,0),MATCH(COLUMNS($V$1006:AE1006),$V$1006:$AE$1006,0)), HYPERLINK("#",""), HYPERLINK(CONCATENATE("#Metadata!", ADDRESS(INDEX($Q$2:$Q$1001,MATCH(ROWS($O$2:O15),$O$2:$O$1001,0),0), INDEX($V$1004:$AE$1004,1,MATCH(COLUMNS($V$1006:AE1006),$V$1006:$AE$1006,0)))),"Fix")))</f>
        <v>0</v>
      </c>
      <c r="O15">
        <v>0</v>
      </c>
      <c r="P15">
        <v>0</v>
      </c>
      <c r="Q15">
        <v>0</v>
      </c>
      <c r="R15">
        <f>IF(S15,TRUE,AND(V15:AE15))</f>
        <v>0</v>
      </c>
      <c r="S15">
        <f>COUNTBLANK(Metadata!B15:K15)=COLUMNS(Metadata!B15:K15)</f>
        <v>0</v>
      </c>
      <c r="T15">
        <v>0</v>
      </c>
      <c r="V15">
        <f>AND(IF(Metadata!B15="",FALSE,TRUE),COUNTIF(Metadata!B:B, Metadata!B15) = 1,NOT(ISERROR(SUMPRODUCT(SEARCH(MID(Metadata!B15,ROW(INDIRECT("1:"&amp;LEN(Metadata!B15))), 1),"0123456789abcdefghijklmnopqrstuvwxyzABCDEFGHIJKLMNOPQRSTUVWXYZ.")))))</f>
        <v>0</v>
      </c>
      <c r="W15">
        <f>AND(IF(Metadata!C15="",FALSE,TRUE),exact(Metadata!C15,"urban biome"))</f>
        <v>0</v>
      </c>
      <c r="X15">
        <f>AND(IF(Metadata!D15="",FALSE,TRUE),exact(Metadata!D15,"animal-associated habitat"))</f>
        <v>0</v>
      </c>
      <c r="Y15">
        <f>OR(AND(IF(Metadata!E15="",FALSE,TRUE),OR(exact(Metadata!E15,"not applicable"),exact(Metadata!E15,"missing: not collected"),exact(Metadata!E15,"missing: not provided"),exact(Metadata!E15,"missing: restricted access"))),AND(IF(Metadata!E15="",FALSE,ISNUMBER(VALUE(Metadata!E15))),Metadata!E15&gt;0))</f>
        <v>0</v>
      </c>
      <c r="Z15">
        <f>AND(IF(Metadata!F15="",FALSE,TRUE),exact(Metadata!F15,"weeks"))</f>
        <v>0</v>
      </c>
      <c r="AA15">
        <f>AND(IF(Metadata!G15="",FALSE,TRUE),exact(Metadata!G15,"mouse"))</f>
        <v>0</v>
      </c>
      <c r="AB15">
        <f>AND(IF(Metadata!H15="",FALSE,TRUE),exact(Metadata!H15,"Mus musculus"))</f>
        <v>0</v>
      </c>
      <c r="AC15">
        <f>AND(IF(Metadata!I15="",FALSE,TRUE),exact(Metadata!I15,"10090"))</f>
        <v>0</v>
      </c>
      <c r="AD15">
        <f>OR(AND(IF(Metadata!J15="",FALSE,TRUE),OR(exact(Metadata!J15,"not applicable"),exact(Metadata!J15,"missing: not collected"),exact(Metadata!J15,"missing: not provided"),exact(Metadata!J15,"missing: restricted access"))),AND(IF(Metadata!J15="",FALSE,ISNUMBER(VALUE(Metadata!J15))),Metadata!J15&gt;0))</f>
        <v>0</v>
      </c>
      <c r="AE15">
        <f>AND(IF(Metadata!K15="",FALSE,TRUE),exact(Metadata!K15,"g"))</f>
        <v>0</v>
      </c>
    </row>
    <row r="16" spans="1:31">
      <c r="A16" s="5">
        <f>IF(B16=" "," ",HYPERLINK(CONCATENATE("#metadata!",ADDRESS(INDEX($Q$2:$Q$1001,MATCH(ROWS($O$2:O16),$O$2:$O$1001,0),0),1)),INDEX($T$2:$T$1001,MATCH(ROWS($O$2:O16),$O$2:$O$1001,0),0)))</f>
        <v>0</v>
      </c>
      <c r="B16" s="4">
        <f>IF(OR(INDEX($P$2:$P$1001,MATCH(ROWS($O$2:O16),$O$2:$O$1001,0),1)&gt;=100000,INDEX($V$1005:$AE$1005,1,MATCH(COLUMNS($V$1006:V1006),$V$1006:$AE$1006,0))&gt;=100000), " ",IF(INDEX($V$2:$AE$1001,MATCH(ROWS($O$2:O16),$O$2:$O$1001,0),MATCH(COLUMNS($V$1006:V1006),$V$1006:$AE$1006,0)), HYPERLINK("#",""), HYPERLINK(CONCATENATE("#Metadata!", ADDRESS(INDEX($Q$2:$Q$1001,MATCH(ROWS($O$2:O16),$O$2:$O$1001,0),0), INDEX($V$1004:$AE$1004,1,MATCH(COLUMNS($V$1006:V1006),$V$1006:$AE$1006,0)))),"Fix")))</f>
        <v>0</v>
      </c>
      <c r="C16" s="4">
        <f>IF(OR(INDEX($P$2:$P$1001,MATCH(ROWS($O$2:O16),$O$2:$O$1001,0),1)&gt;=100000,INDEX($V$1005:$AE$1005,1,MATCH(COLUMNS($V$1006:W1006),$V$1006:$AE$1006,0))&gt;=100000), " ",IF(INDEX($V$2:$AE$1001,MATCH(ROWS($O$2:O16),$O$2:$O$1001,0),MATCH(COLUMNS($V$1006:W1006),$V$1006:$AE$1006,0)), HYPERLINK("#",""), HYPERLINK(CONCATENATE("#Metadata!", ADDRESS(INDEX($Q$2:$Q$1001,MATCH(ROWS($O$2:O16),$O$2:$O$1001,0),0), INDEX($V$1004:$AE$1004,1,MATCH(COLUMNS($V$1006:W1006),$V$1006:$AE$1006,0)))),"Fix")))</f>
        <v>0</v>
      </c>
      <c r="D16" s="4">
        <f>IF(OR(INDEX($P$2:$P$1001,MATCH(ROWS($O$2:O16),$O$2:$O$1001,0),1)&gt;=100000,INDEX($V$1005:$AE$1005,1,MATCH(COLUMNS($V$1006:X1006),$V$1006:$AE$1006,0))&gt;=100000), " ",IF(INDEX($V$2:$AE$1001,MATCH(ROWS($O$2:O16),$O$2:$O$1001,0),MATCH(COLUMNS($V$1006:X1006),$V$1006:$AE$1006,0)), HYPERLINK("#",""), HYPERLINK(CONCATENATE("#Metadata!", ADDRESS(INDEX($Q$2:$Q$1001,MATCH(ROWS($O$2:O16),$O$2:$O$1001,0),0), INDEX($V$1004:$AE$1004,1,MATCH(COLUMNS($V$1006:X1006),$V$1006:$AE$1006,0)))),"Fix")))</f>
        <v>0</v>
      </c>
      <c r="E16" s="4">
        <f>IF(OR(INDEX($P$2:$P$1001,MATCH(ROWS($O$2:O16),$O$2:$O$1001,0),1)&gt;=100000,INDEX($V$1005:$AE$1005,1,MATCH(COLUMNS($V$1006:Y1006),$V$1006:$AE$1006,0))&gt;=100000), " ",IF(INDEX($V$2:$AE$1001,MATCH(ROWS($O$2:O16),$O$2:$O$1001,0),MATCH(COLUMNS($V$1006:Y1006),$V$1006:$AE$1006,0)), HYPERLINK("#",""), HYPERLINK(CONCATENATE("#Metadata!", ADDRESS(INDEX($Q$2:$Q$1001,MATCH(ROWS($O$2:O16),$O$2:$O$1001,0),0), INDEX($V$1004:$AE$1004,1,MATCH(COLUMNS($V$1006:Y1006),$V$1006:$AE$1006,0)))),"Fix")))</f>
        <v>0</v>
      </c>
      <c r="F16" s="4">
        <f>IF(OR(INDEX($P$2:$P$1001,MATCH(ROWS($O$2:O16),$O$2:$O$1001,0),1)&gt;=100000,INDEX($V$1005:$AE$1005,1,MATCH(COLUMNS($V$1006:Z1006),$V$1006:$AE$1006,0))&gt;=100000), " ",IF(INDEX($V$2:$AE$1001,MATCH(ROWS($O$2:O16),$O$2:$O$1001,0),MATCH(COLUMNS($V$1006:Z1006),$V$1006:$AE$1006,0)), HYPERLINK("#",""), HYPERLINK(CONCATENATE("#Metadata!", ADDRESS(INDEX($Q$2:$Q$1001,MATCH(ROWS($O$2:O16),$O$2:$O$1001,0),0), INDEX($V$1004:$AE$1004,1,MATCH(COLUMNS($V$1006:Z1006),$V$1006:$AE$1006,0)))),"Fix")))</f>
        <v>0</v>
      </c>
      <c r="G16" s="4">
        <f>IF(OR(INDEX($P$2:$P$1001,MATCH(ROWS($O$2:O16),$O$2:$O$1001,0),1)&gt;=100000,INDEX($V$1005:$AE$1005,1,MATCH(COLUMNS($V$1006:AA1006),$V$1006:$AE$1006,0))&gt;=100000), " ",IF(INDEX($V$2:$AE$1001,MATCH(ROWS($O$2:O16),$O$2:$O$1001,0),MATCH(COLUMNS($V$1006:AA1006),$V$1006:$AE$1006,0)), HYPERLINK("#",""), HYPERLINK(CONCATENATE("#Metadata!", ADDRESS(INDEX($Q$2:$Q$1001,MATCH(ROWS($O$2:O16),$O$2:$O$1001,0),0), INDEX($V$1004:$AE$1004,1,MATCH(COLUMNS($V$1006:AA1006),$V$1006:$AE$1006,0)))),"Fix")))</f>
        <v>0</v>
      </c>
      <c r="H16" s="4">
        <f>IF(OR(INDEX($P$2:$P$1001,MATCH(ROWS($O$2:O16),$O$2:$O$1001,0),1)&gt;=100000,INDEX($V$1005:$AE$1005,1,MATCH(COLUMNS($V$1006:AB1006),$V$1006:$AE$1006,0))&gt;=100000), " ",IF(INDEX($V$2:$AE$1001,MATCH(ROWS($O$2:O16),$O$2:$O$1001,0),MATCH(COLUMNS($V$1006:AB1006),$V$1006:$AE$1006,0)), HYPERLINK("#",""), HYPERLINK(CONCATENATE("#Metadata!", ADDRESS(INDEX($Q$2:$Q$1001,MATCH(ROWS($O$2:O16),$O$2:$O$1001,0),0), INDEX($V$1004:$AE$1004,1,MATCH(COLUMNS($V$1006:AB1006),$V$1006:$AE$1006,0)))),"Fix")))</f>
        <v>0</v>
      </c>
      <c r="I16" s="4">
        <f>IF(OR(INDEX($P$2:$P$1001,MATCH(ROWS($O$2:O16),$O$2:$O$1001,0),1)&gt;=100000,INDEX($V$1005:$AE$1005,1,MATCH(COLUMNS($V$1006:AC1006),$V$1006:$AE$1006,0))&gt;=100000), " ",IF(INDEX($V$2:$AE$1001,MATCH(ROWS($O$2:O16),$O$2:$O$1001,0),MATCH(COLUMNS($V$1006:AC1006),$V$1006:$AE$1006,0)), HYPERLINK("#",""), HYPERLINK(CONCATENATE("#Metadata!", ADDRESS(INDEX($Q$2:$Q$1001,MATCH(ROWS($O$2:O16),$O$2:$O$1001,0),0), INDEX($V$1004:$AE$1004,1,MATCH(COLUMNS($V$1006:AC1006),$V$1006:$AE$1006,0)))),"Fix")))</f>
        <v>0</v>
      </c>
      <c r="J16" s="4">
        <f>IF(OR(INDEX($P$2:$P$1001,MATCH(ROWS($O$2:O16),$O$2:$O$1001,0),1)&gt;=100000,INDEX($V$1005:$AE$1005,1,MATCH(COLUMNS($V$1006:AD1006),$V$1006:$AE$1006,0))&gt;=100000), " ",IF(INDEX($V$2:$AE$1001,MATCH(ROWS($O$2:O16),$O$2:$O$1001,0),MATCH(COLUMNS($V$1006:AD1006),$V$1006:$AE$1006,0)), HYPERLINK("#",""), HYPERLINK(CONCATENATE("#Metadata!", ADDRESS(INDEX($Q$2:$Q$1001,MATCH(ROWS($O$2:O16),$O$2:$O$1001,0),0), INDEX($V$1004:$AE$1004,1,MATCH(COLUMNS($V$1006:AD1006),$V$1006:$AE$1006,0)))),"Fix")))</f>
        <v>0</v>
      </c>
      <c r="K16" s="4">
        <f>IF(OR(INDEX($P$2:$P$1001,MATCH(ROWS($O$2:O16),$O$2:$O$1001,0),1)&gt;=100000,INDEX($V$1005:$AE$1005,1,MATCH(COLUMNS($V$1006:AE1006),$V$1006:$AE$1006,0))&gt;=100000), " ",IF(INDEX($V$2:$AE$1001,MATCH(ROWS($O$2:O16),$O$2:$O$1001,0),MATCH(COLUMNS($V$1006:AE1006),$V$1006:$AE$1006,0)), HYPERLINK("#",""), HYPERLINK(CONCATENATE("#Metadata!", ADDRESS(INDEX($Q$2:$Q$1001,MATCH(ROWS($O$2:O16),$O$2:$O$1001,0),0), INDEX($V$1004:$AE$1004,1,MATCH(COLUMNS($V$1006:AE1006),$V$1006:$AE$1006,0)))),"Fix")))</f>
        <v>0</v>
      </c>
      <c r="O16">
        <v>0</v>
      </c>
      <c r="P16">
        <v>0</v>
      </c>
      <c r="Q16">
        <v>0</v>
      </c>
      <c r="R16">
        <f>IF(S16,TRUE,AND(V16:AE16))</f>
        <v>0</v>
      </c>
      <c r="S16">
        <f>COUNTBLANK(Metadata!B16:K16)=COLUMNS(Metadata!B16:K16)</f>
        <v>0</v>
      </c>
      <c r="T16">
        <v>0</v>
      </c>
      <c r="V16">
        <f>AND(IF(Metadata!B16="",FALSE,TRUE),COUNTIF(Metadata!B:B, Metadata!B16) = 1,NOT(ISERROR(SUMPRODUCT(SEARCH(MID(Metadata!B16,ROW(INDIRECT("1:"&amp;LEN(Metadata!B16))), 1),"0123456789abcdefghijklmnopqrstuvwxyzABCDEFGHIJKLMNOPQRSTUVWXYZ.")))))</f>
        <v>0</v>
      </c>
      <c r="W16">
        <f>AND(IF(Metadata!C16="",FALSE,TRUE),exact(Metadata!C16,"urban biome"))</f>
        <v>0</v>
      </c>
      <c r="X16">
        <f>AND(IF(Metadata!D16="",FALSE,TRUE),exact(Metadata!D16,"animal-associated habitat"))</f>
        <v>0</v>
      </c>
      <c r="Y16">
        <f>OR(AND(IF(Metadata!E16="",FALSE,TRUE),OR(exact(Metadata!E16,"not applicable"),exact(Metadata!E16,"missing: not collected"),exact(Metadata!E16,"missing: not provided"),exact(Metadata!E16,"missing: restricted access"))),AND(IF(Metadata!E16="",FALSE,ISNUMBER(VALUE(Metadata!E16))),Metadata!E16&gt;0))</f>
        <v>0</v>
      </c>
      <c r="Z16">
        <f>AND(IF(Metadata!F16="",FALSE,TRUE),exact(Metadata!F16,"weeks"))</f>
        <v>0</v>
      </c>
      <c r="AA16">
        <f>AND(IF(Metadata!G16="",FALSE,TRUE),exact(Metadata!G16,"mouse"))</f>
        <v>0</v>
      </c>
      <c r="AB16">
        <f>AND(IF(Metadata!H16="",FALSE,TRUE),exact(Metadata!H16,"Mus musculus"))</f>
        <v>0</v>
      </c>
      <c r="AC16">
        <f>AND(IF(Metadata!I16="",FALSE,TRUE),exact(Metadata!I16,"10090"))</f>
        <v>0</v>
      </c>
      <c r="AD16">
        <f>OR(AND(IF(Metadata!J16="",FALSE,TRUE),OR(exact(Metadata!J16,"not applicable"),exact(Metadata!J16,"missing: not collected"),exact(Metadata!J16,"missing: not provided"),exact(Metadata!J16,"missing: restricted access"))),AND(IF(Metadata!J16="",FALSE,ISNUMBER(VALUE(Metadata!J16))),Metadata!J16&gt;0))</f>
        <v>0</v>
      </c>
      <c r="AE16">
        <f>AND(IF(Metadata!K16="",FALSE,TRUE),exact(Metadata!K16,"g"))</f>
        <v>0</v>
      </c>
    </row>
    <row r="17" spans="1:31">
      <c r="A17" s="5">
        <f>IF(B17=" "," ",HYPERLINK(CONCATENATE("#metadata!",ADDRESS(INDEX($Q$2:$Q$1001,MATCH(ROWS($O$2:O17),$O$2:$O$1001,0),0),1)),INDEX($T$2:$T$1001,MATCH(ROWS($O$2:O17),$O$2:$O$1001,0),0)))</f>
        <v>0</v>
      </c>
      <c r="B17" s="4">
        <f>IF(OR(INDEX($P$2:$P$1001,MATCH(ROWS($O$2:O17),$O$2:$O$1001,0),1)&gt;=100000,INDEX($V$1005:$AE$1005,1,MATCH(COLUMNS($V$1006:V1006),$V$1006:$AE$1006,0))&gt;=100000), " ",IF(INDEX($V$2:$AE$1001,MATCH(ROWS($O$2:O17),$O$2:$O$1001,0),MATCH(COLUMNS($V$1006:V1006),$V$1006:$AE$1006,0)), HYPERLINK("#",""), HYPERLINK(CONCATENATE("#Metadata!", ADDRESS(INDEX($Q$2:$Q$1001,MATCH(ROWS($O$2:O17),$O$2:$O$1001,0),0), INDEX($V$1004:$AE$1004,1,MATCH(COLUMNS($V$1006:V1006),$V$1006:$AE$1006,0)))),"Fix")))</f>
        <v>0</v>
      </c>
      <c r="C17" s="4">
        <f>IF(OR(INDEX($P$2:$P$1001,MATCH(ROWS($O$2:O17),$O$2:$O$1001,0),1)&gt;=100000,INDEX($V$1005:$AE$1005,1,MATCH(COLUMNS($V$1006:W1006),$V$1006:$AE$1006,0))&gt;=100000), " ",IF(INDEX($V$2:$AE$1001,MATCH(ROWS($O$2:O17),$O$2:$O$1001,0),MATCH(COLUMNS($V$1006:W1006),$V$1006:$AE$1006,0)), HYPERLINK("#",""), HYPERLINK(CONCATENATE("#Metadata!", ADDRESS(INDEX($Q$2:$Q$1001,MATCH(ROWS($O$2:O17),$O$2:$O$1001,0),0), INDEX($V$1004:$AE$1004,1,MATCH(COLUMNS($V$1006:W1006),$V$1006:$AE$1006,0)))),"Fix")))</f>
        <v>0</v>
      </c>
      <c r="D17" s="4">
        <f>IF(OR(INDEX($P$2:$P$1001,MATCH(ROWS($O$2:O17),$O$2:$O$1001,0),1)&gt;=100000,INDEX($V$1005:$AE$1005,1,MATCH(COLUMNS($V$1006:X1006),$V$1006:$AE$1006,0))&gt;=100000), " ",IF(INDEX($V$2:$AE$1001,MATCH(ROWS($O$2:O17),$O$2:$O$1001,0),MATCH(COLUMNS($V$1006:X1006),$V$1006:$AE$1006,0)), HYPERLINK("#",""), HYPERLINK(CONCATENATE("#Metadata!", ADDRESS(INDEX($Q$2:$Q$1001,MATCH(ROWS($O$2:O17),$O$2:$O$1001,0),0), INDEX($V$1004:$AE$1004,1,MATCH(COLUMNS($V$1006:X1006),$V$1006:$AE$1006,0)))),"Fix")))</f>
        <v>0</v>
      </c>
      <c r="E17" s="4">
        <f>IF(OR(INDEX($P$2:$P$1001,MATCH(ROWS($O$2:O17),$O$2:$O$1001,0),1)&gt;=100000,INDEX($V$1005:$AE$1005,1,MATCH(COLUMNS($V$1006:Y1006),$V$1006:$AE$1006,0))&gt;=100000), " ",IF(INDEX($V$2:$AE$1001,MATCH(ROWS($O$2:O17),$O$2:$O$1001,0),MATCH(COLUMNS($V$1006:Y1006),$V$1006:$AE$1006,0)), HYPERLINK("#",""), HYPERLINK(CONCATENATE("#Metadata!", ADDRESS(INDEX($Q$2:$Q$1001,MATCH(ROWS($O$2:O17),$O$2:$O$1001,0),0), INDEX($V$1004:$AE$1004,1,MATCH(COLUMNS($V$1006:Y1006),$V$1006:$AE$1006,0)))),"Fix")))</f>
        <v>0</v>
      </c>
      <c r="F17" s="4">
        <f>IF(OR(INDEX($P$2:$P$1001,MATCH(ROWS($O$2:O17),$O$2:$O$1001,0),1)&gt;=100000,INDEX($V$1005:$AE$1005,1,MATCH(COLUMNS($V$1006:Z1006),$V$1006:$AE$1006,0))&gt;=100000), " ",IF(INDEX($V$2:$AE$1001,MATCH(ROWS($O$2:O17),$O$2:$O$1001,0),MATCH(COLUMNS($V$1006:Z1006),$V$1006:$AE$1006,0)), HYPERLINK("#",""), HYPERLINK(CONCATENATE("#Metadata!", ADDRESS(INDEX($Q$2:$Q$1001,MATCH(ROWS($O$2:O17),$O$2:$O$1001,0),0), INDEX($V$1004:$AE$1004,1,MATCH(COLUMNS($V$1006:Z1006),$V$1006:$AE$1006,0)))),"Fix")))</f>
        <v>0</v>
      </c>
      <c r="G17" s="4">
        <f>IF(OR(INDEX($P$2:$P$1001,MATCH(ROWS($O$2:O17),$O$2:$O$1001,0),1)&gt;=100000,INDEX($V$1005:$AE$1005,1,MATCH(COLUMNS($V$1006:AA1006),$V$1006:$AE$1006,0))&gt;=100000), " ",IF(INDEX($V$2:$AE$1001,MATCH(ROWS($O$2:O17),$O$2:$O$1001,0),MATCH(COLUMNS($V$1006:AA1006),$V$1006:$AE$1006,0)), HYPERLINK("#",""), HYPERLINK(CONCATENATE("#Metadata!", ADDRESS(INDEX($Q$2:$Q$1001,MATCH(ROWS($O$2:O17),$O$2:$O$1001,0),0), INDEX($V$1004:$AE$1004,1,MATCH(COLUMNS($V$1006:AA1006),$V$1006:$AE$1006,0)))),"Fix")))</f>
        <v>0</v>
      </c>
      <c r="H17" s="4">
        <f>IF(OR(INDEX($P$2:$P$1001,MATCH(ROWS($O$2:O17),$O$2:$O$1001,0),1)&gt;=100000,INDEX($V$1005:$AE$1005,1,MATCH(COLUMNS($V$1006:AB1006),$V$1006:$AE$1006,0))&gt;=100000), " ",IF(INDEX($V$2:$AE$1001,MATCH(ROWS($O$2:O17),$O$2:$O$1001,0),MATCH(COLUMNS($V$1006:AB1006),$V$1006:$AE$1006,0)), HYPERLINK("#",""), HYPERLINK(CONCATENATE("#Metadata!", ADDRESS(INDEX($Q$2:$Q$1001,MATCH(ROWS($O$2:O17),$O$2:$O$1001,0),0), INDEX($V$1004:$AE$1004,1,MATCH(COLUMNS($V$1006:AB1006),$V$1006:$AE$1006,0)))),"Fix")))</f>
        <v>0</v>
      </c>
      <c r="I17" s="4">
        <f>IF(OR(INDEX($P$2:$P$1001,MATCH(ROWS($O$2:O17),$O$2:$O$1001,0),1)&gt;=100000,INDEX($V$1005:$AE$1005,1,MATCH(COLUMNS($V$1006:AC1006),$V$1006:$AE$1006,0))&gt;=100000), " ",IF(INDEX($V$2:$AE$1001,MATCH(ROWS($O$2:O17),$O$2:$O$1001,0),MATCH(COLUMNS($V$1006:AC1006),$V$1006:$AE$1006,0)), HYPERLINK("#",""), HYPERLINK(CONCATENATE("#Metadata!", ADDRESS(INDEX($Q$2:$Q$1001,MATCH(ROWS($O$2:O17),$O$2:$O$1001,0),0), INDEX($V$1004:$AE$1004,1,MATCH(COLUMNS($V$1006:AC1006),$V$1006:$AE$1006,0)))),"Fix")))</f>
        <v>0</v>
      </c>
      <c r="J17" s="4">
        <f>IF(OR(INDEX($P$2:$P$1001,MATCH(ROWS($O$2:O17),$O$2:$O$1001,0),1)&gt;=100000,INDEX($V$1005:$AE$1005,1,MATCH(COLUMNS($V$1006:AD1006),$V$1006:$AE$1006,0))&gt;=100000), " ",IF(INDEX($V$2:$AE$1001,MATCH(ROWS($O$2:O17),$O$2:$O$1001,0),MATCH(COLUMNS($V$1006:AD1006),$V$1006:$AE$1006,0)), HYPERLINK("#",""), HYPERLINK(CONCATENATE("#Metadata!", ADDRESS(INDEX($Q$2:$Q$1001,MATCH(ROWS($O$2:O17),$O$2:$O$1001,0),0), INDEX($V$1004:$AE$1004,1,MATCH(COLUMNS($V$1006:AD1006),$V$1006:$AE$1006,0)))),"Fix")))</f>
        <v>0</v>
      </c>
      <c r="K17" s="4">
        <f>IF(OR(INDEX($P$2:$P$1001,MATCH(ROWS($O$2:O17),$O$2:$O$1001,0),1)&gt;=100000,INDEX($V$1005:$AE$1005,1,MATCH(COLUMNS($V$1006:AE1006),$V$1006:$AE$1006,0))&gt;=100000), " ",IF(INDEX($V$2:$AE$1001,MATCH(ROWS($O$2:O17),$O$2:$O$1001,0),MATCH(COLUMNS($V$1006:AE1006),$V$1006:$AE$1006,0)), HYPERLINK("#",""), HYPERLINK(CONCATENATE("#Metadata!", ADDRESS(INDEX($Q$2:$Q$1001,MATCH(ROWS($O$2:O17),$O$2:$O$1001,0),0), INDEX($V$1004:$AE$1004,1,MATCH(COLUMNS($V$1006:AE1006),$V$1006:$AE$1006,0)))),"Fix")))</f>
        <v>0</v>
      </c>
      <c r="O17">
        <v>0</v>
      </c>
      <c r="P17">
        <v>0</v>
      </c>
      <c r="Q17">
        <v>0</v>
      </c>
      <c r="R17">
        <f>IF(S17,TRUE,AND(V17:AE17))</f>
        <v>0</v>
      </c>
      <c r="S17">
        <f>COUNTBLANK(Metadata!B17:K17)=COLUMNS(Metadata!B17:K17)</f>
        <v>0</v>
      </c>
      <c r="T17">
        <v>0</v>
      </c>
      <c r="V17">
        <f>AND(IF(Metadata!B17="",FALSE,TRUE),COUNTIF(Metadata!B:B, Metadata!B17) = 1,NOT(ISERROR(SUMPRODUCT(SEARCH(MID(Metadata!B17,ROW(INDIRECT("1:"&amp;LEN(Metadata!B17))), 1),"0123456789abcdefghijklmnopqrstuvwxyzABCDEFGHIJKLMNOPQRSTUVWXYZ.")))))</f>
        <v>0</v>
      </c>
      <c r="W17">
        <f>AND(IF(Metadata!C17="",FALSE,TRUE),exact(Metadata!C17,"urban biome"))</f>
        <v>0</v>
      </c>
      <c r="X17">
        <f>AND(IF(Metadata!D17="",FALSE,TRUE),exact(Metadata!D17,"animal-associated habitat"))</f>
        <v>0</v>
      </c>
      <c r="Y17">
        <f>OR(AND(IF(Metadata!E17="",FALSE,TRUE),OR(exact(Metadata!E17,"not applicable"),exact(Metadata!E17,"missing: not collected"),exact(Metadata!E17,"missing: not provided"),exact(Metadata!E17,"missing: restricted access"))),AND(IF(Metadata!E17="",FALSE,ISNUMBER(VALUE(Metadata!E17))),Metadata!E17&gt;0))</f>
        <v>0</v>
      </c>
      <c r="Z17">
        <f>AND(IF(Metadata!F17="",FALSE,TRUE),exact(Metadata!F17,"weeks"))</f>
        <v>0</v>
      </c>
      <c r="AA17">
        <f>AND(IF(Metadata!G17="",FALSE,TRUE),exact(Metadata!G17,"mouse"))</f>
        <v>0</v>
      </c>
      <c r="AB17">
        <f>AND(IF(Metadata!H17="",FALSE,TRUE),exact(Metadata!H17,"Mus musculus"))</f>
        <v>0</v>
      </c>
      <c r="AC17">
        <f>AND(IF(Metadata!I17="",FALSE,TRUE),exact(Metadata!I17,"10090"))</f>
        <v>0</v>
      </c>
      <c r="AD17">
        <f>OR(AND(IF(Metadata!J17="",FALSE,TRUE),OR(exact(Metadata!J17,"not applicable"),exact(Metadata!J17,"missing: not collected"),exact(Metadata!J17,"missing: not provided"),exact(Metadata!J17,"missing: restricted access"))),AND(IF(Metadata!J17="",FALSE,ISNUMBER(VALUE(Metadata!J17))),Metadata!J17&gt;0))</f>
        <v>0</v>
      </c>
      <c r="AE17">
        <f>AND(IF(Metadata!K17="",FALSE,TRUE),exact(Metadata!K17,"g"))</f>
        <v>0</v>
      </c>
    </row>
    <row r="18" spans="1:31">
      <c r="A18" s="5">
        <f>IF(B18=" "," ",HYPERLINK(CONCATENATE("#metadata!",ADDRESS(INDEX($Q$2:$Q$1001,MATCH(ROWS($O$2:O18),$O$2:$O$1001,0),0),1)),INDEX($T$2:$T$1001,MATCH(ROWS($O$2:O18),$O$2:$O$1001,0),0)))</f>
        <v>0</v>
      </c>
      <c r="B18" s="4">
        <f>IF(OR(INDEX($P$2:$P$1001,MATCH(ROWS($O$2:O18),$O$2:$O$1001,0),1)&gt;=100000,INDEX($V$1005:$AE$1005,1,MATCH(COLUMNS($V$1006:V1006),$V$1006:$AE$1006,0))&gt;=100000), " ",IF(INDEX($V$2:$AE$1001,MATCH(ROWS($O$2:O18),$O$2:$O$1001,0),MATCH(COLUMNS($V$1006:V1006),$V$1006:$AE$1006,0)), HYPERLINK("#",""), HYPERLINK(CONCATENATE("#Metadata!", ADDRESS(INDEX($Q$2:$Q$1001,MATCH(ROWS($O$2:O18),$O$2:$O$1001,0),0), INDEX($V$1004:$AE$1004,1,MATCH(COLUMNS($V$1006:V1006),$V$1006:$AE$1006,0)))),"Fix")))</f>
        <v>0</v>
      </c>
      <c r="C18" s="4">
        <f>IF(OR(INDEX($P$2:$P$1001,MATCH(ROWS($O$2:O18),$O$2:$O$1001,0),1)&gt;=100000,INDEX($V$1005:$AE$1005,1,MATCH(COLUMNS($V$1006:W1006),$V$1006:$AE$1006,0))&gt;=100000), " ",IF(INDEX($V$2:$AE$1001,MATCH(ROWS($O$2:O18),$O$2:$O$1001,0),MATCH(COLUMNS($V$1006:W1006),$V$1006:$AE$1006,0)), HYPERLINK("#",""), HYPERLINK(CONCATENATE("#Metadata!", ADDRESS(INDEX($Q$2:$Q$1001,MATCH(ROWS($O$2:O18),$O$2:$O$1001,0),0), INDEX($V$1004:$AE$1004,1,MATCH(COLUMNS($V$1006:W1006),$V$1006:$AE$1006,0)))),"Fix")))</f>
        <v>0</v>
      </c>
      <c r="D18" s="4">
        <f>IF(OR(INDEX($P$2:$P$1001,MATCH(ROWS($O$2:O18),$O$2:$O$1001,0),1)&gt;=100000,INDEX($V$1005:$AE$1005,1,MATCH(COLUMNS($V$1006:X1006),$V$1006:$AE$1006,0))&gt;=100000), " ",IF(INDEX($V$2:$AE$1001,MATCH(ROWS($O$2:O18),$O$2:$O$1001,0),MATCH(COLUMNS($V$1006:X1006),$V$1006:$AE$1006,0)), HYPERLINK("#",""), HYPERLINK(CONCATENATE("#Metadata!", ADDRESS(INDEX($Q$2:$Q$1001,MATCH(ROWS($O$2:O18),$O$2:$O$1001,0),0), INDEX($V$1004:$AE$1004,1,MATCH(COLUMNS($V$1006:X1006),$V$1006:$AE$1006,0)))),"Fix")))</f>
        <v>0</v>
      </c>
      <c r="E18" s="4">
        <f>IF(OR(INDEX($P$2:$P$1001,MATCH(ROWS($O$2:O18),$O$2:$O$1001,0),1)&gt;=100000,INDEX($V$1005:$AE$1005,1,MATCH(COLUMNS($V$1006:Y1006),$V$1006:$AE$1006,0))&gt;=100000), " ",IF(INDEX($V$2:$AE$1001,MATCH(ROWS($O$2:O18),$O$2:$O$1001,0),MATCH(COLUMNS($V$1006:Y1006),$V$1006:$AE$1006,0)), HYPERLINK("#",""), HYPERLINK(CONCATENATE("#Metadata!", ADDRESS(INDEX($Q$2:$Q$1001,MATCH(ROWS($O$2:O18),$O$2:$O$1001,0),0), INDEX($V$1004:$AE$1004,1,MATCH(COLUMNS($V$1006:Y1006),$V$1006:$AE$1006,0)))),"Fix")))</f>
        <v>0</v>
      </c>
      <c r="F18" s="4">
        <f>IF(OR(INDEX($P$2:$P$1001,MATCH(ROWS($O$2:O18),$O$2:$O$1001,0),1)&gt;=100000,INDEX($V$1005:$AE$1005,1,MATCH(COLUMNS($V$1006:Z1006),$V$1006:$AE$1006,0))&gt;=100000), " ",IF(INDEX($V$2:$AE$1001,MATCH(ROWS($O$2:O18),$O$2:$O$1001,0),MATCH(COLUMNS($V$1006:Z1006),$V$1006:$AE$1006,0)), HYPERLINK("#",""), HYPERLINK(CONCATENATE("#Metadata!", ADDRESS(INDEX($Q$2:$Q$1001,MATCH(ROWS($O$2:O18),$O$2:$O$1001,0),0), INDEX($V$1004:$AE$1004,1,MATCH(COLUMNS($V$1006:Z1006),$V$1006:$AE$1006,0)))),"Fix")))</f>
        <v>0</v>
      </c>
      <c r="G18" s="4">
        <f>IF(OR(INDEX($P$2:$P$1001,MATCH(ROWS($O$2:O18),$O$2:$O$1001,0),1)&gt;=100000,INDEX($V$1005:$AE$1005,1,MATCH(COLUMNS($V$1006:AA1006),$V$1006:$AE$1006,0))&gt;=100000), " ",IF(INDEX($V$2:$AE$1001,MATCH(ROWS($O$2:O18),$O$2:$O$1001,0),MATCH(COLUMNS($V$1006:AA1006),$V$1006:$AE$1006,0)), HYPERLINK("#",""), HYPERLINK(CONCATENATE("#Metadata!", ADDRESS(INDEX($Q$2:$Q$1001,MATCH(ROWS($O$2:O18),$O$2:$O$1001,0),0), INDEX($V$1004:$AE$1004,1,MATCH(COLUMNS($V$1006:AA1006),$V$1006:$AE$1006,0)))),"Fix")))</f>
        <v>0</v>
      </c>
      <c r="H18" s="4">
        <f>IF(OR(INDEX($P$2:$P$1001,MATCH(ROWS($O$2:O18),$O$2:$O$1001,0),1)&gt;=100000,INDEX($V$1005:$AE$1005,1,MATCH(COLUMNS($V$1006:AB1006),$V$1006:$AE$1006,0))&gt;=100000), " ",IF(INDEX($V$2:$AE$1001,MATCH(ROWS($O$2:O18),$O$2:$O$1001,0),MATCH(COLUMNS($V$1006:AB1006),$V$1006:$AE$1006,0)), HYPERLINK("#",""), HYPERLINK(CONCATENATE("#Metadata!", ADDRESS(INDEX($Q$2:$Q$1001,MATCH(ROWS($O$2:O18),$O$2:$O$1001,0),0), INDEX($V$1004:$AE$1004,1,MATCH(COLUMNS($V$1006:AB1006),$V$1006:$AE$1006,0)))),"Fix")))</f>
        <v>0</v>
      </c>
      <c r="I18" s="4">
        <f>IF(OR(INDEX($P$2:$P$1001,MATCH(ROWS($O$2:O18),$O$2:$O$1001,0),1)&gt;=100000,INDEX($V$1005:$AE$1005,1,MATCH(COLUMNS($V$1006:AC1006),$V$1006:$AE$1006,0))&gt;=100000), " ",IF(INDEX($V$2:$AE$1001,MATCH(ROWS($O$2:O18),$O$2:$O$1001,0),MATCH(COLUMNS($V$1006:AC1006),$V$1006:$AE$1006,0)), HYPERLINK("#",""), HYPERLINK(CONCATENATE("#Metadata!", ADDRESS(INDEX($Q$2:$Q$1001,MATCH(ROWS($O$2:O18),$O$2:$O$1001,0),0), INDEX($V$1004:$AE$1004,1,MATCH(COLUMNS($V$1006:AC1006),$V$1006:$AE$1006,0)))),"Fix")))</f>
        <v>0</v>
      </c>
      <c r="J18" s="4">
        <f>IF(OR(INDEX($P$2:$P$1001,MATCH(ROWS($O$2:O18),$O$2:$O$1001,0),1)&gt;=100000,INDEX($V$1005:$AE$1005,1,MATCH(COLUMNS($V$1006:AD1006),$V$1006:$AE$1006,0))&gt;=100000), " ",IF(INDEX($V$2:$AE$1001,MATCH(ROWS($O$2:O18),$O$2:$O$1001,0),MATCH(COLUMNS($V$1006:AD1006),$V$1006:$AE$1006,0)), HYPERLINK("#",""), HYPERLINK(CONCATENATE("#Metadata!", ADDRESS(INDEX($Q$2:$Q$1001,MATCH(ROWS($O$2:O18),$O$2:$O$1001,0),0), INDEX($V$1004:$AE$1004,1,MATCH(COLUMNS($V$1006:AD1006),$V$1006:$AE$1006,0)))),"Fix")))</f>
        <v>0</v>
      </c>
      <c r="K18" s="4">
        <f>IF(OR(INDEX($P$2:$P$1001,MATCH(ROWS($O$2:O18),$O$2:$O$1001,0),1)&gt;=100000,INDEX($V$1005:$AE$1005,1,MATCH(COLUMNS($V$1006:AE1006),$V$1006:$AE$1006,0))&gt;=100000), " ",IF(INDEX($V$2:$AE$1001,MATCH(ROWS($O$2:O18),$O$2:$O$1001,0),MATCH(COLUMNS($V$1006:AE1006),$V$1006:$AE$1006,0)), HYPERLINK("#",""), HYPERLINK(CONCATENATE("#Metadata!", ADDRESS(INDEX($Q$2:$Q$1001,MATCH(ROWS($O$2:O18),$O$2:$O$1001,0),0), INDEX($V$1004:$AE$1004,1,MATCH(COLUMNS($V$1006:AE1006),$V$1006:$AE$1006,0)))),"Fix")))</f>
        <v>0</v>
      </c>
      <c r="O18">
        <v>0</v>
      </c>
      <c r="P18">
        <v>0</v>
      </c>
      <c r="Q18">
        <v>0</v>
      </c>
      <c r="R18">
        <f>IF(S18,TRUE,AND(V18:AE18))</f>
        <v>0</v>
      </c>
      <c r="S18">
        <f>COUNTBLANK(Metadata!B18:K18)=COLUMNS(Metadata!B18:K18)</f>
        <v>0</v>
      </c>
      <c r="T18">
        <v>0</v>
      </c>
      <c r="V18">
        <f>AND(IF(Metadata!B18="",FALSE,TRUE),COUNTIF(Metadata!B:B, Metadata!B18) = 1,NOT(ISERROR(SUMPRODUCT(SEARCH(MID(Metadata!B18,ROW(INDIRECT("1:"&amp;LEN(Metadata!B18))), 1),"0123456789abcdefghijklmnopqrstuvwxyzABCDEFGHIJKLMNOPQRSTUVWXYZ.")))))</f>
        <v>0</v>
      </c>
      <c r="W18">
        <f>AND(IF(Metadata!C18="",FALSE,TRUE),exact(Metadata!C18,"urban biome"))</f>
        <v>0</v>
      </c>
      <c r="X18">
        <f>AND(IF(Metadata!D18="",FALSE,TRUE),exact(Metadata!D18,"animal-associated habitat"))</f>
        <v>0</v>
      </c>
      <c r="Y18">
        <f>OR(AND(IF(Metadata!E18="",FALSE,TRUE),OR(exact(Metadata!E18,"not applicable"),exact(Metadata!E18,"missing: not collected"),exact(Metadata!E18,"missing: not provided"),exact(Metadata!E18,"missing: restricted access"))),AND(IF(Metadata!E18="",FALSE,ISNUMBER(VALUE(Metadata!E18))),Metadata!E18&gt;0))</f>
        <v>0</v>
      </c>
      <c r="Z18">
        <f>AND(IF(Metadata!F18="",FALSE,TRUE),exact(Metadata!F18,"weeks"))</f>
        <v>0</v>
      </c>
      <c r="AA18">
        <f>AND(IF(Metadata!G18="",FALSE,TRUE),exact(Metadata!G18,"mouse"))</f>
        <v>0</v>
      </c>
      <c r="AB18">
        <f>AND(IF(Metadata!H18="",FALSE,TRUE),exact(Metadata!H18,"Mus musculus"))</f>
        <v>0</v>
      </c>
      <c r="AC18">
        <f>AND(IF(Metadata!I18="",FALSE,TRUE),exact(Metadata!I18,"10090"))</f>
        <v>0</v>
      </c>
      <c r="AD18">
        <f>OR(AND(IF(Metadata!J18="",FALSE,TRUE),OR(exact(Metadata!J18,"not applicable"),exact(Metadata!J18,"missing: not collected"),exact(Metadata!J18,"missing: not provided"),exact(Metadata!J18,"missing: restricted access"))),AND(IF(Metadata!J18="",FALSE,ISNUMBER(VALUE(Metadata!J18))),Metadata!J18&gt;0))</f>
        <v>0</v>
      </c>
      <c r="AE18">
        <f>AND(IF(Metadata!K18="",FALSE,TRUE),exact(Metadata!K18,"g"))</f>
        <v>0</v>
      </c>
    </row>
    <row r="19" spans="1:31">
      <c r="A19" s="5">
        <f>IF(B19=" "," ",HYPERLINK(CONCATENATE("#metadata!",ADDRESS(INDEX($Q$2:$Q$1001,MATCH(ROWS($O$2:O19),$O$2:$O$1001,0),0),1)),INDEX($T$2:$T$1001,MATCH(ROWS($O$2:O19),$O$2:$O$1001,0),0)))</f>
        <v>0</v>
      </c>
      <c r="B19" s="4">
        <f>IF(OR(INDEX($P$2:$P$1001,MATCH(ROWS($O$2:O19),$O$2:$O$1001,0),1)&gt;=100000,INDEX($V$1005:$AE$1005,1,MATCH(COLUMNS($V$1006:V1006),$V$1006:$AE$1006,0))&gt;=100000), " ",IF(INDEX($V$2:$AE$1001,MATCH(ROWS($O$2:O19),$O$2:$O$1001,0),MATCH(COLUMNS($V$1006:V1006),$V$1006:$AE$1006,0)), HYPERLINK("#",""), HYPERLINK(CONCATENATE("#Metadata!", ADDRESS(INDEX($Q$2:$Q$1001,MATCH(ROWS($O$2:O19),$O$2:$O$1001,0),0), INDEX($V$1004:$AE$1004,1,MATCH(COLUMNS($V$1006:V1006),$V$1006:$AE$1006,0)))),"Fix")))</f>
        <v>0</v>
      </c>
      <c r="C19" s="4">
        <f>IF(OR(INDEX($P$2:$P$1001,MATCH(ROWS($O$2:O19),$O$2:$O$1001,0),1)&gt;=100000,INDEX($V$1005:$AE$1005,1,MATCH(COLUMNS($V$1006:W1006),$V$1006:$AE$1006,0))&gt;=100000), " ",IF(INDEX($V$2:$AE$1001,MATCH(ROWS($O$2:O19),$O$2:$O$1001,0),MATCH(COLUMNS($V$1006:W1006),$V$1006:$AE$1006,0)), HYPERLINK("#",""), HYPERLINK(CONCATENATE("#Metadata!", ADDRESS(INDEX($Q$2:$Q$1001,MATCH(ROWS($O$2:O19),$O$2:$O$1001,0),0), INDEX($V$1004:$AE$1004,1,MATCH(COLUMNS($V$1006:W1006),$V$1006:$AE$1006,0)))),"Fix")))</f>
        <v>0</v>
      </c>
      <c r="D19" s="4">
        <f>IF(OR(INDEX($P$2:$P$1001,MATCH(ROWS($O$2:O19),$O$2:$O$1001,0),1)&gt;=100000,INDEX($V$1005:$AE$1005,1,MATCH(COLUMNS($V$1006:X1006),$V$1006:$AE$1006,0))&gt;=100000), " ",IF(INDEX($V$2:$AE$1001,MATCH(ROWS($O$2:O19),$O$2:$O$1001,0),MATCH(COLUMNS($V$1006:X1006),$V$1006:$AE$1006,0)), HYPERLINK("#",""), HYPERLINK(CONCATENATE("#Metadata!", ADDRESS(INDEX($Q$2:$Q$1001,MATCH(ROWS($O$2:O19),$O$2:$O$1001,0),0), INDEX($V$1004:$AE$1004,1,MATCH(COLUMNS($V$1006:X1006),$V$1006:$AE$1006,0)))),"Fix")))</f>
        <v>0</v>
      </c>
      <c r="E19" s="4">
        <f>IF(OR(INDEX($P$2:$P$1001,MATCH(ROWS($O$2:O19),$O$2:$O$1001,0),1)&gt;=100000,INDEX($V$1005:$AE$1005,1,MATCH(COLUMNS($V$1006:Y1006),$V$1006:$AE$1006,0))&gt;=100000), " ",IF(INDEX($V$2:$AE$1001,MATCH(ROWS($O$2:O19),$O$2:$O$1001,0),MATCH(COLUMNS($V$1006:Y1006),$V$1006:$AE$1006,0)), HYPERLINK("#",""), HYPERLINK(CONCATENATE("#Metadata!", ADDRESS(INDEX($Q$2:$Q$1001,MATCH(ROWS($O$2:O19),$O$2:$O$1001,0),0), INDEX($V$1004:$AE$1004,1,MATCH(COLUMNS($V$1006:Y1006),$V$1006:$AE$1006,0)))),"Fix")))</f>
        <v>0</v>
      </c>
      <c r="F19" s="4">
        <f>IF(OR(INDEX($P$2:$P$1001,MATCH(ROWS($O$2:O19),$O$2:$O$1001,0),1)&gt;=100000,INDEX($V$1005:$AE$1005,1,MATCH(COLUMNS($V$1006:Z1006),$V$1006:$AE$1006,0))&gt;=100000), " ",IF(INDEX($V$2:$AE$1001,MATCH(ROWS($O$2:O19),$O$2:$O$1001,0),MATCH(COLUMNS($V$1006:Z1006),$V$1006:$AE$1006,0)), HYPERLINK("#",""), HYPERLINK(CONCATENATE("#Metadata!", ADDRESS(INDEX($Q$2:$Q$1001,MATCH(ROWS($O$2:O19),$O$2:$O$1001,0),0), INDEX($V$1004:$AE$1004,1,MATCH(COLUMNS($V$1006:Z1006),$V$1006:$AE$1006,0)))),"Fix")))</f>
        <v>0</v>
      </c>
      <c r="G19" s="4">
        <f>IF(OR(INDEX($P$2:$P$1001,MATCH(ROWS($O$2:O19),$O$2:$O$1001,0),1)&gt;=100000,INDEX($V$1005:$AE$1005,1,MATCH(COLUMNS($V$1006:AA1006),$V$1006:$AE$1006,0))&gt;=100000), " ",IF(INDEX($V$2:$AE$1001,MATCH(ROWS($O$2:O19),$O$2:$O$1001,0),MATCH(COLUMNS($V$1006:AA1006),$V$1006:$AE$1006,0)), HYPERLINK("#",""), HYPERLINK(CONCATENATE("#Metadata!", ADDRESS(INDEX($Q$2:$Q$1001,MATCH(ROWS($O$2:O19),$O$2:$O$1001,0),0), INDEX($V$1004:$AE$1004,1,MATCH(COLUMNS($V$1006:AA1006),$V$1006:$AE$1006,0)))),"Fix")))</f>
        <v>0</v>
      </c>
      <c r="H19" s="4">
        <f>IF(OR(INDEX($P$2:$P$1001,MATCH(ROWS($O$2:O19),$O$2:$O$1001,0),1)&gt;=100000,INDEX($V$1005:$AE$1005,1,MATCH(COLUMNS($V$1006:AB1006),$V$1006:$AE$1006,0))&gt;=100000), " ",IF(INDEX($V$2:$AE$1001,MATCH(ROWS($O$2:O19),$O$2:$O$1001,0),MATCH(COLUMNS($V$1006:AB1006),$V$1006:$AE$1006,0)), HYPERLINK("#",""), HYPERLINK(CONCATENATE("#Metadata!", ADDRESS(INDEX($Q$2:$Q$1001,MATCH(ROWS($O$2:O19),$O$2:$O$1001,0),0), INDEX($V$1004:$AE$1004,1,MATCH(COLUMNS($V$1006:AB1006),$V$1006:$AE$1006,0)))),"Fix")))</f>
        <v>0</v>
      </c>
      <c r="I19" s="4">
        <f>IF(OR(INDEX($P$2:$P$1001,MATCH(ROWS($O$2:O19),$O$2:$O$1001,0),1)&gt;=100000,INDEX($V$1005:$AE$1005,1,MATCH(COLUMNS($V$1006:AC1006),$V$1006:$AE$1006,0))&gt;=100000), " ",IF(INDEX($V$2:$AE$1001,MATCH(ROWS($O$2:O19),$O$2:$O$1001,0),MATCH(COLUMNS($V$1006:AC1006),$V$1006:$AE$1006,0)), HYPERLINK("#",""), HYPERLINK(CONCATENATE("#Metadata!", ADDRESS(INDEX($Q$2:$Q$1001,MATCH(ROWS($O$2:O19),$O$2:$O$1001,0),0), INDEX($V$1004:$AE$1004,1,MATCH(COLUMNS($V$1006:AC1006),$V$1006:$AE$1006,0)))),"Fix")))</f>
        <v>0</v>
      </c>
      <c r="J19" s="4">
        <f>IF(OR(INDEX($P$2:$P$1001,MATCH(ROWS($O$2:O19),$O$2:$O$1001,0),1)&gt;=100000,INDEX($V$1005:$AE$1005,1,MATCH(COLUMNS($V$1006:AD1006),$V$1006:$AE$1006,0))&gt;=100000), " ",IF(INDEX($V$2:$AE$1001,MATCH(ROWS($O$2:O19),$O$2:$O$1001,0),MATCH(COLUMNS($V$1006:AD1006),$V$1006:$AE$1006,0)), HYPERLINK("#",""), HYPERLINK(CONCATENATE("#Metadata!", ADDRESS(INDEX($Q$2:$Q$1001,MATCH(ROWS($O$2:O19),$O$2:$O$1001,0),0), INDEX($V$1004:$AE$1004,1,MATCH(COLUMNS($V$1006:AD1006),$V$1006:$AE$1006,0)))),"Fix")))</f>
        <v>0</v>
      </c>
      <c r="K19" s="4">
        <f>IF(OR(INDEX($P$2:$P$1001,MATCH(ROWS($O$2:O19),$O$2:$O$1001,0),1)&gt;=100000,INDEX($V$1005:$AE$1005,1,MATCH(COLUMNS($V$1006:AE1006),$V$1006:$AE$1006,0))&gt;=100000), " ",IF(INDEX($V$2:$AE$1001,MATCH(ROWS($O$2:O19),$O$2:$O$1001,0),MATCH(COLUMNS($V$1006:AE1006),$V$1006:$AE$1006,0)), HYPERLINK("#",""), HYPERLINK(CONCATENATE("#Metadata!", ADDRESS(INDEX($Q$2:$Q$1001,MATCH(ROWS($O$2:O19),$O$2:$O$1001,0),0), INDEX($V$1004:$AE$1004,1,MATCH(COLUMNS($V$1006:AE1006),$V$1006:$AE$1006,0)))),"Fix")))</f>
        <v>0</v>
      </c>
      <c r="O19">
        <v>0</v>
      </c>
      <c r="P19">
        <v>0</v>
      </c>
      <c r="Q19">
        <v>0</v>
      </c>
      <c r="R19">
        <f>IF(S19,TRUE,AND(V19:AE19))</f>
        <v>0</v>
      </c>
      <c r="S19">
        <f>COUNTBLANK(Metadata!B19:K19)=COLUMNS(Metadata!B19:K19)</f>
        <v>0</v>
      </c>
      <c r="T19">
        <v>0</v>
      </c>
      <c r="V19">
        <f>AND(IF(Metadata!B19="",FALSE,TRUE),COUNTIF(Metadata!B:B, Metadata!B19) = 1,NOT(ISERROR(SUMPRODUCT(SEARCH(MID(Metadata!B19,ROW(INDIRECT("1:"&amp;LEN(Metadata!B19))), 1),"0123456789abcdefghijklmnopqrstuvwxyzABCDEFGHIJKLMNOPQRSTUVWXYZ.")))))</f>
        <v>0</v>
      </c>
      <c r="W19">
        <f>AND(IF(Metadata!C19="",FALSE,TRUE),exact(Metadata!C19,"urban biome"))</f>
        <v>0</v>
      </c>
      <c r="X19">
        <f>AND(IF(Metadata!D19="",FALSE,TRUE),exact(Metadata!D19,"animal-associated habitat"))</f>
        <v>0</v>
      </c>
      <c r="Y19">
        <f>OR(AND(IF(Metadata!E19="",FALSE,TRUE),OR(exact(Metadata!E19,"not applicable"),exact(Metadata!E19,"missing: not collected"),exact(Metadata!E19,"missing: not provided"),exact(Metadata!E19,"missing: restricted access"))),AND(IF(Metadata!E19="",FALSE,ISNUMBER(VALUE(Metadata!E19))),Metadata!E19&gt;0))</f>
        <v>0</v>
      </c>
      <c r="Z19">
        <f>AND(IF(Metadata!F19="",FALSE,TRUE),exact(Metadata!F19,"weeks"))</f>
        <v>0</v>
      </c>
      <c r="AA19">
        <f>AND(IF(Metadata!G19="",FALSE,TRUE),exact(Metadata!G19,"mouse"))</f>
        <v>0</v>
      </c>
      <c r="AB19">
        <f>AND(IF(Metadata!H19="",FALSE,TRUE),exact(Metadata!H19,"Mus musculus"))</f>
        <v>0</v>
      </c>
      <c r="AC19">
        <f>AND(IF(Metadata!I19="",FALSE,TRUE),exact(Metadata!I19,"10090"))</f>
        <v>0</v>
      </c>
      <c r="AD19">
        <f>OR(AND(IF(Metadata!J19="",FALSE,TRUE),OR(exact(Metadata!J19,"not applicable"),exact(Metadata!J19,"missing: not collected"),exact(Metadata!J19,"missing: not provided"),exact(Metadata!J19,"missing: restricted access"))),AND(IF(Metadata!J19="",FALSE,ISNUMBER(VALUE(Metadata!J19))),Metadata!J19&gt;0))</f>
        <v>0</v>
      </c>
      <c r="AE19">
        <f>AND(IF(Metadata!K19="",FALSE,TRUE),exact(Metadata!K19,"g"))</f>
        <v>0</v>
      </c>
    </row>
    <row r="20" spans="1:31">
      <c r="A20" s="5">
        <f>IF(B20=" "," ",HYPERLINK(CONCATENATE("#metadata!",ADDRESS(INDEX($Q$2:$Q$1001,MATCH(ROWS($O$2:O20),$O$2:$O$1001,0),0),1)),INDEX($T$2:$T$1001,MATCH(ROWS($O$2:O20),$O$2:$O$1001,0),0)))</f>
        <v>0</v>
      </c>
      <c r="B20" s="4">
        <f>IF(OR(INDEX($P$2:$P$1001,MATCH(ROWS($O$2:O20),$O$2:$O$1001,0),1)&gt;=100000,INDEX($V$1005:$AE$1005,1,MATCH(COLUMNS($V$1006:V1006),$V$1006:$AE$1006,0))&gt;=100000), " ",IF(INDEX($V$2:$AE$1001,MATCH(ROWS($O$2:O20),$O$2:$O$1001,0),MATCH(COLUMNS($V$1006:V1006),$V$1006:$AE$1006,0)), HYPERLINK("#",""), HYPERLINK(CONCATENATE("#Metadata!", ADDRESS(INDEX($Q$2:$Q$1001,MATCH(ROWS($O$2:O20),$O$2:$O$1001,0),0), INDEX($V$1004:$AE$1004,1,MATCH(COLUMNS($V$1006:V1006),$V$1006:$AE$1006,0)))),"Fix")))</f>
        <v>0</v>
      </c>
      <c r="C20" s="4">
        <f>IF(OR(INDEX($P$2:$P$1001,MATCH(ROWS($O$2:O20),$O$2:$O$1001,0),1)&gt;=100000,INDEX($V$1005:$AE$1005,1,MATCH(COLUMNS($V$1006:W1006),$V$1006:$AE$1006,0))&gt;=100000), " ",IF(INDEX($V$2:$AE$1001,MATCH(ROWS($O$2:O20),$O$2:$O$1001,0),MATCH(COLUMNS($V$1006:W1006),$V$1006:$AE$1006,0)), HYPERLINK("#",""), HYPERLINK(CONCATENATE("#Metadata!", ADDRESS(INDEX($Q$2:$Q$1001,MATCH(ROWS($O$2:O20),$O$2:$O$1001,0),0), INDEX($V$1004:$AE$1004,1,MATCH(COLUMNS($V$1006:W1006),$V$1006:$AE$1006,0)))),"Fix")))</f>
        <v>0</v>
      </c>
      <c r="D20" s="4">
        <f>IF(OR(INDEX($P$2:$P$1001,MATCH(ROWS($O$2:O20),$O$2:$O$1001,0),1)&gt;=100000,INDEX($V$1005:$AE$1005,1,MATCH(COLUMNS($V$1006:X1006),$V$1006:$AE$1006,0))&gt;=100000), " ",IF(INDEX($V$2:$AE$1001,MATCH(ROWS($O$2:O20),$O$2:$O$1001,0),MATCH(COLUMNS($V$1006:X1006),$V$1006:$AE$1006,0)), HYPERLINK("#",""), HYPERLINK(CONCATENATE("#Metadata!", ADDRESS(INDEX($Q$2:$Q$1001,MATCH(ROWS($O$2:O20),$O$2:$O$1001,0),0), INDEX($V$1004:$AE$1004,1,MATCH(COLUMNS($V$1006:X1006),$V$1006:$AE$1006,0)))),"Fix")))</f>
        <v>0</v>
      </c>
      <c r="E20" s="4">
        <f>IF(OR(INDEX($P$2:$P$1001,MATCH(ROWS($O$2:O20),$O$2:$O$1001,0),1)&gt;=100000,INDEX($V$1005:$AE$1005,1,MATCH(COLUMNS($V$1006:Y1006),$V$1006:$AE$1006,0))&gt;=100000), " ",IF(INDEX($V$2:$AE$1001,MATCH(ROWS($O$2:O20),$O$2:$O$1001,0),MATCH(COLUMNS($V$1006:Y1006),$V$1006:$AE$1006,0)), HYPERLINK("#",""), HYPERLINK(CONCATENATE("#Metadata!", ADDRESS(INDEX($Q$2:$Q$1001,MATCH(ROWS($O$2:O20),$O$2:$O$1001,0),0), INDEX($V$1004:$AE$1004,1,MATCH(COLUMNS($V$1006:Y1006),$V$1006:$AE$1006,0)))),"Fix")))</f>
        <v>0</v>
      </c>
      <c r="F20" s="4">
        <f>IF(OR(INDEX($P$2:$P$1001,MATCH(ROWS($O$2:O20),$O$2:$O$1001,0),1)&gt;=100000,INDEX($V$1005:$AE$1005,1,MATCH(COLUMNS($V$1006:Z1006),$V$1006:$AE$1006,0))&gt;=100000), " ",IF(INDEX($V$2:$AE$1001,MATCH(ROWS($O$2:O20),$O$2:$O$1001,0),MATCH(COLUMNS($V$1006:Z1006),$V$1006:$AE$1006,0)), HYPERLINK("#",""), HYPERLINK(CONCATENATE("#Metadata!", ADDRESS(INDEX($Q$2:$Q$1001,MATCH(ROWS($O$2:O20),$O$2:$O$1001,0),0), INDEX($V$1004:$AE$1004,1,MATCH(COLUMNS($V$1006:Z1006),$V$1006:$AE$1006,0)))),"Fix")))</f>
        <v>0</v>
      </c>
      <c r="G20" s="4">
        <f>IF(OR(INDEX($P$2:$P$1001,MATCH(ROWS($O$2:O20),$O$2:$O$1001,0),1)&gt;=100000,INDEX($V$1005:$AE$1005,1,MATCH(COLUMNS($V$1006:AA1006),$V$1006:$AE$1006,0))&gt;=100000), " ",IF(INDEX($V$2:$AE$1001,MATCH(ROWS($O$2:O20),$O$2:$O$1001,0),MATCH(COLUMNS($V$1006:AA1006),$V$1006:$AE$1006,0)), HYPERLINK("#",""), HYPERLINK(CONCATENATE("#Metadata!", ADDRESS(INDEX($Q$2:$Q$1001,MATCH(ROWS($O$2:O20),$O$2:$O$1001,0),0), INDEX($V$1004:$AE$1004,1,MATCH(COLUMNS($V$1006:AA1006),$V$1006:$AE$1006,0)))),"Fix")))</f>
        <v>0</v>
      </c>
      <c r="H20" s="4">
        <f>IF(OR(INDEX($P$2:$P$1001,MATCH(ROWS($O$2:O20),$O$2:$O$1001,0),1)&gt;=100000,INDEX($V$1005:$AE$1005,1,MATCH(COLUMNS($V$1006:AB1006),$V$1006:$AE$1006,0))&gt;=100000), " ",IF(INDEX($V$2:$AE$1001,MATCH(ROWS($O$2:O20),$O$2:$O$1001,0),MATCH(COLUMNS($V$1006:AB1006),$V$1006:$AE$1006,0)), HYPERLINK("#",""), HYPERLINK(CONCATENATE("#Metadata!", ADDRESS(INDEX($Q$2:$Q$1001,MATCH(ROWS($O$2:O20),$O$2:$O$1001,0),0), INDEX($V$1004:$AE$1004,1,MATCH(COLUMNS($V$1006:AB1006),$V$1006:$AE$1006,0)))),"Fix")))</f>
        <v>0</v>
      </c>
      <c r="I20" s="4">
        <f>IF(OR(INDEX($P$2:$P$1001,MATCH(ROWS($O$2:O20),$O$2:$O$1001,0),1)&gt;=100000,INDEX($V$1005:$AE$1005,1,MATCH(COLUMNS($V$1006:AC1006),$V$1006:$AE$1006,0))&gt;=100000), " ",IF(INDEX($V$2:$AE$1001,MATCH(ROWS($O$2:O20),$O$2:$O$1001,0),MATCH(COLUMNS($V$1006:AC1006),$V$1006:$AE$1006,0)), HYPERLINK("#",""), HYPERLINK(CONCATENATE("#Metadata!", ADDRESS(INDEX($Q$2:$Q$1001,MATCH(ROWS($O$2:O20),$O$2:$O$1001,0),0), INDEX($V$1004:$AE$1004,1,MATCH(COLUMNS($V$1006:AC1006),$V$1006:$AE$1006,0)))),"Fix")))</f>
        <v>0</v>
      </c>
      <c r="J20" s="4">
        <f>IF(OR(INDEX($P$2:$P$1001,MATCH(ROWS($O$2:O20),$O$2:$O$1001,0),1)&gt;=100000,INDEX($V$1005:$AE$1005,1,MATCH(COLUMNS($V$1006:AD1006),$V$1006:$AE$1006,0))&gt;=100000), " ",IF(INDEX($V$2:$AE$1001,MATCH(ROWS($O$2:O20),$O$2:$O$1001,0),MATCH(COLUMNS($V$1006:AD1006),$V$1006:$AE$1006,0)), HYPERLINK("#",""), HYPERLINK(CONCATENATE("#Metadata!", ADDRESS(INDEX($Q$2:$Q$1001,MATCH(ROWS($O$2:O20),$O$2:$O$1001,0),0), INDEX($V$1004:$AE$1004,1,MATCH(COLUMNS($V$1006:AD1006),$V$1006:$AE$1006,0)))),"Fix")))</f>
        <v>0</v>
      </c>
      <c r="K20" s="4">
        <f>IF(OR(INDEX($P$2:$P$1001,MATCH(ROWS($O$2:O20),$O$2:$O$1001,0),1)&gt;=100000,INDEX($V$1005:$AE$1005,1,MATCH(COLUMNS($V$1006:AE1006),$V$1006:$AE$1006,0))&gt;=100000), " ",IF(INDEX($V$2:$AE$1001,MATCH(ROWS($O$2:O20),$O$2:$O$1001,0),MATCH(COLUMNS($V$1006:AE1006),$V$1006:$AE$1006,0)), HYPERLINK("#",""), HYPERLINK(CONCATENATE("#Metadata!", ADDRESS(INDEX($Q$2:$Q$1001,MATCH(ROWS($O$2:O20),$O$2:$O$1001,0),0), INDEX($V$1004:$AE$1004,1,MATCH(COLUMNS($V$1006:AE1006),$V$1006:$AE$1006,0)))),"Fix")))</f>
        <v>0</v>
      </c>
      <c r="O20">
        <v>0</v>
      </c>
      <c r="P20">
        <v>0</v>
      </c>
      <c r="Q20">
        <v>0</v>
      </c>
      <c r="R20">
        <f>IF(S20,TRUE,AND(V20:AE20))</f>
        <v>0</v>
      </c>
      <c r="S20">
        <f>COUNTBLANK(Metadata!B20:K20)=COLUMNS(Metadata!B20:K20)</f>
        <v>0</v>
      </c>
      <c r="T20">
        <v>0</v>
      </c>
      <c r="V20">
        <f>AND(IF(Metadata!B20="",FALSE,TRUE),COUNTIF(Metadata!B:B, Metadata!B20) = 1,NOT(ISERROR(SUMPRODUCT(SEARCH(MID(Metadata!B20,ROW(INDIRECT("1:"&amp;LEN(Metadata!B20))), 1),"0123456789abcdefghijklmnopqrstuvwxyzABCDEFGHIJKLMNOPQRSTUVWXYZ.")))))</f>
        <v>0</v>
      </c>
      <c r="W20">
        <f>AND(IF(Metadata!C20="",FALSE,TRUE),exact(Metadata!C20,"urban biome"))</f>
        <v>0</v>
      </c>
      <c r="X20">
        <f>AND(IF(Metadata!D20="",FALSE,TRUE),exact(Metadata!D20,"animal-associated habitat"))</f>
        <v>0</v>
      </c>
      <c r="Y20">
        <f>OR(AND(IF(Metadata!E20="",FALSE,TRUE),OR(exact(Metadata!E20,"not applicable"),exact(Metadata!E20,"missing: not collected"),exact(Metadata!E20,"missing: not provided"),exact(Metadata!E20,"missing: restricted access"))),AND(IF(Metadata!E20="",FALSE,ISNUMBER(VALUE(Metadata!E20))),Metadata!E20&gt;0))</f>
        <v>0</v>
      </c>
      <c r="Z20">
        <f>AND(IF(Metadata!F20="",FALSE,TRUE),exact(Metadata!F20,"weeks"))</f>
        <v>0</v>
      </c>
      <c r="AA20">
        <f>AND(IF(Metadata!G20="",FALSE,TRUE),exact(Metadata!G20,"mouse"))</f>
        <v>0</v>
      </c>
      <c r="AB20">
        <f>AND(IF(Metadata!H20="",FALSE,TRUE),exact(Metadata!H20,"Mus musculus"))</f>
        <v>0</v>
      </c>
      <c r="AC20">
        <f>AND(IF(Metadata!I20="",FALSE,TRUE),exact(Metadata!I20,"10090"))</f>
        <v>0</v>
      </c>
      <c r="AD20">
        <f>OR(AND(IF(Metadata!J20="",FALSE,TRUE),OR(exact(Metadata!J20,"not applicable"),exact(Metadata!J20,"missing: not collected"),exact(Metadata!J20,"missing: not provided"),exact(Metadata!J20,"missing: restricted access"))),AND(IF(Metadata!J20="",FALSE,ISNUMBER(VALUE(Metadata!J20))),Metadata!J20&gt;0))</f>
        <v>0</v>
      </c>
      <c r="AE20">
        <f>AND(IF(Metadata!K20="",FALSE,TRUE),exact(Metadata!K20,"g"))</f>
        <v>0</v>
      </c>
    </row>
    <row r="21" spans="1:31">
      <c r="A21" s="5">
        <f>IF(B21=" "," ",HYPERLINK(CONCATENATE("#metadata!",ADDRESS(INDEX($Q$2:$Q$1001,MATCH(ROWS($O$2:O21),$O$2:$O$1001,0),0),1)),INDEX($T$2:$T$1001,MATCH(ROWS($O$2:O21),$O$2:$O$1001,0),0)))</f>
        <v>0</v>
      </c>
      <c r="B21" s="4">
        <f>IF(OR(INDEX($P$2:$P$1001,MATCH(ROWS($O$2:O21),$O$2:$O$1001,0),1)&gt;=100000,INDEX($V$1005:$AE$1005,1,MATCH(COLUMNS($V$1006:V1006),$V$1006:$AE$1006,0))&gt;=100000), " ",IF(INDEX($V$2:$AE$1001,MATCH(ROWS($O$2:O21),$O$2:$O$1001,0),MATCH(COLUMNS($V$1006:V1006),$V$1006:$AE$1006,0)), HYPERLINK("#",""), HYPERLINK(CONCATENATE("#Metadata!", ADDRESS(INDEX($Q$2:$Q$1001,MATCH(ROWS($O$2:O21),$O$2:$O$1001,0),0), INDEX($V$1004:$AE$1004,1,MATCH(COLUMNS($V$1006:V1006),$V$1006:$AE$1006,0)))),"Fix")))</f>
        <v>0</v>
      </c>
      <c r="C21" s="4">
        <f>IF(OR(INDEX($P$2:$P$1001,MATCH(ROWS($O$2:O21),$O$2:$O$1001,0),1)&gt;=100000,INDEX($V$1005:$AE$1005,1,MATCH(COLUMNS($V$1006:W1006),$V$1006:$AE$1006,0))&gt;=100000), " ",IF(INDEX($V$2:$AE$1001,MATCH(ROWS($O$2:O21),$O$2:$O$1001,0),MATCH(COLUMNS($V$1006:W1006),$V$1006:$AE$1006,0)), HYPERLINK("#",""), HYPERLINK(CONCATENATE("#Metadata!", ADDRESS(INDEX($Q$2:$Q$1001,MATCH(ROWS($O$2:O21),$O$2:$O$1001,0),0), INDEX($V$1004:$AE$1004,1,MATCH(COLUMNS($V$1006:W1006),$V$1006:$AE$1006,0)))),"Fix")))</f>
        <v>0</v>
      </c>
      <c r="D21" s="4">
        <f>IF(OR(INDEX($P$2:$P$1001,MATCH(ROWS($O$2:O21),$O$2:$O$1001,0),1)&gt;=100000,INDEX($V$1005:$AE$1005,1,MATCH(COLUMNS($V$1006:X1006),$V$1006:$AE$1006,0))&gt;=100000), " ",IF(INDEX($V$2:$AE$1001,MATCH(ROWS($O$2:O21),$O$2:$O$1001,0),MATCH(COLUMNS($V$1006:X1006),$V$1006:$AE$1006,0)), HYPERLINK("#",""), HYPERLINK(CONCATENATE("#Metadata!", ADDRESS(INDEX($Q$2:$Q$1001,MATCH(ROWS($O$2:O21),$O$2:$O$1001,0),0), INDEX($V$1004:$AE$1004,1,MATCH(COLUMNS($V$1006:X1006),$V$1006:$AE$1006,0)))),"Fix")))</f>
        <v>0</v>
      </c>
      <c r="E21" s="4">
        <f>IF(OR(INDEX($P$2:$P$1001,MATCH(ROWS($O$2:O21),$O$2:$O$1001,0),1)&gt;=100000,INDEX($V$1005:$AE$1005,1,MATCH(COLUMNS($V$1006:Y1006),$V$1006:$AE$1006,0))&gt;=100000), " ",IF(INDEX($V$2:$AE$1001,MATCH(ROWS($O$2:O21),$O$2:$O$1001,0),MATCH(COLUMNS($V$1006:Y1006),$V$1006:$AE$1006,0)), HYPERLINK("#",""), HYPERLINK(CONCATENATE("#Metadata!", ADDRESS(INDEX($Q$2:$Q$1001,MATCH(ROWS($O$2:O21),$O$2:$O$1001,0),0), INDEX($V$1004:$AE$1004,1,MATCH(COLUMNS($V$1006:Y1006),$V$1006:$AE$1006,0)))),"Fix")))</f>
        <v>0</v>
      </c>
      <c r="F21" s="4">
        <f>IF(OR(INDEX($P$2:$P$1001,MATCH(ROWS($O$2:O21),$O$2:$O$1001,0),1)&gt;=100000,INDEX($V$1005:$AE$1005,1,MATCH(COLUMNS($V$1006:Z1006),$V$1006:$AE$1006,0))&gt;=100000), " ",IF(INDEX($V$2:$AE$1001,MATCH(ROWS($O$2:O21),$O$2:$O$1001,0),MATCH(COLUMNS($V$1006:Z1006),$V$1006:$AE$1006,0)), HYPERLINK("#",""), HYPERLINK(CONCATENATE("#Metadata!", ADDRESS(INDEX($Q$2:$Q$1001,MATCH(ROWS($O$2:O21),$O$2:$O$1001,0),0), INDEX($V$1004:$AE$1004,1,MATCH(COLUMNS($V$1006:Z1006),$V$1006:$AE$1006,0)))),"Fix")))</f>
        <v>0</v>
      </c>
      <c r="G21" s="4">
        <f>IF(OR(INDEX($P$2:$P$1001,MATCH(ROWS($O$2:O21),$O$2:$O$1001,0),1)&gt;=100000,INDEX($V$1005:$AE$1005,1,MATCH(COLUMNS($V$1006:AA1006),$V$1006:$AE$1006,0))&gt;=100000), " ",IF(INDEX($V$2:$AE$1001,MATCH(ROWS($O$2:O21),$O$2:$O$1001,0),MATCH(COLUMNS($V$1006:AA1006),$V$1006:$AE$1006,0)), HYPERLINK("#",""), HYPERLINK(CONCATENATE("#Metadata!", ADDRESS(INDEX($Q$2:$Q$1001,MATCH(ROWS($O$2:O21),$O$2:$O$1001,0),0), INDEX($V$1004:$AE$1004,1,MATCH(COLUMNS($V$1006:AA1006),$V$1006:$AE$1006,0)))),"Fix")))</f>
        <v>0</v>
      </c>
      <c r="H21" s="4">
        <f>IF(OR(INDEX($P$2:$P$1001,MATCH(ROWS($O$2:O21),$O$2:$O$1001,0),1)&gt;=100000,INDEX($V$1005:$AE$1005,1,MATCH(COLUMNS($V$1006:AB1006),$V$1006:$AE$1006,0))&gt;=100000), " ",IF(INDEX($V$2:$AE$1001,MATCH(ROWS($O$2:O21),$O$2:$O$1001,0),MATCH(COLUMNS($V$1006:AB1006),$V$1006:$AE$1006,0)), HYPERLINK("#",""), HYPERLINK(CONCATENATE("#Metadata!", ADDRESS(INDEX($Q$2:$Q$1001,MATCH(ROWS($O$2:O21),$O$2:$O$1001,0),0), INDEX($V$1004:$AE$1004,1,MATCH(COLUMNS($V$1006:AB1006),$V$1006:$AE$1006,0)))),"Fix")))</f>
        <v>0</v>
      </c>
      <c r="I21" s="4">
        <f>IF(OR(INDEX($P$2:$P$1001,MATCH(ROWS($O$2:O21),$O$2:$O$1001,0),1)&gt;=100000,INDEX($V$1005:$AE$1005,1,MATCH(COLUMNS($V$1006:AC1006),$V$1006:$AE$1006,0))&gt;=100000), " ",IF(INDEX($V$2:$AE$1001,MATCH(ROWS($O$2:O21),$O$2:$O$1001,0),MATCH(COLUMNS($V$1006:AC1006),$V$1006:$AE$1006,0)), HYPERLINK("#",""), HYPERLINK(CONCATENATE("#Metadata!", ADDRESS(INDEX($Q$2:$Q$1001,MATCH(ROWS($O$2:O21),$O$2:$O$1001,0),0), INDEX($V$1004:$AE$1004,1,MATCH(COLUMNS($V$1006:AC1006),$V$1006:$AE$1006,0)))),"Fix")))</f>
        <v>0</v>
      </c>
      <c r="J21" s="4">
        <f>IF(OR(INDEX($P$2:$P$1001,MATCH(ROWS($O$2:O21),$O$2:$O$1001,0),1)&gt;=100000,INDEX($V$1005:$AE$1005,1,MATCH(COLUMNS($V$1006:AD1006),$V$1006:$AE$1006,0))&gt;=100000), " ",IF(INDEX($V$2:$AE$1001,MATCH(ROWS($O$2:O21),$O$2:$O$1001,0),MATCH(COLUMNS($V$1006:AD1006),$V$1006:$AE$1006,0)), HYPERLINK("#",""), HYPERLINK(CONCATENATE("#Metadata!", ADDRESS(INDEX($Q$2:$Q$1001,MATCH(ROWS($O$2:O21),$O$2:$O$1001,0),0), INDEX($V$1004:$AE$1004,1,MATCH(COLUMNS($V$1006:AD1006),$V$1006:$AE$1006,0)))),"Fix")))</f>
        <v>0</v>
      </c>
      <c r="K21" s="4">
        <f>IF(OR(INDEX($P$2:$P$1001,MATCH(ROWS($O$2:O21),$O$2:$O$1001,0),1)&gt;=100000,INDEX($V$1005:$AE$1005,1,MATCH(COLUMNS($V$1006:AE1006),$V$1006:$AE$1006,0))&gt;=100000), " ",IF(INDEX($V$2:$AE$1001,MATCH(ROWS($O$2:O21),$O$2:$O$1001,0),MATCH(COLUMNS($V$1006:AE1006),$V$1006:$AE$1006,0)), HYPERLINK("#",""), HYPERLINK(CONCATENATE("#Metadata!", ADDRESS(INDEX($Q$2:$Q$1001,MATCH(ROWS($O$2:O21),$O$2:$O$1001,0),0), INDEX($V$1004:$AE$1004,1,MATCH(COLUMNS($V$1006:AE1006),$V$1006:$AE$1006,0)))),"Fix")))</f>
        <v>0</v>
      </c>
      <c r="O21">
        <v>0</v>
      </c>
      <c r="P21">
        <v>0</v>
      </c>
      <c r="Q21">
        <v>0</v>
      </c>
      <c r="R21">
        <f>IF(S21,TRUE,AND(V21:AE21))</f>
        <v>0</v>
      </c>
      <c r="S21">
        <f>COUNTBLANK(Metadata!B21:K21)=COLUMNS(Metadata!B21:K21)</f>
        <v>0</v>
      </c>
      <c r="T21">
        <v>0</v>
      </c>
      <c r="V21">
        <f>AND(IF(Metadata!B21="",FALSE,TRUE),COUNTIF(Metadata!B:B, Metadata!B21) = 1,NOT(ISERROR(SUMPRODUCT(SEARCH(MID(Metadata!B21,ROW(INDIRECT("1:"&amp;LEN(Metadata!B21))), 1),"0123456789abcdefghijklmnopqrstuvwxyzABCDEFGHIJKLMNOPQRSTUVWXYZ.")))))</f>
        <v>0</v>
      </c>
      <c r="W21">
        <f>AND(IF(Metadata!C21="",FALSE,TRUE),exact(Metadata!C21,"urban biome"))</f>
        <v>0</v>
      </c>
      <c r="X21">
        <f>AND(IF(Metadata!D21="",FALSE,TRUE),exact(Metadata!D21,"animal-associated habitat"))</f>
        <v>0</v>
      </c>
      <c r="Y21">
        <f>OR(AND(IF(Metadata!E21="",FALSE,TRUE),OR(exact(Metadata!E21,"not applicable"),exact(Metadata!E21,"missing: not collected"),exact(Metadata!E21,"missing: not provided"),exact(Metadata!E21,"missing: restricted access"))),AND(IF(Metadata!E21="",FALSE,ISNUMBER(VALUE(Metadata!E21))),Metadata!E21&gt;0))</f>
        <v>0</v>
      </c>
      <c r="Z21">
        <f>AND(IF(Metadata!F21="",FALSE,TRUE),exact(Metadata!F21,"weeks"))</f>
        <v>0</v>
      </c>
      <c r="AA21">
        <f>AND(IF(Metadata!G21="",FALSE,TRUE),exact(Metadata!G21,"mouse"))</f>
        <v>0</v>
      </c>
      <c r="AB21">
        <f>AND(IF(Metadata!H21="",FALSE,TRUE),exact(Metadata!H21,"Mus musculus"))</f>
        <v>0</v>
      </c>
      <c r="AC21">
        <f>AND(IF(Metadata!I21="",FALSE,TRUE),exact(Metadata!I21,"10090"))</f>
        <v>0</v>
      </c>
      <c r="AD21">
        <f>OR(AND(IF(Metadata!J21="",FALSE,TRUE),OR(exact(Metadata!J21,"not applicable"),exact(Metadata!J21,"missing: not collected"),exact(Metadata!J21,"missing: not provided"),exact(Metadata!J21,"missing: restricted access"))),AND(IF(Metadata!J21="",FALSE,ISNUMBER(VALUE(Metadata!J21))),Metadata!J21&gt;0))</f>
        <v>0</v>
      </c>
      <c r="AE21">
        <f>AND(IF(Metadata!K21="",FALSE,TRUE),exact(Metadata!K21,"g"))</f>
        <v>0</v>
      </c>
    </row>
    <row r="22" spans="1:31">
      <c r="A22" s="5">
        <f>IF(B22=" "," ",HYPERLINK(CONCATENATE("#metadata!",ADDRESS(INDEX($Q$2:$Q$1001,MATCH(ROWS($O$2:O22),$O$2:$O$1001,0),0),1)),INDEX($T$2:$T$1001,MATCH(ROWS($O$2:O22),$O$2:$O$1001,0),0)))</f>
        <v>0</v>
      </c>
      <c r="B22" s="4">
        <f>IF(OR(INDEX($P$2:$P$1001,MATCH(ROWS($O$2:O22),$O$2:$O$1001,0),1)&gt;=100000,INDEX($V$1005:$AE$1005,1,MATCH(COLUMNS($V$1006:V1006),$V$1006:$AE$1006,0))&gt;=100000), " ",IF(INDEX($V$2:$AE$1001,MATCH(ROWS($O$2:O22),$O$2:$O$1001,0),MATCH(COLUMNS($V$1006:V1006),$V$1006:$AE$1006,0)), HYPERLINK("#",""), HYPERLINK(CONCATENATE("#Metadata!", ADDRESS(INDEX($Q$2:$Q$1001,MATCH(ROWS($O$2:O22),$O$2:$O$1001,0),0), INDEX($V$1004:$AE$1004,1,MATCH(COLUMNS($V$1006:V1006),$V$1006:$AE$1006,0)))),"Fix")))</f>
        <v>0</v>
      </c>
      <c r="C22" s="4">
        <f>IF(OR(INDEX($P$2:$P$1001,MATCH(ROWS($O$2:O22),$O$2:$O$1001,0),1)&gt;=100000,INDEX($V$1005:$AE$1005,1,MATCH(COLUMNS($V$1006:W1006),$V$1006:$AE$1006,0))&gt;=100000), " ",IF(INDEX($V$2:$AE$1001,MATCH(ROWS($O$2:O22),$O$2:$O$1001,0),MATCH(COLUMNS($V$1006:W1006),$V$1006:$AE$1006,0)), HYPERLINK("#",""), HYPERLINK(CONCATENATE("#Metadata!", ADDRESS(INDEX($Q$2:$Q$1001,MATCH(ROWS($O$2:O22),$O$2:$O$1001,0),0), INDEX($V$1004:$AE$1004,1,MATCH(COLUMNS($V$1006:W1006),$V$1006:$AE$1006,0)))),"Fix")))</f>
        <v>0</v>
      </c>
      <c r="D22" s="4">
        <f>IF(OR(INDEX($P$2:$P$1001,MATCH(ROWS($O$2:O22),$O$2:$O$1001,0),1)&gt;=100000,INDEX($V$1005:$AE$1005,1,MATCH(COLUMNS($V$1006:X1006),$V$1006:$AE$1006,0))&gt;=100000), " ",IF(INDEX($V$2:$AE$1001,MATCH(ROWS($O$2:O22),$O$2:$O$1001,0),MATCH(COLUMNS($V$1006:X1006),$V$1006:$AE$1006,0)), HYPERLINK("#",""), HYPERLINK(CONCATENATE("#Metadata!", ADDRESS(INDEX($Q$2:$Q$1001,MATCH(ROWS($O$2:O22),$O$2:$O$1001,0),0), INDEX($V$1004:$AE$1004,1,MATCH(COLUMNS($V$1006:X1006),$V$1006:$AE$1006,0)))),"Fix")))</f>
        <v>0</v>
      </c>
      <c r="E22" s="4">
        <f>IF(OR(INDEX($P$2:$P$1001,MATCH(ROWS($O$2:O22),$O$2:$O$1001,0),1)&gt;=100000,INDEX($V$1005:$AE$1005,1,MATCH(COLUMNS($V$1006:Y1006),$V$1006:$AE$1006,0))&gt;=100000), " ",IF(INDEX($V$2:$AE$1001,MATCH(ROWS($O$2:O22),$O$2:$O$1001,0),MATCH(COLUMNS($V$1006:Y1006),$V$1006:$AE$1006,0)), HYPERLINK("#",""), HYPERLINK(CONCATENATE("#Metadata!", ADDRESS(INDEX($Q$2:$Q$1001,MATCH(ROWS($O$2:O22),$O$2:$O$1001,0),0), INDEX($V$1004:$AE$1004,1,MATCH(COLUMNS($V$1006:Y1006),$V$1006:$AE$1006,0)))),"Fix")))</f>
        <v>0</v>
      </c>
      <c r="F22" s="4">
        <f>IF(OR(INDEX($P$2:$P$1001,MATCH(ROWS($O$2:O22),$O$2:$O$1001,0),1)&gt;=100000,INDEX($V$1005:$AE$1005,1,MATCH(COLUMNS($V$1006:Z1006),$V$1006:$AE$1006,0))&gt;=100000), " ",IF(INDEX($V$2:$AE$1001,MATCH(ROWS($O$2:O22),$O$2:$O$1001,0),MATCH(COLUMNS($V$1006:Z1006),$V$1006:$AE$1006,0)), HYPERLINK("#",""), HYPERLINK(CONCATENATE("#Metadata!", ADDRESS(INDEX($Q$2:$Q$1001,MATCH(ROWS($O$2:O22),$O$2:$O$1001,0),0), INDEX($V$1004:$AE$1004,1,MATCH(COLUMNS($V$1006:Z1006),$V$1006:$AE$1006,0)))),"Fix")))</f>
        <v>0</v>
      </c>
      <c r="G22" s="4">
        <f>IF(OR(INDEX($P$2:$P$1001,MATCH(ROWS($O$2:O22),$O$2:$O$1001,0),1)&gt;=100000,INDEX($V$1005:$AE$1005,1,MATCH(COLUMNS($V$1006:AA1006),$V$1006:$AE$1006,0))&gt;=100000), " ",IF(INDEX($V$2:$AE$1001,MATCH(ROWS($O$2:O22),$O$2:$O$1001,0),MATCH(COLUMNS($V$1006:AA1006),$V$1006:$AE$1006,0)), HYPERLINK("#",""), HYPERLINK(CONCATENATE("#Metadata!", ADDRESS(INDEX($Q$2:$Q$1001,MATCH(ROWS($O$2:O22),$O$2:$O$1001,0),0), INDEX($V$1004:$AE$1004,1,MATCH(COLUMNS($V$1006:AA1006),$V$1006:$AE$1006,0)))),"Fix")))</f>
        <v>0</v>
      </c>
      <c r="H22" s="4">
        <f>IF(OR(INDEX($P$2:$P$1001,MATCH(ROWS($O$2:O22),$O$2:$O$1001,0),1)&gt;=100000,INDEX($V$1005:$AE$1005,1,MATCH(COLUMNS($V$1006:AB1006),$V$1006:$AE$1006,0))&gt;=100000), " ",IF(INDEX($V$2:$AE$1001,MATCH(ROWS($O$2:O22),$O$2:$O$1001,0),MATCH(COLUMNS($V$1006:AB1006),$V$1006:$AE$1006,0)), HYPERLINK("#",""), HYPERLINK(CONCATENATE("#Metadata!", ADDRESS(INDEX($Q$2:$Q$1001,MATCH(ROWS($O$2:O22),$O$2:$O$1001,0),0), INDEX($V$1004:$AE$1004,1,MATCH(COLUMNS($V$1006:AB1006),$V$1006:$AE$1006,0)))),"Fix")))</f>
        <v>0</v>
      </c>
      <c r="I22" s="4">
        <f>IF(OR(INDEX($P$2:$P$1001,MATCH(ROWS($O$2:O22),$O$2:$O$1001,0),1)&gt;=100000,INDEX($V$1005:$AE$1005,1,MATCH(COLUMNS($V$1006:AC1006),$V$1006:$AE$1006,0))&gt;=100000), " ",IF(INDEX($V$2:$AE$1001,MATCH(ROWS($O$2:O22),$O$2:$O$1001,0),MATCH(COLUMNS($V$1006:AC1006),$V$1006:$AE$1006,0)), HYPERLINK("#",""), HYPERLINK(CONCATENATE("#Metadata!", ADDRESS(INDEX($Q$2:$Q$1001,MATCH(ROWS($O$2:O22),$O$2:$O$1001,0),0), INDEX($V$1004:$AE$1004,1,MATCH(COLUMNS($V$1006:AC1006),$V$1006:$AE$1006,0)))),"Fix")))</f>
        <v>0</v>
      </c>
      <c r="J22" s="4">
        <f>IF(OR(INDEX($P$2:$P$1001,MATCH(ROWS($O$2:O22),$O$2:$O$1001,0),1)&gt;=100000,INDEX($V$1005:$AE$1005,1,MATCH(COLUMNS($V$1006:AD1006),$V$1006:$AE$1006,0))&gt;=100000), " ",IF(INDEX($V$2:$AE$1001,MATCH(ROWS($O$2:O22),$O$2:$O$1001,0),MATCH(COLUMNS($V$1006:AD1006),$V$1006:$AE$1006,0)), HYPERLINK("#",""), HYPERLINK(CONCATENATE("#Metadata!", ADDRESS(INDEX($Q$2:$Q$1001,MATCH(ROWS($O$2:O22),$O$2:$O$1001,0),0), INDEX($V$1004:$AE$1004,1,MATCH(COLUMNS($V$1006:AD1006),$V$1006:$AE$1006,0)))),"Fix")))</f>
        <v>0</v>
      </c>
      <c r="K22" s="4">
        <f>IF(OR(INDEX($P$2:$P$1001,MATCH(ROWS($O$2:O22),$O$2:$O$1001,0),1)&gt;=100000,INDEX($V$1005:$AE$1005,1,MATCH(COLUMNS($V$1006:AE1006),$V$1006:$AE$1006,0))&gt;=100000), " ",IF(INDEX($V$2:$AE$1001,MATCH(ROWS($O$2:O22),$O$2:$O$1001,0),MATCH(COLUMNS($V$1006:AE1006),$V$1006:$AE$1006,0)), HYPERLINK("#",""), HYPERLINK(CONCATENATE("#Metadata!", ADDRESS(INDEX($Q$2:$Q$1001,MATCH(ROWS($O$2:O22),$O$2:$O$1001,0),0), INDEX($V$1004:$AE$1004,1,MATCH(COLUMNS($V$1006:AE1006),$V$1006:$AE$1006,0)))),"Fix")))</f>
        <v>0</v>
      </c>
      <c r="O22">
        <v>0</v>
      </c>
      <c r="P22">
        <v>0</v>
      </c>
      <c r="Q22">
        <v>0</v>
      </c>
      <c r="R22">
        <f>IF(S22,TRUE,AND(V22:AE22))</f>
        <v>0</v>
      </c>
      <c r="S22">
        <f>COUNTBLANK(Metadata!B22:K22)=COLUMNS(Metadata!B22:K22)</f>
        <v>0</v>
      </c>
      <c r="T22">
        <v>0</v>
      </c>
      <c r="V22">
        <f>AND(IF(Metadata!B22="",FALSE,TRUE),COUNTIF(Metadata!B:B, Metadata!B22) = 1,NOT(ISERROR(SUMPRODUCT(SEARCH(MID(Metadata!B22,ROW(INDIRECT("1:"&amp;LEN(Metadata!B22))), 1),"0123456789abcdefghijklmnopqrstuvwxyzABCDEFGHIJKLMNOPQRSTUVWXYZ.")))))</f>
        <v>0</v>
      </c>
      <c r="W22">
        <f>AND(IF(Metadata!C22="",FALSE,TRUE),exact(Metadata!C22,"urban biome"))</f>
        <v>0</v>
      </c>
      <c r="X22">
        <f>AND(IF(Metadata!D22="",FALSE,TRUE),exact(Metadata!D22,"animal-associated habitat"))</f>
        <v>0</v>
      </c>
      <c r="Y22">
        <f>OR(AND(IF(Metadata!E22="",FALSE,TRUE),OR(exact(Metadata!E22,"not applicable"),exact(Metadata!E22,"missing: not collected"),exact(Metadata!E22,"missing: not provided"),exact(Metadata!E22,"missing: restricted access"))),AND(IF(Metadata!E22="",FALSE,ISNUMBER(VALUE(Metadata!E22))),Metadata!E22&gt;0))</f>
        <v>0</v>
      </c>
      <c r="Z22">
        <f>AND(IF(Metadata!F22="",FALSE,TRUE),exact(Metadata!F22,"weeks"))</f>
        <v>0</v>
      </c>
      <c r="AA22">
        <f>AND(IF(Metadata!G22="",FALSE,TRUE),exact(Metadata!G22,"mouse"))</f>
        <v>0</v>
      </c>
      <c r="AB22">
        <f>AND(IF(Metadata!H22="",FALSE,TRUE),exact(Metadata!H22,"Mus musculus"))</f>
        <v>0</v>
      </c>
      <c r="AC22">
        <f>AND(IF(Metadata!I22="",FALSE,TRUE),exact(Metadata!I22,"10090"))</f>
        <v>0</v>
      </c>
      <c r="AD22">
        <f>OR(AND(IF(Metadata!J22="",FALSE,TRUE),OR(exact(Metadata!J22,"not applicable"),exact(Metadata!J22,"missing: not collected"),exact(Metadata!J22,"missing: not provided"),exact(Metadata!J22,"missing: restricted access"))),AND(IF(Metadata!J22="",FALSE,ISNUMBER(VALUE(Metadata!J22))),Metadata!J22&gt;0))</f>
        <v>0</v>
      </c>
      <c r="AE22">
        <f>AND(IF(Metadata!K22="",FALSE,TRUE),exact(Metadata!K22,"g"))</f>
        <v>0</v>
      </c>
    </row>
    <row r="23" spans="1:31">
      <c r="A23" s="5">
        <f>IF(B23=" "," ",HYPERLINK(CONCATENATE("#metadata!",ADDRESS(INDEX($Q$2:$Q$1001,MATCH(ROWS($O$2:O23),$O$2:$O$1001,0),0),1)),INDEX($T$2:$T$1001,MATCH(ROWS($O$2:O23),$O$2:$O$1001,0),0)))</f>
        <v>0</v>
      </c>
      <c r="B23" s="4">
        <f>IF(OR(INDEX($P$2:$P$1001,MATCH(ROWS($O$2:O23),$O$2:$O$1001,0),1)&gt;=100000,INDEX($V$1005:$AE$1005,1,MATCH(COLUMNS($V$1006:V1006),$V$1006:$AE$1006,0))&gt;=100000), " ",IF(INDEX($V$2:$AE$1001,MATCH(ROWS($O$2:O23),$O$2:$O$1001,0),MATCH(COLUMNS($V$1006:V1006),$V$1006:$AE$1006,0)), HYPERLINK("#",""), HYPERLINK(CONCATENATE("#Metadata!", ADDRESS(INDEX($Q$2:$Q$1001,MATCH(ROWS($O$2:O23),$O$2:$O$1001,0),0), INDEX($V$1004:$AE$1004,1,MATCH(COLUMNS($V$1006:V1006),$V$1006:$AE$1006,0)))),"Fix")))</f>
        <v>0</v>
      </c>
      <c r="C23" s="4">
        <f>IF(OR(INDEX($P$2:$P$1001,MATCH(ROWS($O$2:O23),$O$2:$O$1001,0),1)&gt;=100000,INDEX($V$1005:$AE$1005,1,MATCH(COLUMNS($V$1006:W1006),$V$1006:$AE$1006,0))&gt;=100000), " ",IF(INDEX($V$2:$AE$1001,MATCH(ROWS($O$2:O23),$O$2:$O$1001,0),MATCH(COLUMNS($V$1006:W1006),$V$1006:$AE$1006,0)), HYPERLINK("#",""), HYPERLINK(CONCATENATE("#Metadata!", ADDRESS(INDEX($Q$2:$Q$1001,MATCH(ROWS($O$2:O23),$O$2:$O$1001,0),0), INDEX($V$1004:$AE$1004,1,MATCH(COLUMNS($V$1006:W1006),$V$1006:$AE$1006,0)))),"Fix")))</f>
        <v>0</v>
      </c>
      <c r="D23" s="4">
        <f>IF(OR(INDEX($P$2:$P$1001,MATCH(ROWS($O$2:O23),$O$2:$O$1001,0),1)&gt;=100000,INDEX($V$1005:$AE$1005,1,MATCH(COLUMNS($V$1006:X1006),$V$1006:$AE$1006,0))&gt;=100000), " ",IF(INDEX($V$2:$AE$1001,MATCH(ROWS($O$2:O23),$O$2:$O$1001,0),MATCH(COLUMNS($V$1006:X1006),$V$1006:$AE$1006,0)), HYPERLINK("#",""), HYPERLINK(CONCATENATE("#Metadata!", ADDRESS(INDEX($Q$2:$Q$1001,MATCH(ROWS($O$2:O23),$O$2:$O$1001,0),0), INDEX($V$1004:$AE$1004,1,MATCH(COLUMNS($V$1006:X1006),$V$1006:$AE$1006,0)))),"Fix")))</f>
        <v>0</v>
      </c>
      <c r="E23" s="4">
        <f>IF(OR(INDEX($P$2:$P$1001,MATCH(ROWS($O$2:O23),$O$2:$O$1001,0),1)&gt;=100000,INDEX($V$1005:$AE$1005,1,MATCH(COLUMNS($V$1006:Y1006),$V$1006:$AE$1006,0))&gt;=100000), " ",IF(INDEX($V$2:$AE$1001,MATCH(ROWS($O$2:O23),$O$2:$O$1001,0),MATCH(COLUMNS($V$1006:Y1006),$V$1006:$AE$1006,0)), HYPERLINK("#",""), HYPERLINK(CONCATENATE("#Metadata!", ADDRESS(INDEX($Q$2:$Q$1001,MATCH(ROWS($O$2:O23),$O$2:$O$1001,0),0), INDEX($V$1004:$AE$1004,1,MATCH(COLUMNS($V$1006:Y1006),$V$1006:$AE$1006,0)))),"Fix")))</f>
        <v>0</v>
      </c>
      <c r="F23" s="4">
        <f>IF(OR(INDEX($P$2:$P$1001,MATCH(ROWS($O$2:O23),$O$2:$O$1001,0),1)&gt;=100000,INDEX($V$1005:$AE$1005,1,MATCH(COLUMNS($V$1006:Z1006),$V$1006:$AE$1006,0))&gt;=100000), " ",IF(INDEX($V$2:$AE$1001,MATCH(ROWS($O$2:O23),$O$2:$O$1001,0),MATCH(COLUMNS($V$1006:Z1006),$V$1006:$AE$1006,0)), HYPERLINK("#",""), HYPERLINK(CONCATENATE("#Metadata!", ADDRESS(INDEX($Q$2:$Q$1001,MATCH(ROWS($O$2:O23),$O$2:$O$1001,0),0), INDEX($V$1004:$AE$1004,1,MATCH(COLUMNS($V$1006:Z1006),$V$1006:$AE$1006,0)))),"Fix")))</f>
        <v>0</v>
      </c>
      <c r="G23" s="4">
        <f>IF(OR(INDEX($P$2:$P$1001,MATCH(ROWS($O$2:O23),$O$2:$O$1001,0),1)&gt;=100000,INDEX($V$1005:$AE$1005,1,MATCH(COLUMNS($V$1006:AA1006),$V$1006:$AE$1006,0))&gt;=100000), " ",IF(INDEX($V$2:$AE$1001,MATCH(ROWS($O$2:O23),$O$2:$O$1001,0),MATCH(COLUMNS($V$1006:AA1006),$V$1006:$AE$1006,0)), HYPERLINK("#",""), HYPERLINK(CONCATENATE("#Metadata!", ADDRESS(INDEX($Q$2:$Q$1001,MATCH(ROWS($O$2:O23),$O$2:$O$1001,0),0), INDEX($V$1004:$AE$1004,1,MATCH(COLUMNS($V$1006:AA1006),$V$1006:$AE$1006,0)))),"Fix")))</f>
        <v>0</v>
      </c>
      <c r="H23" s="4">
        <f>IF(OR(INDEX($P$2:$P$1001,MATCH(ROWS($O$2:O23),$O$2:$O$1001,0),1)&gt;=100000,INDEX($V$1005:$AE$1005,1,MATCH(COLUMNS($V$1006:AB1006),$V$1006:$AE$1006,0))&gt;=100000), " ",IF(INDEX($V$2:$AE$1001,MATCH(ROWS($O$2:O23),$O$2:$O$1001,0),MATCH(COLUMNS($V$1006:AB1006),$V$1006:$AE$1006,0)), HYPERLINK("#",""), HYPERLINK(CONCATENATE("#Metadata!", ADDRESS(INDEX($Q$2:$Q$1001,MATCH(ROWS($O$2:O23),$O$2:$O$1001,0),0), INDEX($V$1004:$AE$1004,1,MATCH(COLUMNS($V$1006:AB1006),$V$1006:$AE$1006,0)))),"Fix")))</f>
        <v>0</v>
      </c>
      <c r="I23" s="4">
        <f>IF(OR(INDEX($P$2:$P$1001,MATCH(ROWS($O$2:O23),$O$2:$O$1001,0),1)&gt;=100000,INDEX($V$1005:$AE$1005,1,MATCH(COLUMNS($V$1006:AC1006),$V$1006:$AE$1006,0))&gt;=100000), " ",IF(INDEX($V$2:$AE$1001,MATCH(ROWS($O$2:O23),$O$2:$O$1001,0),MATCH(COLUMNS($V$1006:AC1006),$V$1006:$AE$1006,0)), HYPERLINK("#",""), HYPERLINK(CONCATENATE("#Metadata!", ADDRESS(INDEX($Q$2:$Q$1001,MATCH(ROWS($O$2:O23),$O$2:$O$1001,0),0), INDEX($V$1004:$AE$1004,1,MATCH(COLUMNS($V$1006:AC1006),$V$1006:$AE$1006,0)))),"Fix")))</f>
        <v>0</v>
      </c>
      <c r="J23" s="4">
        <f>IF(OR(INDEX($P$2:$P$1001,MATCH(ROWS($O$2:O23),$O$2:$O$1001,0),1)&gt;=100000,INDEX($V$1005:$AE$1005,1,MATCH(COLUMNS($V$1006:AD1006),$V$1006:$AE$1006,0))&gt;=100000), " ",IF(INDEX($V$2:$AE$1001,MATCH(ROWS($O$2:O23),$O$2:$O$1001,0),MATCH(COLUMNS($V$1006:AD1006),$V$1006:$AE$1006,0)), HYPERLINK("#",""), HYPERLINK(CONCATENATE("#Metadata!", ADDRESS(INDEX($Q$2:$Q$1001,MATCH(ROWS($O$2:O23),$O$2:$O$1001,0),0), INDEX($V$1004:$AE$1004,1,MATCH(COLUMNS($V$1006:AD1006),$V$1006:$AE$1006,0)))),"Fix")))</f>
        <v>0</v>
      </c>
      <c r="K23" s="4">
        <f>IF(OR(INDEX($P$2:$P$1001,MATCH(ROWS($O$2:O23),$O$2:$O$1001,0),1)&gt;=100000,INDEX($V$1005:$AE$1005,1,MATCH(COLUMNS($V$1006:AE1006),$V$1006:$AE$1006,0))&gt;=100000), " ",IF(INDEX($V$2:$AE$1001,MATCH(ROWS($O$2:O23),$O$2:$O$1001,0),MATCH(COLUMNS($V$1006:AE1006),$V$1006:$AE$1006,0)), HYPERLINK("#",""), HYPERLINK(CONCATENATE("#Metadata!", ADDRESS(INDEX($Q$2:$Q$1001,MATCH(ROWS($O$2:O23),$O$2:$O$1001,0),0), INDEX($V$1004:$AE$1004,1,MATCH(COLUMNS($V$1006:AE1006),$V$1006:$AE$1006,0)))),"Fix")))</f>
        <v>0</v>
      </c>
      <c r="O23">
        <v>0</v>
      </c>
      <c r="P23">
        <v>0</v>
      </c>
      <c r="Q23">
        <v>0</v>
      </c>
      <c r="R23">
        <f>IF(S23,TRUE,AND(V23:AE23))</f>
        <v>0</v>
      </c>
      <c r="S23">
        <f>COUNTBLANK(Metadata!B23:K23)=COLUMNS(Metadata!B23:K23)</f>
        <v>0</v>
      </c>
      <c r="T23">
        <v>0</v>
      </c>
      <c r="V23">
        <f>AND(IF(Metadata!B23="",FALSE,TRUE),COUNTIF(Metadata!B:B, Metadata!B23) = 1,NOT(ISERROR(SUMPRODUCT(SEARCH(MID(Metadata!B23,ROW(INDIRECT("1:"&amp;LEN(Metadata!B23))), 1),"0123456789abcdefghijklmnopqrstuvwxyzABCDEFGHIJKLMNOPQRSTUVWXYZ.")))))</f>
        <v>0</v>
      </c>
      <c r="W23">
        <f>AND(IF(Metadata!C23="",FALSE,TRUE),exact(Metadata!C23,"urban biome"))</f>
        <v>0</v>
      </c>
      <c r="X23">
        <f>AND(IF(Metadata!D23="",FALSE,TRUE),exact(Metadata!D23,"animal-associated habitat"))</f>
        <v>0</v>
      </c>
      <c r="Y23">
        <f>OR(AND(IF(Metadata!E23="",FALSE,TRUE),OR(exact(Metadata!E23,"not applicable"),exact(Metadata!E23,"missing: not collected"),exact(Metadata!E23,"missing: not provided"),exact(Metadata!E23,"missing: restricted access"))),AND(IF(Metadata!E23="",FALSE,ISNUMBER(VALUE(Metadata!E23))),Metadata!E23&gt;0))</f>
        <v>0</v>
      </c>
      <c r="Z23">
        <f>AND(IF(Metadata!F23="",FALSE,TRUE),exact(Metadata!F23,"weeks"))</f>
        <v>0</v>
      </c>
      <c r="AA23">
        <f>AND(IF(Metadata!G23="",FALSE,TRUE),exact(Metadata!G23,"mouse"))</f>
        <v>0</v>
      </c>
      <c r="AB23">
        <f>AND(IF(Metadata!H23="",FALSE,TRUE),exact(Metadata!H23,"Mus musculus"))</f>
        <v>0</v>
      </c>
      <c r="AC23">
        <f>AND(IF(Metadata!I23="",FALSE,TRUE),exact(Metadata!I23,"10090"))</f>
        <v>0</v>
      </c>
      <c r="AD23">
        <f>OR(AND(IF(Metadata!J23="",FALSE,TRUE),OR(exact(Metadata!J23,"not applicable"),exact(Metadata!J23,"missing: not collected"),exact(Metadata!J23,"missing: not provided"),exact(Metadata!J23,"missing: restricted access"))),AND(IF(Metadata!J23="",FALSE,ISNUMBER(VALUE(Metadata!J23))),Metadata!J23&gt;0))</f>
        <v>0</v>
      </c>
      <c r="AE23">
        <f>AND(IF(Metadata!K23="",FALSE,TRUE),exact(Metadata!K23,"g"))</f>
        <v>0</v>
      </c>
    </row>
    <row r="24" spans="1:31">
      <c r="A24" s="5">
        <f>IF(B24=" "," ",HYPERLINK(CONCATENATE("#metadata!",ADDRESS(INDEX($Q$2:$Q$1001,MATCH(ROWS($O$2:O24),$O$2:$O$1001,0),0),1)),INDEX($T$2:$T$1001,MATCH(ROWS($O$2:O24),$O$2:$O$1001,0),0)))</f>
        <v>0</v>
      </c>
      <c r="B24" s="4">
        <f>IF(OR(INDEX($P$2:$P$1001,MATCH(ROWS($O$2:O24),$O$2:$O$1001,0),1)&gt;=100000,INDEX($V$1005:$AE$1005,1,MATCH(COLUMNS($V$1006:V1006),$V$1006:$AE$1006,0))&gt;=100000), " ",IF(INDEX($V$2:$AE$1001,MATCH(ROWS($O$2:O24),$O$2:$O$1001,0),MATCH(COLUMNS($V$1006:V1006),$V$1006:$AE$1006,0)), HYPERLINK("#",""), HYPERLINK(CONCATENATE("#Metadata!", ADDRESS(INDEX($Q$2:$Q$1001,MATCH(ROWS($O$2:O24),$O$2:$O$1001,0),0), INDEX($V$1004:$AE$1004,1,MATCH(COLUMNS($V$1006:V1006),$V$1006:$AE$1006,0)))),"Fix")))</f>
        <v>0</v>
      </c>
      <c r="C24" s="4">
        <f>IF(OR(INDEX($P$2:$P$1001,MATCH(ROWS($O$2:O24),$O$2:$O$1001,0),1)&gt;=100000,INDEX($V$1005:$AE$1005,1,MATCH(COLUMNS($V$1006:W1006),$V$1006:$AE$1006,0))&gt;=100000), " ",IF(INDEX($V$2:$AE$1001,MATCH(ROWS($O$2:O24),$O$2:$O$1001,0),MATCH(COLUMNS($V$1006:W1006),$V$1006:$AE$1006,0)), HYPERLINK("#",""), HYPERLINK(CONCATENATE("#Metadata!", ADDRESS(INDEX($Q$2:$Q$1001,MATCH(ROWS($O$2:O24),$O$2:$O$1001,0),0), INDEX($V$1004:$AE$1004,1,MATCH(COLUMNS($V$1006:W1006),$V$1006:$AE$1006,0)))),"Fix")))</f>
        <v>0</v>
      </c>
      <c r="D24" s="4">
        <f>IF(OR(INDEX($P$2:$P$1001,MATCH(ROWS($O$2:O24),$O$2:$O$1001,0),1)&gt;=100000,INDEX($V$1005:$AE$1005,1,MATCH(COLUMNS($V$1006:X1006),$V$1006:$AE$1006,0))&gt;=100000), " ",IF(INDEX($V$2:$AE$1001,MATCH(ROWS($O$2:O24),$O$2:$O$1001,0),MATCH(COLUMNS($V$1006:X1006),$V$1006:$AE$1006,0)), HYPERLINK("#",""), HYPERLINK(CONCATENATE("#Metadata!", ADDRESS(INDEX($Q$2:$Q$1001,MATCH(ROWS($O$2:O24),$O$2:$O$1001,0),0), INDEX($V$1004:$AE$1004,1,MATCH(COLUMNS($V$1006:X1006),$V$1006:$AE$1006,0)))),"Fix")))</f>
        <v>0</v>
      </c>
      <c r="E24" s="4">
        <f>IF(OR(INDEX($P$2:$P$1001,MATCH(ROWS($O$2:O24),$O$2:$O$1001,0),1)&gt;=100000,INDEX($V$1005:$AE$1005,1,MATCH(COLUMNS($V$1006:Y1006),$V$1006:$AE$1006,0))&gt;=100000), " ",IF(INDEX($V$2:$AE$1001,MATCH(ROWS($O$2:O24),$O$2:$O$1001,0),MATCH(COLUMNS($V$1006:Y1006),$V$1006:$AE$1006,0)), HYPERLINK("#",""), HYPERLINK(CONCATENATE("#Metadata!", ADDRESS(INDEX($Q$2:$Q$1001,MATCH(ROWS($O$2:O24),$O$2:$O$1001,0),0), INDEX($V$1004:$AE$1004,1,MATCH(COLUMNS($V$1006:Y1006),$V$1006:$AE$1006,0)))),"Fix")))</f>
        <v>0</v>
      </c>
      <c r="F24" s="4">
        <f>IF(OR(INDEX($P$2:$P$1001,MATCH(ROWS($O$2:O24),$O$2:$O$1001,0),1)&gt;=100000,INDEX($V$1005:$AE$1005,1,MATCH(COLUMNS($V$1006:Z1006),$V$1006:$AE$1006,0))&gt;=100000), " ",IF(INDEX($V$2:$AE$1001,MATCH(ROWS($O$2:O24),$O$2:$O$1001,0),MATCH(COLUMNS($V$1006:Z1006),$V$1006:$AE$1006,0)), HYPERLINK("#",""), HYPERLINK(CONCATENATE("#Metadata!", ADDRESS(INDEX($Q$2:$Q$1001,MATCH(ROWS($O$2:O24),$O$2:$O$1001,0),0), INDEX($V$1004:$AE$1004,1,MATCH(COLUMNS($V$1006:Z1006),$V$1006:$AE$1006,0)))),"Fix")))</f>
        <v>0</v>
      </c>
      <c r="G24" s="4">
        <f>IF(OR(INDEX($P$2:$P$1001,MATCH(ROWS($O$2:O24),$O$2:$O$1001,0),1)&gt;=100000,INDEX($V$1005:$AE$1005,1,MATCH(COLUMNS($V$1006:AA1006),$V$1006:$AE$1006,0))&gt;=100000), " ",IF(INDEX($V$2:$AE$1001,MATCH(ROWS($O$2:O24),$O$2:$O$1001,0),MATCH(COLUMNS($V$1006:AA1006),$V$1006:$AE$1006,0)), HYPERLINK("#",""), HYPERLINK(CONCATENATE("#Metadata!", ADDRESS(INDEX($Q$2:$Q$1001,MATCH(ROWS($O$2:O24),$O$2:$O$1001,0),0), INDEX($V$1004:$AE$1004,1,MATCH(COLUMNS($V$1006:AA1006),$V$1006:$AE$1006,0)))),"Fix")))</f>
        <v>0</v>
      </c>
      <c r="H24" s="4">
        <f>IF(OR(INDEX($P$2:$P$1001,MATCH(ROWS($O$2:O24),$O$2:$O$1001,0),1)&gt;=100000,INDEX($V$1005:$AE$1005,1,MATCH(COLUMNS($V$1006:AB1006),$V$1006:$AE$1006,0))&gt;=100000), " ",IF(INDEX($V$2:$AE$1001,MATCH(ROWS($O$2:O24),$O$2:$O$1001,0),MATCH(COLUMNS($V$1006:AB1006),$V$1006:$AE$1006,0)), HYPERLINK("#",""), HYPERLINK(CONCATENATE("#Metadata!", ADDRESS(INDEX($Q$2:$Q$1001,MATCH(ROWS($O$2:O24),$O$2:$O$1001,0),0), INDEX($V$1004:$AE$1004,1,MATCH(COLUMNS($V$1006:AB1006),$V$1006:$AE$1006,0)))),"Fix")))</f>
        <v>0</v>
      </c>
      <c r="I24" s="4">
        <f>IF(OR(INDEX($P$2:$P$1001,MATCH(ROWS($O$2:O24),$O$2:$O$1001,0),1)&gt;=100000,INDEX($V$1005:$AE$1005,1,MATCH(COLUMNS($V$1006:AC1006),$V$1006:$AE$1006,0))&gt;=100000), " ",IF(INDEX($V$2:$AE$1001,MATCH(ROWS($O$2:O24),$O$2:$O$1001,0),MATCH(COLUMNS($V$1006:AC1006),$V$1006:$AE$1006,0)), HYPERLINK("#",""), HYPERLINK(CONCATENATE("#Metadata!", ADDRESS(INDEX($Q$2:$Q$1001,MATCH(ROWS($O$2:O24),$O$2:$O$1001,0),0), INDEX($V$1004:$AE$1004,1,MATCH(COLUMNS($V$1006:AC1006),$V$1006:$AE$1006,0)))),"Fix")))</f>
        <v>0</v>
      </c>
      <c r="J24" s="4">
        <f>IF(OR(INDEX($P$2:$P$1001,MATCH(ROWS($O$2:O24),$O$2:$O$1001,0),1)&gt;=100000,INDEX($V$1005:$AE$1005,1,MATCH(COLUMNS($V$1006:AD1006),$V$1006:$AE$1006,0))&gt;=100000), " ",IF(INDEX($V$2:$AE$1001,MATCH(ROWS($O$2:O24),$O$2:$O$1001,0),MATCH(COLUMNS($V$1006:AD1006),$V$1006:$AE$1006,0)), HYPERLINK("#",""), HYPERLINK(CONCATENATE("#Metadata!", ADDRESS(INDEX($Q$2:$Q$1001,MATCH(ROWS($O$2:O24),$O$2:$O$1001,0),0), INDEX($V$1004:$AE$1004,1,MATCH(COLUMNS($V$1006:AD1006),$V$1006:$AE$1006,0)))),"Fix")))</f>
        <v>0</v>
      </c>
      <c r="K24" s="4">
        <f>IF(OR(INDEX($P$2:$P$1001,MATCH(ROWS($O$2:O24),$O$2:$O$1001,0),1)&gt;=100000,INDEX($V$1005:$AE$1005,1,MATCH(COLUMNS($V$1006:AE1006),$V$1006:$AE$1006,0))&gt;=100000), " ",IF(INDEX($V$2:$AE$1001,MATCH(ROWS($O$2:O24),$O$2:$O$1001,0),MATCH(COLUMNS($V$1006:AE1006),$V$1006:$AE$1006,0)), HYPERLINK("#",""), HYPERLINK(CONCATENATE("#Metadata!", ADDRESS(INDEX($Q$2:$Q$1001,MATCH(ROWS($O$2:O24),$O$2:$O$1001,0),0), INDEX($V$1004:$AE$1004,1,MATCH(COLUMNS($V$1006:AE1006),$V$1006:$AE$1006,0)))),"Fix")))</f>
        <v>0</v>
      </c>
      <c r="O24">
        <v>0</v>
      </c>
      <c r="P24">
        <v>0</v>
      </c>
      <c r="Q24">
        <v>0</v>
      </c>
      <c r="R24">
        <f>IF(S24,TRUE,AND(V24:AE24))</f>
        <v>0</v>
      </c>
      <c r="S24">
        <f>COUNTBLANK(Metadata!B24:K24)=COLUMNS(Metadata!B24:K24)</f>
        <v>0</v>
      </c>
      <c r="T24">
        <v>0</v>
      </c>
      <c r="V24">
        <f>AND(IF(Metadata!B24="",FALSE,TRUE),COUNTIF(Metadata!B:B, Metadata!B24) = 1,NOT(ISERROR(SUMPRODUCT(SEARCH(MID(Metadata!B24,ROW(INDIRECT("1:"&amp;LEN(Metadata!B24))), 1),"0123456789abcdefghijklmnopqrstuvwxyzABCDEFGHIJKLMNOPQRSTUVWXYZ.")))))</f>
        <v>0</v>
      </c>
      <c r="W24">
        <f>AND(IF(Metadata!C24="",FALSE,TRUE),exact(Metadata!C24,"urban biome"))</f>
        <v>0</v>
      </c>
      <c r="X24">
        <f>AND(IF(Metadata!D24="",FALSE,TRUE),exact(Metadata!D24,"animal-associated habitat"))</f>
        <v>0</v>
      </c>
      <c r="Y24">
        <f>OR(AND(IF(Metadata!E24="",FALSE,TRUE),OR(exact(Metadata!E24,"not applicable"),exact(Metadata!E24,"missing: not collected"),exact(Metadata!E24,"missing: not provided"),exact(Metadata!E24,"missing: restricted access"))),AND(IF(Metadata!E24="",FALSE,ISNUMBER(VALUE(Metadata!E24))),Metadata!E24&gt;0))</f>
        <v>0</v>
      </c>
      <c r="Z24">
        <f>AND(IF(Metadata!F24="",FALSE,TRUE),exact(Metadata!F24,"weeks"))</f>
        <v>0</v>
      </c>
      <c r="AA24">
        <f>AND(IF(Metadata!G24="",FALSE,TRUE),exact(Metadata!G24,"mouse"))</f>
        <v>0</v>
      </c>
      <c r="AB24">
        <f>AND(IF(Metadata!H24="",FALSE,TRUE),exact(Metadata!H24,"Mus musculus"))</f>
        <v>0</v>
      </c>
      <c r="AC24">
        <f>AND(IF(Metadata!I24="",FALSE,TRUE),exact(Metadata!I24,"10090"))</f>
        <v>0</v>
      </c>
      <c r="AD24">
        <f>OR(AND(IF(Metadata!J24="",FALSE,TRUE),OR(exact(Metadata!J24,"not applicable"),exact(Metadata!J24,"missing: not collected"),exact(Metadata!J24,"missing: not provided"),exact(Metadata!J24,"missing: restricted access"))),AND(IF(Metadata!J24="",FALSE,ISNUMBER(VALUE(Metadata!J24))),Metadata!J24&gt;0))</f>
        <v>0</v>
      </c>
      <c r="AE24">
        <f>AND(IF(Metadata!K24="",FALSE,TRUE),exact(Metadata!K24,"g"))</f>
        <v>0</v>
      </c>
    </row>
    <row r="25" spans="1:31">
      <c r="A25" s="5">
        <f>IF(B25=" "," ",HYPERLINK(CONCATENATE("#metadata!",ADDRESS(INDEX($Q$2:$Q$1001,MATCH(ROWS($O$2:O25),$O$2:$O$1001,0),0),1)),INDEX($T$2:$T$1001,MATCH(ROWS($O$2:O25),$O$2:$O$1001,0),0)))</f>
        <v>0</v>
      </c>
      <c r="B25" s="4">
        <f>IF(OR(INDEX($P$2:$P$1001,MATCH(ROWS($O$2:O25),$O$2:$O$1001,0),1)&gt;=100000,INDEX($V$1005:$AE$1005,1,MATCH(COLUMNS($V$1006:V1006),$V$1006:$AE$1006,0))&gt;=100000), " ",IF(INDEX($V$2:$AE$1001,MATCH(ROWS($O$2:O25),$O$2:$O$1001,0),MATCH(COLUMNS($V$1006:V1006),$V$1006:$AE$1006,0)), HYPERLINK("#",""), HYPERLINK(CONCATENATE("#Metadata!", ADDRESS(INDEX($Q$2:$Q$1001,MATCH(ROWS($O$2:O25),$O$2:$O$1001,0),0), INDEX($V$1004:$AE$1004,1,MATCH(COLUMNS($V$1006:V1006),$V$1006:$AE$1006,0)))),"Fix")))</f>
        <v>0</v>
      </c>
      <c r="C25" s="4">
        <f>IF(OR(INDEX($P$2:$P$1001,MATCH(ROWS($O$2:O25),$O$2:$O$1001,0),1)&gt;=100000,INDEX($V$1005:$AE$1005,1,MATCH(COLUMNS($V$1006:W1006),$V$1006:$AE$1006,0))&gt;=100000), " ",IF(INDEX($V$2:$AE$1001,MATCH(ROWS($O$2:O25),$O$2:$O$1001,0),MATCH(COLUMNS($V$1006:W1006),$V$1006:$AE$1006,0)), HYPERLINK("#",""), HYPERLINK(CONCATENATE("#Metadata!", ADDRESS(INDEX($Q$2:$Q$1001,MATCH(ROWS($O$2:O25),$O$2:$O$1001,0),0), INDEX($V$1004:$AE$1004,1,MATCH(COLUMNS($V$1006:W1006),$V$1006:$AE$1006,0)))),"Fix")))</f>
        <v>0</v>
      </c>
      <c r="D25" s="4">
        <f>IF(OR(INDEX($P$2:$P$1001,MATCH(ROWS($O$2:O25),$O$2:$O$1001,0),1)&gt;=100000,INDEX($V$1005:$AE$1005,1,MATCH(COLUMNS($V$1006:X1006),$V$1006:$AE$1006,0))&gt;=100000), " ",IF(INDEX($V$2:$AE$1001,MATCH(ROWS($O$2:O25),$O$2:$O$1001,0),MATCH(COLUMNS($V$1006:X1006),$V$1006:$AE$1006,0)), HYPERLINK("#",""), HYPERLINK(CONCATENATE("#Metadata!", ADDRESS(INDEX($Q$2:$Q$1001,MATCH(ROWS($O$2:O25),$O$2:$O$1001,0),0), INDEX($V$1004:$AE$1004,1,MATCH(COLUMNS($V$1006:X1006),$V$1006:$AE$1006,0)))),"Fix")))</f>
        <v>0</v>
      </c>
      <c r="E25" s="4">
        <f>IF(OR(INDEX($P$2:$P$1001,MATCH(ROWS($O$2:O25),$O$2:$O$1001,0),1)&gt;=100000,INDEX($V$1005:$AE$1005,1,MATCH(COLUMNS($V$1006:Y1006),$V$1006:$AE$1006,0))&gt;=100000), " ",IF(INDEX($V$2:$AE$1001,MATCH(ROWS($O$2:O25),$O$2:$O$1001,0),MATCH(COLUMNS($V$1006:Y1006),$V$1006:$AE$1006,0)), HYPERLINK("#",""), HYPERLINK(CONCATENATE("#Metadata!", ADDRESS(INDEX($Q$2:$Q$1001,MATCH(ROWS($O$2:O25),$O$2:$O$1001,0),0), INDEX($V$1004:$AE$1004,1,MATCH(COLUMNS($V$1006:Y1006),$V$1006:$AE$1006,0)))),"Fix")))</f>
        <v>0</v>
      </c>
      <c r="F25" s="4">
        <f>IF(OR(INDEX($P$2:$P$1001,MATCH(ROWS($O$2:O25),$O$2:$O$1001,0),1)&gt;=100000,INDEX($V$1005:$AE$1005,1,MATCH(COLUMNS($V$1006:Z1006),$V$1006:$AE$1006,0))&gt;=100000), " ",IF(INDEX($V$2:$AE$1001,MATCH(ROWS($O$2:O25),$O$2:$O$1001,0),MATCH(COLUMNS($V$1006:Z1006),$V$1006:$AE$1006,0)), HYPERLINK("#",""), HYPERLINK(CONCATENATE("#Metadata!", ADDRESS(INDEX($Q$2:$Q$1001,MATCH(ROWS($O$2:O25),$O$2:$O$1001,0),0), INDEX($V$1004:$AE$1004,1,MATCH(COLUMNS($V$1006:Z1006),$V$1006:$AE$1006,0)))),"Fix")))</f>
        <v>0</v>
      </c>
      <c r="G25" s="4">
        <f>IF(OR(INDEX($P$2:$P$1001,MATCH(ROWS($O$2:O25),$O$2:$O$1001,0),1)&gt;=100000,INDEX($V$1005:$AE$1005,1,MATCH(COLUMNS($V$1006:AA1006),$V$1006:$AE$1006,0))&gt;=100000), " ",IF(INDEX($V$2:$AE$1001,MATCH(ROWS($O$2:O25),$O$2:$O$1001,0),MATCH(COLUMNS($V$1006:AA1006),$V$1006:$AE$1006,0)), HYPERLINK("#",""), HYPERLINK(CONCATENATE("#Metadata!", ADDRESS(INDEX($Q$2:$Q$1001,MATCH(ROWS($O$2:O25),$O$2:$O$1001,0),0), INDEX($V$1004:$AE$1004,1,MATCH(COLUMNS($V$1006:AA1006),$V$1006:$AE$1006,0)))),"Fix")))</f>
        <v>0</v>
      </c>
      <c r="H25" s="4">
        <f>IF(OR(INDEX($P$2:$P$1001,MATCH(ROWS($O$2:O25),$O$2:$O$1001,0),1)&gt;=100000,INDEX($V$1005:$AE$1005,1,MATCH(COLUMNS($V$1006:AB1006),$V$1006:$AE$1006,0))&gt;=100000), " ",IF(INDEX($V$2:$AE$1001,MATCH(ROWS($O$2:O25),$O$2:$O$1001,0),MATCH(COLUMNS($V$1006:AB1006),$V$1006:$AE$1006,0)), HYPERLINK("#",""), HYPERLINK(CONCATENATE("#Metadata!", ADDRESS(INDEX($Q$2:$Q$1001,MATCH(ROWS($O$2:O25),$O$2:$O$1001,0),0), INDEX($V$1004:$AE$1004,1,MATCH(COLUMNS($V$1006:AB1006),$V$1006:$AE$1006,0)))),"Fix")))</f>
        <v>0</v>
      </c>
      <c r="I25" s="4">
        <f>IF(OR(INDEX($P$2:$P$1001,MATCH(ROWS($O$2:O25),$O$2:$O$1001,0),1)&gt;=100000,INDEX($V$1005:$AE$1005,1,MATCH(COLUMNS($V$1006:AC1006),$V$1006:$AE$1006,0))&gt;=100000), " ",IF(INDEX($V$2:$AE$1001,MATCH(ROWS($O$2:O25),$O$2:$O$1001,0),MATCH(COLUMNS($V$1006:AC1006),$V$1006:$AE$1006,0)), HYPERLINK("#",""), HYPERLINK(CONCATENATE("#Metadata!", ADDRESS(INDEX($Q$2:$Q$1001,MATCH(ROWS($O$2:O25),$O$2:$O$1001,0),0), INDEX($V$1004:$AE$1004,1,MATCH(COLUMNS($V$1006:AC1006),$V$1006:$AE$1006,0)))),"Fix")))</f>
        <v>0</v>
      </c>
      <c r="J25" s="4">
        <f>IF(OR(INDEX($P$2:$P$1001,MATCH(ROWS($O$2:O25),$O$2:$O$1001,0),1)&gt;=100000,INDEX($V$1005:$AE$1005,1,MATCH(COLUMNS($V$1006:AD1006),$V$1006:$AE$1006,0))&gt;=100000), " ",IF(INDEX($V$2:$AE$1001,MATCH(ROWS($O$2:O25),$O$2:$O$1001,0),MATCH(COLUMNS($V$1006:AD1006),$V$1006:$AE$1006,0)), HYPERLINK("#",""), HYPERLINK(CONCATENATE("#Metadata!", ADDRESS(INDEX($Q$2:$Q$1001,MATCH(ROWS($O$2:O25),$O$2:$O$1001,0),0), INDEX($V$1004:$AE$1004,1,MATCH(COLUMNS($V$1006:AD1006),$V$1006:$AE$1006,0)))),"Fix")))</f>
        <v>0</v>
      </c>
      <c r="K25" s="4">
        <f>IF(OR(INDEX($P$2:$P$1001,MATCH(ROWS($O$2:O25),$O$2:$O$1001,0),1)&gt;=100000,INDEX($V$1005:$AE$1005,1,MATCH(COLUMNS($V$1006:AE1006),$V$1006:$AE$1006,0))&gt;=100000), " ",IF(INDEX($V$2:$AE$1001,MATCH(ROWS($O$2:O25),$O$2:$O$1001,0),MATCH(COLUMNS($V$1006:AE1006),$V$1006:$AE$1006,0)), HYPERLINK("#",""), HYPERLINK(CONCATENATE("#Metadata!", ADDRESS(INDEX($Q$2:$Q$1001,MATCH(ROWS($O$2:O25),$O$2:$O$1001,0),0), INDEX($V$1004:$AE$1004,1,MATCH(COLUMNS($V$1006:AE1006),$V$1006:$AE$1006,0)))),"Fix")))</f>
        <v>0</v>
      </c>
      <c r="O25">
        <v>0</v>
      </c>
      <c r="P25">
        <v>0</v>
      </c>
      <c r="Q25">
        <v>0</v>
      </c>
      <c r="R25">
        <f>IF(S25,TRUE,AND(V25:AE25))</f>
        <v>0</v>
      </c>
      <c r="S25">
        <f>COUNTBLANK(Metadata!B25:K25)=COLUMNS(Metadata!B25:K25)</f>
        <v>0</v>
      </c>
      <c r="T25">
        <v>0</v>
      </c>
      <c r="V25">
        <f>AND(IF(Metadata!B25="",FALSE,TRUE),COUNTIF(Metadata!B:B, Metadata!B25) = 1,NOT(ISERROR(SUMPRODUCT(SEARCH(MID(Metadata!B25,ROW(INDIRECT("1:"&amp;LEN(Metadata!B25))), 1),"0123456789abcdefghijklmnopqrstuvwxyzABCDEFGHIJKLMNOPQRSTUVWXYZ.")))))</f>
        <v>0</v>
      </c>
      <c r="W25">
        <f>AND(IF(Metadata!C25="",FALSE,TRUE),exact(Metadata!C25,"urban biome"))</f>
        <v>0</v>
      </c>
      <c r="X25">
        <f>AND(IF(Metadata!D25="",FALSE,TRUE),exact(Metadata!D25,"animal-associated habitat"))</f>
        <v>0</v>
      </c>
      <c r="Y25">
        <f>OR(AND(IF(Metadata!E25="",FALSE,TRUE),OR(exact(Metadata!E25,"not applicable"),exact(Metadata!E25,"missing: not collected"),exact(Metadata!E25,"missing: not provided"),exact(Metadata!E25,"missing: restricted access"))),AND(IF(Metadata!E25="",FALSE,ISNUMBER(VALUE(Metadata!E25))),Metadata!E25&gt;0))</f>
        <v>0</v>
      </c>
      <c r="Z25">
        <f>AND(IF(Metadata!F25="",FALSE,TRUE),exact(Metadata!F25,"weeks"))</f>
        <v>0</v>
      </c>
      <c r="AA25">
        <f>AND(IF(Metadata!G25="",FALSE,TRUE),exact(Metadata!G25,"mouse"))</f>
        <v>0</v>
      </c>
      <c r="AB25">
        <f>AND(IF(Metadata!H25="",FALSE,TRUE),exact(Metadata!H25,"Mus musculus"))</f>
        <v>0</v>
      </c>
      <c r="AC25">
        <f>AND(IF(Metadata!I25="",FALSE,TRUE),exact(Metadata!I25,"10090"))</f>
        <v>0</v>
      </c>
      <c r="AD25">
        <f>OR(AND(IF(Metadata!J25="",FALSE,TRUE),OR(exact(Metadata!J25,"not applicable"),exact(Metadata!J25,"missing: not collected"),exact(Metadata!J25,"missing: not provided"),exact(Metadata!J25,"missing: restricted access"))),AND(IF(Metadata!J25="",FALSE,ISNUMBER(VALUE(Metadata!J25))),Metadata!J25&gt;0))</f>
        <v>0</v>
      </c>
      <c r="AE25">
        <f>AND(IF(Metadata!K25="",FALSE,TRUE),exact(Metadata!K25,"g"))</f>
        <v>0</v>
      </c>
    </row>
    <row r="26" spans="1:31">
      <c r="A26" s="5">
        <f>IF(B26=" "," ",HYPERLINK(CONCATENATE("#metadata!",ADDRESS(INDEX($Q$2:$Q$1001,MATCH(ROWS($O$2:O26),$O$2:$O$1001,0),0),1)),INDEX($T$2:$T$1001,MATCH(ROWS($O$2:O26),$O$2:$O$1001,0),0)))</f>
        <v>0</v>
      </c>
      <c r="B26" s="4">
        <f>IF(OR(INDEX($P$2:$P$1001,MATCH(ROWS($O$2:O26),$O$2:$O$1001,0),1)&gt;=100000,INDEX($V$1005:$AE$1005,1,MATCH(COLUMNS($V$1006:V1006),$V$1006:$AE$1006,0))&gt;=100000), " ",IF(INDEX($V$2:$AE$1001,MATCH(ROWS($O$2:O26),$O$2:$O$1001,0),MATCH(COLUMNS($V$1006:V1006),$V$1006:$AE$1006,0)), HYPERLINK("#",""), HYPERLINK(CONCATENATE("#Metadata!", ADDRESS(INDEX($Q$2:$Q$1001,MATCH(ROWS($O$2:O26),$O$2:$O$1001,0),0), INDEX($V$1004:$AE$1004,1,MATCH(COLUMNS($V$1006:V1006),$V$1006:$AE$1006,0)))),"Fix")))</f>
        <v>0</v>
      </c>
      <c r="C26" s="4">
        <f>IF(OR(INDEX($P$2:$P$1001,MATCH(ROWS($O$2:O26),$O$2:$O$1001,0),1)&gt;=100000,INDEX($V$1005:$AE$1005,1,MATCH(COLUMNS($V$1006:W1006),$V$1006:$AE$1006,0))&gt;=100000), " ",IF(INDEX($V$2:$AE$1001,MATCH(ROWS($O$2:O26),$O$2:$O$1001,0),MATCH(COLUMNS($V$1006:W1006),$V$1006:$AE$1006,0)), HYPERLINK("#",""), HYPERLINK(CONCATENATE("#Metadata!", ADDRESS(INDEX($Q$2:$Q$1001,MATCH(ROWS($O$2:O26),$O$2:$O$1001,0),0), INDEX($V$1004:$AE$1004,1,MATCH(COLUMNS($V$1006:W1006),$V$1006:$AE$1006,0)))),"Fix")))</f>
        <v>0</v>
      </c>
      <c r="D26" s="4">
        <f>IF(OR(INDEX($P$2:$P$1001,MATCH(ROWS($O$2:O26),$O$2:$O$1001,0),1)&gt;=100000,INDEX($V$1005:$AE$1005,1,MATCH(COLUMNS($V$1006:X1006),$V$1006:$AE$1006,0))&gt;=100000), " ",IF(INDEX($V$2:$AE$1001,MATCH(ROWS($O$2:O26),$O$2:$O$1001,0),MATCH(COLUMNS($V$1006:X1006),$V$1006:$AE$1006,0)), HYPERLINK("#",""), HYPERLINK(CONCATENATE("#Metadata!", ADDRESS(INDEX($Q$2:$Q$1001,MATCH(ROWS($O$2:O26),$O$2:$O$1001,0),0), INDEX($V$1004:$AE$1004,1,MATCH(COLUMNS($V$1006:X1006),$V$1006:$AE$1006,0)))),"Fix")))</f>
        <v>0</v>
      </c>
      <c r="E26" s="4">
        <f>IF(OR(INDEX($P$2:$P$1001,MATCH(ROWS($O$2:O26),$O$2:$O$1001,0),1)&gt;=100000,INDEX($V$1005:$AE$1005,1,MATCH(COLUMNS($V$1006:Y1006),$V$1006:$AE$1006,0))&gt;=100000), " ",IF(INDEX($V$2:$AE$1001,MATCH(ROWS($O$2:O26),$O$2:$O$1001,0),MATCH(COLUMNS($V$1006:Y1006),$V$1006:$AE$1006,0)), HYPERLINK("#",""), HYPERLINK(CONCATENATE("#Metadata!", ADDRESS(INDEX($Q$2:$Q$1001,MATCH(ROWS($O$2:O26),$O$2:$O$1001,0),0), INDEX($V$1004:$AE$1004,1,MATCH(COLUMNS($V$1006:Y1006),$V$1006:$AE$1006,0)))),"Fix")))</f>
        <v>0</v>
      </c>
      <c r="F26" s="4">
        <f>IF(OR(INDEX($P$2:$P$1001,MATCH(ROWS($O$2:O26),$O$2:$O$1001,0),1)&gt;=100000,INDEX($V$1005:$AE$1005,1,MATCH(COLUMNS($V$1006:Z1006),$V$1006:$AE$1006,0))&gt;=100000), " ",IF(INDEX($V$2:$AE$1001,MATCH(ROWS($O$2:O26),$O$2:$O$1001,0),MATCH(COLUMNS($V$1006:Z1006),$V$1006:$AE$1006,0)), HYPERLINK("#",""), HYPERLINK(CONCATENATE("#Metadata!", ADDRESS(INDEX($Q$2:$Q$1001,MATCH(ROWS($O$2:O26),$O$2:$O$1001,0),0), INDEX($V$1004:$AE$1004,1,MATCH(COLUMNS($V$1006:Z1006),$V$1006:$AE$1006,0)))),"Fix")))</f>
        <v>0</v>
      </c>
      <c r="G26" s="4">
        <f>IF(OR(INDEX($P$2:$P$1001,MATCH(ROWS($O$2:O26),$O$2:$O$1001,0),1)&gt;=100000,INDEX($V$1005:$AE$1005,1,MATCH(COLUMNS($V$1006:AA1006),$V$1006:$AE$1006,0))&gt;=100000), " ",IF(INDEX($V$2:$AE$1001,MATCH(ROWS($O$2:O26),$O$2:$O$1001,0),MATCH(COLUMNS($V$1006:AA1006),$V$1006:$AE$1006,0)), HYPERLINK("#",""), HYPERLINK(CONCATENATE("#Metadata!", ADDRESS(INDEX($Q$2:$Q$1001,MATCH(ROWS($O$2:O26),$O$2:$O$1001,0),0), INDEX($V$1004:$AE$1004,1,MATCH(COLUMNS($V$1006:AA1006),$V$1006:$AE$1006,0)))),"Fix")))</f>
        <v>0</v>
      </c>
      <c r="H26" s="4">
        <f>IF(OR(INDEX($P$2:$P$1001,MATCH(ROWS($O$2:O26),$O$2:$O$1001,0),1)&gt;=100000,INDEX($V$1005:$AE$1005,1,MATCH(COLUMNS($V$1006:AB1006),$V$1006:$AE$1006,0))&gt;=100000), " ",IF(INDEX($V$2:$AE$1001,MATCH(ROWS($O$2:O26),$O$2:$O$1001,0),MATCH(COLUMNS($V$1006:AB1006),$V$1006:$AE$1006,0)), HYPERLINK("#",""), HYPERLINK(CONCATENATE("#Metadata!", ADDRESS(INDEX($Q$2:$Q$1001,MATCH(ROWS($O$2:O26),$O$2:$O$1001,0),0), INDEX($V$1004:$AE$1004,1,MATCH(COLUMNS($V$1006:AB1006),$V$1006:$AE$1006,0)))),"Fix")))</f>
        <v>0</v>
      </c>
      <c r="I26" s="4">
        <f>IF(OR(INDEX($P$2:$P$1001,MATCH(ROWS($O$2:O26),$O$2:$O$1001,0),1)&gt;=100000,INDEX($V$1005:$AE$1005,1,MATCH(COLUMNS($V$1006:AC1006),$V$1006:$AE$1006,0))&gt;=100000), " ",IF(INDEX($V$2:$AE$1001,MATCH(ROWS($O$2:O26),$O$2:$O$1001,0),MATCH(COLUMNS($V$1006:AC1006),$V$1006:$AE$1006,0)), HYPERLINK("#",""), HYPERLINK(CONCATENATE("#Metadata!", ADDRESS(INDEX($Q$2:$Q$1001,MATCH(ROWS($O$2:O26),$O$2:$O$1001,0),0), INDEX($V$1004:$AE$1004,1,MATCH(COLUMNS($V$1006:AC1006),$V$1006:$AE$1006,0)))),"Fix")))</f>
        <v>0</v>
      </c>
      <c r="J26" s="4">
        <f>IF(OR(INDEX($P$2:$P$1001,MATCH(ROWS($O$2:O26),$O$2:$O$1001,0),1)&gt;=100000,INDEX($V$1005:$AE$1005,1,MATCH(COLUMNS($V$1006:AD1006),$V$1006:$AE$1006,0))&gt;=100000), " ",IF(INDEX($V$2:$AE$1001,MATCH(ROWS($O$2:O26),$O$2:$O$1001,0),MATCH(COLUMNS($V$1006:AD1006),$V$1006:$AE$1006,0)), HYPERLINK("#",""), HYPERLINK(CONCATENATE("#Metadata!", ADDRESS(INDEX($Q$2:$Q$1001,MATCH(ROWS($O$2:O26),$O$2:$O$1001,0),0), INDEX($V$1004:$AE$1004,1,MATCH(COLUMNS($V$1006:AD1006),$V$1006:$AE$1006,0)))),"Fix")))</f>
        <v>0</v>
      </c>
      <c r="K26" s="4">
        <f>IF(OR(INDEX($P$2:$P$1001,MATCH(ROWS($O$2:O26),$O$2:$O$1001,0),1)&gt;=100000,INDEX($V$1005:$AE$1005,1,MATCH(COLUMNS($V$1006:AE1006),$V$1006:$AE$1006,0))&gt;=100000), " ",IF(INDEX($V$2:$AE$1001,MATCH(ROWS($O$2:O26),$O$2:$O$1001,0),MATCH(COLUMNS($V$1006:AE1006),$V$1006:$AE$1006,0)), HYPERLINK("#",""), HYPERLINK(CONCATENATE("#Metadata!", ADDRESS(INDEX($Q$2:$Q$1001,MATCH(ROWS($O$2:O26),$O$2:$O$1001,0),0), INDEX($V$1004:$AE$1004,1,MATCH(COLUMNS($V$1006:AE1006),$V$1006:$AE$1006,0)))),"Fix")))</f>
        <v>0</v>
      </c>
      <c r="O26">
        <v>0</v>
      </c>
      <c r="P26">
        <v>0</v>
      </c>
      <c r="Q26">
        <v>0</v>
      </c>
      <c r="R26">
        <f>IF(S26,TRUE,AND(V26:AE26))</f>
        <v>0</v>
      </c>
      <c r="S26">
        <f>COUNTBLANK(Metadata!B26:K26)=COLUMNS(Metadata!B26:K26)</f>
        <v>0</v>
      </c>
      <c r="T26">
        <v>0</v>
      </c>
      <c r="V26">
        <f>AND(IF(Metadata!B26="",FALSE,TRUE),COUNTIF(Metadata!B:B, Metadata!B26) = 1,NOT(ISERROR(SUMPRODUCT(SEARCH(MID(Metadata!B26,ROW(INDIRECT("1:"&amp;LEN(Metadata!B26))), 1),"0123456789abcdefghijklmnopqrstuvwxyzABCDEFGHIJKLMNOPQRSTUVWXYZ.")))))</f>
        <v>0</v>
      </c>
      <c r="W26">
        <f>AND(IF(Metadata!C26="",FALSE,TRUE),exact(Metadata!C26,"urban biome"))</f>
        <v>0</v>
      </c>
      <c r="X26">
        <f>AND(IF(Metadata!D26="",FALSE,TRUE),exact(Metadata!D26,"animal-associated habitat"))</f>
        <v>0</v>
      </c>
      <c r="Y26">
        <f>OR(AND(IF(Metadata!E26="",FALSE,TRUE),OR(exact(Metadata!E26,"not applicable"),exact(Metadata!E26,"missing: not collected"),exact(Metadata!E26,"missing: not provided"),exact(Metadata!E26,"missing: restricted access"))),AND(IF(Metadata!E26="",FALSE,ISNUMBER(VALUE(Metadata!E26))),Metadata!E26&gt;0))</f>
        <v>0</v>
      </c>
      <c r="Z26">
        <f>AND(IF(Metadata!F26="",FALSE,TRUE),exact(Metadata!F26,"weeks"))</f>
        <v>0</v>
      </c>
      <c r="AA26">
        <f>AND(IF(Metadata!G26="",FALSE,TRUE),exact(Metadata!G26,"mouse"))</f>
        <v>0</v>
      </c>
      <c r="AB26">
        <f>AND(IF(Metadata!H26="",FALSE,TRUE),exact(Metadata!H26,"Mus musculus"))</f>
        <v>0</v>
      </c>
      <c r="AC26">
        <f>AND(IF(Metadata!I26="",FALSE,TRUE),exact(Metadata!I26,"10090"))</f>
        <v>0</v>
      </c>
      <c r="AD26">
        <f>OR(AND(IF(Metadata!J26="",FALSE,TRUE),OR(exact(Metadata!J26,"not applicable"),exact(Metadata!J26,"missing: not collected"),exact(Metadata!J26,"missing: not provided"),exact(Metadata!J26,"missing: restricted access"))),AND(IF(Metadata!J26="",FALSE,ISNUMBER(VALUE(Metadata!J26))),Metadata!J26&gt;0))</f>
        <v>0</v>
      </c>
      <c r="AE26">
        <f>AND(IF(Metadata!K26="",FALSE,TRUE),exact(Metadata!K26,"g"))</f>
        <v>0</v>
      </c>
    </row>
    <row r="27" spans="1:31">
      <c r="A27" s="5">
        <f>IF(B27=" "," ",HYPERLINK(CONCATENATE("#metadata!",ADDRESS(INDEX($Q$2:$Q$1001,MATCH(ROWS($O$2:O27),$O$2:$O$1001,0),0),1)),INDEX($T$2:$T$1001,MATCH(ROWS($O$2:O27),$O$2:$O$1001,0),0)))</f>
        <v>0</v>
      </c>
      <c r="B27" s="4">
        <f>IF(OR(INDEX($P$2:$P$1001,MATCH(ROWS($O$2:O27),$O$2:$O$1001,0),1)&gt;=100000,INDEX($V$1005:$AE$1005,1,MATCH(COLUMNS($V$1006:V1006),$V$1006:$AE$1006,0))&gt;=100000), " ",IF(INDEX($V$2:$AE$1001,MATCH(ROWS($O$2:O27),$O$2:$O$1001,0),MATCH(COLUMNS($V$1006:V1006),$V$1006:$AE$1006,0)), HYPERLINK("#",""), HYPERLINK(CONCATENATE("#Metadata!", ADDRESS(INDEX($Q$2:$Q$1001,MATCH(ROWS($O$2:O27),$O$2:$O$1001,0),0), INDEX($V$1004:$AE$1004,1,MATCH(COLUMNS($V$1006:V1006),$V$1006:$AE$1006,0)))),"Fix")))</f>
        <v>0</v>
      </c>
      <c r="C27" s="4">
        <f>IF(OR(INDEX($P$2:$P$1001,MATCH(ROWS($O$2:O27),$O$2:$O$1001,0),1)&gt;=100000,INDEX($V$1005:$AE$1005,1,MATCH(COLUMNS($V$1006:W1006),$V$1006:$AE$1006,0))&gt;=100000), " ",IF(INDEX($V$2:$AE$1001,MATCH(ROWS($O$2:O27),$O$2:$O$1001,0),MATCH(COLUMNS($V$1006:W1006),$V$1006:$AE$1006,0)), HYPERLINK("#",""), HYPERLINK(CONCATENATE("#Metadata!", ADDRESS(INDEX($Q$2:$Q$1001,MATCH(ROWS($O$2:O27),$O$2:$O$1001,0),0), INDEX($V$1004:$AE$1004,1,MATCH(COLUMNS($V$1006:W1006),$V$1006:$AE$1006,0)))),"Fix")))</f>
        <v>0</v>
      </c>
      <c r="D27" s="4">
        <f>IF(OR(INDEX($P$2:$P$1001,MATCH(ROWS($O$2:O27),$O$2:$O$1001,0),1)&gt;=100000,INDEX($V$1005:$AE$1005,1,MATCH(COLUMNS($V$1006:X1006),$V$1006:$AE$1006,0))&gt;=100000), " ",IF(INDEX($V$2:$AE$1001,MATCH(ROWS($O$2:O27),$O$2:$O$1001,0),MATCH(COLUMNS($V$1006:X1006),$V$1006:$AE$1006,0)), HYPERLINK("#",""), HYPERLINK(CONCATENATE("#Metadata!", ADDRESS(INDEX($Q$2:$Q$1001,MATCH(ROWS($O$2:O27),$O$2:$O$1001,0),0), INDEX($V$1004:$AE$1004,1,MATCH(COLUMNS($V$1006:X1006),$V$1006:$AE$1006,0)))),"Fix")))</f>
        <v>0</v>
      </c>
      <c r="E27" s="4">
        <f>IF(OR(INDEX($P$2:$P$1001,MATCH(ROWS($O$2:O27),$O$2:$O$1001,0),1)&gt;=100000,INDEX($V$1005:$AE$1005,1,MATCH(COLUMNS($V$1006:Y1006),$V$1006:$AE$1006,0))&gt;=100000), " ",IF(INDEX($V$2:$AE$1001,MATCH(ROWS($O$2:O27),$O$2:$O$1001,0),MATCH(COLUMNS($V$1006:Y1006),$V$1006:$AE$1006,0)), HYPERLINK("#",""), HYPERLINK(CONCATENATE("#Metadata!", ADDRESS(INDEX($Q$2:$Q$1001,MATCH(ROWS($O$2:O27),$O$2:$O$1001,0),0), INDEX($V$1004:$AE$1004,1,MATCH(COLUMNS($V$1006:Y1006),$V$1006:$AE$1006,0)))),"Fix")))</f>
        <v>0</v>
      </c>
      <c r="F27" s="4">
        <f>IF(OR(INDEX($P$2:$P$1001,MATCH(ROWS($O$2:O27),$O$2:$O$1001,0),1)&gt;=100000,INDEX($V$1005:$AE$1005,1,MATCH(COLUMNS($V$1006:Z1006),$V$1006:$AE$1006,0))&gt;=100000), " ",IF(INDEX($V$2:$AE$1001,MATCH(ROWS($O$2:O27),$O$2:$O$1001,0),MATCH(COLUMNS($V$1006:Z1006),$V$1006:$AE$1006,0)), HYPERLINK("#",""), HYPERLINK(CONCATENATE("#Metadata!", ADDRESS(INDEX($Q$2:$Q$1001,MATCH(ROWS($O$2:O27),$O$2:$O$1001,0),0), INDEX($V$1004:$AE$1004,1,MATCH(COLUMNS($V$1006:Z1006),$V$1006:$AE$1006,0)))),"Fix")))</f>
        <v>0</v>
      </c>
      <c r="G27" s="4">
        <f>IF(OR(INDEX($P$2:$P$1001,MATCH(ROWS($O$2:O27),$O$2:$O$1001,0),1)&gt;=100000,INDEX($V$1005:$AE$1005,1,MATCH(COLUMNS($V$1006:AA1006),$V$1006:$AE$1006,0))&gt;=100000), " ",IF(INDEX($V$2:$AE$1001,MATCH(ROWS($O$2:O27),$O$2:$O$1001,0),MATCH(COLUMNS($V$1006:AA1006),$V$1006:$AE$1006,0)), HYPERLINK("#",""), HYPERLINK(CONCATENATE("#Metadata!", ADDRESS(INDEX($Q$2:$Q$1001,MATCH(ROWS($O$2:O27),$O$2:$O$1001,0),0), INDEX($V$1004:$AE$1004,1,MATCH(COLUMNS($V$1006:AA1006),$V$1006:$AE$1006,0)))),"Fix")))</f>
        <v>0</v>
      </c>
      <c r="H27" s="4">
        <f>IF(OR(INDEX($P$2:$P$1001,MATCH(ROWS($O$2:O27),$O$2:$O$1001,0),1)&gt;=100000,INDEX($V$1005:$AE$1005,1,MATCH(COLUMNS($V$1006:AB1006),$V$1006:$AE$1006,0))&gt;=100000), " ",IF(INDEX($V$2:$AE$1001,MATCH(ROWS($O$2:O27),$O$2:$O$1001,0),MATCH(COLUMNS($V$1006:AB1006),$V$1006:$AE$1006,0)), HYPERLINK("#",""), HYPERLINK(CONCATENATE("#Metadata!", ADDRESS(INDEX($Q$2:$Q$1001,MATCH(ROWS($O$2:O27),$O$2:$O$1001,0),0), INDEX($V$1004:$AE$1004,1,MATCH(COLUMNS($V$1006:AB1006),$V$1006:$AE$1006,0)))),"Fix")))</f>
        <v>0</v>
      </c>
      <c r="I27" s="4">
        <f>IF(OR(INDEX($P$2:$P$1001,MATCH(ROWS($O$2:O27),$O$2:$O$1001,0),1)&gt;=100000,INDEX($V$1005:$AE$1005,1,MATCH(COLUMNS($V$1006:AC1006),$V$1006:$AE$1006,0))&gt;=100000), " ",IF(INDEX($V$2:$AE$1001,MATCH(ROWS($O$2:O27),$O$2:$O$1001,0),MATCH(COLUMNS($V$1006:AC1006),$V$1006:$AE$1006,0)), HYPERLINK("#",""), HYPERLINK(CONCATENATE("#Metadata!", ADDRESS(INDEX($Q$2:$Q$1001,MATCH(ROWS($O$2:O27),$O$2:$O$1001,0),0), INDEX($V$1004:$AE$1004,1,MATCH(COLUMNS($V$1006:AC1006),$V$1006:$AE$1006,0)))),"Fix")))</f>
        <v>0</v>
      </c>
      <c r="J27" s="4">
        <f>IF(OR(INDEX($P$2:$P$1001,MATCH(ROWS($O$2:O27),$O$2:$O$1001,0),1)&gt;=100000,INDEX($V$1005:$AE$1005,1,MATCH(COLUMNS($V$1006:AD1006),$V$1006:$AE$1006,0))&gt;=100000), " ",IF(INDEX($V$2:$AE$1001,MATCH(ROWS($O$2:O27),$O$2:$O$1001,0),MATCH(COLUMNS($V$1006:AD1006),$V$1006:$AE$1006,0)), HYPERLINK("#",""), HYPERLINK(CONCATENATE("#Metadata!", ADDRESS(INDEX($Q$2:$Q$1001,MATCH(ROWS($O$2:O27),$O$2:$O$1001,0),0), INDEX($V$1004:$AE$1004,1,MATCH(COLUMNS($V$1006:AD1006),$V$1006:$AE$1006,0)))),"Fix")))</f>
        <v>0</v>
      </c>
      <c r="K27" s="4">
        <f>IF(OR(INDEX($P$2:$P$1001,MATCH(ROWS($O$2:O27),$O$2:$O$1001,0),1)&gt;=100000,INDEX($V$1005:$AE$1005,1,MATCH(COLUMNS($V$1006:AE1006),$V$1006:$AE$1006,0))&gt;=100000), " ",IF(INDEX($V$2:$AE$1001,MATCH(ROWS($O$2:O27),$O$2:$O$1001,0),MATCH(COLUMNS($V$1006:AE1006),$V$1006:$AE$1006,0)), HYPERLINK("#",""), HYPERLINK(CONCATENATE("#Metadata!", ADDRESS(INDEX($Q$2:$Q$1001,MATCH(ROWS($O$2:O27),$O$2:$O$1001,0),0), INDEX($V$1004:$AE$1004,1,MATCH(COLUMNS($V$1006:AE1006),$V$1006:$AE$1006,0)))),"Fix")))</f>
        <v>0</v>
      </c>
      <c r="O27">
        <v>0</v>
      </c>
      <c r="P27">
        <v>0</v>
      </c>
      <c r="Q27">
        <v>0</v>
      </c>
      <c r="R27">
        <f>IF(S27,TRUE,AND(V27:AE27))</f>
        <v>0</v>
      </c>
      <c r="S27">
        <f>COUNTBLANK(Metadata!B27:K27)=COLUMNS(Metadata!B27:K27)</f>
        <v>0</v>
      </c>
      <c r="T27">
        <v>0</v>
      </c>
      <c r="V27">
        <f>AND(IF(Metadata!B27="",FALSE,TRUE),COUNTIF(Metadata!B:B, Metadata!B27) = 1,NOT(ISERROR(SUMPRODUCT(SEARCH(MID(Metadata!B27,ROW(INDIRECT("1:"&amp;LEN(Metadata!B27))), 1),"0123456789abcdefghijklmnopqrstuvwxyzABCDEFGHIJKLMNOPQRSTUVWXYZ.")))))</f>
        <v>0</v>
      </c>
      <c r="W27">
        <f>AND(IF(Metadata!C27="",FALSE,TRUE),exact(Metadata!C27,"urban biome"))</f>
        <v>0</v>
      </c>
      <c r="X27">
        <f>AND(IF(Metadata!D27="",FALSE,TRUE),exact(Metadata!D27,"animal-associated habitat"))</f>
        <v>0</v>
      </c>
      <c r="Y27">
        <f>OR(AND(IF(Metadata!E27="",FALSE,TRUE),OR(exact(Metadata!E27,"not applicable"),exact(Metadata!E27,"missing: not collected"),exact(Metadata!E27,"missing: not provided"),exact(Metadata!E27,"missing: restricted access"))),AND(IF(Metadata!E27="",FALSE,ISNUMBER(VALUE(Metadata!E27))),Metadata!E27&gt;0))</f>
        <v>0</v>
      </c>
      <c r="Z27">
        <f>AND(IF(Metadata!F27="",FALSE,TRUE),exact(Metadata!F27,"weeks"))</f>
        <v>0</v>
      </c>
      <c r="AA27">
        <f>AND(IF(Metadata!G27="",FALSE,TRUE),exact(Metadata!G27,"mouse"))</f>
        <v>0</v>
      </c>
      <c r="AB27">
        <f>AND(IF(Metadata!H27="",FALSE,TRUE),exact(Metadata!H27,"Mus musculus"))</f>
        <v>0</v>
      </c>
      <c r="AC27">
        <f>AND(IF(Metadata!I27="",FALSE,TRUE),exact(Metadata!I27,"10090"))</f>
        <v>0</v>
      </c>
      <c r="AD27">
        <f>OR(AND(IF(Metadata!J27="",FALSE,TRUE),OR(exact(Metadata!J27,"not applicable"),exact(Metadata!J27,"missing: not collected"),exact(Metadata!J27,"missing: not provided"),exact(Metadata!J27,"missing: restricted access"))),AND(IF(Metadata!J27="",FALSE,ISNUMBER(VALUE(Metadata!J27))),Metadata!J27&gt;0))</f>
        <v>0</v>
      </c>
      <c r="AE27">
        <f>AND(IF(Metadata!K27="",FALSE,TRUE),exact(Metadata!K27,"g"))</f>
        <v>0</v>
      </c>
    </row>
    <row r="28" spans="1:31">
      <c r="A28" s="5">
        <f>IF(B28=" "," ",HYPERLINK(CONCATENATE("#metadata!",ADDRESS(INDEX($Q$2:$Q$1001,MATCH(ROWS($O$2:O28),$O$2:$O$1001,0),0),1)),INDEX($T$2:$T$1001,MATCH(ROWS($O$2:O28),$O$2:$O$1001,0),0)))</f>
        <v>0</v>
      </c>
      <c r="B28" s="4">
        <f>IF(OR(INDEX($P$2:$P$1001,MATCH(ROWS($O$2:O28),$O$2:$O$1001,0),1)&gt;=100000,INDEX($V$1005:$AE$1005,1,MATCH(COLUMNS($V$1006:V1006),$V$1006:$AE$1006,0))&gt;=100000), " ",IF(INDEX($V$2:$AE$1001,MATCH(ROWS($O$2:O28),$O$2:$O$1001,0),MATCH(COLUMNS($V$1006:V1006),$V$1006:$AE$1006,0)), HYPERLINK("#",""), HYPERLINK(CONCATENATE("#Metadata!", ADDRESS(INDEX($Q$2:$Q$1001,MATCH(ROWS($O$2:O28),$O$2:$O$1001,0),0), INDEX($V$1004:$AE$1004,1,MATCH(COLUMNS($V$1006:V1006),$V$1006:$AE$1006,0)))),"Fix")))</f>
        <v>0</v>
      </c>
      <c r="C28" s="4">
        <f>IF(OR(INDEX($P$2:$P$1001,MATCH(ROWS($O$2:O28),$O$2:$O$1001,0),1)&gt;=100000,INDEX($V$1005:$AE$1005,1,MATCH(COLUMNS($V$1006:W1006),$V$1006:$AE$1006,0))&gt;=100000), " ",IF(INDEX($V$2:$AE$1001,MATCH(ROWS($O$2:O28),$O$2:$O$1001,0),MATCH(COLUMNS($V$1006:W1006),$V$1006:$AE$1006,0)), HYPERLINK("#",""), HYPERLINK(CONCATENATE("#Metadata!", ADDRESS(INDEX($Q$2:$Q$1001,MATCH(ROWS($O$2:O28),$O$2:$O$1001,0),0), INDEX($V$1004:$AE$1004,1,MATCH(COLUMNS($V$1006:W1006),$V$1006:$AE$1006,0)))),"Fix")))</f>
        <v>0</v>
      </c>
      <c r="D28" s="4">
        <f>IF(OR(INDEX($P$2:$P$1001,MATCH(ROWS($O$2:O28),$O$2:$O$1001,0),1)&gt;=100000,INDEX($V$1005:$AE$1005,1,MATCH(COLUMNS($V$1006:X1006),$V$1006:$AE$1006,0))&gt;=100000), " ",IF(INDEX($V$2:$AE$1001,MATCH(ROWS($O$2:O28),$O$2:$O$1001,0),MATCH(COLUMNS($V$1006:X1006),$V$1006:$AE$1006,0)), HYPERLINK("#",""), HYPERLINK(CONCATENATE("#Metadata!", ADDRESS(INDEX($Q$2:$Q$1001,MATCH(ROWS($O$2:O28),$O$2:$O$1001,0),0), INDEX($V$1004:$AE$1004,1,MATCH(COLUMNS($V$1006:X1006),$V$1006:$AE$1006,0)))),"Fix")))</f>
        <v>0</v>
      </c>
      <c r="E28" s="4">
        <f>IF(OR(INDEX($P$2:$P$1001,MATCH(ROWS($O$2:O28),$O$2:$O$1001,0),1)&gt;=100000,INDEX($V$1005:$AE$1005,1,MATCH(COLUMNS($V$1006:Y1006),$V$1006:$AE$1006,0))&gt;=100000), " ",IF(INDEX($V$2:$AE$1001,MATCH(ROWS($O$2:O28),$O$2:$O$1001,0),MATCH(COLUMNS($V$1006:Y1006),$V$1006:$AE$1006,0)), HYPERLINK("#",""), HYPERLINK(CONCATENATE("#Metadata!", ADDRESS(INDEX($Q$2:$Q$1001,MATCH(ROWS($O$2:O28),$O$2:$O$1001,0),0), INDEX($V$1004:$AE$1004,1,MATCH(COLUMNS($V$1006:Y1006),$V$1006:$AE$1006,0)))),"Fix")))</f>
        <v>0</v>
      </c>
      <c r="F28" s="4">
        <f>IF(OR(INDEX($P$2:$P$1001,MATCH(ROWS($O$2:O28),$O$2:$O$1001,0),1)&gt;=100000,INDEX($V$1005:$AE$1005,1,MATCH(COLUMNS($V$1006:Z1006),$V$1006:$AE$1006,0))&gt;=100000), " ",IF(INDEX($V$2:$AE$1001,MATCH(ROWS($O$2:O28),$O$2:$O$1001,0),MATCH(COLUMNS($V$1006:Z1006),$V$1006:$AE$1006,0)), HYPERLINK("#",""), HYPERLINK(CONCATENATE("#Metadata!", ADDRESS(INDEX($Q$2:$Q$1001,MATCH(ROWS($O$2:O28),$O$2:$O$1001,0),0), INDEX($V$1004:$AE$1004,1,MATCH(COLUMNS($V$1006:Z1006),$V$1006:$AE$1006,0)))),"Fix")))</f>
        <v>0</v>
      </c>
      <c r="G28" s="4">
        <f>IF(OR(INDEX($P$2:$P$1001,MATCH(ROWS($O$2:O28),$O$2:$O$1001,0),1)&gt;=100000,INDEX($V$1005:$AE$1005,1,MATCH(COLUMNS($V$1006:AA1006),$V$1006:$AE$1006,0))&gt;=100000), " ",IF(INDEX($V$2:$AE$1001,MATCH(ROWS($O$2:O28),$O$2:$O$1001,0),MATCH(COLUMNS($V$1006:AA1006),$V$1006:$AE$1006,0)), HYPERLINK("#",""), HYPERLINK(CONCATENATE("#Metadata!", ADDRESS(INDEX($Q$2:$Q$1001,MATCH(ROWS($O$2:O28),$O$2:$O$1001,0),0), INDEX($V$1004:$AE$1004,1,MATCH(COLUMNS($V$1006:AA1006),$V$1006:$AE$1006,0)))),"Fix")))</f>
        <v>0</v>
      </c>
      <c r="H28" s="4">
        <f>IF(OR(INDEX($P$2:$P$1001,MATCH(ROWS($O$2:O28),$O$2:$O$1001,0),1)&gt;=100000,INDEX($V$1005:$AE$1005,1,MATCH(COLUMNS($V$1006:AB1006),$V$1006:$AE$1006,0))&gt;=100000), " ",IF(INDEX($V$2:$AE$1001,MATCH(ROWS($O$2:O28),$O$2:$O$1001,0),MATCH(COLUMNS($V$1006:AB1006),$V$1006:$AE$1006,0)), HYPERLINK("#",""), HYPERLINK(CONCATENATE("#Metadata!", ADDRESS(INDEX($Q$2:$Q$1001,MATCH(ROWS($O$2:O28),$O$2:$O$1001,0),0), INDEX($V$1004:$AE$1004,1,MATCH(COLUMNS($V$1006:AB1006),$V$1006:$AE$1006,0)))),"Fix")))</f>
        <v>0</v>
      </c>
      <c r="I28" s="4">
        <f>IF(OR(INDEX($P$2:$P$1001,MATCH(ROWS($O$2:O28),$O$2:$O$1001,0),1)&gt;=100000,INDEX($V$1005:$AE$1005,1,MATCH(COLUMNS($V$1006:AC1006),$V$1006:$AE$1006,0))&gt;=100000), " ",IF(INDEX($V$2:$AE$1001,MATCH(ROWS($O$2:O28),$O$2:$O$1001,0),MATCH(COLUMNS($V$1006:AC1006),$V$1006:$AE$1006,0)), HYPERLINK("#",""), HYPERLINK(CONCATENATE("#Metadata!", ADDRESS(INDEX($Q$2:$Q$1001,MATCH(ROWS($O$2:O28),$O$2:$O$1001,0),0), INDEX($V$1004:$AE$1004,1,MATCH(COLUMNS($V$1006:AC1006),$V$1006:$AE$1006,0)))),"Fix")))</f>
        <v>0</v>
      </c>
      <c r="J28" s="4">
        <f>IF(OR(INDEX($P$2:$P$1001,MATCH(ROWS($O$2:O28),$O$2:$O$1001,0),1)&gt;=100000,INDEX($V$1005:$AE$1005,1,MATCH(COLUMNS($V$1006:AD1006),$V$1006:$AE$1006,0))&gt;=100000), " ",IF(INDEX($V$2:$AE$1001,MATCH(ROWS($O$2:O28),$O$2:$O$1001,0),MATCH(COLUMNS($V$1006:AD1006),$V$1006:$AE$1006,0)), HYPERLINK("#",""), HYPERLINK(CONCATENATE("#Metadata!", ADDRESS(INDEX($Q$2:$Q$1001,MATCH(ROWS($O$2:O28),$O$2:$O$1001,0),0), INDEX($V$1004:$AE$1004,1,MATCH(COLUMNS($V$1006:AD1006),$V$1006:$AE$1006,0)))),"Fix")))</f>
        <v>0</v>
      </c>
      <c r="K28" s="4">
        <f>IF(OR(INDEX($P$2:$P$1001,MATCH(ROWS($O$2:O28),$O$2:$O$1001,0),1)&gt;=100000,INDEX($V$1005:$AE$1005,1,MATCH(COLUMNS($V$1006:AE1006),$V$1006:$AE$1006,0))&gt;=100000), " ",IF(INDEX($V$2:$AE$1001,MATCH(ROWS($O$2:O28),$O$2:$O$1001,0),MATCH(COLUMNS($V$1006:AE1006),$V$1006:$AE$1006,0)), HYPERLINK("#",""), HYPERLINK(CONCATENATE("#Metadata!", ADDRESS(INDEX($Q$2:$Q$1001,MATCH(ROWS($O$2:O28),$O$2:$O$1001,0),0), INDEX($V$1004:$AE$1004,1,MATCH(COLUMNS($V$1006:AE1006),$V$1006:$AE$1006,0)))),"Fix")))</f>
        <v>0</v>
      </c>
      <c r="O28">
        <v>0</v>
      </c>
      <c r="P28">
        <v>0</v>
      </c>
      <c r="Q28">
        <v>0</v>
      </c>
      <c r="R28">
        <f>IF(S28,TRUE,AND(V28:AE28))</f>
        <v>0</v>
      </c>
      <c r="S28">
        <f>COUNTBLANK(Metadata!B28:K28)=COLUMNS(Metadata!B28:K28)</f>
        <v>0</v>
      </c>
      <c r="T28">
        <v>0</v>
      </c>
      <c r="V28">
        <f>AND(IF(Metadata!B28="",FALSE,TRUE),COUNTIF(Metadata!B:B, Metadata!B28) = 1,NOT(ISERROR(SUMPRODUCT(SEARCH(MID(Metadata!B28,ROW(INDIRECT("1:"&amp;LEN(Metadata!B28))), 1),"0123456789abcdefghijklmnopqrstuvwxyzABCDEFGHIJKLMNOPQRSTUVWXYZ.")))))</f>
        <v>0</v>
      </c>
      <c r="W28">
        <f>AND(IF(Metadata!C28="",FALSE,TRUE),exact(Metadata!C28,"urban biome"))</f>
        <v>0</v>
      </c>
      <c r="X28">
        <f>AND(IF(Metadata!D28="",FALSE,TRUE),exact(Metadata!D28,"animal-associated habitat"))</f>
        <v>0</v>
      </c>
      <c r="Y28">
        <f>OR(AND(IF(Metadata!E28="",FALSE,TRUE),OR(exact(Metadata!E28,"not applicable"),exact(Metadata!E28,"missing: not collected"),exact(Metadata!E28,"missing: not provided"),exact(Metadata!E28,"missing: restricted access"))),AND(IF(Metadata!E28="",FALSE,ISNUMBER(VALUE(Metadata!E28))),Metadata!E28&gt;0))</f>
        <v>0</v>
      </c>
      <c r="Z28">
        <f>AND(IF(Metadata!F28="",FALSE,TRUE),exact(Metadata!F28,"weeks"))</f>
        <v>0</v>
      </c>
      <c r="AA28">
        <f>AND(IF(Metadata!G28="",FALSE,TRUE),exact(Metadata!G28,"mouse"))</f>
        <v>0</v>
      </c>
      <c r="AB28">
        <f>AND(IF(Metadata!H28="",FALSE,TRUE),exact(Metadata!H28,"Mus musculus"))</f>
        <v>0</v>
      </c>
      <c r="AC28">
        <f>AND(IF(Metadata!I28="",FALSE,TRUE),exact(Metadata!I28,"10090"))</f>
        <v>0</v>
      </c>
      <c r="AD28">
        <f>OR(AND(IF(Metadata!J28="",FALSE,TRUE),OR(exact(Metadata!J28,"not applicable"),exact(Metadata!J28,"missing: not collected"),exact(Metadata!J28,"missing: not provided"),exact(Metadata!J28,"missing: restricted access"))),AND(IF(Metadata!J28="",FALSE,ISNUMBER(VALUE(Metadata!J28))),Metadata!J28&gt;0))</f>
        <v>0</v>
      </c>
      <c r="AE28">
        <f>AND(IF(Metadata!K28="",FALSE,TRUE),exact(Metadata!K28,"g"))</f>
        <v>0</v>
      </c>
    </row>
    <row r="29" spans="1:31">
      <c r="A29" s="5">
        <f>IF(B29=" "," ",HYPERLINK(CONCATENATE("#metadata!",ADDRESS(INDEX($Q$2:$Q$1001,MATCH(ROWS($O$2:O29),$O$2:$O$1001,0),0),1)),INDEX($T$2:$T$1001,MATCH(ROWS($O$2:O29),$O$2:$O$1001,0),0)))</f>
        <v>0</v>
      </c>
      <c r="B29" s="4">
        <f>IF(OR(INDEX($P$2:$P$1001,MATCH(ROWS($O$2:O29),$O$2:$O$1001,0),1)&gt;=100000,INDEX($V$1005:$AE$1005,1,MATCH(COLUMNS($V$1006:V1006),$V$1006:$AE$1006,0))&gt;=100000), " ",IF(INDEX($V$2:$AE$1001,MATCH(ROWS($O$2:O29),$O$2:$O$1001,0),MATCH(COLUMNS($V$1006:V1006),$V$1006:$AE$1006,0)), HYPERLINK("#",""), HYPERLINK(CONCATENATE("#Metadata!", ADDRESS(INDEX($Q$2:$Q$1001,MATCH(ROWS($O$2:O29),$O$2:$O$1001,0),0), INDEX($V$1004:$AE$1004,1,MATCH(COLUMNS($V$1006:V1006),$V$1006:$AE$1006,0)))),"Fix")))</f>
        <v>0</v>
      </c>
      <c r="C29" s="4">
        <f>IF(OR(INDEX($P$2:$P$1001,MATCH(ROWS($O$2:O29),$O$2:$O$1001,0),1)&gt;=100000,INDEX($V$1005:$AE$1005,1,MATCH(COLUMNS($V$1006:W1006),$V$1006:$AE$1006,0))&gt;=100000), " ",IF(INDEX($V$2:$AE$1001,MATCH(ROWS($O$2:O29),$O$2:$O$1001,0),MATCH(COLUMNS($V$1006:W1006),$V$1006:$AE$1006,0)), HYPERLINK("#",""), HYPERLINK(CONCATENATE("#Metadata!", ADDRESS(INDEX($Q$2:$Q$1001,MATCH(ROWS($O$2:O29),$O$2:$O$1001,0),0), INDEX($V$1004:$AE$1004,1,MATCH(COLUMNS($V$1006:W1006),$V$1006:$AE$1006,0)))),"Fix")))</f>
        <v>0</v>
      </c>
      <c r="D29" s="4">
        <f>IF(OR(INDEX($P$2:$P$1001,MATCH(ROWS($O$2:O29),$O$2:$O$1001,0),1)&gt;=100000,INDEX($V$1005:$AE$1005,1,MATCH(COLUMNS($V$1006:X1006),$V$1006:$AE$1006,0))&gt;=100000), " ",IF(INDEX($V$2:$AE$1001,MATCH(ROWS($O$2:O29),$O$2:$O$1001,0),MATCH(COLUMNS($V$1006:X1006),$V$1006:$AE$1006,0)), HYPERLINK("#",""), HYPERLINK(CONCATENATE("#Metadata!", ADDRESS(INDEX($Q$2:$Q$1001,MATCH(ROWS($O$2:O29),$O$2:$O$1001,0),0), INDEX($V$1004:$AE$1004,1,MATCH(COLUMNS($V$1006:X1006),$V$1006:$AE$1006,0)))),"Fix")))</f>
        <v>0</v>
      </c>
      <c r="E29" s="4">
        <f>IF(OR(INDEX($P$2:$P$1001,MATCH(ROWS($O$2:O29),$O$2:$O$1001,0),1)&gt;=100000,INDEX($V$1005:$AE$1005,1,MATCH(COLUMNS($V$1006:Y1006),$V$1006:$AE$1006,0))&gt;=100000), " ",IF(INDEX($V$2:$AE$1001,MATCH(ROWS($O$2:O29),$O$2:$O$1001,0),MATCH(COLUMNS($V$1006:Y1006),$V$1006:$AE$1006,0)), HYPERLINK("#",""), HYPERLINK(CONCATENATE("#Metadata!", ADDRESS(INDEX($Q$2:$Q$1001,MATCH(ROWS($O$2:O29),$O$2:$O$1001,0),0), INDEX($V$1004:$AE$1004,1,MATCH(COLUMNS($V$1006:Y1006),$V$1006:$AE$1006,0)))),"Fix")))</f>
        <v>0</v>
      </c>
      <c r="F29" s="4">
        <f>IF(OR(INDEX($P$2:$P$1001,MATCH(ROWS($O$2:O29),$O$2:$O$1001,0),1)&gt;=100000,INDEX($V$1005:$AE$1005,1,MATCH(COLUMNS($V$1006:Z1006),$V$1006:$AE$1006,0))&gt;=100000), " ",IF(INDEX($V$2:$AE$1001,MATCH(ROWS($O$2:O29),$O$2:$O$1001,0),MATCH(COLUMNS($V$1006:Z1006),$V$1006:$AE$1006,0)), HYPERLINK("#",""), HYPERLINK(CONCATENATE("#Metadata!", ADDRESS(INDEX($Q$2:$Q$1001,MATCH(ROWS($O$2:O29),$O$2:$O$1001,0),0), INDEX($V$1004:$AE$1004,1,MATCH(COLUMNS($V$1006:Z1006),$V$1006:$AE$1006,0)))),"Fix")))</f>
        <v>0</v>
      </c>
      <c r="G29" s="4">
        <f>IF(OR(INDEX($P$2:$P$1001,MATCH(ROWS($O$2:O29),$O$2:$O$1001,0),1)&gt;=100000,INDEX($V$1005:$AE$1005,1,MATCH(COLUMNS($V$1006:AA1006),$V$1006:$AE$1006,0))&gt;=100000), " ",IF(INDEX($V$2:$AE$1001,MATCH(ROWS($O$2:O29),$O$2:$O$1001,0),MATCH(COLUMNS($V$1006:AA1006),$V$1006:$AE$1006,0)), HYPERLINK("#",""), HYPERLINK(CONCATENATE("#Metadata!", ADDRESS(INDEX($Q$2:$Q$1001,MATCH(ROWS($O$2:O29),$O$2:$O$1001,0),0), INDEX($V$1004:$AE$1004,1,MATCH(COLUMNS($V$1006:AA1006),$V$1006:$AE$1006,0)))),"Fix")))</f>
        <v>0</v>
      </c>
      <c r="H29" s="4">
        <f>IF(OR(INDEX($P$2:$P$1001,MATCH(ROWS($O$2:O29),$O$2:$O$1001,0),1)&gt;=100000,INDEX($V$1005:$AE$1005,1,MATCH(COLUMNS($V$1006:AB1006),$V$1006:$AE$1006,0))&gt;=100000), " ",IF(INDEX($V$2:$AE$1001,MATCH(ROWS($O$2:O29),$O$2:$O$1001,0),MATCH(COLUMNS($V$1006:AB1006),$V$1006:$AE$1006,0)), HYPERLINK("#",""), HYPERLINK(CONCATENATE("#Metadata!", ADDRESS(INDEX($Q$2:$Q$1001,MATCH(ROWS($O$2:O29),$O$2:$O$1001,0),0), INDEX($V$1004:$AE$1004,1,MATCH(COLUMNS($V$1006:AB1006),$V$1006:$AE$1006,0)))),"Fix")))</f>
        <v>0</v>
      </c>
      <c r="I29" s="4">
        <f>IF(OR(INDEX($P$2:$P$1001,MATCH(ROWS($O$2:O29),$O$2:$O$1001,0),1)&gt;=100000,INDEX($V$1005:$AE$1005,1,MATCH(COLUMNS($V$1006:AC1006),$V$1006:$AE$1006,0))&gt;=100000), " ",IF(INDEX($V$2:$AE$1001,MATCH(ROWS($O$2:O29),$O$2:$O$1001,0),MATCH(COLUMNS($V$1006:AC1006),$V$1006:$AE$1006,0)), HYPERLINK("#",""), HYPERLINK(CONCATENATE("#Metadata!", ADDRESS(INDEX($Q$2:$Q$1001,MATCH(ROWS($O$2:O29),$O$2:$O$1001,0),0), INDEX($V$1004:$AE$1004,1,MATCH(COLUMNS($V$1006:AC1006),$V$1006:$AE$1006,0)))),"Fix")))</f>
        <v>0</v>
      </c>
      <c r="J29" s="4">
        <f>IF(OR(INDEX($P$2:$P$1001,MATCH(ROWS($O$2:O29),$O$2:$O$1001,0),1)&gt;=100000,INDEX($V$1005:$AE$1005,1,MATCH(COLUMNS($V$1006:AD1006),$V$1006:$AE$1006,0))&gt;=100000), " ",IF(INDEX($V$2:$AE$1001,MATCH(ROWS($O$2:O29),$O$2:$O$1001,0),MATCH(COLUMNS($V$1006:AD1006),$V$1006:$AE$1006,0)), HYPERLINK("#",""), HYPERLINK(CONCATENATE("#Metadata!", ADDRESS(INDEX($Q$2:$Q$1001,MATCH(ROWS($O$2:O29),$O$2:$O$1001,0),0), INDEX($V$1004:$AE$1004,1,MATCH(COLUMNS($V$1006:AD1006),$V$1006:$AE$1006,0)))),"Fix")))</f>
        <v>0</v>
      </c>
      <c r="K29" s="4">
        <f>IF(OR(INDEX($P$2:$P$1001,MATCH(ROWS($O$2:O29),$O$2:$O$1001,0),1)&gt;=100000,INDEX($V$1005:$AE$1005,1,MATCH(COLUMNS($V$1006:AE1006),$V$1006:$AE$1006,0))&gt;=100000), " ",IF(INDEX($V$2:$AE$1001,MATCH(ROWS($O$2:O29),$O$2:$O$1001,0),MATCH(COLUMNS($V$1006:AE1006),$V$1006:$AE$1006,0)), HYPERLINK("#",""), HYPERLINK(CONCATENATE("#Metadata!", ADDRESS(INDEX($Q$2:$Q$1001,MATCH(ROWS($O$2:O29),$O$2:$O$1001,0),0), INDEX($V$1004:$AE$1004,1,MATCH(COLUMNS($V$1006:AE1006),$V$1006:$AE$1006,0)))),"Fix")))</f>
        <v>0</v>
      </c>
      <c r="O29">
        <v>0</v>
      </c>
      <c r="P29">
        <v>0</v>
      </c>
      <c r="Q29">
        <v>0</v>
      </c>
      <c r="R29">
        <f>IF(S29,TRUE,AND(V29:AE29))</f>
        <v>0</v>
      </c>
      <c r="S29">
        <f>COUNTBLANK(Metadata!B29:K29)=COLUMNS(Metadata!B29:K29)</f>
        <v>0</v>
      </c>
      <c r="T29">
        <v>0</v>
      </c>
      <c r="V29">
        <f>AND(IF(Metadata!B29="",FALSE,TRUE),COUNTIF(Metadata!B:B, Metadata!B29) = 1,NOT(ISERROR(SUMPRODUCT(SEARCH(MID(Metadata!B29,ROW(INDIRECT("1:"&amp;LEN(Metadata!B29))), 1),"0123456789abcdefghijklmnopqrstuvwxyzABCDEFGHIJKLMNOPQRSTUVWXYZ.")))))</f>
        <v>0</v>
      </c>
      <c r="W29">
        <f>AND(IF(Metadata!C29="",FALSE,TRUE),exact(Metadata!C29,"urban biome"))</f>
        <v>0</v>
      </c>
      <c r="X29">
        <f>AND(IF(Metadata!D29="",FALSE,TRUE),exact(Metadata!D29,"animal-associated habitat"))</f>
        <v>0</v>
      </c>
      <c r="Y29">
        <f>OR(AND(IF(Metadata!E29="",FALSE,TRUE),OR(exact(Metadata!E29,"not applicable"),exact(Metadata!E29,"missing: not collected"),exact(Metadata!E29,"missing: not provided"),exact(Metadata!E29,"missing: restricted access"))),AND(IF(Metadata!E29="",FALSE,ISNUMBER(VALUE(Metadata!E29))),Metadata!E29&gt;0))</f>
        <v>0</v>
      </c>
      <c r="Z29">
        <f>AND(IF(Metadata!F29="",FALSE,TRUE),exact(Metadata!F29,"weeks"))</f>
        <v>0</v>
      </c>
      <c r="AA29">
        <f>AND(IF(Metadata!G29="",FALSE,TRUE),exact(Metadata!G29,"mouse"))</f>
        <v>0</v>
      </c>
      <c r="AB29">
        <f>AND(IF(Metadata!H29="",FALSE,TRUE),exact(Metadata!H29,"Mus musculus"))</f>
        <v>0</v>
      </c>
      <c r="AC29">
        <f>AND(IF(Metadata!I29="",FALSE,TRUE),exact(Metadata!I29,"10090"))</f>
        <v>0</v>
      </c>
      <c r="AD29">
        <f>OR(AND(IF(Metadata!J29="",FALSE,TRUE),OR(exact(Metadata!J29,"not applicable"),exact(Metadata!J29,"missing: not collected"),exact(Metadata!J29,"missing: not provided"),exact(Metadata!J29,"missing: restricted access"))),AND(IF(Metadata!J29="",FALSE,ISNUMBER(VALUE(Metadata!J29))),Metadata!J29&gt;0))</f>
        <v>0</v>
      </c>
      <c r="AE29">
        <f>AND(IF(Metadata!K29="",FALSE,TRUE),exact(Metadata!K29,"g"))</f>
        <v>0</v>
      </c>
    </row>
    <row r="30" spans="1:31">
      <c r="A30" s="5">
        <f>IF(B30=" "," ",HYPERLINK(CONCATENATE("#metadata!",ADDRESS(INDEX($Q$2:$Q$1001,MATCH(ROWS($O$2:O30),$O$2:$O$1001,0),0),1)),INDEX($T$2:$T$1001,MATCH(ROWS($O$2:O30),$O$2:$O$1001,0),0)))</f>
        <v>0</v>
      </c>
      <c r="B30" s="4">
        <f>IF(OR(INDEX($P$2:$P$1001,MATCH(ROWS($O$2:O30),$O$2:$O$1001,0),1)&gt;=100000,INDEX($V$1005:$AE$1005,1,MATCH(COLUMNS($V$1006:V1006),$V$1006:$AE$1006,0))&gt;=100000), " ",IF(INDEX($V$2:$AE$1001,MATCH(ROWS($O$2:O30),$O$2:$O$1001,0),MATCH(COLUMNS($V$1006:V1006),$V$1006:$AE$1006,0)), HYPERLINK("#",""), HYPERLINK(CONCATENATE("#Metadata!", ADDRESS(INDEX($Q$2:$Q$1001,MATCH(ROWS($O$2:O30),$O$2:$O$1001,0),0), INDEX($V$1004:$AE$1004,1,MATCH(COLUMNS($V$1006:V1006),$V$1006:$AE$1006,0)))),"Fix")))</f>
        <v>0</v>
      </c>
      <c r="C30" s="4">
        <f>IF(OR(INDEX($P$2:$P$1001,MATCH(ROWS($O$2:O30),$O$2:$O$1001,0),1)&gt;=100000,INDEX($V$1005:$AE$1005,1,MATCH(COLUMNS($V$1006:W1006),$V$1006:$AE$1006,0))&gt;=100000), " ",IF(INDEX($V$2:$AE$1001,MATCH(ROWS($O$2:O30),$O$2:$O$1001,0),MATCH(COLUMNS($V$1006:W1006),$V$1006:$AE$1006,0)), HYPERLINK("#",""), HYPERLINK(CONCATENATE("#Metadata!", ADDRESS(INDEX($Q$2:$Q$1001,MATCH(ROWS($O$2:O30),$O$2:$O$1001,0),0), INDEX($V$1004:$AE$1004,1,MATCH(COLUMNS($V$1006:W1006),$V$1006:$AE$1006,0)))),"Fix")))</f>
        <v>0</v>
      </c>
      <c r="D30" s="4">
        <f>IF(OR(INDEX($P$2:$P$1001,MATCH(ROWS($O$2:O30),$O$2:$O$1001,0),1)&gt;=100000,INDEX($V$1005:$AE$1005,1,MATCH(COLUMNS($V$1006:X1006),$V$1006:$AE$1006,0))&gt;=100000), " ",IF(INDEX($V$2:$AE$1001,MATCH(ROWS($O$2:O30),$O$2:$O$1001,0),MATCH(COLUMNS($V$1006:X1006),$V$1006:$AE$1006,0)), HYPERLINK("#",""), HYPERLINK(CONCATENATE("#Metadata!", ADDRESS(INDEX($Q$2:$Q$1001,MATCH(ROWS($O$2:O30),$O$2:$O$1001,0),0), INDEX($V$1004:$AE$1004,1,MATCH(COLUMNS($V$1006:X1006),$V$1006:$AE$1006,0)))),"Fix")))</f>
        <v>0</v>
      </c>
      <c r="E30" s="4">
        <f>IF(OR(INDEX($P$2:$P$1001,MATCH(ROWS($O$2:O30),$O$2:$O$1001,0),1)&gt;=100000,INDEX($V$1005:$AE$1005,1,MATCH(COLUMNS($V$1006:Y1006),$V$1006:$AE$1006,0))&gt;=100000), " ",IF(INDEX($V$2:$AE$1001,MATCH(ROWS($O$2:O30),$O$2:$O$1001,0),MATCH(COLUMNS($V$1006:Y1006),$V$1006:$AE$1006,0)), HYPERLINK("#",""), HYPERLINK(CONCATENATE("#Metadata!", ADDRESS(INDEX($Q$2:$Q$1001,MATCH(ROWS($O$2:O30),$O$2:$O$1001,0),0), INDEX($V$1004:$AE$1004,1,MATCH(COLUMNS($V$1006:Y1006),$V$1006:$AE$1006,0)))),"Fix")))</f>
        <v>0</v>
      </c>
      <c r="F30" s="4">
        <f>IF(OR(INDEX($P$2:$P$1001,MATCH(ROWS($O$2:O30),$O$2:$O$1001,0),1)&gt;=100000,INDEX($V$1005:$AE$1005,1,MATCH(COLUMNS($V$1006:Z1006),$V$1006:$AE$1006,0))&gt;=100000), " ",IF(INDEX($V$2:$AE$1001,MATCH(ROWS($O$2:O30),$O$2:$O$1001,0),MATCH(COLUMNS($V$1006:Z1006),$V$1006:$AE$1006,0)), HYPERLINK("#",""), HYPERLINK(CONCATENATE("#Metadata!", ADDRESS(INDEX($Q$2:$Q$1001,MATCH(ROWS($O$2:O30),$O$2:$O$1001,0),0), INDEX($V$1004:$AE$1004,1,MATCH(COLUMNS($V$1006:Z1006),$V$1006:$AE$1006,0)))),"Fix")))</f>
        <v>0</v>
      </c>
      <c r="G30" s="4">
        <f>IF(OR(INDEX($P$2:$P$1001,MATCH(ROWS($O$2:O30),$O$2:$O$1001,0),1)&gt;=100000,INDEX($V$1005:$AE$1005,1,MATCH(COLUMNS($V$1006:AA1006),$V$1006:$AE$1006,0))&gt;=100000), " ",IF(INDEX($V$2:$AE$1001,MATCH(ROWS($O$2:O30),$O$2:$O$1001,0),MATCH(COLUMNS($V$1006:AA1006),$V$1006:$AE$1006,0)), HYPERLINK("#",""), HYPERLINK(CONCATENATE("#Metadata!", ADDRESS(INDEX($Q$2:$Q$1001,MATCH(ROWS($O$2:O30),$O$2:$O$1001,0),0), INDEX($V$1004:$AE$1004,1,MATCH(COLUMNS($V$1006:AA1006),$V$1006:$AE$1006,0)))),"Fix")))</f>
        <v>0</v>
      </c>
      <c r="H30" s="4">
        <f>IF(OR(INDEX($P$2:$P$1001,MATCH(ROWS($O$2:O30),$O$2:$O$1001,0),1)&gt;=100000,INDEX($V$1005:$AE$1005,1,MATCH(COLUMNS($V$1006:AB1006),$V$1006:$AE$1006,0))&gt;=100000), " ",IF(INDEX($V$2:$AE$1001,MATCH(ROWS($O$2:O30),$O$2:$O$1001,0),MATCH(COLUMNS($V$1006:AB1006),$V$1006:$AE$1006,0)), HYPERLINK("#",""), HYPERLINK(CONCATENATE("#Metadata!", ADDRESS(INDEX($Q$2:$Q$1001,MATCH(ROWS($O$2:O30),$O$2:$O$1001,0),0), INDEX($V$1004:$AE$1004,1,MATCH(COLUMNS($V$1006:AB1006),$V$1006:$AE$1006,0)))),"Fix")))</f>
        <v>0</v>
      </c>
      <c r="I30" s="4">
        <f>IF(OR(INDEX($P$2:$P$1001,MATCH(ROWS($O$2:O30),$O$2:$O$1001,0),1)&gt;=100000,INDEX($V$1005:$AE$1005,1,MATCH(COLUMNS($V$1006:AC1006),$V$1006:$AE$1006,0))&gt;=100000), " ",IF(INDEX($V$2:$AE$1001,MATCH(ROWS($O$2:O30),$O$2:$O$1001,0),MATCH(COLUMNS($V$1006:AC1006),$V$1006:$AE$1006,0)), HYPERLINK("#",""), HYPERLINK(CONCATENATE("#Metadata!", ADDRESS(INDEX($Q$2:$Q$1001,MATCH(ROWS($O$2:O30),$O$2:$O$1001,0),0), INDEX($V$1004:$AE$1004,1,MATCH(COLUMNS($V$1006:AC1006),$V$1006:$AE$1006,0)))),"Fix")))</f>
        <v>0</v>
      </c>
      <c r="J30" s="4">
        <f>IF(OR(INDEX($P$2:$P$1001,MATCH(ROWS($O$2:O30),$O$2:$O$1001,0),1)&gt;=100000,INDEX($V$1005:$AE$1005,1,MATCH(COLUMNS($V$1006:AD1006),$V$1006:$AE$1006,0))&gt;=100000), " ",IF(INDEX($V$2:$AE$1001,MATCH(ROWS($O$2:O30),$O$2:$O$1001,0),MATCH(COLUMNS($V$1006:AD1006),$V$1006:$AE$1006,0)), HYPERLINK("#",""), HYPERLINK(CONCATENATE("#Metadata!", ADDRESS(INDEX($Q$2:$Q$1001,MATCH(ROWS($O$2:O30),$O$2:$O$1001,0),0), INDEX($V$1004:$AE$1004,1,MATCH(COLUMNS($V$1006:AD1006),$V$1006:$AE$1006,0)))),"Fix")))</f>
        <v>0</v>
      </c>
      <c r="K30" s="4">
        <f>IF(OR(INDEX($P$2:$P$1001,MATCH(ROWS($O$2:O30),$O$2:$O$1001,0),1)&gt;=100000,INDEX($V$1005:$AE$1005,1,MATCH(COLUMNS($V$1006:AE1006),$V$1006:$AE$1006,0))&gt;=100000), " ",IF(INDEX($V$2:$AE$1001,MATCH(ROWS($O$2:O30),$O$2:$O$1001,0),MATCH(COLUMNS($V$1006:AE1006),$V$1006:$AE$1006,0)), HYPERLINK("#",""), HYPERLINK(CONCATENATE("#Metadata!", ADDRESS(INDEX($Q$2:$Q$1001,MATCH(ROWS($O$2:O30),$O$2:$O$1001,0),0), INDEX($V$1004:$AE$1004,1,MATCH(COLUMNS($V$1006:AE1006),$V$1006:$AE$1006,0)))),"Fix")))</f>
        <v>0</v>
      </c>
      <c r="O30">
        <v>0</v>
      </c>
      <c r="P30">
        <v>0</v>
      </c>
      <c r="Q30">
        <v>0</v>
      </c>
      <c r="R30">
        <f>IF(S30,TRUE,AND(V30:AE30))</f>
        <v>0</v>
      </c>
      <c r="S30">
        <f>COUNTBLANK(Metadata!B30:K30)=COLUMNS(Metadata!B30:K30)</f>
        <v>0</v>
      </c>
      <c r="T30">
        <v>0</v>
      </c>
      <c r="V30">
        <f>AND(IF(Metadata!B30="",FALSE,TRUE),COUNTIF(Metadata!B:B, Metadata!B30) = 1,NOT(ISERROR(SUMPRODUCT(SEARCH(MID(Metadata!B30,ROW(INDIRECT("1:"&amp;LEN(Metadata!B30))), 1),"0123456789abcdefghijklmnopqrstuvwxyzABCDEFGHIJKLMNOPQRSTUVWXYZ.")))))</f>
        <v>0</v>
      </c>
      <c r="W30">
        <f>AND(IF(Metadata!C30="",FALSE,TRUE),exact(Metadata!C30,"urban biome"))</f>
        <v>0</v>
      </c>
      <c r="X30">
        <f>AND(IF(Metadata!D30="",FALSE,TRUE),exact(Metadata!D30,"animal-associated habitat"))</f>
        <v>0</v>
      </c>
      <c r="Y30">
        <f>OR(AND(IF(Metadata!E30="",FALSE,TRUE),OR(exact(Metadata!E30,"not applicable"),exact(Metadata!E30,"missing: not collected"),exact(Metadata!E30,"missing: not provided"),exact(Metadata!E30,"missing: restricted access"))),AND(IF(Metadata!E30="",FALSE,ISNUMBER(VALUE(Metadata!E30))),Metadata!E30&gt;0))</f>
        <v>0</v>
      </c>
      <c r="Z30">
        <f>AND(IF(Metadata!F30="",FALSE,TRUE),exact(Metadata!F30,"weeks"))</f>
        <v>0</v>
      </c>
      <c r="AA30">
        <f>AND(IF(Metadata!G30="",FALSE,TRUE),exact(Metadata!G30,"mouse"))</f>
        <v>0</v>
      </c>
      <c r="AB30">
        <f>AND(IF(Metadata!H30="",FALSE,TRUE),exact(Metadata!H30,"Mus musculus"))</f>
        <v>0</v>
      </c>
      <c r="AC30">
        <f>AND(IF(Metadata!I30="",FALSE,TRUE),exact(Metadata!I30,"10090"))</f>
        <v>0</v>
      </c>
      <c r="AD30">
        <f>OR(AND(IF(Metadata!J30="",FALSE,TRUE),OR(exact(Metadata!J30,"not applicable"),exact(Metadata!J30,"missing: not collected"),exact(Metadata!J30,"missing: not provided"),exact(Metadata!J30,"missing: restricted access"))),AND(IF(Metadata!J30="",FALSE,ISNUMBER(VALUE(Metadata!J30))),Metadata!J30&gt;0))</f>
        <v>0</v>
      </c>
      <c r="AE30">
        <f>AND(IF(Metadata!K30="",FALSE,TRUE),exact(Metadata!K30,"g"))</f>
        <v>0</v>
      </c>
    </row>
    <row r="31" spans="1:31">
      <c r="A31" s="5">
        <f>IF(B31=" "," ",HYPERLINK(CONCATENATE("#metadata!",ADDRESS(INDEX($Q$2:$Q$1001,MATCH(ROWS($O$2:O31),$O$2:$O$1001,0),0),1)),INDEX($T$2:$T$1001,MATCH(ROWS($O$2:O31),$O$2:$O$1001,0),0)))</f>
        <v>0</v>
      </c>
      <c r="B31" s="4">
        <f>IF(OR(INDEX($P$2:$P$1001,MATCH(ROWS($O$2:O31),$O$2:$O$1001,0),1)&gt;=100000,INDEX($V$1005:$AE$1005,1,MATCH(COLUMNS($V$1006:V1006),$V$1006:$AE$1006,0))&gt;=100000), " ",IF(INDEX($V$2:$AE$1001,MATCH(ROWS($O$2:O31),$O$2:$O$1001,0),MATCH(COLUMNS($V$1006:V1006),$V$1006:$AE$1006,0)), HYPERLINK("#",""), HYPERLINK(CONCATENATE("#Metadata!", ADDRESS(INDEX($Q$2:$Q$1001,MATCH(ROWS($O$2:O31),$O$2:$O$1001,0),0), INDEX($V$1004:$AE$1004,1,MATCH(COLUMNS($V$1006:V1006),$V$1006:$AE$1006,0)))),"Fix")))</f>
        <v>0</v>
      </c>
      <c r="C31" s="4">
        <f>IF(OR(INDEX($P$2:$P$1001,MATCH(ROWS($O$2:O31),$O$2:$O$1001,0),1)&gt;=100000,INDEX($V$1005:$AE$1005,1,MATCH(COLUMNS($V$1006:W1006),$V$1006:$AE$1006,0))&gt;=100000), " ",IF(INDEX($V$2:$AE$1001,MATCH(ROWS($O$2:O31),$O$2:$O$1001,0),MATCH(COLUMNS($V$1006:W1006),$V$1006:$AE$1006,0)), HYPERLINK("#",""), HYPERLINK(CONCATENATE("#Metadata!", ADDRESS(INDEX($Q$2:$Q$1001,MATCH(ROWS($O$2:O31),$O$2:$O$1001,0),0), INDEX($V$1004:$AE$1004,1,MATCH(COLUMNS($V$1006:W1006),$V$1006:$AE$1006,0)))),"Fix")))</f>
        <v>0</v>
      </c>
      <c r="D31" s="4">
        <f>IF(OR(INDEX($P$2:$P$1001,MATCH(ROWS($O$2:O31),$O$2:$O$1001,0),1)&gt;=100000,INDEX($V$1005:$AE$1005,1,MATCH(COLUMNS($V$1006:X1006),$V$1006:$AE$1006,0))&gt;=100000), " ",IF(INDEX($V$2:$AE$1001,MATCH(ROWS($O$2:O31),$O$2:$O$1001,0),MATCH(COLUMNS($V$1006:X1006),$V$1006:$AE$1006,0)), HYPERLINK("#",""), HYPERLINK(CONCATENATE("#Metadata!", ADDRESS(INDEX($Q$2:$Q$1001,MATCH(ROWS($O$2:O31),$O$2:$O$1001,0),0), INDEX($V$1004:$AE$1004,1,MATCH(COLUMNS($V$1006:X1006),$V$1006:$AE$1006,0)))),"Fix")))</f>
        <v>0</v>
      </c>
      <c r="E31" s="4">
        <f>IF(OR(INDEX($P$2:$P$1001,MATCH(ROWS($O$2:O31),$O$2:$O$1001,0),1)&gt;=100000,INDEX($V$1005:$AE$1005,1,MATCH(COLUMNS($V$1006:Y1006),$V$1006:$AE$1006,0))&gt;=100000), " ",IF(INDEX($V$2:$AE$1001,MATCH(ROWS($O$2:O31),$O$2:$O$1001,0),MATCH(COLUMNS($V$1006:Y1006),$V$1006:$AE$1006,0)), HYPERLINK("#",""), HYPERLINK(CONCATENATE("#Metadata!", ADDRESS(INDEX($Q$2:$Q$1001,MATCH(ROWS($O$2:O31),$O$2:$O$1001,0),0), INDEX($V$1004:$AE$1004,1,MATCH(COLUMNS($V$1006:Y1006),$V$1006:$AE$1006,0)))),"Fix")))</f>
        <v>0</v>
      </c>
      <c r="F31" s="4">
        <f>IF(OR(INDEX($P$2:$P$1001,MATCH(ROWS($O$2:O31),$O$2:$O$1001,0),1)&gt;=100000,INDEX($V$1005:$AE$1005,1,MATCH(COLUMNS($V$1006:Z1006),$V$1006:$AE$1006,0))&gt;=100000), " ",IF(INDEX($V$2:$AE$1001,MATCH(ROWS($O$2:O31),$O$2:$O$1001,0),MATCH(COLUMNS($V$1006:Z1006),$V$1006:$AE$1006,0)), HYPERLINK("#",""), HYPERLINK(CONCATENATE("#Metadata!", ADDRESS(INDEX($Q$2:$Q$1001,MATCH(ROWS($O$2:O31),$O$2:$O$1001,0),0), INDEX($V$1004:$AE$1004,1,MATCH(COLUMNS($V$1006:Z1006),$V$1006:$AE$1006,0)))),"Fix")))</f>
        <v>0</v>
      </c>
      <c r="G31" s="4">
        <f>IF(OR(INDEX($P$2:$P$1001,MATCH(ROWS($O$2:O31),$O$2:$O$1001,0),1)&gt;=100000,INDEX($V$1005:$AE$1005,1,MATCH(COLUMNS($V$1006:AA1006),$V$1006:$AE$1006,0))&gt;=100000), " ",IF(INDEX($V$2:$AE$1001,MATCH(ROWS($O$2:O31),$O$2:$O$1001,0),MATCH(COLUMNS($V$1006:AA1006),$V$1006:$AE$1006,0)), HYPERLINK("#",""), HYPERLINK(CONCATENATE("#Metadata!", ADDRESS(INDEX($Q$2:$Q$1001,MATCH(ROWS($O$2:O31),$O$2:$O$1001,0),0), INDEX($V$1004:$AE$1004,1,MATCH(COLUMNS($V$1006:AA1006),$V$1006:$AE$1006,0)))),"Fix")))</f>
        <v>0</v>
      </c>
      <c r="H31" s="4">
        <f>IF(OR(INDEX($P$2:$P$1001,MATCH(ROWS($O$2:O31),$O$2:$O$1001,0),1)&gt;=100000,INDEX($V$1005:$AE$1005,1,MATCH(COLUMNS($V$1006:AB1006),$V$1006:$AE$1006,0))&gt;=100000), " ",IF(INDEX($V$2:$AE$1001,MATCH(ROWS($O$2:O31),$O$2:$O$1001,0),MATCH(COLUMNS($V$1006:AB1006),$V$1006:$AE$1006,0)), HYPERLINK("#",""), HYPERLINK(CONCATENATE("#Metadata!", ADDRESS(INDEX($Q$2:$Q$1001,MATCH(ROWS($O$2:O31),$O$2:$O$1001,0),0), INDEX($V$1004:$AE$1004,1,MATCH(COLUMNS($V$1006:AB1006),$V$1006:$AE$1006,0)))),"Fix")))</f>
        <v>0</v>
      </c>
      <c r="I31" s="4">
        <f>IF(OR(INDEX($P$2:$P$1001,MATCH(ROWS($O$2:O31),$O$2:$O$1001,0),1)&gt;=100000,INDEX($V$1005:$AE$1005,1,MATCH(COLUMNS($V$1006:AC1006),$V$1006:$AE$1006,0))&gt;=100000), " ",IF(INDEX($V$2:$AE$1001,MATCH(ROWS($O$2:O31),$O$2:$O$1001,0),MATCH(COLUMNS($V$1006:AC1006),$V$1006:$AE$1006,0)), HYPERLINK("#",""), HYPERLINK(CONCATENATE("#Metadata!", ADDRESS(INDEX($Q$2:$Q$1001,MATCH(ROWS($O$2:O31),$O$2:$O$1001,0),0), INDEX($V$1004:$AE$1004,1,MATCH(COLUMNS($V$1006:AC1006),$V$1006:$AE$1006,0)))),"Fix")))</f>
        <v>0</v>
      </c>
      <c r="J31" s="4">
        <f>IF(OR(INDEX($P$2:$P$1001,MATCH(ROWS($O$2:O31),$O$2:$O$1001,0),1)&gt;=100000,INDEX($V$1005:$AE$1005,1,MATCH(COLUMNS($V$1006:AD1006),$V$1006:$AE$1006,0))&gt;=100000), " ",IF(INDEX($V$2:$AE$1001,MATCH(ROWS($O$2:O31),$O$2:$O$1001,0),MATCH(COLUMNS($V$1006:AD1006),$V$1006:$AE$1006,0)), HYPERLINK("#",""), HYPERLINK(CONCATENATE("#Metadata!", ADDRESS(INDEX($Q$2:$Q$1001,MATCH(ROWS($O$2:O31),$O$2:$O$1001,0),0), INDEX($V$1004:$AE$1004,1,MATCH(COLUMNS($V$1006:AD1006),$V$1006:$AE$1006,0)))),"Fix")))</f>
        <v>0</v>
      </c>
      <c r="K31" s="4">
        <f>IF(OR(INDEX($P$2:$P$1001,MATCH(ROWS($O$2:O31),$O$2:$O$1001,0),1)&gt;=100000,INDEX($V$1005:$AE$1005,1,MATCH(COLUMNS($V$1006:AE1006),$V$1006:$AE$1006,0))&gt;=100000), " ",IF(INDEX($V$2:$AE$1001,MATCH(ROWS($O$2:O31),$O$2:$O$1001,0),MATCH(COLUMNS($V$1006:AE1006),$V$1006:$AE$1006,0)), HYPERLINK("#",""), HYPERLINK(CONCATENATE("#Metadata!", ADDRESS(INDEX($Q$2:$Q$1001,MATCH(ROWS($O$2:O31),$O$2:$O$1001,0),0), INDEX($V$1004:$AE$1004,1,MATCH(COLUMNS($V$1006:AE1006),$V$1006:$AE$1006,0)))),"Fix")))</f>
        <v>0</v>
      </c>
      <c r="O31">
        <v>0</v>
      </c>
      <c r="P31">
        <v>0</v>
      </c>
      <c r="Q31">
        <v>0</v>
      </c>
      <c r="R31">
        <f>IF(S31,TRUE,AND(V31:AE31))</f>
        <v>0</v>
      </c>
      <c r="S31">
        <f>COUNTBLANK(Metadata!B31:K31)=COLUMNS(Metadata!B31:K31)</f>
        <v>0</v>
      </c>
      <c r="T31">
        <v>0</v>
      </c>
      <c r="V31">
        <f>AND(IF(Metadata!B31="",FALSE,TRUE),COUNTIF(Metadata!B:B, Metadata!B31) = 1,NOT(ISERROR(SUMPRODUCT(SEARCH(MID(Metadata!B31,ROW(INDIRECT("1:"&amp;LEN(Metadata!B31))), 1),"0123456789abcdefghijklmnopqrstuvwxyzABCDEFGHIJKLMNOPQRSTUVWXYZ.")))))</f>
        <v>0</v>
      </c>
      <c r="W31">
        <f>AND(IF(Metadata!C31="",FALSE,TRUE),exact(Metadata!C31,"urban biome"))</f>
        <v>0</v>
      </c>
      <c r="X31">
        <f>AND(IF(Metadata!D31="",FALSE,TRUE),exact(Metadata!D31,"animal-associated habitat"))</f>
        <v>0</v>
      </c>
      <c r="Y31">
        <f>OR(AND(IF(Metadata!E31="",FALSE,TRUE),OR(exact(Metadata!E31,"not applicable"),exact(Metadata!E31,"missing: not collected"),exact(Metadata!E31,"missing: not provided"),exact(Metadata!E31,"missing: restricted access"))),AND(IF(Metadata!E31="",FALSE,ISNUMBER(VALUE(Metadata!E31))),Metadata!E31&gt;0))</f>
        <v>0</v>
      </c>
      <c r="Z31">
        <f>AND(IF(Metadata!F31="",FALSE,TRUE),exact(Metadata!F31,"weeks"))</f>
        <v>0</v>
      </c>
      <c r="AA31">
        <f>AND(IF(Metadata!G31="",FALSE,TRUE),exact(Metadata!G31,"mouse"))</f>
        <v>0</v>
      </c>
      <c r="AB31">
        <f>AND(IF(Metadata!H31="",FALSE,TRUE),exact(Metadata!H31,"Mus musculus"))</f>
        <v>0</v>
      </c>
      <c r="AC31">
        <f>AND(IF(Metadata!I31="",FALSE,TRUE),exact(Metadata!I31,"10090"))</f>
        <v>0</v>
      </c>
      <c r="AD31">
        <f>OR(AND(IF(Metadata!J31="",FALSE,TRUE),OR(exact(Metadata!J31,"not applicable"),exact(Metadata!J31,"missing: not collected"),exact(Metadata!J31,"missing: not provided"),exact(Metadata!J31,"missing: restricted access"))),AND(IF(Metadata!J31="",FALSE,ISNUMBER(VALUE(Metadata!J31))),Metadata!J31&gt;0))</f>
        <v>0</v>
      </c>
      <c r="AE31">
        <f>AND(IF(Metadata!K31="",FALSE,TRUE),exact(Metadata!K31,"g"))</f>
        <v>0</v>
      </c>
    </row>
    <row r="32" spans="1:31">
      <c r="A32" s="5">
        <f>IF(B32=" "," ",HYPERLINK(CONCATENATE("#metadata!",ADDRESS(INDEX($Q$2:$Q$1001,MATCH(ROWS($O$2:O32),$O$2:$O$1001,0),0),1)),INDEX($T$2:$T$1001,MATCH(ROWS($O$2:O32),$O$2:$O$1001,0),0)))</f>
        <v>0</v>
      </c>
      <c r="B32" s="4">
        <f>IF(OR(INDEX($P$2:$P$1001,MATCH(ROWS($O$2:O32),$O$2:$O$1001,0),1)&gt;=100000,INDEX($V$1005:$AE$1005,1,MATCH(COLUMNS($V$1006:V1006),$V$1006:$AE$1006,0))&gt;=100000), " ",IF(INDEX($V$2:$AE$1001,MATCH(ROWS($O$2:O32),$O$2:$O$1001,0),MATCH(COLUMNS($V$1006:V1006),$V$1006:$AE$1006,0)), HYPERLINK("#",""), HYPERLINK(CONCATENATE("#Metadata!", ADDRESS(INDEX($Q$2:$Q$1001,MATCH(ROWS($O$2:O32),$O$2:$O$1001,0),0), INDEX($V$1004:$AE$1004,1,MATCH(COLUMNS($V$1006:V1006),$V$1006:$AE$1006,0)))),"Fix")))</f>
        <v>0</v>
      </c>
      <c r="C32" s="4">
        <f>IF(OR(INDEX($P$2:$P$1001,MATCH(ROWS($O$2:O32),$O$2:$O$1001,0),1)&gt;=100000,INDEX($V$1005:$AE$1005,1,MATCH(COLUMNS($V$1006:W1006),$V$1006:$AE$1006,0))&gt;=100000), " ",IF(INDEX($V$2:$AE$1001,MATCH(ROWS($O$2:O32),$O$2:$O$1001,0),MATCH(COLUMNS($V$1006:W1006),$V$1006:$AE$1006,0)), HYPERLINK("#",""), HYPERLINK(CONCATENATE("#Metadata!", ADDRESS(INDEX($Q$2:$Q$1001,MATCH(ROWS($O$2:O32),$O$2:$O$1001,0),0), INDEX($V$1004:$AE$1004,1,MATCH(COLUMNS($V$1006:W1006),$V$1006:$AE$1006,0)))),"Fix")))</f>
        <v>0</v>
      </c>
      <c r="D32" s="4">
        <f>IF(OR(INDEX($P$2:$P$1001,MATCH(ROWS($O$2:O32),$O$2:$O$1001,0),1)&gt;=100000,INDEX($V$1005:$AE$1005,1,MATCH(COLUMNS($V$1006:X1006),$V$1006:$AE$1006,0))&gt;=100000), " ",IF(INDEX($V$2:$AE$1001,MATCH(ROWS($O$2:O32),$O$2:$O$1001,0),MATCH(COLUMNS($V$1006:X1006),$V$1006:$AE$1006,0)), HYPERLINK("#",""), HYPERLINK(CONCATENATE("#Metadata!", ADDRESS(INDEX($Q$2:$Q$1001,MATCH(ROWS($O$2:O32),$O$2:$O$1001,0),0), INDEX($V$1004:$AE$1004,1,MATCH(COLUMNS($V$1006:X1006),$V$1006:$AE$1006,0)))),"Fix")))</f>
        <v>0</v>
      </c>
      <c r="E32" s="4">
        <f>IF(OR(INDEX($P$2:$P$1001,MATCH(ROWS($O$2:O32),$O$2:$O$1001,0),1)&gt;=100000,INDEX($V$1005:$AE$1005,1,MATCH(COLUMNS($V$1006:Y1006),$V$1006:$AE$1006,0))&gt;=100000), " ",IF(INDEX($V$2:$AE$1001,MATCH(ROWS($O$2:O32),$O$2:$O$1001,0),MATCH(COLUMNS($V$1006:Y1006),$V$1006:$AE$1006,0)), HYPERLINK("#",""), HYPERLINK(CONCATENATE("#Metadata!", ADDRESS(INDEX($Q$2:$Q$1001,MATCH(ROWS($O$2:O32),$O$2:$O$1001,0),0), INDEX($V$1004:$AE$1004,1,MATCH(COLUMNS($V$1006:Y1006),$V$1006:$AE$1006,0)))),"Fix")))</f>
        <v>0</v>
      </c>
      <c r="F32" s="4">
        <f>IF(OR(INDEX($P$2:$P$1001,MATCH(ROWS($O$2:O32),$O$2:$O$1001,0),1)&gt;=100000,INDEX($V$1005:$AE$1005,1,MATCH(COLUMNS($V$1006:Z1006),$V$1006:$AE$1006,0))&gt;=100000), " ",IF(INDEX($V$2:$AE$1001,MATCH(ROWS($O$2:O32),$O$2:$O$1001,0),MATCH(COLUMNS($V$1006:Z1006),$V$1006:$AE$1006,0)), HYPERLINK("#",""), HYPERLINK(CONCATENATE("#Metadata!", ADDRESS(INDEX($Q$2:$Q$1001,MATCH(ROWS($O$2:O32),$O$2:$O$1001,0),0), INDEX($V$1004:$AE$1004,1,MATCH(COLUMNS($V$1006:Z1006),$V$1006:$AE$1006,0)))),"Fix")))</f>
        <v>0</v>
      </c>
      <c r="G32" s="4">
        <f>IF(OR(INDEX($P$2:$P$1001,MATCH(ROWS($O$2:O32),$O$2:$O$1001,0),1)&gt;=100000,INDEX($V$1005:$AE$1005,1,MATCH(COLUMNS($V$1006:AA1006),$V$1006:$AE$1006,0))&gt;=100000), " ",IF(INDEX($V$2:$AE$1001,MATCH(ROWS($O$2:O32),$O$2:$O$1001,0),MATCH(COLUMNS($V$1006:AA1006),$V$1006:$AE$1006,0)), HYPERLINK("#",""), HYPERLINK(CONCATENATE("#Metadata!", ADDRESS(INDEX($Q$2:$Q$1001,MATCH(ROWS($O$2:O32),$O$2:$O$1001,0),0), INDEX($V$1004:$AE$1004,1,MATCH(COLUMNS($V$1006:AA1006),$V$1006:$AE$1006,0)))),"Fix")))</f>
        <v>0</v>
      </c>
      <c r="H32" s="4">
        <f>IF(OR(INDEX($P$2:$P$1001,MATCH(ROWS($O$2:O32),$O$2:$O$1001,0),1)&gt;=100000,INDEX($V$1005:$AE$1005,1,MATCH(COLUMNS($V$1006:AB1006),$V$1006:$AE$1006,0))&gt;=100000), " ",IF(INDEX($V$2:$AE$1001,MATCH(ROWS($O$2:O32),$O$2:$O$1001,0),MATCH(COLUMNS($V$1006:AB1006),$V$1006:$AE$1006,0)), HYPERLINK("#",""), HYPERLINK(CONCATENATE("#Metadata!", ADDRESS(INDEX($Q$2:$Q$1001,MATCH(ROWS($O$2:O32),$O$2:$O$1001,0),0), INDEX($V$1004:$AE$1004,1,MATCH(COLUMNS($V$1006:AB1006),$V$1006:$AE$1006,0)))),"Fix")))</f>
        <v>0</v>
      </c>
      <c r="I32" s="4">
        <f>IF(OR(INDEX($P$2:$P$1001,MATCH(ROWS($O$2:O32),$O$2:$O$1001,0),1)&gt;=100000,INDEX($V$1005:$AE$1005,1,MATCH(COLUMNS($V$1006:AC1006),$V$1006:$AE$1006,0))&gt;=100000), " ",IF(INDEX($V$2:$AE$1001,MATCH(ROWS($O$2:O32),$O$2:$O$1001,0),MATCH(COLUMNS($V$1006:AC1006),$V$1006:$AE$1006,0)), HYPERLINK("#",""), HYPERLINK(CONCATENATE("#Metadata!", ADDRESS(INDEX($Q$2:$Q$1001,MATCH(ROWS($O$2:O32),$O$2:$O$1001,0),0), INDEX($V$1004:$AE$1004,1,MATCH(COLUMNS($V$1006:AC1006),$V$1006:$AE$1006,0)))),"Fix")))</f>
        <v>0</v>
      </c>
      <c r="J32" s="4">
        <f>IF(OR(INDEX($P$2:$P$1001,MATCH(ROWS($O$2:O32),$O$2:$O$1001,0),1)&gt;=100000,INDEX($V$1005:$AE$1005,1,MATCH(COLUMNS($V$1006:AD1006),$V$1006:$AE$1006,0))&gt;=100000), " ",IF(INDEX($V$2:$AE$1001,MATCH(ROWS($O$2:O32),$O$2:$O$1001,0),MATCH(COLUMNS($V$1006:AD1006),$V$1006:$AE$1006,0)), HYPERLINK("#",""), HYPERLINK(CONCATENATE("#Metadata!", ADDRESS(INDEX($Q$2:$Q$1001,MATCH(ROWS($O$2:O32),$O$2:$O$1001,0),0), INDEX($V$1004:$AE$1004,1,MATCH(COLUMNS($V$1006:AD1006),$V$1006:$AE$1006,0)))),"Fix")))</f>
        <v>0</v>
      </c>
      <c r="K32" s="4">
        <f>IF(OR(INDEX($P$2:$P$1001,MATCH(ROWS($O$2:O32),$O$2:$O$1001,0),1)&gt;=100000,INDEX($V$1005:$AE$1005,1,MATCH(COLUMNS($V$1006:AE1006),$V$1006:$AE$1006,0))&gt;=100000), " ",IF(INDEX($V$2:$AE$1001,MATCH(ROWS($O$2:O32),$O$2:$O$1001,0),MATCH(COLUMNS($V$1006:AE1006),$V$1006:$AE$1006,0)), HYPERLINK("#",""), HYPERLINK(CONCATENATE("#Metadata!", ADDRESS(INDEX($Q$2:$Q$1001,MATCH(ROWS($O$2:O32),$O$2:$O$1001,0),0), INDEX($V$1004:$AE$1004,1,MATCH(COLUMNS($V$1006:AE1006),$V$1006:$AE$1006,0)))),"Fix")))</f>
        <v>0</v>
      </c>
      <c r="O32">
        <v>0</v>
      </c>
      <c r="P32">
        <v>0</v>
      </c>
      <c r="Q32">
        <v>0</v>
      </c>
      <c r="R32">
        <f>IF(S32,TRUE,AND(V32:AE32))</f>
        <v>0</v>
      </c>
      <c r="S32">
        <f>COUNTBLANK(Metadata!B32:K32)=COLUMNS(Metadata!B32:K32)</f>
        <v>0</v>
      </c>
      <c r="T32">
        <v>0</v>
      </c>
      <c r="V32">
        <f>AND(IF(Metadata!B32="",FALSE,TRUE),COUNTIF(Metadata!B:B, Metadata!B32) = 1,NOT(ISERROR(SUMPRODUCT(SEARCH(MID(Metadata!B32,ROW(INDIRECT("1:"&amp;LEN(Metadata!B32))), 1),"0123456789abcdefghijklmnopqrstuvwxyzABCDEFGHIJKLMNOPQRSTUVWXYZ.")))))</f>
        <v>0</v>
      </c>
      <c r="W32">
        <f>AND(IF(Metadata!C32="",FALSE,TRUE),exact(Metadata!C32,"urban biome"))</f>
        <v>0</v>
      </c>
      <c r="X32">
        <f>AND(IF(Metadata!D32="",FALSE,TRUE),exact(Metadata!D32,"animal-associated habitat"))</f>
        <v>0</v>
      </c>
      <c r="Y32">
        <f>OR(AND(IF(Metadata!E32="",FALSE,TRUE),OR(exact(Metadata!E32,"not applicable"),exact(Metadata!E32,"missing: not collected"),exact(Metadata!E32,"missing: not provided"),exact(Metadata!E32,"missing: restricted access"))),AND(IF(Metadata!E32="",FALSE,ISNUMBER(VALUE(Metadata!E32))),Metadata!E32&gt;0))</f>
        <v>0</v>
      </c>
      <c r="Z32">
        <f>AND(IF(Metadata!F32="",FALSE,TRUE),exact(Metadata!F32,"weeks"))</f>
        <v>0</v>
      </c>
      <c r="AA32">
        <f>AND(IF(Metadata!G32="",FALSE,TRUE),exact(Metadata!G32,"mouse"))</f>
        <v>0</v>
      </c>
      <c r="AB32">
        <f>AND(IF(Metadata!H32="",FALSE,TRUE),exact(Metadata!H32,"Mus musculus"))</f>
        <v>0</v>
      </c>
      <c r="AC32">
        <f>AND(IF(Metadata!I32="",FALSE,TRUE),exact(Metadata!I32,"10090"))</f>
        <v>0</v>
      </c>
      <c r="AD32">
        <f>OR(AND(IF(Metadata!J32="",FALSE,TRUE),OR(exact(Metadata!J32,"not applicable"),exact(Metadata!J32,"missing: not collected"),exact(Metadata!J32,"missing: not provided"),exact(Metadata!J32,"missing: restricted access"))),AND(IF(Metadata!J32="",FALSE,ISNUMBER(VALUE(Metadata!J32))),Metadata!J32&gt;0))</f>
        <v>0</v>
      </c>
      <c r="AE32">
        <f>AND(IF(Metadata!K32="",FALSE,TRUE),exact(Metadata!K32,"g"))</f>
        <v>0</v>
      </c>
    </row>
    <row r="33" spans="1:31">
      <c r="A33" s="5">
        <f>IF(B33=" "," ",HYPERLINK(CONCATENATE("#metadata!",ADDRESS(INDEX($Q$2:$Q$1001,MATCH(ROWS($O$2:O33),$O$2:$O$1001,0),0),1)),INDEX($T$2:$T$1001,MATCH(ROWS($O$2:O33),$O$2:$O$1001,0),0)))</f>
        <v>0</v>
      </c>
      <c r="B33" s="4">
        <f>IF(OR(INDEX($P$2:$P$1001,MATCH(ROWS($O$2:O33),$O$2:$O$1001,0),1)&gt;=100000,INDEX($V$1005:$AE$1005,1,MATCH(COLUMNS($V$1006:V1006),$V$1006:$AE$1006,0))&gt;=100000), " ",IF(INDEX($V$2:$AE$1001,MATCH(ROWS($O$2:O33),$O$2:$O$1001,0),MATCH(COLUMNS($V$1006:V1006),$V$1006:$AE$1006,0)), HYPERLINK("#",""), HYPERLINK(CONCATENATE("#Metadata!", ADDRESS(INDEX($Q$2:$Q$1001,MATCH(ROWS($O$2:O33),$O$2:$O$1001,0),0), INDEX($V$1004:$AE$1004,1,MATCH(COLUMNS($V$1006:V1006),$V$1006:$AE$1006,0)))),"Fix")))</f>
        <v>0</v>
      </c>
      <c r="C33" s="4">
        <f>IF(OR(INDEX($P$2:$P$1001,MATCH(ROWS($O$2:O33),$O$2:$O$1001,0),1)&gt;=100000,INDEX($V$1005:$AE$1005,1,MATCH(COLUMNS($V$1006:W1006),$V$1006:$AE$1006,0))&gt;=100000), " ",IF(INDEX($V$2:$AE$1001,MATCH(ROWS($O$2:O33),$O$2:$O$1001,0),MATCH(COLUMNS($V$1006:W1006),$V$1006:$AE$1006,0)), HYPERLINK("#",""), HYPERLINK(CONCATENATE("#Metadata!", ADDRESS(INDEX($Q$2:$Q$1001,MATCH(ROWS($O$2:O33),$O$2:$O$1001,0),0), INDEX($V$1004:$AE$1004,1,MATCH(COLUMNS($V$1006:W1006),$V$1006:$AE$1006,0)))),"Fix")))</f>
        <v>0</v>
      </c>
      <c r="D33" s="4">
        <f>IF(OR(INDEX($P$2:$P$1001,MATCH(ROWS($O$2:O33),$O$2:$O$1001,0),1)&gt;=100000,INDEX($V$1005:$AE$1005,1,MATCH(COLUMNS($V$1006:X1006),$V$1006:$AE$1006,0))&gt;=100000), " ",IF(INDEX($V$2:$AE$1001,MATCH(ROWS($O$2:O33),$O$2:$O$1001,0),MATCH(COLUMNS($V$1006:X1006),$V$1006:$AE$1006,0)), HYPERLINK("#",""), HYPERLINK(CONCATENATE("#Metadata!", ADDRESS(INDEX($Q$2:$Q$1001,MATCH(ROWS($O$2:O33),$O$2:$O$1001,0),0), INDEX($V$1004:$AE$1004,1,MATCH(COLUMNS($V$1006:X1006),$V$1006:$AE$1006,0)))),"Fix")))</f>
        <v>0</v>
      </c>
      <c r="E33" s="4">
        <f>IF(OR(INDEX($P$2:$P$1001,MATCH(ROWS($O$2:O33),$O$2:$O$1001,0),1)&gt;=100000,INDEX($V$1005:$AE$1005,1,MATCH(COLUMNS($V$1006:Y1006),$V$1006:$AE$1006,0))&gt;=100000), " ",IF(INDEX($V$2:$AE$1001,MATCH(ROWS($O$2:O33),$O$2:$O$1001,0),MATCH(COLUMNS($V$1006:Y1006),$V$1006:$AE$1006,0)), HYPERLINK("#",""), HYPERLINK(CONCATENATE("#Metadata!", ADDRESS(INDEX($Q$2:$Q$1001,MATCH(ROWS($O$2:O33),$O$2:$O$1001,0),0), INDEX($V$1004:$AE$1004,1,MATCH(COLUMNS($V$1006:Y1006),$V$1006:$AE$1006,0)))),"Fix")))</f>
        <v>0</v>
      </c>
      <c r="F33" s="4">
        <f>IF(OR(INDEX($P$2:$P$1001,MATCH(ROWS($O$2:O33),$O$2:$O$1001,0),1)&gt;=100000,INDEX($V$1005:$AE$1005,1,MATCH(COLUMNS($V$1006:Z1006),$V$1006:$AE$1006,0))&gt;=100000), " ",IF(INDEX($V$2:$AE$1001,MATCH(ROWS($O$2:O33),$O$2:$O$1001,0),MATCH(COLUMNS($V$1006:Z1006),$V$1006:$AE$1006,0)), HYPERLINK("#",""), HYPERLINK(CONCATENATE("#Metadata!", ADDRESS(INDEX($Q$2:$Q$1001,MATCH(ROWS($O$2:O33),$O$2:$O$1001,0),0), INDEX($V$1004:$AE$1004,1,MATCH(COLUMNS($V$1006:Z1006),$V$1006:$AE$1006,0)))),"Fix")))</f>
        <v>0</v>
      </c>
      <c r="G33" s="4">
        <f>IF(OR(INDEX($P$2:$P$1001,MATCH(ROWS($O$2:O33),$O$2:$O$1001,0),1)&gt;=100000,INDEX($V$1005:$AE$1005,1,MATCH(COLUMNS($V$1006:AA1006),$V$1006:$AE$1006,0))&gt;=100000), " ",IF(INDEX($V$2:$AE$1001,MATCH(ROWS($O$2:O33),$O$2:$O$1001,0),MATCH(COLUMNS($V$1006:AA1006),$V$1006:$AE$1006,0)), HYPERLINK("#",""), HYPERLINK(CONCATENATE("#Metadata!", ADDRESS(INDEX($Q$2:$Q$1001,MATCH(ROWS($O$2:O33),$O$2:$O$1001,0),0), INDEX($V$1004:$AE$1004,1,MATCH(COLUMNS($V$1006:AA1006),$V$1006:$AE$1006,0)))),"Fix")))</f>
        <v>0</v>
      </c>
      <c r="H33" s="4">
        <f>IF(OR(INDEX($P$2:$P$1001,MATCH(ROWS($O$2:O33),$O$2:$O$1001,0),1)&gt;=100000,INDEX($V$1005:$AE$1005,1,MATCH(COLUMNS($V$1006:AB1006),$V$1006:$AE$1006,0))&gt;=100000), " ",IF(INDEX($V$2:$AE$1001,MATCH(ROWS($O$2:O33),$O$2:$O$1001,0),MATCH(COLUMNS($V$1006:AB1006),$V$1006:$AE$1006,0)), HYPERLINK("#",""), HYPERLINK(CONCATENATE("#Metadata!", ADDRESS(INDEX($Q$2:$Q$1001,MATCH(ROWS($O$2:O33),$O$2:$O$1001,0),0), INDEX($V$1004:$AE$1004,1,MATCH(COLUMNS($V$1006:AB1006),$V$1006:$AE$1006,0)))),"Fix")))</f>
        <v>0</v>
      </c>
      <c r="I33" s="4">
        <f>IF(OR(INDEX($P$2:$P$1001,MATCH(ROWS($O$2:O33),$O$2:$O$1001,0),1)&gt;=100000,INDEX($V$1005:$AE$1005,1,MATCH(COLUMNS($V$1006:AC1006),$V$1006:$AE$1006,0))&gt;=100000), " ",IF(INDEX($V$2:$AE$1001,MATCH(ROWS($O$2:O33),$O$2:$O$1001,0),MATCH(COLUMNS($V$1006:AC1006),$V$1006:$AE$1006,0)), HYPERLINK("#",""), HYPERLINK(CONCATENATE("#Metadata!", ADDRESS(INDEX($Q$2:$Q$1001,MATCH(ROWS($O$2:O33),$O$2:$O$1001,0),0), INDEX($V$1004:$AE$1004,1,MATCH(COLUMNS($V$1006:AC1006),$V$1006:$AE$1006,0)))),"Fix")))</f>
        <v>0</v>
      </c>
      <c r="J33" s="4">
        <f>IF(OR(INDEX($P$2:$P$1001,MATCH(ROWS($O$2:O33),$O$2:$O$1001,0),1)&gt;=100000,INDEX($V$1005:$AE$1005,1,MATCH(COLUMNS($V$1006:AD1006),$V$1006:$AE$1006,0))&gt;=100000), " ",IF(INDEX($V$2:$AE$1001,MATCH(ROWS($O$2:O33),$O$2:$O$1001,0),MATCH(COLUMNS($V$1006:AD1006),$V$1006:$AE$1006,0)), HYPERLINK("#",""), HYPERLINK(CONCATENATE("#Metadata!", ADDRESS(INDEX($Q$2:$Q$1001,MATCH(ROWS($O$2:O33),$O$2:$O$1001,0),0), INDEX($V$1004:$AE$1004,1,MATCH(COLUMNS($V$1006:AD1006),$V$1006:$AE$1006,0)))),"Fix")))</f>
        <v>0</v>
      </c>
      <c r="K33" s="4">
        <f>IF(OR(INDEX($P$2:$P$1001,MATCH(ROWS($O$2:O33),$O$2:$O$1001,0),1)&gt;=100000,INDEX($V$1005:$AE$1005,1,MATCH(COLUMNS($V$1006:AE1006),$V$1006:$AE$1006,0))&gt;=100000), " ",IF(INDEX($V$2:$AE$1001,MATCH(ROWS($O$2:O33),$O$2:$O$1001,0),MATCH(COLUMNS($V$1006:AE1006),$V$1006:$AE$1006,0)), HYPERLINK("#",""), HYPERLINK(CONCATENATE("#Metadata!", ADDRESS(INDEX($Q$2:$Q$1001,MATCH(ROWS($O$2:O33),$O$2:$O$1001,0),0), INDEX($V$1004:$AE$1004,1,MATCH(COLUMNS($V$1006:AE1006),$V$1006:$AE$1006,0)))),"Fix")))</f>
        <v>0</v>
      </c>
      <c r="O33">
        <v>0</v>
      </c>
      <c r="P33">
        <v>0</v>
      </c>
      <c r="Q33">
        <v>0</v>
      </c>
      <c r="R33">
        <f>IF(S33,TRUE,AND(V33:AE33))</f>
        <v>0</v>
      </c>
      <c r="S33">
        <f>COUNTBLANK(Metadata!B33:K33)=COLUMNS(Metadata!B33:K33)</f>
        <v>0</v>
      </c>
      <c r="T33">
        <v>0</v>
      </c>
      <c r="V33">
        <f>AND(IF(Metadata!B33="",FALSE,TRUE),COUNTIF(Metadata!B:B, Metadata!B33) = 1,NOT(ISERROR(SUMPRODUCT(SEARCH(MID(Metadata!B33,ROW(INDIRECT("1:"&amp;LEN(Metadata!B33))), 1),"0123456789abcdefghijklmnopqrstuvwxyzABCDEFGHIJKLMNOPQRSTUVWXYZ.")))))</f>
        <v>0</v>
      </c>
      <c r="W33">
        <f>AND(IF(Metadata!C33="",FALSE,TRUE),exact(Metadata!C33,"urban biome"))</f>
        <v>0</v>
      </c>
      <c r="X33">
        <f>AND(IF(Metadata!D33="",FALSE,TRUE),exact(Metadata!D33,"animal-associated habitat"))</f>
        <v>0</v>
      </c>
      <c r="Y33">
        <f>OR(AND(IF(Metadata!E33="",FALSE,TRUE),OR(exact(Metadata!E33,"not applicable"),exact(Metadata!E33,"missing: not collected"),exact(Metadata!E33,"missing: not provided"),exact(Metadata!E33,"missing: restricted access"))),AND(IF(Metadata!E33="",FALSE,ISNUMBER(VALUE(Metadata!E33))),Metadata!E33&gt;0))</f>
        <v>0</v>
      </c>
      <c r="Z33">
        <f>AND(IF(Metadata!F33="",FALSE,TRUE),exact(Metadata!F33,"weeks"))</f>
        <v>0</v>
      </c>
      <c r="AA33">
        <f>AND(IF(Metadata!G33="",FALSE,TRUE),exact(Metadata!G33,"mouse"))</f>
        <v>0</v>
      </c>
      <c r="AB33">
        <f>AND(IF(Metadata!H33="",FALSE,TRUE),exact(Metadata!H33,"Mus musculus"))</f>
        <v>0</v>
      </c>
      <c r="AC33">
        <f>AND(IF(Metadata!I33="",FALSE,TRUE),exact(Metadata!I33,"10090"))</f>
        <v>0</v>
      </c>
      <c r="AD33">
        <f>OR(AND(IF(Metadata!J33="",FALSE,TRUE),OR(exact(Metadata!J33,"not applicable"),exact(Metadata!J33,"missing: not collected"),exact(Metadata!J33,"missing: not provided"),exact(Metadata!J33,"missing: restricted access"))),AND(IF(Metadata!J33="",FALSE,ISNUMBER(VALUE(Metadata!J33))),Metadata!J33&gt;0))</f>
        <v>0</v>
      </c>
      <c r="AE33">
        <f>AND(IF(Metadata!K33="",FALSE,TRUE),exact(Metadata!K33,"g"))</f>
        <v>0</v>
      </c>
    </row>
    <row r="34" spans="1:31">
      <c r="A34" s="5">
        <f>IF(B34=" "," ",HYPERLINK(CONCATENATE("#metadata!",ADDRESS(INDEX($Q$2:$Q$1001,MATCH(ROWS($O$2:O34),$O$2:$O$1001,0),0),1)),INDEX($T$2:$T$1001,MATCH(ROWS($O$2:O34),$O$2:$O$1001,0),0)))</f>
        <v>0</v>
      </c>
      <c r="B34" s="4">
        <f>IF(OR(INDEX($P$2:$P$1001,MATCH(ROWS($O$2:O34),$O$2:$O$1001,0),1)&gt;=100000,INDEX($V$1005:$AE$1005,1,MATCH(COLUMNS($V$1006:V1006),$V$1006:$AE$1006,0))&gt;=100000), " ",IF(INDEX($V$2:$AE$1001,MATCH(ROWS($O$2:O34),$O$2:$O$1001,0),MATCH(COLUMNS($V$1006:V1006),$V$1006:$AE$1006,0)), HYPERLINK("#",""), HYPERLINK(CONCATENATE("#Metadata!", ADDRESS(INDEX($Q$2:$Q$1001,MATCH(ROWS($O$2:O34),$O$2:$O$1001,0),0), INDEX($V$1004:$AE$1004,1,MATCH(COLUMNS($V$1006:V1006),$V$1006:$AE$1006,0)))),"Fix")))</f>
        <v>0</v>
      </c>
      <c r="C34" s="4">
        <f>IF(OR(INDEX($P$2:$P$1001,MATCH(ROWS($O$2:O34),$O$2:$O$1001,0),1)&gt;=100000,INDEX($V$1005:$AE$1005,1,MATCH(COLUMNS($V$1006:W1006),$V$1006:$AE$1006,0))&gt;=100000), " ",IF(INDEX($V$2:$AE$1001,MATCH(ROWS($O$2:O34),$O$2:$O$1001,0),MATCH(COLUMNS($V$1006:W1006),$V$1006:$AE$1006,0)), HYPERLINK("#",""), HYPERLINK(CONCATENATE("#Metadata!", ADDRESS(INDEX($Q$2:$Q$1001,MATCH(ROWS($O$2:O34),$O$2:$O$1001,0),0), INDEX($V$1004:$AE$1004,1,MATCH(COLUMNS($V$1006:W1006),$V$1006:$AE$1006,0)))),"Fix")))</f>
        <v>0</v>
      </c>
      <c r="D34" s="4">
        <f>IF(OR(INDEX($P$2:$P$1001,MATCH(ROWS($O$2:O34),$O$2:$O$1001,0),1)&gt;=100000,INDEX($V$1005:$AE$1005,1,MATCH(COLUMNS($V$1006:X1006),$V$1006:$AE$1006,0))&gt;=100000), " ",IF(INDEX($V$2:$AE$1001,MATCH(ROWS($O$2:O34),$O$2:$O$1001,0),MATCH(COLUMNS($V$1006:X1006),$V$1006:$AE$1006,0)), HYPERLINK("#",""), HYPERLINK(CONCATENATE("#Metadata!", ADDRESS(INDEX($Q$2:$Q$1001,MATCH(ROWS($O$2:O34),$O$2:$O$1001,0),0), INDEX($V$1004:$AE$1004,1,MATCH(COLUMNS($V$1006:X1006),$V$1006:$AE$1006,0)))),"Fix")))</f>
        <v>0</v>
      </c>
      <c r="E34" s="4">
        <f>IF(OR(INDEX($P$2:$P$1001,MATCH(ROWS($O$2:O34),$O$2:$O$1001,0),1)&gt;=100000,INDEX($V$1005:$AE$1005,1,MATCH(COLUMNS($V$1006:Y1006),$V$1006:$AE$1006,0))&gt;=100000), " ",IF(INDEX($V$2:$AE$1001,MATCH(ROWS($O$2:O34),$O$2:$O$1001,0),MATCH(COLUMNS($V$1006:Y1006),$V$1006:$AE$1006,0)), HYPERLINK("#",""), HYPERLINK(CONCATENATE("#Metadata!", ADDRESS(INDEX($Q$2:$Q$1001,MATCH(ROWS($O$2:O34),$O$2:$O$1001,0),0), INDEX($V$1004:$AE$1004,1,MATCH(COLUMNS($V$1006:Y1006),$V$1006:$AE$1006,0)))),"Fix")))</f>
        <v>0</v>
      </c>
      <c r="F34" s="4">
        <f>IF(OR(INDEX($P$2:$P$1001,MATCH(ROWS($O$2:O34),$O$2:$O$1001,0),1)&gt;=100000,INDEX($V$1005:$AE$1005,1,MATCH(COLUMNS($V$1006:Z1006),$V$1006:$AE$1006,0))&gt;=100000), " ",IF(INDEX($V$2:$AE$1001,MATCH(ROWS($O$2:O34),$O$2:$O$1001,0),MATCH(COLUMNS($V$1006:Z1006),$V$1006:$AE$1006,0)), HYPERLINK("#",""), HYPERLINK(CONCATENATE("#Metadata!", ADDRESS(INDEX($Q$2:$Q$1001,MATCH(ROWS($O$2:O34),$O$2:$O$1001,0),0), INDEX($V$1004:$AE$1004,1,MATCH(COLUMNS($V$1006:Z1006),$V$1006:$AE$1006,0)))),"Fix")))</f>
        <v>0</v>
      </c>
      <c r="G34" s="4">
        <f>IF(OR(INDEX($P$2:$P$1001,MATCH(ROWS($O$2:O34),$O$2:$O$1001,0),1)&gt;=100000,INDEX($V$1005:$AE$1005,1,MATCH(COLUMNS($V$1006:AA1006),$V$1006:$AE$1006,0))&gt;=100000), " ",IF(INDEX($V$2:$AE$1001,MATCH(ROWS($O$2:O34),$O$2:$O$1001,0),MATCH(COLUMNS($V$1006:AA1006),$V$1006:$AE$1006,0)), HYPERLINK("#",""), HYPERLINK(CONCATENATE("#Metadata!", ADDRESS(INDEX($Q$2:$Q$1001,MATCH(ROWS($O$2:O34),$O$2:$O$1001,0),0), INDEX($V$1004:$AE$1004,1,MATCH(COLUMNS($V$1006:AA1006),$V$1006:$AE$1006,0)))),"Fix")))</f>
        <v>0</v>
      </c>
      <c r="H34" s="4">
        <f>IF(OR(INDEX($P$2:$P$1001,MATCH(ROWS($O$2:O34),$O$2:$O$1001,0),1)&gt;=100000,INDEX($V$1005:$AE$1005,1,MATCH(COLUMNS($V$1006:AB1006),$V$1006:$AE$1006,0))&gt;=100000), " ",IF(INDEX($V$2:$AE$1001,MATCH(ROWS($O$2:O34),$O$2:$O$1001,0),MATCH(COLUMNS($V$1006:AB1006),$V$1006:$AE$1006,0)), HYPERLINK("#",""), HYPERLINK(CONCATENATE("#Metadata!", ADDRESS(INDEX($Q$2:$Q$1001,MATCH(ROWS($O$2:O34),$O$2:$O$1001,0),0), INDEX($V$1004:$AE$1004,1,MATCH(COLUMNS($V$1006:AB1006),$V$1006:$AE$1006,0)))),"Fix")))</f>
        <v>0</v>
      </c>
      <c r="I34" s="4">
        <f>IF(OR(INDEX($P$2:$P$1001,MATCH(ROWS($O$2:O34),$O$2:$O$1001,0),1)&gt;=100000,INDEX($V$1005:$AE$1005,1,MATCH(COLUMNS($V$1006:AC1006),$V$1006:$AE$1006,0))&gt;=100000), " ",IF(INDEX($V$2:$AE$1001,MATCH(ROWS($O$2:O34),$O$2:$O$1001,0),MATCH(COLUMNS($V$1006:AC1006),$V$1006:$AE$1006,0)), HYPERLINK("#",""), HYPERLINK(CONCATENATE("#Metadata!", ADDRESS(INDEX($Q$2:$Q$1001,MATCH(ROWS($O$2:O34),$O$2:$O$1001,0),0), INDEX($V$1004:$AE$1004,1,MATCH(COLUMNS($V$1006:AC1006),$V$1006:$AE$1006,0)))),"Fix")))</f>
        <v>0</v>
      </c>
      <c r="J34" s="4">
        <f>IF(OR(INDEX($P$2:$P$1001,MATCH(ROWS($O$2:O34),$O$2:$O$1001,0),1)&gt;=100000,INDEX($V$1005:$AE$1005,1,MATCH(COLUMNS($V$1006:AD1006),$V$1006:$AE$1006,0))&gt;=100000), " ",IF(INDEX($V$2:$AE$1001,MATCH(ROWS($O$2:O34),$O$2:$O$1001,0),MATCH(COLUMNS($V$1006:AD1006),$V$1006:$AE$1006,0)), HYPERLINK("#",""), HYPERLINK(CONCATENATE("#Metadata!", ADDRESS(INDEX($Q$2:$Q$1001,MATCH(ROWS($O$2:O34),$O$2:$O$1001,0),0), INDEX($V$1004:$AE$1004,1,MATCH(COLUMNS($V$1006:AD1006),$V$1006:$AE$1006,0)))),"Fix")))</f>
        <v>0</v>
      </c>
      <c r="K34" s="4">
        <f>IF(OR(INDEX($P$2:$P$1001,MATCH(ROWS($O$2:O34),$O$2:$O$1001,0),1)&gt;=100000,INDEX($V$1005:$AE$1005,1,MATCH(COLUMNS($V$1006:AE1006),$V$1006:$AE$1006,0))&gt;=100000), " ",IF(INDEX($V$2:$AE$1001,MATCH(ROWS($O$2:O34),$O$2:$O$1001,0),MATCH(COLUMNS($V$1006:AE1006),$V$1006:$AE$1006,0)), HYPERLINK("#",""), HYPERLINK(CONCATENATE("#Metadata!", ADDRESS(INDEX($Q$2:$Q$1001,MATCH(ROWS($O$2:O34),$O$2:$O$1001,0),0), INDEX($V$1004:$AE$1004,1,MATCH(COLUMNS($V$1006:AE1006),$V$1006:$AE$1006,0)))),"Fix")))</f>
        <v>0</v>
      </c>
      <c r="O34">
        <v>0</v>
      </c>
      <c r="P34">
        <v>0</v>
      </c>
      <c r="Q34">
        <v>0</v>
      </c>
      <c r="R34">
        <f>IF(S34,TRUE,AND(V34:AE34))</f>
        <v>0</v>
      </c>
      <c r="S34">
        <f>COUNTBLANK(Metadata!B34:K34)=COLUMNS(Metadata!B34:K34)</f>
        <v>0</v>
      </c>
      <c r="T34">
        <v>0</v>
      </c>
      <c r="V34">
        <f>AND(IF(Metadata!B34="",FALSE,TRUE),COUNTIF(Metadata!B:B, Metadata!B34) = 1,NOT(ISERROR(SUMPRODUCT(SEARCH(MID(Metadata!B34,ROW(INDIRECT("1:"&amp;LEN(Metadata!B34))), 1),"0123456789abcdefghijklmnopqrstuvwxyzABCDEFGHIJKLMNOPQRSTUVWXYZ.")))))</f>
        <v>0</v>
      </c>
      <c r="W34">
        <f>AND(IF(Metadata!C34="",FALSE,TRUE),exact(Metadata!C34,"urban biome"))</f>
        <v>0</v>
      </c>
      <c r="X34">
        <f>AND(IF(Metadata!D34="",FALSE,TRUE),exact(Metadata!D34,"animal-associated habitat"))</f>
        <v>0</v>
      </c>
      <c r="Y34">
        <f>OR(AND(IF(Metadata!E34="",FALSE,TRUE),OR(exact(Metadata!E34,"not applicable"),exact(Metadata!E34,"missing: not collected"),exact(Metadata!E34,"missing: not provided"),exact(Metadata!E34,"missing: restricted access"))),AND(IF(Metadata!E34="",FALSE,ISNUMBER(VALUE(Metadata!E34))),Metadata!E34&gt;0))</f>
        <v>0</v>
      </c>
      <c r="Z34">
        <f>AND(IF(Metadata!F34="",FALSE,TRUE),exact(Metadata!F34,"weeks"))</f>
        <v>0</v>
      </c>
      <c r="AA34">
        <f>AND(IF(Metadata!G34="",FALSE,TRUE),exact(Metadata!G34,"mouse"))</f>
        <v>0</v>
      </c>
      <c r="AB34">
        <f>AND(IF(Metadata!H34="",FALSE,TRUE),exact(Metadata!H34,"Mus musculus"))</f>
        <v>0</v>
      </c>
      <c r="AC34">
        <f>AND(IF(Metadata!I34="",FALSE,TRUE),exact(Metadata!I34,"10090"))</f>
        <v>0</v>
      </c>
      <c r="AD34">
        <f>OR(AND(IF(Metadata!J34="",FALSE,TRUE),OR(exact(Metadata!J34,"not applicable"),exact(Metadata!J34,"missing: not collected"),exact(Metadata!J34,"missing: not provided"),exact(Metadata!J34,"missing: restricted access"))),AND(IF(Metadata!J34="",FALSE,ISNUMBER(VALUE(Metadata!J34))),Metadata!J34&gt;0))</f>
        <v>0</v>
      </c>
      <c r="AE34">
        <f>AND(IF(Metadata!K34="",FALSE,TRUE),exact(Metadata!K34,"g"))</f>
        <v>0</v>
      </c>
    </row>
    <row r="35" spans="1:31">
      <c r="A35" s="5">
        <f>IF(B35=" "," ",HYPERLINK(CONCATENATE("#metadata!",ADDRESS(INDEX($Q$2:$Q$1001,MATCH(ROWS($O$2:O35),$O$2:$O$1001,0),0),1)),INDEX($T$2:$T$1001,MATCH(ROWS($O$2:O35),$O$2:$O$1001,0),0)))</f>
        <v>0</v>
      </c>
      <c r="B35" s="4">
        <f>IF(OR(INDEX($P$2:$P$1001,MATCH(ROWS($O$2:O35),$O$2:$O$1001,0),1)&gt;=100000,INDEX($V$1005:$AE$1005,1,MATCH(COLUMNS($V$1006:V1006),$V$1006:$AE$1006,0))&gt;=100000), " ",IF(INDEX($V$2:$AE$1001,MATCH(ROWS($O$2:O35),$O$2:$O$1001,0),MATCH(COLUMNS($V$1006:V1006),$V$1006:$AE$1006,0)), HYPERLINK("#",""), HYPERLINK(CONCATENATE("#Metadata!", ADDRESS(INDEX($Q$2:$Q$1001,MATCH(ROWS($O$2:O35),$O$2:$O$1001,0),0), INDEX($V$1004:$AE$1004,1,MATCH(COLUMNS($V$1006:V1006),$V$1006:$AE$1006,0)))),"Fix")))</f>
        <v>0</v>
      </c>
      <c r="C35" s="4">
        <f>IF(OR(INDEX($P$2:$P$1001,MATCH(ROWS($O$2:O35),$O$2:$O$1001,0),1)&gt;=100000,INDEX($V$1005:$AE$1005,1,MATCH(COLUMNS($V$1006:W1006),$V$1006:$AE$1006,0))&gt;=100000), " ",IF(INDEX($V$2:$AE$1001,MATCH(ROWS($O$2:O35),$O$2:$O$1001,0),MATCH(COLUMNS($V$1006:W1006),$V$1006:$AE$1006,0)), HYPERLINK("#",""), HYPERLINK(CONCATENATE("#Metadata!", ADDRESS(INDEX($Q$2:$Q$1001,MATCH(ROWS($O$2:O35),$O$2:$O$1001,0),0), INDEX($V$1004:$AE$1004,1,MATCH(COLUMNS($V$1006:W1006),$V$1006:$AE$1006,0)))),"Fix")))</f>
        <v>0</v>
      </c>
      <c r="D35" s="4">
        <f>IF(OR(INDEX($P$2:$P$1001,MATCH(ROWS($O$2:O35),$O$2:$O$1001,0),1)&gt;=100000,INDEX($V$1005:$AE$1005,1,MATCH(COLUMNS($V$1006:X1006),$V$1006:$AE$1006,0))&gt;=100000), " ",IF(INDEX($V$2:$AE$1001,MATCH(ROWS($O$2:O35),$O$2:$O$1001,0),MATCH(COLUMNS($V$1006:X1006),$V$1006:$AE$1006,0)), HYPERLINK("#",""), HYPERLINK(CONCATENATE("#Metadata!", ADDRESS(INDEX($Q$2:$Q$1001,MATCH(ROWS($O$2:O35),$O$2:$O$1001,0),0), INDEX($V$1004:$AE$1004,1,MATCH(COLUMNS($V$1006:X1006),$V$1006:$AE$1006,0)))),"Fix")))</f>
        <v>0</v>
      </c>
      <c r="E35" s="4">
        <f>IF(OR(INDEX($P$2:$P$1001,MATCH(ROWS($O$2:O35),$O$2:$O$1001,0),1)&gt;=100000,INDEX($V$1005:$AE$1005,1,MATCH(COLUMNS($V$1006:Y1006),$V$1006:$AE$1006,0))&gt;=100000), " ",IF(INDEX($V$2:$AE$1001,MATCH(ROWS($O$2:O35),$O$2:$O$1001,0),MATCH(COLUMNS($V$1006:Y1006),$V$1006:$AE$1006,0)), HYPERLINK("#",""), HYPERLINK(CONCATENATE("#Metadata!", ADDRESS(INDEX($Q$2:$Q$1001,MATCH(ROWS($O$2:O35),$O$2:$O$1001,0),0), INDEX($V$1004:$AE$1004,1,MATCH(COLUMNS($V$1006:Y1006),$V$1006:$AE$1006,0)))),"Fix")))</f>
        <v>0</v>
      </c>
      <c r="F35" s="4">
        <f>IF(OR(INDEX($P$2:$P$1001,MATCH(ROWS($O$2:O35),$O$2:$O$1001,0),1)&gt;=100000,INDEX($V$1005:$AE$1005,1,MATCH(COLUMNS($V$1006:Z1006),$V$1006:$AE$1006,0))&gt;=100000), " ",IF(INDEX($V$2:$AE$1001,MATCH(ROWS($O$2:O35),$O$2:$O$1001,0),MATCH(COLUMNS($V$1006:Z1006),$V$1006:$AE$1006,0)), HYPERLINK("#",""), HYPERLINK(CONCATENATE("#Metadata!", ADDRESS(INDEX($Q$2:$Q$1001,MATCH(ROWS($O$2:O35),$O$2:$O$1001,0),0), INDEX($V$1004:$AE$1004,1,MATCH(COLUMNS($V$1006:Z1006),$V$1006:$AE$1006,0)))),"Fix")))</f>
        <v>0</v>
      </c>
      <c r="G35" s="4">
        <f>IF(OR(INDEX($P$2:$P$1001,MATCH(ROWS($O$2:O35),$O$2:$O$1001,0),1)&gt;=100000,INDEX($V$1005:$AE$1005,1,MATCH(COLUMNS($V$1006:AA1006),$V$1006:$AE$1006,0))&gt;=100000), " ",IF(INDEX($V$2:$AE$1001,MATCH(ROWS($O$2:O35),$O$2:$O$1001,0),MATCH(COLUMNS($V$1006:AA1006),$V$1006:$AE$1006,0)), HYPERLINK("#",""), HYPERLINK(CONCATENATE("#Metadata!", ADDRESS(INDEX($Q$2:$Q$1001,MATCH(ROWS($O$2:O35),$O$2:$O$1001,0),0), INDEX($V$1004:$AE$1004,1,MATCH(COLUMNS($V$1006:AA1006),$V$1006:$AE$1006,0)))),"Fix")))</f>
        <v>0</v>
      </c>
      <c r="H35" s="4">
        <f>IF(OR(INDEX($P$2:$P$1001,MATCH(ROWS($O$2:O35),$O$2:$O$1001,0),1)&gt;=100000,INDEX($V$1005:$AE$1005,1,MATCH(COLUMNS($V$1006:AB1006),$V$1006:$AE$1006,0))&gt;=100000), " ",IF(INDEX($V$2:$AE$1001,MATCH(ROWS($O$2:O35),$O$2:$O$1001,0),MATCH(COLUMNS($V$1006:AB1006),$V$1006:$AE$1006,0)), HYPERLINK("#",""), HYPERLINK(CONCATENATE("#Metadata!", ADDRESS(INDEX($Q$2:$Q$1001,MATCH(ROWS($O$2:O35),$O$2:$O$1001,0),0), INDEX($V$1004:$AE$1004,1,MATCH(COLUMNS($V$1006:AB1006),$V$1006:$AE$1006,0)))),"Fix")))</f>
        <v>0</v>
      </c>
      <c r="I35" s="4">
        <f>IF(OR(INDEX($P$2:$P$1001,MATCH(ROWS($O$2:O35),$O$2:$O$1001,0),1)&gt;=100000,INDEX($V$1005:$AE$1005,1,MATCH(COLUMNS($V$1006:AC1006),$V$1006:$AE$1006,0))&gt;=100000), " ",IF(INDEX($V$2:$AE$1001,MATCH(ROWS($O$2:O35),$O$2:$O$1001,0),MATCH(COLUMNS($V$1006:AC1006),$V$1006:$AE$1006,0)), HYPERLINK("#",""), HYPERLINK(CONCATENATE("#Metadata!", ADDRESS(INDEX($Q$2:$Q$1001,MATCH(ROWS($O$2:O35),$O$2:$O$1001,0),0), INDEX($V$1004:$AE$1004,1,MATCH(COLUMNS($V$1006:AC1006),$V$1006:$AE$1006,0)))),"Fix")))</f>
        <v>0</v>
      </c>
      <c r="J35" s="4">
        <f>IF(OR(INDEX($P$2:$P$1001,MATCH(ROWS($O$2:O35),$O$2:$O$1001,0),1)&gt;=100000,INDEX($V$1005:$AE$1005,1,MATCH(COLUMNS($V$1006:AD1006),$V$1006:$AE$1006,0))&gt;=100000), " ",IF(INDEX($V$2:$AE$1001,MATCH(ROWS($O$2:O35),$O$2:$O$1001,0),MATCH(COLUMNS($V$1006:AD1006),$V$1006:$AE$1006,0)), HYPERLINK("#",""), HYPERLINK(CONCATENATE("#Metadata!", ADDRESS(INDEX($Q$2:$Q$1001,MATCH(ROWS($O$2:O35),$O$2:$O$1001,0),0), INDEX($V$1004:$AE$1004,1,MATCH(COLUMNS($V$1006:AD1006),$V$1006:$AE$1006,0)))),"Fix")))</f>
        <v>0</v>
      </c>
      <c r="K35" s="4">
        <f>IF(OR(INDEX($P$2:$P$1001,MATCH(ROWS($O$2:O35),$O$2:$O$1001,0),1)&gt;=100000,INDEX($V$1005:$AE$1005,1,MATCH(COLUMNS($V$1006:AE1006),$V$1006:$AE$1006,0))&gt;=100000), " ",IF(INDEX($V$2:$AE$1001,MATCH(ROWS($O$2:O35),$O$2:$O$1001,0),MATCH(COLUMNS($V$1006:AE1006),$V$1006:$AE$1006,0)), HYPERLINK("#",""), HYPERLINK(CONCATENATE("#Metadata!", ADDRESS(INDEX($Q$2:$Q$1001,MATCH(ROWS($O$2:O35),$O$2:$O$1001,0),0), INDEX($V$1004:$AE$1004,1,MATCH(COLUMNS($V$1006:AE1006),$V$1006:$AE$1006,0)))),"Fix")))</f>
        <v>0</v>
      </c>
      <c r="O35">
        <v>0</v>
      </c>
      <c r="P35">
        <v>0</v>
      </c>
      <c r="Q35">
        <v>0</v>
      </c>
      <c r="R35">
        <f>IF(S35,TRUE,AND(V35:AE35))</f>
        <v>0</v>
      </c>
      <c r="S35">
        <f>COUNTBLANK(Metadata!B35:K35)=COLUMNS(Metadata!B35:K35)</f>
        <v>0</v>
      </c>
      <c r="T35">
        <v>0</v>
      </c>
      <c r="V35">
        <f>AND(IF(Metadata!B35="",FALSE,TRUE),COUNTIF(Metadata!B:B, Metadata!B35) = 1,NOT(ISERROR(SUMPRODUCT(SEARCH(MID(Metadata!B35,ROW(INDIRECT("1:"&amp;LEN(Metadata!B35))), 1),"0123456789abcdefghijklmnopqrstuvwxyzABCDEFGHIJKLMNOPQRSTUVWXYZ.")))))</f>
        <v>0</v>
      </c>
      <c r="W35">
        <f>AND(IF(Metadata!C35="",FALSE,TRUE),exact(Metadata!C35,"urban biome"))</f>
        <v>0</v>
      </c>
      <c r="X35">
        <f>AND(IF(Metadata!D35="",FALSE,TRUE),exact(Metadata!D35,"animal-associated habitat"))</f>
        <v>0</v>
      </c>
      <c r="Y35">
        <f>OR(AND(IF(Metadata!E35="",FALSE,TRUE),OR(exact(Metadata!E35,"not applicable"),exact(Metadata!E35,"missing: not collected"),exact(Metadata!E35,"missing: not provided"),exact(Metadata!E35,"missing: restricted access"))),AND(IF(Metadata!E35="",FALSE,ISNUMBER(VALUE(Metadata!E35))),Metadata!E35&gt;0))</f>
        <v>0</v>
      </c>
      <c r="Z35">
        <f>AND(IF(Metadata!F35="",FALSE,TRUE),exact(Metadata!F35,"weeks"))</f>
        <v>0</v>
      </c>
      <c r="AA35">
        <f>AND(IF(Metadata!G35="",FALSE,TRUE),exact(Metadata!G35,"mouse"))</f>
        <v>0</v>
      </c>
      <c r="AB35">
        <f>AND(IF(Metadata!H35="",FALSE,TRUE),exact(Metadata!H35,"Mus musculus"))</f>
        <v>0</v>
      </c>
      <c r="AC35">
        <f>AND(IF(Metadata!I35="",FALSE,TRUE),exact(Metadata!I35,"10090"))</f>
        <v>0</v>
      </c>
      <c r="AD35">
        <f>OR(AND(IF(Metadata!J35="",FALSE,TRUE),OR(exact(Metadata!J35,"not applicable"),exact(Metadata!J35,"missing: not collected"),exact(Metadata!J35,"missing: not provided"),exact(Metadata!J35,"missing: restricted access"))),AND(IF(Metadata!J35="",FALSE,ISNUMBER(VALUE(Metadata!J35))),Metadata!J35&gt;0))</f>
        <v>0</v>
      </c>
      <c r="AE35">
        <f>AND(IF(Metadata!K35="",FALSE,TRUE),exact(Metadata!K35,"g"))</f>
        <v>0</v>
      </c>
    </row>
    <row r="36" spans="1:31">
      <c r="A36" s="5">
        <f>IF(B36=" "," ",HYPERLINK(CONCATENATE("#metadata!",ADDRESS(INDEX($Q$2:$Q$1001,MATCH(ROWS($O$2:O36),$O$2:$O$1001,0),0),1)),INDEX($T$2:$T$1001,MATCH(ROWS($O$2:O36),$O$2:$O$1001,0),0)))</f>
        <v>0</v>
      </c>
      <c r="B36" s="4">
        <f>IF(OR(INDEX($P$2:$P$1001,MATCH(ROWS($O$2:O36),$O$2:$O$1001,0),1)&gt;=100000,INDEX($V$1005:$AE$1005,1,MATCH(COLUMNS($V$1006:V1006),$V$1006:$AE$1006,0))&gt;=100000), " ",IF(INDEX($V$2:$AE$1001,MATCH(ROWS($O$2:O36),$O$2:$O$1001,0),MATCH(COLUMNS($V$1006:V1006),$V$1006:$AE$1006,0)), HYPERLINK("#",""), HYPERLINK(CONCATENATE("#Metadata!", ADDRESS(INDEX($Q$2:$Q$1001,MATCH(ROWS($O$2:O36),$O$2:$O$1001,0),0), INDEX($V$1004:$AE$1004,1,MATCH(COLUMNS($V$1006:V1006),$V$1006:$AE$1006,0)))),"Fix")))</f>
        <v>0</v>
      </c>
      <c r="C36" s="4">
        <f>IF(OR(INDEX($P$2:$P$1001,MATCH(ROWS($O$2:O36),$O$2:$O$1001,0),1)&gt;=100000,INDEX($V$1005:$AE$1005,1,MATCH(COLUMNS($V$1006:W1006),$V$1006:$AE$1006,0))&gt;=100000), " ",IF(INDEX($V$2:$AE$1001,MATCH(ROWS($O$2:O36),$O$2:$O$1001,0),MATCH(COLUMNS($V$1006:W1006),$V$1006:$AE$1006,0)), HYPERLINK("#",""), HYPERLINK(CONCATENATE("#Metadata!", ADDRESS(INDEX($Q$2:$Q$1001,MATCH(ROWS($O$2:O36),$O$2:$O$1001,0),0), INDEX($V$1004:$AE$1004,1,MATCH(COLUMNS($V$1006:W1006),$V$1006:$AE$1006,0)))),"Fix")))</f>
        <v>0</v>
      </c>
      <c r="D36" s="4">
        <f>IF(OR(INDEX($P$2:$P$1001,MATCH(ROWS($O$2:O36),$O$2:$O$1001,0),1)&gt;=100000,INDEX($V$1005:$AE$1005,1,MATCH(COLUMNS($V$1006:X1006),$V$1006:$AE$1006,0))&gt;=100000), " ",IF(INDEX($V$2:$AE$1001,MATCH(ROWS($O$2:O36),$O$2:$O$1001,0),MATCH(COLUMNS($V$1006:X1006),$V$1006:$AE$1006,0)), HYPERLINK("#",""), HYPERLINK(CONCATENATE("#Metadata!", ADDRESS(INDEX($Q$2:$Q$1001,MATCH(ROWS($O$2:O36),$O$2:$O$1001,0),0), INDEX($V$1004:$AE$1004,1,MATCH(COLUMNS($V$1006:X1006),$V$1006:$AE$1006,0)))),"Fix")))</f>
        <v>0</v>
      </c>
      <c r="E36" s="4">
        <f>IF(OR(INDEX($P$2:$P$1001,MATCH(ROWS($O$2:O36),$O$2:$O$1001,0),1)&gt;=100000,INDEX($V$1005:$AE$1005,1,MATCH(COLUMNS($V$1006:Y1006),$V$1006:$AE$1006,0))&gt;=100000), " ",IF(INDEX($V$2:$AE$1001,MATCH(ROWS($O$2:O36),$O$2:$O$1001,0),MATCH(COLUMNS($V$1006:Y1006),$V$1006:$AE$1006,0)), HYPERLINK("#",""), HYPERLINK(CONCATENATE("#Metadata!", ADDRESS(INDEX($Q$2:$Q$1001,MATCH(ROWS($O$2:O36),$O$2:$O$1001,0),0), INDEX($V$1004:$AE$1004,1,MATCH(COLUMNS($V$1006:Y1006),$V$1006:$AE$1006,0)))),"Fix")))</f>
        <v>0</v>
      </c>
      <c r="F36" s="4">
        <f>IF(OR(INDEX($P$2:$P$1001,MATCH(ROWS($O$2:O36),$O$2:$O$1001,0),1)&gt;=100000,INDEX($V$1005:$AE$1005,1,MATCH(COLUMNS($V$1006:Z1006),$V$1006:$AE$1006,0))&gt;=100000), " ",IF(INDEX($V$2:$AE$1001,MATCH(ROWS($O$2:O36),$O$2:$O$1001,0),MATCH(COLUMNS($V$1006:Z1006),$V$1006:$AE$1006,0)), HYPERLINK("#",""), HYPERLINK(CONCATENATE("#Metadata!", ADDRESS(INDEX($Q$2:$Q$1001,MATCH(ROWS($O$2:O36),$O$2:$O$1001,0),0), INDEX($V$1004:$AE$1004,1,MATCH(COLUMNS($V$1006:Z1006),$V$1006:$AE$1006,0)))),"Fix")))</f>
        <v>0</v>
      </c>
      <c r="G36" s="4">
        <f>IF(OR(INDEX($P$2:$P$1001,MATCH(ROWS($O$2:O36),$O$2:$O$1001,0),1)&gt;=100000,INDEX($V$1005:$AE$1005,1,MATCH(COLUMNS($V$1006:AA1006),$V$1006:$AE$1006,0))&gt;=100000), " ",IF(INDEX($V$2:$AE$1001,MATCH(ROWS($O$2:O36),$O$2:$O$1001,0),MATCH(COLUMNS($V$1006:AA1006),$V$1006:$AE$1006,0)), HYPERLINK("#",""), HYPERLINK(CONCATENATE("#Metadata!", ADDRESS(INDEX($Q$2:$Q$1001,MATCH(ROWS($O$2:O36),$O$2:$O$1001,0),0), INDEX($V$1004:$AE$1004,1,MATCH(COLUMNS($V$1006:AA1006),$V$1006:$AE$1006,0)))),"Fix")))</f>
        <v>0</v>
      </c>
      <c r="H36" s="4">
        <f>IF(OR(INDEX($P$2:$P$1001,MATCH(ROWS($O$2:O36),$O$2:$O$1001,0),1)&gt;=100000,INDEX($V$1005:$AE$1005,1,MATCH(COLUMNS($V$1006:AB1006),$V$1006:$AE$1006,0))&gt;=100000), " ",IF(INDEX($V$2:$AE$1001,MATCH(ROWS($O$2:O36),$O$2:$O$1001,0),MATCH(COLUMNS($V$1006:AB1006),$V$1006:$AE$1006,0)), HYPERLINK("#",""), HYPERLINK(CONCATENATE("#Metadata!", ADDRESS(INDEX($Q$2:$Q$1001,MATCH(ROWS($O$2:O36),$O$2:$O$1001,0),0), INDEX($V$1004:$AE$1004,1,MATCH(COLUMNS($V$1006:AB1006),$V$1006:$AE$1006,0)))),"Fix")))</f>
        <v>0</v>
      </c>
      <c r="I36" s="4">
        <f>IF(OR(INDEX($P$2:$P$1001,MATCH(ROWS($O$2:O36),$O$2:$O$1001,0),1)&gt;=100000,INDEX($V$1005:$AE$1005,1,MATCH(COLUMNS($V$1006:AC1006),$V$1006:$AE$1006,0))&gt;=100000), " ",IF(INDEX($V$2:$AE$1001,MATCH(ROWS($O$2:O36),$O$2:$O$1001,0),MATCH(COLUMNS($V$1006:AC1006),$V$1006:$AE$1006,0)), HYPERLINK("#",""), HYPERLINK(CONCATENATE("#Metadata!", ADDRESS(INDEX($Q$2:$Q$1001,MATCH(ROWS($O$2:O36),$O$2:$O$1001,0),0), INDEX($V$1004:$AE$1004,1,MATCH(COLUMNS($V$1006:AC1006),$V$1006:$AE$1006,0)))),"Fix")))</f>
        <v>0</v>
      </c>
      <c r="J36" s="4">
        <f>IF(OR(INDEX($P$2:$P$1001,MATCH(ROWS($O$2:O36),$O$2:$O$1001,0),1)&gt;=100000,INDEX($V$1005:$AE$1005,1,MATCH(COLUMNS($V$1006:AD1006),$V$1006:$AE$1006,0))&gt;=100000), " ",IF(INDEX($V$2:$AE$1001,MATCH(ROWS($O$2:O36),$O$2:$O$1001,0),MATCH(COLUMNS($V$1006:AD1006),$V$1006:$AE$1006,0)), HYPERLINK("#",""), HYPERLINK(CONCATENATE("#Metadata!", ADDRESS(INDEX($Q$2:$Q$1001,MATCH(ROWS($O$2:O36),$O$2:$O$1001,0),0), INDEX($V$1004:$AE$1004,1,MATCH(COLUMNS($V$1006:AD1006),$V$1006:$AE$1006,0)))),"Fix")))</f>
        <v>0</v>
      </c>
      <c r="K36" s="4">
        <f>IF(OR(INDEX($P$2:$P$1001,MATCH(ROWS($O$2:O36),$O$2:$O$1001,0),1)&gt;=100000,INDEX($V$1005:$AE$1005,1,MATCH(COLUMNS($V$1006:AE1006),$V$1006:$AE$1006,0))&gt;=100000), " ",IF(INDEX($V$2:$AE$1001,MATCH(ROWS($O$2:O36),$O$2:$O$1001,0),MATCH(COLUMNS($V$1006:AE1006),$V$1006:$AE$1006,0)), HYPERLINK("#",""), HYPERLINK(CONCATENATE("#Metadata!", ADDRESS(INDEX($Q$2:$Q$1001,MATCH(ROWS($O$2:O36),$O$2:$O$1001,0),0), INDEX($V$1004:$AE$1004,1,MATCH(COLUMNS($V$1006:AE1006),$V$1006:$AE$1006,0)))),"Fix")))</f>
        <v>0</v>
      </c>
      <c r="O36">
        <v>0</v>
      </c>
      <c r="P36">
        <v>0</v>
      </c>
      <c r="Q36">
        <v>0</v>
      </c>
      <c r="R36">
        <f>IF(S36,TRUE,AND(V36:AE36))</f>
        <v>0</v>
      </c>
      <c r="S36">
        <f>COUNTBLANK(Metadata!B36:K36)=COLUMNS(Metadata!B36:K36)</f>
        <v>0</v>
      </c>
      <c r="T36">
        <v>0</v>
      </c>
      <c r="V36">
        <f>AND(IF(Metadata!B36="",FALSE,TRUE),COUNTIF(Metadata!B:B, Metadata!B36) = 1,NOT(ISERROR(SUMPRODUCT(SEARCH(MID(Metadata!B36,ROW(INDIRECT("1:"&amp;LEN(Metadata!B36))), 1),"0123456789abcdefghijklmnopqrstuvwxyzABCDEFGHIJKLMNOPQRSTUVWXYZ.")))))</f>
        <v>0</v>
      </c>
      <c r="W36">
        <f>AND(IF(Metadata!C36="",FALSE,TRUE),exact(Metadata!C36,"urban biome"))</f>
        <v>0</v>
      </c>
      <c r="X36">
        <f>AND(IF(Metadata!D36="",FALSE,TRUE),exact(Metadata!D36,"animal-associated habitat"))</f>
        <v>0</v>
      </c>
      <c r="Y36">
        <f>OR(AND(IF(Metadata!E36="",FALSE,TRUE),OR(exact(Metadata!E36,"not applicable"),exact(Metadata!E36,"missing: not collected"),exact(Metadata!E36,"missing: not provided"),exact(Metadata!E36,"missing: restricted access"))),AND(IF(Metadata!E36="",FALSE,ISNUMBER(VALUE(Metadata!E36))),Metadata!E36&gt;0))</f>
        <v>0</v>
      </c>
      <c r="Z36">
        <f>AND(IF(Metadata!F36="",FALSE,TRUE),exact(Metadata!F36,"weeks"))</f>
        <v>0</v>
      </c>
      <c r="AA36">
        <f>AND(IF(Metadata!G36="",FALSE,TRUE),exact(Metadata!G36,"mouse"))</f>
        <v>0</v>
      </c>
      <c r="AB36">
        <f>AND(IF(Metadata!H36="",FALSE,TRUE),exact(Metadata!H36,"Mus musculus"))</f>
        <v>0</v>
      </c>
      <c r="AC36">
        <f>AND(IF(Metadata!I36="",FALSE,TRUE),exact(Metadata!I36,"10090"))</f>
        <v>0</v>
      </c>
      <c r="AD36">
        <f>OR(AND(IF(Metadata!J36="",FALSE,TRUE),OR(exact(Metadata!J36,"not applicable"),exact(Metadata!J36,"missing: not collected"),exact(Metadata!J36,"missing: not provided"),exact(Metadata!J36,"missing: restricted access"))),AND(IF(Metadata!J36="",FALSE,ISNUMBER(VALUE(Metadata!J36))),Metadata!J36&gt;0))</f>
        <v>0</v>
      </c>
      <c r="AE36">
        <f>AND(IF(Metadata!K36="",FALSE,TRUE),exact(Metadata!K36,"g"))</f>
        <v>0</v>
      </c>
    </row>
    <row r="37" spans="1:31">
      <c r="A37" s="5">
        <f>IF(B37=" "," ",HYPERLINK(CONCATENATE("#metadata!",ADDRESS(INDEX($Q$2:$Q$1001,MATCH(ROWS($O$2:O37),$O$2:$O$1001,0),0),1)),INDEX($T$2:$T$1001,MATCH(ROWS($O$2:O37),$O$2:$O$1001,0),0)))</f>
        <v>0</v>
      </c>
      <c r="B37" s="4">
        <f>IF(OR(INDEX($P$2:$P$1001,MATCH(ROWS($O$2:O37),$O$2:$O$1001,0),1)&gt;=100000,INDEX($V$1005:$AE$1005,1,MATCH(COLUMNS($V$1006:V1006),$V$1006:$AE$1006,0))&gt;=100000), " ",IF(INDEX($V$2:$AE$1001,MATCH(ROWS($O$2:O37),$O$2:$O$1001,0),MATCH(COLUMNS($V$1006:V1006),$V$1006:$AE$1006,0)), HYPERLINK("#",""), HYPERLINK(CONCATENATE("#Metadata!", ADDRESS(INDEX($Q$2:$Q$1001,MATCH(ROWS($O$2:O37),$O$2:$O$1001,0),0), INDEX($V$1004:$AE$1004,1,MATCH(COLUMNS($V$1006:V1006),$V$1006:$AE$1006,0)))),"Fix")))</f>
        <v>0</v>
      </c>
      <c r="C37" s="4">
        <f>IF(OR(INDEX($P$2:$P$1001,MATCH(ROWS($O$2:O37),$O$2:$O$1001,0),1)&gt;=100000,INDEX($V$1005:$AE$1005,1,MATCH(COLUMNS($V$1006:W1006),$V$1006:$AE$1006,0))&gt;=100000), " ",IF(INDEX($V$2:$AE$1001,MATCH(ROWS($O$2:O37),$O$2:$O$1001,0),MATCH(COLUMNS($V$1006:W1006),$V$1006:$AE$1006,0)), HYPERLINK("#",""), HYPERLINK(CONCATENATE("#Metadata!", ADDRESS(INDEX($Q$2:$Q$1001,MATCH(ROWS($O$2:O37),$O$2:$O$1001,0),0), INDEX($V$1004:$AE$1004,1,MATCH(COLUMNS($V$1006:W1006),$V$1006:$AE$1006,0)))),"Fix")))</f>
        <v>0</v>
      </c>
      <c r="D37" s="4">
        <f>IF(OR(INDEX($P$2:$P$1001,MATCH(ROWS($O$2:O37),$O$2:$O$1001,0),1)&gt;=100000,INDEX($V$1005:$AE$1005,1,MATCH(COLUMNS($V$1006:X1006),$V$1006:$AE$1006,0))&gt;=100000), " ",IF(INDEX($V$2:$AE$1001,MATCH(ROWS($O$2:O37),$O$2:$O$1001,0),MATCH(COLUMNS($V$1006:X1006),$V$1006:$AE$1006,0)), HYPERLINK("#",""), HYPERLINK(CONCATENATE("#Metadata!", ADDRESS(INDEX($Q$2:$Q$1001,MATCH(ROWS($O$2:O37),$O$2:$O$1001,0),0), INDEX($V$1004:$AE$1004,1,MATCH(COLUMNS($V$1006:X1006),$V$1006:$AE$1006,0)))),"Fix")))</f>
        <v>0</v>
      </c>
      <c r="E37" s="4">
        <f>IF(OR(INDEX($P$2:$P$1001,MATCH(ROWS($O$2:O37),$O$2:$O$1001,0),1)&gt;=100000,INDEX($V$1005:$AE$1005,1,MATCH(COLUMNS($V$1006:Y1006),$V$1006:$AE$1006,0))&gt;=100000), " ",IF(INDEX($V$2:$AE$1001,MATCH(ROWS($O$2:O37),$O$2:$O$1001,0),MATCH(COLUMNS($V$1006:Y1006),$V$1006:$AE$1006,0)), HYPERLINK("#",""), HYPERLINK(CONCATENATE("#Metadata!", ADDRESS(INDEX($Q$2:$Q$1001,MATCH(ROWS($O$2:O37),$O$2:$O$1001,0),0), INDEX($V$1004:$AE$1004,1,MATCH(COLUMNS($V$1006:Y1006),$V$1006:$AE$1006,0)))),"Fix")))</f>
        <v>0</v>
      </c>
      <c r="F37" s="4">
        <f>IF(OR(INDEX($P$2:$P$1001,MATCH(ROWS($O$2:O37),$O$2:$O$1001,0),1)&gt;=100000,INDEX($V$1005:$AE$1005,1,MATCH(COLUMNS($V$1006:Z1006),$V$1006:$AE$1006,0))&gt;=100000), " ",IF(INDEX($V$2:$AE$1001,MATCH(ROWS($O$2:O37),$O$2:$O$1001,0),MATCH(COLUMNS($V$1006:Z1006),$V$1006:$AE$1006,0)), HYPERLINK("#",""), HYPERLINK(CONCATENATE("#Metadata!", ADDRESS(INDEX($Q$2:$Q$1001,MATCH(ROWS($O$2:O37),$O$2:$O$1001,0),0), INDEX($V$1004:$AE$1004,1,MATCH(COLUMNS($V$1006:Z1006),$V$1006:$AE$1006,0)))),"Fix")))</f>
        <v>0</v>
      </c>
      <c r="G37" s="4">
        <f>IF(OR(INDEX($P$2:$P$1001,MATCH(ROWS($O$2:O37),$O$2:$O$1001,0),1)&gt;=100000,INDEX($V$1005:$AE$1005,1,MATCH(COLUMNS($V$1006:AA1006),$V$1006:$AE$1006,0))&gt;=100000), " ",IF(INDEX($V$2:$AE$1001,MATCH(ROWS($O$2:O37),$O$2:$O$1001,0),MATCH(COLUMNS($V$1006:AA1006),$V$1006:$AE$1006,0)), HYPERLINK("#",""), HYPERLINK(CONCATENATE("#Metadata!", ADDRESS(INDEX($Q$2:$Q$1001,MATCH(ROWS($O$2:O37),$O$2:$O$1001,0),0), INDEX($V$1004:$AE$1004,1,MATCH(COLUMNS($V$1006:AA1006),$V$1006:$AE$1006,0)))),"Fix")))</f>
        <v>0</v>
      </c>
      <c r="H37" s="4">
        <f>IF(OR(INDEX($P$2:$P$1001,MATCH(ROWS($O$2:O37),$O$2:$O$1001,0),1)&gt;=100000,INDEX($V$1005:$AE$1005,1,MATCH(COLUMNS($V$1006:AB1006),$V$1006:$AE$1006,0))&gt;=100000), " ",IF(INDEX($V$2:$AE$1001,MATCH(ROWS($O$2:O37),$O$2:$O$1001,0),MATCH(COLUMNS($V$1006:AB1006),$V$1006:$AE$1006,0)), HYPERLINK("#",""), HYPERLINK(CONCATENATE("#Metadata!", ADDRESS(INDEX($Q$2:$Q$1001,MATCH(ROWS($O$2:O37),$O$2:$O$1001,0),0), INDEX($V$1004:$AE$1004,1,MATCH(COLUMNS($V$1006:AB1006),$V$1006:$AE$1006,0)))),"Fix")))</f>
        <v>0</v>
      </c>
      <c r="I37" s="4">
        <f>IF(OR(INDEX($P$2:$P$1001,MATCH(ROWS($O$2:O37),$O$2:$O$1001,0),1)&gt;=100000,INDEX($V$1005:$AE$1005,1,MATCH(COLUMNS($V$1006:AC1006),$V$1006:$AE$1006,0))&gt;=100000), " ",IF(INDEX($V$2:$AE$1001,MATCH(ROWS($O$2:O37),$O$2:$O$1001,0),MATCH(COLUMNS($V$1006:AC1006),$V$1006:$AE$1006,0)), HYPERLINK("#",""), HYPERLINK(CONCATENATE("#Metadata!", ADDRESS(INDEX($Q$2:$Q$1001,MATCH(ROWS($O$2:O37),$O$2:$O$1001,0),0), INDEX($V$1004:$AE$1004,1,MATCH(COLUMNS($V$1006:AC1006),$V$1006:$AE$1006,0)))),"Fix")))</f>
        <v>0</v>
      </c>
      <c r="J37" s="4">
        <f>IF(OR(INDEX($P$2:$P$1001,MATCH(ROWS($O$2:O37),$O$2:$O$1001,0),1)&gt;=100000,INDEX($V$1005:$AE$1005,1,MATCH(COLUMNS($V$1006:AD1006),$V$1006:$AE$1006,0))&gt;=100000), " ",IF(INDEX($V$2:$AE$1001,MATCH(ROWS($O$2:O37),$O$2:$O$1001,0),MATCH(COLUMNS($V$1006:AD1006),$V$1006:$AE$1006,0)), HYPERLINK("#",""), HYPERLINK(CONCATENATE("#Metadata!", ADDRESS(INDEX($Q$2:$Q$1001,MATCH(ROWS($O$2:O37),$O$2:$O$1001,0),0), INDEX($V$1004:$AE$1004,1,MATCH(COLUMNS($V$1006:AD1006),$V$1006:$AE$1006,0)))),"Fix")))</f>
        <v>0</v>
      </c>
      <c r="K37" s="4">
        <f>IF(OR(INDEX($P$2:$P$1001,MATCH(ROWS($O$2:O37),$O$2:$O$1001,0),1)&gt;=100000,INDEX($V$1005:$AE$1005,1,MATCH(COLUMNS($V$1006:AE1006),$V$1006:$AE$1006,0))&gt;=100000), " ",IF(INDEX($V$2:$AE$1001,MATCH(ROWS($O$2:O37),$O$2:$O$1001,0),MATCH(COLUMNS($V$1006:AE1006),$V$1006:$AE$1006,0)), HYPERLINK("#",""), HYPERLINK(CONCATENATE("#Metadata!", ADDRESS(INDEX($Q$2:$Q$1001,MATCH(ROWS($O$2:O37),$O$2:$O$1001,0),0), INDEX($V$1004:$AE$1004,1,MATCH(COLUMNS($V$1006:AE1006),$V$1006:$AE$1006,0)))),"Fix")))</f>
        <v>0</v>
      </c>
      <c r="O37">
        <v>0</v>
      </c>
      <c r="P37">
        <v>0</v>
      </c>
      <c r="Q37">
        <v>0</v>
      </c>
      <c r="R37">
        <f>IF(S37,TRUE,AND(V37:AE37))</f>
        <v>0</v>
      </c>
      <c r="S37">
        <f>COUNTBLANK(Metadata!B37:K37)=COLUMNS(Metadata!B37:K37)</f>
        <v>0</v>
      </c>
      <c r="T37">
        <v>0</v>
      </c>
      <c r="V37">
        <f>AND(IF(Metadata!B37="",FALSE,TRUE),COUNTIF(Metadata!B:B, Metadata!B37) = 1,NOT(ISERROR(SUMPRODUCT(SEARCH(MID(Metadata!B37,ROW(INDIRECT("1:"&amp;LEN(Metadata!B37))), 1),"0123456789abcdefghijklmnopqrstuvwxyzABCDEFGHIJKLMNOPQRSTUVWXYZ.")))))</f>
        <v>0</v>
      </c>
      <c r="W37">
        <f>AND(IF(Metadata!C37="",FALSE,TRUE),exact(Metadata!C37,"urban biome"))</f>
        <v>0</v>
      </c>
      <c r="X37">
        <f>AND(IF(Metadata!D37="",FALSE,TRUE),exact(Metadata!D37,"animal-associated habitat"))</f>
        <v>0</v>
      </c>
      <c r="Y37">
        <f>OR(AND(IF(Metadata!E37="",FALSE,TRUE),OR(exact(Metadata!E37,"not applicable"),exact(Metadata!E37,"missing: not collected"),exact(Metadata!E37,"missing: not provided"),exact(Metadata!E37,"missing: restricted access"))),AND(IF(Metadata!E37="",FALSE,ISNUMBER(VALUE(Metadata!E37))),Metadata!E37&gt;0))</f>
        <v>0</v>
      </c>
      <c r="Z37">
        <f>AND(IF(Metadata!F37="",FALSE,TRUE),exact(Metadata!F37,"weeks"))</f>
        <v>0</v>
      </c>
      <c r="AA37">
        <f>AND(IF(Metadata!G37="",FALSE,TRUE),exact(Metadata!G37,"mouse"))</f>
        <v>0</v>
      </c>
      <c r="AB37">
        <f>AND(IF(Metadata!H37="",FALSE,TRUE),exact(Metadata!H37,"Mus musculus"))</f>
        <v>0</v>
      </c>
      <c r="AC37">
        <f>AND(IF(Metadata!I37="",FALSE,TRUE),exact(Metadata!I37,"10090"))</f>
        <v>0</v>
      </c>
      <c r="AD37">
        <f>OR(AND(IF(Metadata!J37="",FALSE,TRUE),OR(exact(Metadata!J37,"not applicable"),exact(Metadata!J37,"missing: not collected"),exact(Metadata!J37,"missing: not provided"),exact(Metadata!J37,"missing: restricted access"))),AND(IF(Metadata!J37="",FALSE,ISNUMBER(VALUE(Metadata!J37))),Metadata!J37&gt;0))</f>
        <v>0</v>
      </c>
      <c r="AE37">
        <f>AND(IF(Metadata!K37="",FALSE,TRUE),exact(Metadata!K37,"g"))</f>
        <v>0</v>
      </c>
    </row>
    <row r="38" spans="1:31">
      <c r="A38" s="5">
        <f>IF(B38=" "," ",HYPERLINK(CONCATENATE("#metadata!",ADDRESS(INDEX($Q$2:$Q$1001,MATCH(ROWS($O$2:O38),$O$2:$O$1001,0),0),1)),INDEX($T$2:$T$1001,MATCH(ROWS($O$2:O38),$O$2:$O$1001,0),0)))</f>
        <v>0</v>
      </c>
      <c r="B38" s="4">
        <f>IF(OR(INDEX($P$2:$P$1001,MATCH(ROWS($O$2:O38),$O$2:$O$1001,0),1)&gt;=100000,INDEX($V$1005:$AE$1005,1,MATCH(COLUMNS($V$1006:V1006),$V$1006:$AE$1006,0))&gt;=100000), " ",IF(INDEX($V$2:$AE$1001,MATCH(ROWS($O$2:O38),$O$2:$O$1001,0),MATCH(COLUMNS($V$1006:V1006),$V$1006:$AE$1006,0)), HYPERLINK("#",""), HYPERLINK(CONCATENATE("#Metadata!", ADDRESS(INDEX($Q$2:$Q$1001,MATCH(ROWS($O$2:O38),$O$2:$O$1001,0),0), INDEX($V$1004:$AE$1004,1,MATCH(COLUMNS($V$1006:V1006),$V$1006:$AE$1006,0)))),"Fix")))</f>
        <v>0</v>
      </c>
      <c r="C38" s="4">
        <f>IF(OR(INDEX($P$2:$P$1001,MATCH(ROWS($O$2:O38),$O$2:$O$1001,0),1)&gt;=100000,INDEX($V$1005:$AE$1005,1,MATCH(COLUMNS($V$1006:W1006),$V$1006:$AE$1006,0))&gt;=100000), " ",IF(INDEX($V$2:$AE$1001,MATCH(ROWS($O$2:O38),$O$2:$O$1001,0),MATCH(COLUMNS($V$1006:W1006),$V$1006:$AE$1006,0)), HYPERLINK("#",""), HYPERLINK(CONCATENATE("#Metadata!", ADDRESS(INDEX($Q$2:$Q$1001,MATCH(ROWS($O$2:O38),$O$2:$O$1001,0),0), INDEX($V$1004:$AE$1004,1,MATCH(COLUMNS($V$1006:W1006),$V$1006:$AE$1006,0)))),"Fix")))</f>
        <v>0</v>
      </c>
      <c r="D38" s="4">
        <f>IF(OR(INDEX($P$2:$P$1001,MATCH(ROWS($O$2:O38),$O$2:$O$1001,0),1)&gt;=100000,INDEX($V$1005:$AE$1005,1,MATCH(COLUMNS($V$1006:X1006),$V$1006:$AE$1006,0))&gt;=100000), " ",IF(INDEX($V$2:$AE$1001,MATCH(ROWS($O$2:O38),$O$2:$O$1001,0),MATCH(COLUMNS($V$1006:X1006),$V$1006:$AE$1006,0)), HYPERLINK("#",""), HYPERLINK(CONCATENATE("#Metadata!", ADDRESS(INDEX($Q$2:$Q$1001,MATCH(ROWS($O$2:O38),$O$2:$O$1001,0),0), INDEX($V$1004:$AE$1004,1,MATCH(COLUMNS($V$1006:X1006),$V$1006:$AE$1006,0)))),"Fix")))</f>
        <v>0</v>
      </c>
      <c r="E38" s="4">
        <f>IF(OR(INDEX($P$2:$P$1001,MATCH(ROWS($O$2:O38),$O$2:$O$1001,0),1)&gt;=100000,INDEX($V$1005:$AE$1005,1,MATCH(COLUMNS($V$1006:Y1006),$V$1006:$AE$1006,0))&gt;=100000), " ",IF(INDEX($V$2:$AE$1001,MATCH(ROWS($O$2:O38),$O$2:$O$1001,0),MATCH(COLUMNS($V$1006:Y1006),$V$1006:$AE$1006,0)), HYPERLINK("#",""), HYPERLINK(CONCATENATE("#Metadata!", ADDRESS(INDEX($Q$2:$Q$1001,MATCH(ROWS($O$2:O38),$O$2:$O$1001,0),0), INDEX($V$1004:$AE$1004,1,MATCH(COLUMNS($V$1006:Y1006),$V$1006:$AE$1006,0)))),"Fix")))</f>
        <v>0</v>
      </c>
      <c r="F38" s="4">
        <f>IF(OR(INDEX($P$2:$P$1001,MATCH(ROWS($O$2:O38),$O$2:$O$1001,0),1)&gt;=100000,INDEX($V$1005:$AE$1005,1,MATCH(COLUMNS($V$1006:Z1006),$V$1006:$AE$1006,0))&gt;=100000), " ",IF(INDEX($V$2:$AE$1001,MATCH(ROWS($O$2:O38),$O$2:$O$1001,0),MATCH(COLUMNS($V$1006:Z1006),$V$1006:$AE$1006,0)), HYPERLINK("#",""), HYPERLINK(CONCATENATE("#Metadata!", ADDRESS(INDEX($Q$2:$Q$1001,MATCH(ROWS($O$2:O38),$O$2:$O$1001,0),0), INDEX($V$1004:$AE$1004,1,MATCH(COLUMNS($V$1006:Z1006),$V$1006:$AE$1006,0)))),"Fix")))</f>
        <v>0</v>
      </c>
      <c r="G38" s="4">
        <f>IF(OR(INDEX($P$2:$P$1001,MATCH(ROWS($O$2:O38),$O$2:$O$1001,0),1)&gt;=100000,INDEX($V$1005:$AE$1005,1,MATCH(COLUMNS($V$1006:AA1006),$V$1006:$AE$1006,0))&gt;=100000), " ",IF(INDEX($V$2:$AE$1001,MATCH(ROWS($O$2:O38),$O$2:$O$1001,0),MATCH(COLUMNS($V$1006:AA1006),$V$1006:$AE$1006,0)), HYPERLINK("#",""), HYPERLINK(CONCATENATE("#Metadata!", ADDRESS(INDEX($Q$2:$Q$1001,MATCH(ROWS($O$2:O38),$O$2:$O$1001,0),0), INDEX($V$1004:$AE$1004,1,MATCH(COLUMNS($V$1006:AA1006),$V$1006:$AE$1006,0)))),"Fix")))</f>
        <v>0</v>
      </c>
      <c r="H38" s="4">
        <f>IF(OR(INDEX($P$2:$P$1001,MATCH(ROWS($O$2:O38),$O$2:$O$1001,0),1)&gt;=100000,INDEX($V$1005:$AE$1005,1,MATCH(COLUMNS($V$1006:AB1006),$V$1006:$AE$1006,0))&gt;=100000), " ",IF(INDEX($V$2:$AE$1001,MATCH(ROWS($O$2:O38),$O$2:$O$1001,0),MATCH(COLUMNS($V$1006:AB1006),$V$1006:$AE$1006,0)), HYPERLINK("#",""), HYPERLINK(CONCATENATE("#Metadata!", ADDRESS(INDEX($Q$2:$Q$1001,MATCH(ROWS($O$2:O38),$O$2:$O$1001,0),0), INDEX($V$1004:$AE$1004,1,MATCH(COLUMNS($V$1006:AB1006),$V$1006:$AE$1006,0)))),"Fix")))</f>
        <v>0</v>
      </c>
      <c r="I38" s="4">
        <f>IF(OR(INDEX($P$2:$P$1001,MATCH(ROWS($O$2:O38),$O$2:$O$1001,0),1)&gt;=100000,INDEX($V$1005:$AE$1005,1,MATCH(COLUMNS($V$1006:AC1006),$V$1006:$AE$1006,0))&gt;=100000), " ",IF(INDEX($V$2:$AE$1001,MATCH(ROWS($O$2:O38),$O$2:$O$1001,0),MATCH(COLUMNS($V$1006:AC1006),$V$1006:$AE$1006,0)), HYPERLINK("#",""), HYPERLINK(CONCATENATE("#Metadata!", ADDRESS(INDEX($Q$2:$Q$1001,MATCH(ROWS($O$2:O38),$O$2:$O$1001,0),0), INDEX($V$1004:$AE$1004,1,MATCH(COLUMNS($V$1006:AC1006),$V$1006:$AE$1006,0)))),"Fix")))</f>
        <v>0</v>
      </c>
      <c r="J38" s="4">
        <f>IF(OR(INDEX($P$2:$P$1001,MATCH(ROWS($O$2:O38),$O$2:$O$1001,0),1)&gt;=100000,INDEX($V$1005:$AE$1005,1,MATCH(COLUMNS($V$1006:AD1006),$V$1006:$AE$1006,0))&gt;=100000), " ",IF(INDEX($V$2:$AE$1001,MATCH(ROWS($O$2:O38),$O$2:$O$1001,0),MATCH(COLUMNS($V$1006:AD1006),$V$1006:$AE$1006,0)), HYPERLINK("#",""), HYPERLINK(CONCATENATE("#Metadata!", ADDRESS(INDEX($Q$2:$Q$1001,MATCH(ROWS($O$2:O38),$O$2:$O$1001,0),0), INDEX($V$1004:$AE$1004,1,MATCH(COLUMNS($V$1006:AD1006),$V$1006:$AE$1006,0)))),"Fix")))</f>
        <v>0</v>
      </c>
      <c r="K38" s="4">
        <f>IF(OR(INDEX($P$2:$P$1001,MATCH(ROWS($O$2:O38),$O$2:$O$1001,0),1)&gt;=100000,INDEX($V$1005:$AE$1005,1,MATCH(COLUMNS($V$1006:AE1006),$V$1006:$AE$1006,0))&gt;=100000), " ",IF(INDEX($V$2:$AE$1001,MATCH(ROWS($O$2:O38),$O$2:$O$1001,0),MATCH(COLUMNS($V$1006:AE1006),$V$1006:$AE$1006,0)), HYPERLINK("#",""), HYPERLINK(CONCATENATE("#Metadata!", ADDRESS(INDEX($Q$2:$Q$1001,MATCH(ROWS($O$2:O38),$O$2:$O$1001,0),0), INDEX($V$1004:$AE$1004,1,MATCH(COLUMNS($V$1006:AE1006),$V$1006:$AE$1006,0)))),"Fix")))</f>
        <v>0</v>
      </c>
      <c r="O38">
        <v>0</v>
      </c>
      <c r="P38">
        <v>0</v>
      </c>
      <c r="Q38">
        <v>0</v>
      </c>
      <c r="R38">
        <f>IF(S38,TRUE,AND(V38:AE38))</f>
        <v>0</v>
      </c>
      <c r="S38">
        <f>COUNTBLANK(Metadata!B38:K38)=COLUMNS(Metadata!B38:K38)</f>
        <v>0</v>
      </c>
      <c r="T38">
        <v>0</v>
      </c>
      <c r="V38">
        <f>AND(IF(Metadata!B38="",FALSE,TRUE),COUNTIF(Metadata!B:B, Metadata!B38) = 1,NOT(ISERROR(SUMPRODUCT(SEARCH(MID(Metadata!B38,ROW(INDIRECT("1:"&amp;LEN(Metadata!B38))), 1),"0123456789abcdefghijklmnopqrstuvwxyzABCDEFGHIJKLMNOPQRSTUVWXYZ.")))))</f>
        <v>0</v>
      </c>
      <c r="W38">
        <f>AND(IF(Metadata!C38="",FALSE,TRUE),exact(Metadata!C38,"urban biome"))</f>
        <v>0</v>
      </c>
      <c r="X38">
        <f>AND(IF(Metadata!D38="",FALSE,TRUE),exact(Metadata!D38,"animal-associated habitat"))</f>
        <v>0</v>
      </c>
      <c r="Y38">
        <f>OR(AND(IF(Metadata!E38="",FALSE,TRUE),OR(exact(Metadata!E38,"not applicable"),exact(Metadata!E38,"missing: not collected"),exact(Metadata!E38,"missing: not provided"),exact(Metadata!E38,"missing: restricted access"))),AND(IF(Metadata!E38="",FALSE,ISNUMBER(VALUE(Metadata!E38))),Metadata!E38&gt;0))</f>
        <v>0</v>
      </c>
      <c r="Z38">
        <f>AND(IF(Metadata!F38="",FALSE,TRUE),exact(Metadata!F38,"weeks"))</f>
        <v>0</v>
      </c>
      <c r="AA38">
        <f>AND(IF(Metadata!G38="",FALSE,TRUE),exact(Metadata!G38,"mouse"))</f>
        <v>0</v>
      </c>
      <c r="AB38">
        <f>AND(IF(Metadata!H38="",FALSE,TRUE),exact(Metadata!H38,"Mus musculus"))</f>
        <v>0</v>
      </c>
      <c r="AC38">
        <f>AND(IF(Metadata!I38="",FALSE,TRUE),exact(Metadata!I38,"10090"))</f>
        <v>0</v>
      </c>
      <c r="AD38">
        <f>OR(AND(IF(Metadata!J38="",FALSE,TRUE),OR(exact(Metadata!J38,"not applicable"),exact(Metadata!J38,"missing: not collected"),exact(Metadata!J38,"missing: not provided"),exact(Metadata!J38,"missing: restricted access"))),AND(IF(Metadata!J38="",FALSE,ISNUMBER(VALUE(Metadata!J38))),Metadata!J38&gt;0))</f>
        <v>0</v>
      </c>
      <c r="AE38">
        <f>AND(IF(Metadata!K38="",FALSE,TRUE),exact(Metadata!K38,"g"))</f>
        <v>0</v>
      </c>
    </row>
    <row r="39" spans="1:31">
      <c r="A39" s="5">
        <f>IF(B39=" "," ",HYPERLINK(CONCATENATE("#metadata!",ADDRESS(INDEX($Q$2:$Q$1001,MATCH(ROWS($O$2:O39),$O$2:$O$1001,0),0),1)),INDEX($T$2:$T$1001,MATCH(ROWS($O$2:O39),$O$2:$O$1001,0),0)))</f>
        <v>0</v>
      </c>
      <c r="B39" s="4">
        <f>IF(OR(INDEX($P$2:$P$1001,MATCH(ROWS($O$2:O39),$O$2:$O$1001,0),1)&gt;=100000,INDEX($V$1005:$AE$1005,1,MATCH(COLUMNS($V$1006:V1006),$V$1006:$AE$1006,0))&gt;=100000), " ",IF(INDEX($V$2:$AE$1001,MATCH(ROWS($O$2:O39),$O$2:$O$1001,0),MATCH(COLUMNS($V$1006:V1006),$V$1006:$AE$1006,0)), HYPERLINK("#",""), HYPERLINK(CONCATENATE("#Metadata!", ADDRESS(INDEX($Q$2:$Q$1001,MATCH(ROWS($O$2:O39),$O$2:$O$1001,0),0), INDEX($V$1004:$AE$1004,1,MATCH(COLUMNS($V$1006:V1006),$V$1006:$AE$1006,0)))),"Fix")))</f>
        <v>0</v>
      </c>
      <c r="C39" s="4">
        <f>IF(OR(INDEX($P$2:$P$1001,MATCH(ROWS($O$2:O39),$O$2:$O$1001,0),1)&gt;=100000,INDEX($V$1005:$AE$1005,1,MATCH(COLUMNS($V$1006:W1006),$V$1006:$AE$1006,0))&gt;=100000), " ",IF(INDEX($V$2:$AE$1001,MATCH(ROWS($O$2:O39),$O$2:$O$1001,0),MATCH(COLUMNS($V$1006:W1006),$V$1006:$AE$1006,0)), HYPERLINK("#",""), HYPERLINK(CONCATENATE("#Metadata!", ADDRESS(INDEX($Q$2:$Q$1001,MATCH(ROWS($O$2:O39),$O$2:$O$1001,0),0), INDEX($V$1004:$AE$1004,1,MATCH(COLUMNS($V$1006:W1006),$V$1006:$AE$1006,0)))),"Fix")))</f>
        <v>0</v>
      </c>
      <c r="D39" s="4">
        <f>IF(OR(INDEX($P$2:$P$1001,MATCH(ROWS($O$2:O39),$O$2:$O$1001,0),1)&gt;=100000,INDEX($V$1005:$AE$1005,1,MATCH(COLUMNS($V$1006:X1006),$V$1006:$AE$1006,0))&gt;=100000), " ",IF(INDEX($V$2:$AE$1001,MATCH(ROWS($O$2:O39),$O$2:$O$1001,0),MATCH(COLUMNS($V$1006:X1006),$V$1006:$AE$1006,0)), HYPERLINK("#",""), HYPERLINK(CONCATENATE("#Metadata!", ADDRESS(INDEX($Q$2:$Q$1001,MATCH(ROWS($O$2:O39),$O$2:$O$1001,0),0), INDEX($V$1004:$AE$1004,1,MATCH(COLUMNS($V$1006:X1006),$V$1006:$AE$1006,0)))),"Fix")))</f>
        <v>0</v>
      </c>
      <c r="E39" s="4">
        <f>IF(OR(INDEX($P$2:$P$1001,MATCH(ROWS($O$2:O39),$O$2:$O$1001,0),1)&gt;=100000,INDEX($V$1005:$AE$1005,1,MATCH(COLUMNS($V$1006:Y1006),$V$1006:$AE$1006,0))&gt;=100000), " ",IF(INDEX($V$2:$AE$1001,MATCH(ROWS($O$2:O39),$O$2:$O$1001,0),MATCH(COLUMNS($V$1006:Y1006),$V$1006:$AE$1006,0)), HYPERLINK("#",""), HYPERLINK(CONCATENATE("#Metadata!", ADDRESS(INDEX($Q$2:$Q$1001,MATCH(ROWS($O$2:O39),$O$2:$O$1001,0),0), INDEX($V$1004:$AE$1004,1,MATCH(COLUMNS($V$1006:Y1006),$V$1006:$AE$1006,0)))),"Fix")))</f>
        <v>0</v>
      </c>
      <c r="F39" s="4">
        <f>IF(OR(INDEX($P$2:$P$1001,MATCH(ROWS($O$2:O39),$O$2:$O$1001,0),1)&gt;=100000,INDEX($V$1005:$AE$1005,1,MATCH(COLUMNS($V$1006:Z1006),$V$1006:$AE$1006,0))&gt;=100000), " ",IF(INDEX($V$2:$AE$1001,MATCH(ROWS($O$2:O39),$O$2:$O$1001,0),MATCH(COLUMNS($V$1006:Z1006),$V$1006:$AE$1006,0)), HYPERLINK("#",""), HYPERLINK(CONCATENATE("#Metadata!", ADDRESS(INDEX($Q$2:$Q$1001,MATCH(ROWS($O$2:O39),$O$2:$O$1001,0),0), INDEX($V$1004:$AE$1004,1,MATCH(COLUMNS($V$1006:Z1006),$V$1006:$AE$1006,0)))),"Fix")))</f>
        <v>0</v>
      </c>
      <c r="G39" s="4">
        <f>IF(OR(INDEX($P$2:$P$1001,MATCH(ROWS($O$2:O39),$O$2:$O$1001,0),1)&gt;=100000,INDEX($V$1005:$AE$1005,1,MATCH(COLUMNS($V$1006:AA1006),$V$1006:$AE$1006,0))&gt;=100000), " ",IF(INDEX($V$2:$AE$1001,MATCH(ROWS($O$2:O39),$O$2:$O$1001,0),MATCH(COLUMNS($V$1006:AA1006),$V$1006:$AE$1006,0)), HYPERLINK("#",""), HYPERLINK(CONCATENATE("#Metadata!", ADDRESS(INDEX($Q$2:$Q$1001,MATCH(ROWS($O$2:O39),$O$2:$O$1001,0),0), INDEX($V$1004:$AE$1004,1,MATCH(COLUMNS($V$1006:AA1006),$V$1006:$AE$1006,0)))),"Fix")))</f>
        <v>0</v>
      </c>
      <c r="H39" s="4">
        <f>IF(OR(INDEX($P$2:$P$1001,MATCH(ROWS($O$2:O39),$O$2:$O$1001,0),1)&gt;=100000,INDEX($V$1005:$AE$1005,1,MATCH(COLUMNS($V$1006:AB1006),$V$1006:$AE$1006,0))&gt;=100000), " ",IF(INDEX($V$2:$AE$1001,MATCH(ROWS($O$2:O39),$O$2:$O$1001,0),MATCH(COLUMNS($V$1006:AB1006),$V$1006:$AE$1006,0)), HYPERLINK("#",""), HYPERLINK(CONCATENATE("#Metadata!", ADDRESS(INDEX($Q$2:$Q$1001,MATCH(ROWS($O$2:O39),$O$2:$O$1001,0),0), INDEX($V$1004:$AE$1004,1,MATCH(COLUMNS($V$1006:AB1006),$V$1006:$AE$1006,0)))),"Fix")))</f>
        <v>0</v>
      </c>
      <c r="I39" s="4">
        <f>IF(OR(INDEX($P$2:$P$1001,MATCH(ROWS($O$2:O39),$O$2:$O$1001,0),1)&gt;=100000,INDEX($V$1005:$AE$1005,1,MATCH(COLUMNS($V$1006:AC1006),$V$1006:$AE$1006,0))&gt;=100000), " ",IF(INDEX($V$2:$AE$1001,MATCH(ROWS($O$2:O39),$O$2:$O$1001,0),MATCH(COLUMNS($V$1006:AC1006),$V$1006:$AE$1006,0)), HYPERLINK("#",""), HYPERLINK(CONCATENATE("#Metadata!", ADDRESS(INDEX($Q$2:$Q$1001,MATCH(ROWS($O$2:O39),$O$2:$O$1001,0),0), INDEX($V$1004:$AE$1004,1,MATCH(COLUMNS($V$1006:AC1006),$V$1006:$AE$1006,0)))),"Fix")))</f>
        <v>0</v>
      </c>
      <c r="J39" s="4">
        <f>IF(OR(INDEX($P$2:$P$1001,MATCH(ROWS($O$2:O39),$O$2:$O$1001,0),1)&gt;=100000,INDEX($V$1005:$AE$1005,1,MATCH(COLUMNS($V$1006:AD1006),$V$1006:$AE$1006,0))&gt;=100000), " ",IF(INDEX($V$2:$AE$1001,MATCH(ROWS($O$2:O39),$O$2:$O$1001,0),MATCH(COLUMNS($V$1006:AD1006),$V$1006:$AE$1006,0)), HYPERLINK("#",""), HYPERLINK(CONCATENATE("#Metadata!", ADDRESS(INDEX($Q$2:$Q$1001,MATCH(ROWS($O$2:O39),$O$2:$O$1001,0),0), INDEX($V$1004:$AE$1004,1,MATCH(COLUMNS($V$1006:AD1006),$V$1006:$AE$1006,0)))),"Fix")))</f>
        <v>0</v>
      </c>
      <c r="K39" s="4">
        <f>IF(OR(INDEX($P$2:$P$1001,MATCH(ROWS($O$2:O39),$O$2:$O$1001,0),1)&gt;=100000,INDEX($V$1005:$AE$1005,1,MATCH(COLUMNS($V$1006:AE1006),$V$1006:$AE$1006,0))&gt;=100000), " ",IF(INDEX($V$2:$AE$1001,MATCH(ROWS($O$2:O39),$O$2:$O$1001,0),MATCH(COLUMNS($V$1006:AE1006),$V$1006:$AE$1006,0)), HYPERLINK("#",""), HYPERLINK(CONCATENATE("#Metadata!", ADDRESS(INDEX($Q$2:$Q$1001,MATCH(ROWS($O$2:O39),$O$2:$O$1001,0),0), INDEX($V$1004:$AE$1004,1,MATCH(COLUMNS($V$1006:AE1006),$V$1006:$AE$1006,0)))),"Fix")))</f>
        <v>0</v>
      </c>
      <c r="O39">
        <v>0</v>
      </c>
      <c r="P39">
        <v>0</v>
      </c>
      <c r="Q39">
        <v>0</v>
      </c>
      <c r="R39">
        <f>IF(S39,TRUE,AND(V39:AE39))</f>
        <v>0</v>
      </c>
      <c r="S39">
        <f>COUNTBLANK(Metadata!B39:K39)=COLUMNS(Metadata!B39:K39)</f>
        <v>0</v>
      </c>
      <c r="T39">
        <v>0</v>
      </c>
      <c r="V39">
        <f>AND(IF(Metadata!B39="",FALSE,TRUE),COUNTIF(Metadata!B:B, Metadata!B39) = 1,NOT(ISERROR(SUMPRODUCT(SEARCH(MID(Metadata!B39,ROW(INDIRECT("1:"&amp;LEN(Metadata!B39))), 1),"0123456789abcdefghijklmnopqrstuvwxyzABCDEFGHIJKLMNOPQRSTUVWXYZ.")))))</f>
        <v>0</v>
      </c>
      <c r="W39">
        <f>AND(IF(Metadata!C39="",FALSE,TRUE),exact(Metadata!C39,"urban biome"))</f>
        <v>0</v>
      </c>
      <c r="X39">
        <f>AND(IF(Metadata!D39="",FALSE,TRUE),exact(Metadata!D39,"animal-associated habitat"))</f>
        <v>0</v>
      </c>
      <c r="Y39">
        <f>OR(AND(IF(Metadata!E39="",FALSE,TRUE),OR(exact(Metadata!E39,"not applicable"),exact(Metadata!E39,"missing: not collected"),exact(Metadata!E39,"missing: not provided"),exact(Metadata!E39,"missing: restricted access"))),AND(IF(Metadata!E39="",FALSE,ISNUMBER(VALUE(Metadata!E39))),Metadata!E39&gt;0))</f>
        <v>0</v>
      </c>
      <c r="Z39">
        <f>AND(IF(Metadata!F39="",FALSE,TRUE),exact(Metadata!F39,"weeks"))</f>
        <v>0</v>
      </c>
      <c r="AA39">
        <f>AND(IF(Metadata!G39="",FALSE,TRUE),exact(Metadata!G39,"mouse"))</f>
        <v>0</v>
      </c>
      <c r="AB39">
        <f>AND(IF(Metadata!H39="",FALSE,TRUE),exact(Metadata!H39,"Mus musculus"))</f>
        <v>0</v>
      </c>
      <c r="AC39">
        <f>AND(IF(Metadata!I39="",FALSE,TRUE),exact(Metadata!I39,"10090"))</f>
        <v>0</v>
      </c>
      <c r="AD39">
        <f>OR(AND(IF(Metadata!J39="",FALSE,TRUE),OR(exact(Metadata!J39,"not applicable"),exact(Metadata!J39,"missing: not collected"),exact(Metadata!J39,"missing: not provided"),exact(Metadata!J39,"missing: restricted access"))),AND(IF(Metadata!J39="",FALSE,ISNUMBER(VALUE(Metadata!J39))),Metadata!J39&gt;0))</f>
        <v>0</v>
      </c>
      <c r="AE39">
        <f>AND(IF(Metadata!K39="",FALSE,TRUE),exact(Metadata!K39,"g"))</f>
        <v>0</v>
      </c>
    </row>
    <row r="40" spans="1:31">
      <c r="A40" s="5">
        <f>IF(B40=" "," ",HYPERLINK(CONCATENATE("#metadata!",ADDRESS(INDEX($Q$2:$Q$1001,MATCH(ROWS($O$2:O40),$O$2:$O$1001,0),0),1)),INDEX($T$2:$T$1001,MATCH(ROWS($O$2:O40),$O$2:$O$1001,0),0)))</f>
        <v>0</v>
      </c>
      <c r="B40" s="4">
        <f>IF(OR(INDEX($P$2:$P$1001,MATCH(ROWS($O$2:O40),$O$2:$O$1001,0),1)&gt;=100000,INDEX($V$1005:$AE$1005,1,MATCH(COLUMNS($V$1006:V1006),$V$1006:$AE$1006,0))&gt;=100000), " ",IF(INDEX($V$2:$AE$1001,MATCH(ROWS($O$2:O40),$O$2:$O$1001,0),MATCH(COLUMNS($V$1006:V1006),$V$1006:$AE$1006,0)), HYPERLINK("#",""), HYPERLINK(CONCATENATE("#Metadata!", ADDRESS(INDEX($Q$2:$Q$1001,MATCH(ROWS($O$2:O40),$O$2:$O$1001,0),0), INDEX($V$1004:$AE$1004,1,MATCH(COLUMNS($V$1006:V1006),$V$1006:$AE$1006,0)))),"Fix")))</f>
        <v>0</v>
      </c>
      <c r="C40" s="4">
        <f>IF(OR(INDEX($P$2:$P$1001,MATCH(ROWS($O$2:O40),$O$2:$O$1001,0),1)&gt;=100000,INDEX($V$1005:$AE$1005,1,MATCH(COLUMNS($V$1006:W1006),$V$1006:$AE$1006,0))&gt;=100000), " ",IF(INDEX($V$2:$AE$1001,MATCH(ROWS($O$2:O40),$O$2:$O$1001,0),MATCH(COLUMNS($V$1006:W1006),$V$1006:$AE$1006,0)), HYPERLINK("#",""), HYPERLINK(CONCATENATE("#Metadata!", ADDRESS(INDEX($Q$2:$Q$1001,MATCH(ROWS($O$2:O40),$O$2:$O$1001,0),0), INDEX($V$1004:$AE$1004,1,MATCH(COLUMNS($V$1006:W1006),$V$1006:$AE$1006,0)))),"Fix")))</f>
        <v>0</v>
      </c>
      <c r="D40" s="4">
        <f>IF(OR(INDEX($P$2:$P$1001,MATCH(ROWS($O$2:O40),$O$2:$O$1001,0),1)&gt;=100000,INDEX($V$1005:$AE$1005,1,MATCH(COLUMNS($V$1006:X1006),$V$1006:$AE$1006,0))&gt;=100000), " ",IF(INDEX($V$2:$AE$1001,MATCH(ROWS($O$2:O40),$O$2:$O$1001,0),MATCH(COLUMNS($V$1006:X1006),$V$1006:$AE$1006,0)), HYPERLINK("#",""), HYPERLINK(CONCATENATE("#Metadata!", ADDRESS(INDEX($Q$2:$Q$1001,MATCH(ROWS($O$2:O40),$O$2:$O$1001,0),0), INDEX($V$1004:$AE$1004,1,MATCH(COLUMNS($V$1006:X1006),$V$1006:$AE$1006,0)))),"Fix")))</f>
        <v>0</v>
      </c>
      <c r="E40" s="4">
        <f>IF(OR(INDEX($P$2:$P$1001,MATCH(ROWS($O$2:O40),$O$2:$O$1001,0),1)&gt;=100000,INDEX($V$1005:$AE$1005,1,MATCH(COLUMNS($V$1006:Y1006),$V$1006:$AE$1006,0))&gt;=100000), " ",IF(INDEX($V$2:$AE$1001,MATCH(ROWS($O$2:O40),$O$2:$O$1001,0),MATCH(COLUMNS($V$1006:Y1006),$V$1006:$AE$1006,0)), HYPERLINK("#",""), HYPERLINK(CONCATENATE("#Metadata!", ADDRESS(INDEX($Q$2:$Q$1001,MATCH(ROWS($O$2:O40),$O$2:$O$1001,0),0), INDEX($V$1004:$AE$1004,1,MATCH(COLUMNS($V$1006:Y1006),$V$1006:$AE$1006,0)))),"Fix")))</f>
        <v>0</v>
      </c>
      <c r="F40" s="4">
        <f>IF(OR(INDEX($P$2:$P$1001,MATCH(ROWS($O$2:O40),$O$2:$O$1001,0),1)&gt;=100000,INDEX($V$1005:$AE$1005,1,MATCH(COLUMNS($V$1006:Z1006),$V$1006:$AE$1006,0))&gt;=100000), " ",IF(INDEX($V$2:$AE$1001,MATCH(ROWS($O$2:O40),$O$2:$O$1001,0),MATCH(COLUMNS($V$1006:Z1006),$V$1006:$AE$1006,0)), HYPERLINK("#",""), HYPERLINK(CONCATENATE("#Metadata!", ADDRESS(INDEX($Q$2:$Q$1001,MATCH(ROWS($O$2:O40),$O$2:$O$1001,0),0), INDEX($V$1004:$AE$1004,1,MATCH(COLUMNS($V$1006:Z1006),$V$1006:$AE$1006,0)))),"Fix")))</f>
        <v>0</v>
      </c>
      <c r="G40" s="4">
        <f>IF(OR(INDEX($P$2:$P$1001,MATCH(ROWS($O$2:O40),$O$2:$O$1001,0),1)&gt;=100000,INDEX($V$1005:$AE$1005,1,MATCH(COLUMNS($V$1006:AA1006),$V$1006:$AE$1006,0))&gt;=100000), " ",IF(INDEX($V$2:$AE$1001,MATCH(ROWS($O$2:O40),$O$2:$O$1001,0),MATCH(COLUMNS($V$1006:AA1006),$V$1006:$AE$1006,0)), HYPERLINK("#",""), HYPERLINK(CONCATENATE("#Metadata!", ADDRESS(INDEX($Q$2:$Q$1001,MATCH(ROWS($O$2:O40),$O$2:$O$1001,0),0), INDEX($V$1004:$AE$1004,1,MATCH(COLUMNS($V$1006:AA1006),$V$1006:$AE$1006,0)))),"Fix")))</f>
        <v>0</v>
      </c>
      <c r="H40" s="4">
        <f>IF(OR(INDEX($P$2:$P$1001,MATCH(ROWS($O$2:O40),$O$2:$O$1001,0),1)&gt;=100000,INDEX($V$1005:$AE$1005,1,MATCH(COLUMNS($V$1006:AB1006),$V$1006:$AE$1006,0))&gt;=100000), " ",IF(INDEX($V$2:$AE$1001,MATCH(ROWS($O$2:O40),$O$2:$O$1001,0),MATCH(COLUMNS($V$1006:AB1006),$V$1006:$AE$1006,0)), HYPERLINK("#",""), HYPERLINK(CONCATENATE("#Metadata!", ADDRESS(INDEX($Q$2:$Q$1001,MATCH(ROWS($O$2:O40),$O$2:$O$1001,0),0), INDEX($V$1004:$AE$1004,1,MATCH(COLUMNS($V$1006:AB1006),$V$1006:$AE$1006,0)))),"Fix")))</f>
        <v>0</v>
      </c>
      <c r="I40" s="4">
        <f>IF(OR(INDEX($P$2:$P$1001,MATCH(ROWS($O$2:O40),$O$2:$O$1001,0),1)&gt;=100000,INDEX($V$1005:$AE$1005,1,MATCH(COLUMNS($V$1006:AC1006),$V$1006:$AE$1006,0))&gt;=100000), " ",IF(INDEX($V$2:$AE$1001,MATCH(ROWS($O$2:O40),$O$2:$O$1001,0),MATCH(COLUMNS($V$1006:AC1006),$V$1006:$AE$1006,0)), HYPERLINK("#",""), HYPERLINK(CONCATENATE("#Metadata!", ADDRESS(INDEX($Q$2:$Q$1001,MATCH(ROWS($O$2:O40),$O$2:$O$1001,0),0), INDEX($V$1004:$AE$1004,1,MATCH(COLUMNS($V$1006:AC1006),$V$1006:$AE$1006,0)))),"Fix")))</f>
        <v>0</v>
      </c>
      <c r="J40" s="4">
        <f>IF(OR(INDEX($P$2:$P$1001,MATCH(ROWS($O$2:O40),$O$2:$O$1001,0),1)&gt;=100000,INDEX($V$1005:$AE$1005,1,MATCH(COLUMNS($V$1006:AD1006),$V$1006:$AE$1006,0))&gt;=100000), " ",IF(INDEX($V$2:$AE$1001,MATCH(ROWS($O$2:O40),$O$2:$O$1001,0),MATCH(COLUMNS($V$1006:AD1006),$V$1006:$AE$1006,0)), HYPERLINK("#",""), HYPERLINK(CONCATENATE("#Metadata!", ADDRESS(INDEX($Q$2:$Q$1001,MATCH(ROWS($O$2:O40),$O$2:$O$1001,0),0), INDEX($V$1004:$AE$1004,1,MATCH(COLUMNS($V$1006:AD1006),$V$1006:$AE$1006,0)))),"Fix")))</f>
        <v>0</v>
      </c>
      <c r="K40" s="4">
        <f>IF(OR(INDEX($P$2:$P$1001,MATCH(ROWS($O$2:O40),$O$2:$O$1001,0),1)&gt;=100000,INDEX($V$1005:$AE$1005,1,MATCH(COLUMNS($V$1006:AE1006),$V$1006:$AE$1006,0))&gt;=100000), " ",IF(INDEX($V$2:$AE$1001,MATCH(ROWS($O$2:O40),$O$2:$O$1001,0),MATCH(COLUMNS($V$1006:AE1006),$V$1006:$AE$1006,0)), HYPERLINK("#",""), HYPERLINK(CONCATENATE("#Metadata!", ADDRESS(INDEX($Q$2:$Q$1001,MATCH(ROWS($O$2:O40),$O$2:$O$1001,0),0), INDEX($V$1004:$AE$1004,1,MATCH(COLUMNS($V$1006:AE1006),$V$1006:$AE$1006,0)))),"Fix")))</f>
        <v>0</v>
      </c>
      <c r="O40">
        <v>0</v>
      </c>
      <c r="P40">
        <v>0</v>
      </c>
      <c r="Q40">
        <v>0</v>
      </c>
      <c r="R40">
        <f>IF(S40,TRUE,AND(V40:AE40))</f>
        <v>0</v>
      </c>
      <c r="S40">
        <f>COUNTBLANK(Metadata!B40:K40)=COLUMNS(Metadata!B40:K40)</f>
        <v>0</v>
      </c>
      <c r="T40">
        <v>0</v>
      </c>
      <c r="V40">
        <f>AND(IF(Metadata!B40="",FALSE,TRUE),COUNTIF(Metadata!B:B, Metadata!B40) = 1,NOT(ISERROR(SUMPRODUCT(SEARCH(MID(Metadata!B40,ROW(INDIRECT("1:"&amp;LEN(Metadata!B40))), 1),"0123456789abcdefghijklmnopqrstuvwxyzABCDEFGHIJKLMNOPQRSTUVWXYZ.")))))</f>
        <v>0</v>
      </c>
      <c r="W40">
        <f>AND(IF(Metadata!C40="",FALSE,TRUE),exact(Metadata!C40,"urban biome"))</f>
        <v>0</v>
      </c>
      <c r="X40">
        <f>AND(IF(Metadata!D40="",FALSE,TRUE),exact(Metadata!D40,"animal-associated habitat"))</f>
        <v>0</v>
      </c>
      <c r="Y40">
        <f>OR(AND(IF(Metadata!E40="",FALSE,TRUE),OR(exact(Metadata!E40,"not applicable"),exact(Metadata!E40,"missing: not collected"),exact(Metadata!E40,"missing: not provided"),exact(Metadata!E40,"missing: restricted access"))),AND(IF(Metadata!E40="",FALSE,ISNUMBER(VALUE(Metadata!E40))),Metadata!E40&gt;0))</f>
        <v>0</v>
      </c>
      <c r="Z40">
        <f>AND(IF(Metadata!F40="",FALSE,TRUE),exact(Metadata!F40,"weeks"))</f>
        <v>0</v>
      </c>
      <c r="AA40">
        <f>AND(IF(Metadata!G40="",FALSE,TRUE),exact(Metadata!G40,"mouse"))</f>
        <v>0</v>
      </c>
      <c r="AB40">
        <f>AND(IF(Metadata!H40="",FALSE,TRUE),exact(Metadata!H40,"Mus musculus"))</f>
        <v>0</v>
      </c>
      <c r="AC40">
        <f>AND(IF(Metadata!I40="",FALSE,TRUE),exact(Metadata!I40,"10090"))</f>
        <v>0</v>
      </c>
      <c r="AD40">
        <f>OR(AND(IF(Metadata!J40="",FALSE,TRUE),OR(exact(Metadata!J40,"not applicable"),exact(Metadata!J40,"missing: not collected"),exact(Metadata!J40,"missing: not provided"),exact(Metadata!J40,"missing: restricted access"))),AND(IF(Metadata!J40="",FALSE,ISNUMBER(VALUE(Metadata!J40))),Metadata!J40&gt;0))</f>
        <v>0</v>
      </c>
      <c r="AE40">
        <f>AND(IF(Metadata!K40="",FALSE,TRUE),exact(Metadata!K40,"g"))</f>
        <v>0</v>
      </c>
    </row>
    <row r="41" spans="1:31">
      <c r="A41" s="5">
        <f>IF(B41=" "," ",HYPERLINK(CONCATENATE("#metadata!",ADDRESS(INDEX($Q$2:$Q$1001,MATCH(ROWS($O$2:O41),$O$2:$O$1001,0),0),1)),INDEX($T$2:$T$1001,MATCH(ROWS($O$2:O41),$O$2:$O$1001,0),0)))</f>
        <v>0</v>
      </c>
      <c r="B41" s="4">
        <f>IF(OR(INDEX($P$2:$P$1001,MATCH(ROWS($O$2:O41),$O$2:$O$1001,0),1)&gt;=100000,INDEX($V$1005:$AE$1005,1,MATCH(COLUMNS($V$1006:V1006),$V$1006:$AE$1006,0))&gt;=100000), " ",IF(INDEX($V$2:$AE$1001,MATCH(ROWS($O$2:O41),$O$2:$O$1001,0),MATCH(COLUMNS($V$1006:V1006),$V$1006:$AE$1006,0)), HYPERLINK("#",""), HYPERLINK(CONCATENATE("#Metadata!", ADDRESS(INDEX($Q$2:$Q$1001,MATCH(ROWS($O$2:O41),$O$2:$O$1001,0),0), INDEX($V$1004:$AE$1004,1,MATCH(COLUMNS($V$1006:V1006),$V$1006:$AE$1006,0)))),"Fix")))</f>
        <v>0</v>
      </c>
      <c r="C41" s="4">
        <f>IF(OR(INDEX($P$2:$P$1001,MATCH(ROWS($O$2:O41),$O$2:$O$1001,0),1)&gt;=100000,INDEX($V$1005:$AE$1005,1,MATCH(COLUMNS($V$1006:W1006),$V$1006:$AE$1006,0))&gt;=100000), " ",IF(INDEX($V$2:$AE$1001,MATCH(ROWS($O$2:O41),$O$2:$O$1001,0),MATCH(COLUMNS($V$1006:W1006),$V$1006:$AE$1006,0)), HYPERLINK("#",""), HYPERLINK(CONCATENATE("#Metadata!", ADDRESS(INDEX($Q$2:$Q$1001,MATCH(ROWS($O$2:O41),$O$2:$O$1001,0),0), INDEX($V$1004:$AE$1004,1,MATCH(COLUMNS($V$1006:W1006),$V$1006:$AE$1006,0)))),"Fix")))</f>
        <v>0</v>
      </c>
      <c r="D41" s="4">
        <f>IF(OR(INDEX($P$2:$P$1001,MATCH(ROWS($O$2:O41),$O$2:$O$1001,0),1)&gt;=100000,INDEX($V$1005:$AE$1005,1,MATCH(COLUMNS($V$1006:X1006),$V$1006:$AE$1006,0))&gt;=100000), " ",IF(INDEX($V$2:$AE$1001,MATCH(ROWS($O$2:O41),$O$2:$O$1001,0),MATCH(COLUMNS($V$1006:X1006),$V$1006:$AE$1006,0)), HYPERLINK("#",""), HYPERLINK(CONCATENATE("#Metadata!", ADDRESS(INDEX($Q$2:$Q$1001,MATCH(ROWS($O$2:O41),$O$2:$O$1001,0),0), INDEX($V$1004:$AE$1004,1,MATCH(COLUMNS($V$1006:X1006),$V$1006:$AE$1006,0)))),"Fix")))</f>
        <v>0</v>
      </c>
      <c r="E41" s="4">
        <f>IF(OR(INDEX($P$2:$P$1001,MATCH(ROWS($O$2:O41),$O$2:$O$1001,0),1)&gt;=100000,INDEX($V$1005:$AE$1005,1,MATCH(COLUMNS($V$1006:Y1006),$V$1006:$AE$1006,0))&gt;=100000), " ",IF(INDEX($V$2:$AE$1001,MATCH(ROWS($O$2:O41),$O$2:$O$1001,0),MATCH(COLUMNS($V$1006:Y1006),$V$1006:$AE$1006,0)), HYPERLINK("#",""), HYPERLINK(CONCATENATE("#Metadata!", ADDRESS(INDEX($Q$2:$Q$1001,MATCH(ROWS($O$2:O41),$O$2:$O$1001,0),0), INDEX($V$1004:$AE$1004,1,MATCH(COLUMNS($V$1006:Y1006),$V$1006:$AE$1006,0)))),"Fix")))</f>
        <v>0</v>
      </c>
      <c r="F41" s="4">
        <f>IF(OR(INDEX($P$2:$P$1001,MATCH(ROWS($O$2:O41),$O$2:$O$1001,0),1)&gt;=100000,INDEX($V$1005:$AE$1005,1,MATCH(COLUMNS($V$1006:Z1006),$V$1006:$AE$1006,0))&gt;=100000), " ",IF(INDEX($V$2:$AE$1001,MATCH(ROWS($O$2:O41),$O$2:$O$1001,0),MATCH(COLUMNS($V$1006:Z1006),$V$1006:$AE$1006,0)), HYPERLINK("#",""), HYPERLINK(CONCATENATE("#Metadata!", ADDRESS(INDEX($Q$2:$Q$1001,MATCH(ROWS($O$2:O41),$O$2:$O$1001,0),0), INDEX($V$1004:$AE$1004,1,MATCH(COLUMNS($V$1006:Z1006),$V$1006:$AE$1006,0)))),"Fix")))</f>
        <v>0</v>
      </c>
      <c r="G41" s="4">
        <f>IF(OR(INDEX($P$2:$P$1001,MATCH(ROWS($O$2:O41),$O$2:$O$1001,0),1)&gt;=100000,INDEX($V$1005:$AE$1005,1,MATCH(COLUMNS($V$1006:AA1006),$V$1006:$AE$1006,0))&gt;=100000), " ",IF(INDEX($V$2:$AE$1001,MATCH(ROWS($O$2:O41),$O$2:$O$1001,0),MATCH(COLUMNS($V$1006:AA1006),$V$1006:$AE$1006,0)), HYPERLINK("#",""), HYPERLINK(CONCATENATE("#Metadata!", ADDRESS(INDEX($Q$2:$Q$1001,MATCH(ROWS($O$2:O41),$O$2:$O$1001,0),0), INDEX($V$1004:$AE$1004,1,MATCH(COLUMNS($V$1006:AA1006),$V$1006:$AE$1006,0)))),"Fix")))</f>
        <v>0</v>
      </c>
      <c r="H41" s="4">
        <f>IF(OR(INDEX($P$2:$P$1001,MATCH(ROWS($O$2:O41),$O$2:$O$1001,0),1)&gt;=100000,INDEX($V$1005:$AE$1005,1,MATCH(COLUMNS($V$1006:AB1006),$V$1006:$AE$1006,0))&gt;=100000), " ",IF(INDEX($V$2:$AE$1001,MATCH(ROWS($O$2:O41),$O$2:$O$1001,0),MATCH(COLUMNS($V$1006:AB1006),$V$1006:$AE$1006,0)), HYPERLINK("#",""), HYPERLINK(CONCATENATE("#Metadata!", ADDRESS(INDEX($Q$2:$Q$1001,MATCH(ROWS($O$2:O41),$O$2:$O$1001,0),0), INDEX($V$1004:$AE$1004,1,MATCH(COLUMNS($V$1006:AB1006),$V$1006:$AE$1006,0)))),"Fix")))</f>
        <v>0</v>
      </c>
      <c r="I41" s="4">
        <f>IF(OR(INDEX($P$2:$P$1001,MATCH(ROWS($O$2:O41),$O$2:$O$1001,0),1)&gt;=100000,INDEX($V$1005:$AE$1005,1,MATCH(COLUMNS($V$1006:AC1006),$V$1006:$AE$1006,0))&gt;=100000), " ",IF(INDEX($V$2:$AE$1001,MATCH(ROWS($O$2:O41),$O$2:$O$1001,0),MATCH(COLUMNS($V$1006:AC1006),$V$1006:$AE$1006,0)), HYPERLINK("#",""), HYPERLINK(CONCATENATE("#Metadata!", ADDRESS(INDEX($Q$2:$Q$1001,MATCH(ROWS($O$2:O41),$O$2:$O$1001,0),0), INDEX($V$1004:$AE$1004,1,MATCH(COLUMNS($V$1006:AC1006),$V$1006:$AE$1006,0)))),"Fix")))</f>
        <v>0</v>
      </c>
      <c r="J41" s="4">
        <f>IF(OR(INDEX($P$2:$P$1001,MATCH(ROWS($O$2:O41),$O$2:$O$1001,0),1)&gt;=100000,INDEX($V$1005:$AE$1005,1,MATCH(COLUMNS($V$1006:AD1006),$V$1006:$AE$1006,0))&gt;=100000), " ",IF(INDEX($V$2:$AE$1001,MATCH(ROWS($O$2:O41),$O$2:$O$1001,0),MATCH(COLUMNS($V$1006:AD1006),$V$1006:$AE$1006,0)), HYPERLINK("#",""), HYPERLINK(CONCATENATE("#Metadata!", ADDRESS(INDEX($Q$2:$Q$1001,MATCH(ROWS($O$2:O41),$O$2:$O$1001,0),0), INDEX($V$1004:$AE$1004,1,MATCH(COLUMNS($V$1006:AD1006),$V$1006:$AE$1006,0)))),"Fix")))</f>
        <v>0</v>
      </c>
      <c r="K41" s="4">
        <f>IF(OR(INDEX($P$2:$P$1001,MATCH(ROWS($O$2:O41),$O$2:$O$1001,0),1)&gt;=100000,INDEX($V$1005:$AE$1005,1,MATCH(COLUMNS($V$1006:AE1006),$V$1006:$AE$1006,0))&gt;=100000), " ",IF(INDEX($V$2:$AE$1001,MATCH(ROWS($O$2:O41),$O$2:$O$1001,0),MATCH(COLUMNS($V$1006:AE1006),$V$1006:$AE$1006,0)), HYPERLINK("#",""), HYPERLINK(CONCATENATE("#Metadata!", ADDRESS(INDEX($Q$2:$Q$1001,MATCH(ROWS($O$2:O41),$O$2:$O$1001,0),0), INDEX($V$1004:$AE$1004,1,MATCH(COLUMNS($V$1006:AE1006),$V$1006:$AE$1006,0)))),"Fix")))</f>
        <v>0</v>
      </c>
      <c r="O41">
        <v>0</v>
      </c>
      <c r="P41">
        <v>0</v>
      </c>
      <c r="Q41">
        <v>0</v>
      </c>
      <c r="R41">
        <f>IF(S41,TRUE,AND(V41:AE41))</f>
        <v>0</v>
      </c>
      <c r="S41">
        <f>COUNTBLANK(Metadata!B41:K41)=COLUMNS(Metadata!B41:K41)</f>
        <v>0</v>
      </c>
      <c r="T41">
        <v>0</v>
      </c>
      <c r="V41">
        <f>AND(IF(Metadata!B41="",FALSE,TRUE),COUNTIF(Metadata!B:B, Metadata!B41) = 1,NOT(ISERROR(SUMPRODUCT(SEARCH(MID(Metadata!B41,ROW(INDIRECT("1:"&amp;LEN(Metadata!B41))), 1),"0123456789abcdefghijklmnopqrstuvwxyzABCDEFGHIJKLMNOPQRSTUVWXYZ.")))))</f>
        <v>0</v>
      </c>
      <c r="W41">
        <f>AND(IF(Metadata!C41="",FALSE,TRUE),exact(Metadata!C41,"urban biome"))</f>
        <v>0</v>
      </c>
      <c r="X41">
        <f>AND(IF(Metadata!D41="",FALSE,TRUE),exact(Metadata!D41,"animal-associated habitat"))</f>
        <v>0</v>
      </c>
      <c r="Y41">
        <f>OR(AND(IF(Metadata!E41="",FALSE,TRUE),OR(exact(Metadata!E41,"not applicable"),exact(Metadata!E41,"missing: not collected"),exact(Metadata!E41,"missing: not provided"),exact(Metadata!E41,"missing: restricted access"))),AND(IF(Metadata!E41="",FALSE,ISNUMBER(VALUE(Metadata!E41))),Metadata!E41&gt;0))</f>
        <v>0</v>
      </c>
      <c r="Z41">
        <f>AND(IF(Metadata!F41="",FALSE,TRUE),exact(Metadata!F41,"weeks"))</f>
        <v>0</v>
      </c>
      <c r="AA41">
        <f>AND(IF(Metadata!G41="",FALSE,TRUE),exact(Metadata!G41,"mouse"))</f>
        <v>0</v>
      </c>
      <c r="AB41">
        <f>AND(IF(Metadata!H41="",FALSE,TRUE),exact(Metadata!H41,"Mus musculus"))</f>
        <v>0</v>
      </c>
      <c r="AC41">
        <f>AND(IF(Metadata!I41="",FALSE,TRUE),exact(Metadata!I41,"10090"))</f>
        <v>0</v>
      </c>
      <c r="AD41">
        <f>OR(AND(IF(Metadata!J41="",FALSE,TRUE),OR(exact(Metadata!J41,"not applicable"),exact(Metadata!J41,"missing: not collected"),exact(Metadata!J41,"missing: not provided"),exact(Metadata!J41,"missing: restricted access"))),AND(IF(Metadata!J41="",FALSE,ISNUMBER(VALUE(Metadata!J41))),Metadata!J41&gt;0))</f>
        <v>0</v>
      </c>
      <c r="AE41">
        <f>AND(IF(Metadata!K41="",FALSE,TRUE),exact(Metadata!K41,"g"))</f>
        <v>0</v>
      </c>
    </row>
    <row r="42" spans="1:31">
      <c r="A42" s="5">
        <f>IF(B42=" "," ",HYPERLINK(CONCATENATE("#metadata!",ADDRESS(INDEX($Q$2:$Q$1001,MATCH(ROWS($O$2:O42),$O$2:$O$1001,0),0),1)),INDEX($T$2:$T$1001,MATCH(ROWS($O$2:O42),$O$2:$O$1001,0),0)))</f>
        <v>0</v>
      </c>
      <c r="B42" s="4">
        <f>IF(OR(INDEX($P$2:$P$1001,MATCH(ROWS($O$2:O42),$O$2:$O$1001,0),1)&gt;=100000,INDEX($V$1005:$AE$1005,1,MATCH(COLUMNS($V$1006:V1006),$V$1006:$AE$1006,0))&gt;=100000), " ",IF(INDEX($V$2:$AE$1001,MATCH(ROWS($O$2:O42),$O$2:$O$1001,0),MATCH(COLUMNS($V$1006:V1006),$V$1006:$AE$1006,0)), HYPERLINK("#",""), HYPERLINK(CONCATENATE("#Metadata!", ADDRESS(INDEX($Q$2:$Q$1001,MATCH(ROWS($O$2:O42),$O$2:$O$1001,0),0), INDEX($V$1004:$AE$1004,1,MATCH(COLUMNS($V$1006:V1006),$V$1006:$AE$1006,0)))),"Fix")))</f>
        <v>0</v>
      </c>
      <c r="C42" s="4">
        <f>IF(OR(INDEX($P$2:$P$1001,MATCH(ROWS($O$2:O42),$O$2:$O$1001,0),1)&gt;=100000,INDEX($V$1005:$AE$1005,1,MATCH(COLUMNS($V$1006:W1006),$V$1006:$AE$1006,0))&gt;=100000), " ",IF(INDEX($V$2:$AE$1001,MATCH(ROWS($O$2:O42),$O$2:$O$1001,0),MATCH(COLUMNS($V$1006:W1006),$V$1006:$AE$1006,0)), HYPERLINK("#",""), HYPERLINK(CONCATENATE("#Metadata!", ADDRESS(INDEX($Q$2:$Q$1001,MATCH(ROWS($O$2:O42),$O$2:$O$1001,0),0), INDEX($V$1004:$AE$1004,1,MATCH(COLUMNS($V$1006:W1006),$V$1006:$AE$1006,0)))),"Fix")))</f>
        <v>0</v>
      </c>
      <c r="D42" s="4">
        <f>IF(OR(INDEX($P$2:$P$1001,MATCH(ROWS($O$2:O42),$O$2:$O$1001,0),1)&gt;=100000,INDEX($V$1005:$AE$1005,1,MATCH(COLUMNS($V$1006:X1006),$V$1006:$AE$1006,0))&gt;=100000), " ",IF(INDEX($V$2:$AE$1001,MATCH(ROWS($O$2:O42),$O$2:$O$1001,0),MATCH(COLUMNS($V$1006:X1006),$V$1006:$AE$1006,0)), HYPERLINK("#",""), HYPERLINK(CONCATENATE("#Metadata!", ADDRESS(INDEX($Q$2:$Q$1001,MATCH(ROWS($O$2:O42),$O$2:$O$1001,0),0), INDEX($V$1004:$AE$1004,1,MATCH(COLUMNS($V$1006:X1006),$V$1006:$AE$1006,0)))),"Fix")))</f>
        <v>0</v>
      </c>
      <c r="E42" s="4">
        <f>IF(OR(INDEX($P$2:$P$1001,MATCH(ROWS($O$2:O42),$O$2:$O$1001,0),1)&gt;=100000,INDEX($V$1005:$AE$1005,1,MATCH(COLUMNS($V$1006:Y1006),$V$1006:$AE$1006,0))&gt;=100000), " ",IF(INDEX($V$2:$AE$1001,MATCH(ROWS($O$2:O42),$O$2:$O$1001,0),MATCH(COLUMNS($V$1006:Y1006),$V$1006:$AE$1006,0)), HYPERLINK("#",""), HYPERLINK(CONCATENATE("#Metadata!", ADDRESS(INDEX($Q$2:$Q$1001,MATCH(ROWS($O$2:O42),$O$2:$O$1001,0),0), INDEX($V$1004:$AE$1004,1,MATCH(COLUMNS($V$1006:Y1006),$V$1006:$AE$1006,0)))),"Fix")))</f>
        <v>0</v>
      </c>
      <c r="F42" s="4">
        <f>IF(OR(INDEX($P$2:$P$1001,MATCH(ROWS($O$2:O42),$O$2:$O$1001,0),1)&gt;=100000,INDEX($V$1005:$AE$1005,1,MATCH(COLUMNS($V$1006:Z1006),$V$1006:$AE$1006,0))&gt;=100000), " ",IF(INDEX($V$2:$AE$1001,MATCH(ROWS($O$2:O42),$O$2:$O$1001,0),MATCH(COLUMNS($V$1006:Z1006),$V$1006:$AE$1006,0)), HYPERLINK("#",""), HYPERLINK(CONCATENATE("#Metadata!", ADDRESS(INDEX($Q$2:$Q$1001,MATCH(ROWS($O$2:O42),$O$2:$O$1001,0),0), INDEX($V$1004:$AE$1004,1,MATCH(COLUMNS($V$1006:Z1006),$V$1006:$AE$1006,0)))),"Fix")))</f>
        <v>0</v>
      </c>
      <c r="G42" s="4">
        <f>IF(OR(INDEX($P$2:$P$1001,MATCH(ROWS($O$2:O42),$O$2:$O$1001,0),1)&gt;=100000,INDEX($V$1005:$AE$1005,1,MATCH(COLUMNS($V$1006:AA1006),$V$1006:$AE$1006,0))&gt;=100000), " ",IF(INDEX($V$2:$AE$1001,MATCH(ROWS($O$2:O42),$O$2:$O$1001,0),MATCH(COLUMNS($V$1006:AA1006),$V$1006:$AE$1006,0)), HYPERLINK("#",""), HYPERLINK(CONCATENATE("#Metadata!", ADDRESS(INDEX($Q$2:$Q$1001,MATCH(ROWS($O$2:O42),$O$2:$O$1001,0),0), INDEX($V$1004:$AE$1004,1,MATCH(COLUMNS($V$1006:AA1006),$V$1006:$AE$1006,0)))),"Fix")))</f>
        <v>0</v>
      </c>
      <c r="H42" s="4">
        <f>IF(OR(INDEX($P$2:$P$1001,MATCH(ROWS($O$2:O42),$O$2:$O$1001,0),1)&gt;=100000,INDEX($V$1005:$AE$1005,1,MATCH(COLUMNS($V$1006:AB1006),$V$1006:$AE$1006,0))&gt;=100000), " ",IF(INDEX($V$2:$AE$1001,MATCH(ROWS($O$2:O42),$O$2:$O$1001,0),MATCH(COLUMNS($V$1006:AB1006),$V$1006:$AE$1006,0)), HYPERLINK("#",""), HYPERLINK(CONCATENATE("#Metadata!", ADDRESS(INDEX($Q$2:$Q$1001,MATCH(ROWS($O$2:O42),$O$2:$O$1001,0),0), INDEX($V$1004:$AE$1004,1,MATCH(COLUMNS($V$1006:AB1006),$V$1006:$AE$1006,0)))),"Fix")))</f>
        <v>0</v>
      </c>
      <c r="I42" s="4">
        <f>IF(OR(INDEX($P$2:$P$1001,MATCH(ROWS($O$2:O42),$O$2:$O$1001,0),1)&gt;=100000,INDEX($V$1005:$AE$1005,1,MATCH(COLUMNS($V$1006:AC1006),$V$1006:$AE$1006,0))&gt;=100000), " ",IF(INDEX($V$2:$AE$1001,MATCH(ROWS($O$2:O42),$O$2:$O$1001,0),MATCH(COLUMNS($V$1006:AC1006),$V$1006:$AE$1006,0)), HYPERLINK("#",""), HYPERLINK(CONCATENATE("#Metadata!", ADDRESS(INDEX($Q$2:$Q$1001,MATCH(ROWS($O$2:O42),$O$2:$O$1001,0),0), INDEX($V$1004:$AE$1004,1,MATCH(COLUMNS($V$1006:AC1006),$V$1006:$AE$1006,0)))),"Fix")))</f>
        <v>0</v>
      </c>
      <c r="J42" s="4">
        <f>IF(OR(INDEX($P$2:$P$1001,MATCH(ROWS($O$2:O42),$O$2:$O$1001,0),1)&gt;=100000,INDEX($V$1005:$AE$1005,1,MATCH(COLUMNS($V$1006:AD1006),$V$1006:$AE$1006,0))&gt;=100000), " ",IF(INDEX($V$2:$AE$1001,MATCH(ROWS($O$2:O42),$O$2:$O$1001,0),MATCH(COLUMNS($V$1006:AD1006),$V$1006:$AE$1006,0)), HYPERLINK("#",""), HYPERLINK(CONCATENATE("#Metadata!", ADDRESS(INDEX($Q$2:$Q$1001,MATCH(ROWS($O$2:O42),$O$2:$O$1001,0),0), INDEX($V$1004:$AE$1004,1,MATCH(COLUMNS($V$1006:AD1006),$V$1006:$AE$1006,0)))),"Fix")))</f>
        <v>0</v>
      </c>
      <c r="K42" s="4">
        <f>IF(OR(INDEX($P$2:$P$1001,MATCH(ROWS($O$2:O42),$O$2:$O$1001,0),1)&gt;=100000,INDEX($V$1005:$AE$1005,1,MATCH(COLUMNS($V$1006:AE1006),$V$1006:$AE$1006,0))&gt;=100000), " ",IF(INDEX($V$2:$AE$1001,MATCH(ROWS($O$2:O42),$O$2:$O$1001,0),MATCH(COLUMNS($V$1006:AE1006),$V$1006:$AE$1006,0)), HYPERLINK("#",""), HYPERLINK(CONCATENATE("#Metadata!", ADDRESS(INDEX($Q$2:$Q$1001,MATCH(ROWS($O$2:O42),$O$2:$O$1001,0),0), INDEX($V$1004:$AE$1004,1,MATCH(COLUMNS($V$1006:AE1006),$V$1006:$AE$1006,0)))),"Fix")))</f>
        <v>0</v>
      </c>
      <c r="O42">
        <v>0</v>
      </c>
      <c r="P42">
        <v>0</v>
      </c>
      <c r="Q42">
        <v>0</v>
      </c>
      <c r="R42">
        <f>IF(S42,TRUE,AND(V42:AE42))</f>
        <v>0</v>
      </c>
      <c r="S42">
        <f>COUNTBLANK(Metadata!B42:K42)=COLUMNS(Metadata!B42:K42)</f>
        <v>0</v>
      </c>
      <c r="T42">
        <v>0</v>
      </c>
      <c r="V42">
        <f>AND(IF(Metadata!B42="",FALSE,TRUE),COUNTIF(Metadata!B:B, Metadata!B42) = 1,NOT(ISERROR(SUMPRODUCT(SEARCH(MID(Metadata!B42,ROW(INDIRECT("1:"&amp;LEN(Metadata!B42))), 1),"0123456789abcdefghijklmnopqrstuvwxyzABCDEFGHIJKLMNOPQRSTUVWXYZ.")))))</f>
        <v>0</v>
      </c>
      <c r="W42">
        <f>AND(IF(Metadata!C42="",FALSE,TRUE),exact(Metadata!C42,"urban biome"))</f>
        <v>0</v>
      </c>
      <c r="X42">
        <f>AND(IF(Metadata!D42="",FALSE,TRUE),exact(Metadata!D42,"animal-associated habitat"))</f>
        <v>0</v>
      </c>
      <c r="Y42">
        <f>OR(AND(IF(Metadata!E42="",FALSE,TRUE),OR(exact(Metadata!E42,"not applicable"),exact(Metadata!E42,"missing: not collected"),exact(Metadata!E42,"missing: not provided"),exact(Metadata!E42,"missing: restricted access"))),AND(IF(Metadata!E42="",FALSE,ISNUMBER(VALUE(Metadata!E42))),Metadata!E42&gt;0))</f>
        <v>0</v>
      </c>
      <c r="Z42">
        <f>AND(IF(Metadata!F42="",FALSE,TRUE),exact(Metadata!F42,"weeks"))</f>
        <v>0</v>
      </c>
      <c r="AA42">
        <f>AND(IF(Metadata!G42="",FALSE,TRUE),exact(Metadata!G42,"mouse"))</f>
        <v>0</v>
      </c>
      <c r="AB42">
        <f>AND(IF(Metadata!H42="",FALSE,TRUE),exact(Metadata!H42,"Mus musculus"))</f>
        <v>0</v>
      </c>
      <c r="AC42">
        <f>AND(IF(Metadata!I42="",FALSE,TRUE),exact(Metadata!I42,"10090"))</f>
        <v>0</v>
      </c>
      <c r="AD42">
        <f>OR(AND(IF(Metadata!J42="",FALSE,TRUE),OR(exact(Metadata!J42,"not applicable"),exact(Metadata!J42,"missing: not collected"),exact(Metadata!J42,"missing: not provided"),exact(Metadata!J42,"missing: restricted access"))),AND(IF(Metadata!J42="",FALSE,ISNUMBER(VALUE(Metadata!J42))),Metadata!J42&gt;0))</f>
        <v>0</v>
      </c>
      <c r="AE42">
        <f>AND(IF(Metadata!K42="",FALSE,TRUE),exact(Metadata!K42,"g"))</f>
        <v>0</v>
      </c>
    </row>
    <row r="43" spans="1:31">
      <c r="A43" s="5">
        <f>IF(B43=" "," ",HYPERLINK(CONCATENATE("#metadata!",ADDRESS(INDEX($Q$2:$Q$1001,MATCH(ROWS($O$2:O43),$O$2:$O$1001,0),0),1)),INDEX($T$2:$T$1001,MATCH(ROWS($O$2:O43),$O$2:$O$1001,0),0)))</f>
        <v>0</v>
      </c>
      <c r="B43" s="4">
        <f>IF(OR(INDEX($P$2:$P$1001,MATCH(ROWS($O$2:O43),$O$2:$O$1001,0),1)&gt;=100000,INDEX($V$1005:$AE$1005,1,MATCH(COLUMNS($V$1006:V1006),$V$1006:$AE$1006,0))&gt;=100000), " ",IF(INDEX($V$2:$AE$1001,MATCH(ROWS($O$2:O43),$O$2:$O$1001,0),MATCH(COLUMNS($V$1006:V1006),$V$1006:$AE$1006,0)), HYPERLINK("#",""), HYPERLINK(CONCATENATE("#Metadata!", ADDRESS(INDEX($Q$2:$Q$1001,MATCH(ROWS($O$2:O43),$O$2:$O$1001,0),0), INDEX($V$1004:$AE$1004,1,MATCH(COLUMNS($V$1006:V1006),$V$1006:$AE$1006,0)))),"Fix")))</f>
        <v>0</v>
      </c>
      <c r="C43" s="4">
        <f>IF(OR(INDEX($P$2:$P$1001,MATCH(ROWS($O$2:O43),$O$2:$O$1001,0),1)&gt;=100000,INDEX($V$1005:$AE$1005,1,MATCH(COLUMNS($V$1006:W1006),$V$1006:$AE$1006,0))&gt;=100000), " ",IF(INDEX($V$2:$AE$1001,MATCH(ROWS($O$2:O43),$O$2:$O$1001,0),MATCH(COLUMNS($V$1006:W1006),$V$1006:$AE$1006,0)), HYPERLINK("#",""), HYPERLINK(CONCATENATE("#Metadata!", ADDRESS(INDEX($Q$2:$Q$1001,MATCH(ROWS($O$2:O43),$O$2:$O$1001,0),0), INDEX($V$1004:$AE$1004,1,MATCH(COLUMNS($V$1006:W1006),$V$1006:$AE$1006,0)))),"Fix")))</f>
        <v>0</v>
      </c>
      <c r="D43" s="4">
        <f>IF(OR(INDEX($P$2:$P$1001,MATCH(ROWS($O$2:O43),$O$2:$O$1001,0),1)&gt;=100000,INDEX($V$1005:$AE$1005,1,MATCH(COLUMNS($V$1006:X1006),$V$1006:$AE$1006,0))&gt;=100000), " ",IF(INDEX($V$2:$AE$1001,MATCH(ROWS($O$2:O43),$O$2:$O$1001,0),MATCH(COLUMNS($V$1006:X1006),$V$1006:$AE$1006,0)), HYPERLINK("#",""), HYPERLINK(CONCATENATE("#Metadata!", ADDRESS(INDEX($Q$2:$Q$1001,MATCH(ROWS($O$2:O43),$O$2:$O$1001,0),0), INDEX($V$1004:$AE$1004,1,MATCH(COLUMNS($V$1006:X1006),$V$1006:$AE$1006,0)))),"Fix")))</f>
        <v>0</v>
      </c>
      <c r="E43" s="4">
        <f>IF(OR(INDEX($P$2:$P$1001,MATCH(ROWS($O$2:O43),$O$2:$O$1001,0),1)&gt;=100000,INDEX($V$1005:$AE$1005,1,MATCH(COLUMNS($V$1006:Y1006),$V$1006:$AE$1006,0))&gt;=100000), " ",IF(INDEX($V$2:$AE$1001,MATCH(ROWS($O$2:O43),$O$2:$O$1001,0),MATCH(COLUMNS($V$1006:Y1006),$V$1006:$AE$1006,0)), HYPERLINK("#",""), HYPERLINK(CONCATENATE("#Metadata!", ADDRESS(INDEX($Q$2:$Q$1001,MATCH(ROWS($O$2:O43),$O$2:$O$1001,0),0), INDEX($V$1004:$AE$1004,1,MATCH(COLUMNS($V$1006:Y1006),$V$1006:$AE$1006,0)))),"Fix")))</f>
        <v>0</v>
      </c>
      <c r="F43" s="4">
        <f>IF(OR(INDEX($P$2:$P$1001,MATCH(ROWS($O$2:O43),$O$2:$O$1001,0),1)&gt;=100000,INDEX($V$1005:$AE$1005,1,MATCH(COLUMNS($V$1006:Z1006),$V$1006:$AE$1006,0))&gt;=100000), " ",IF(INDEX($V$2:$AE$1001,MATCH(ROWS($O$2:O43),$O$2:$O$1001,0),MATCH(COLUMNS($V$1006:Z1006),$V$1006:$AE$1006,0)), HYPERLINK("#",""), HYPERLINK(CONCATENATE("#Metadata!", ADDRESS(INDEX($Q$2:$Q$1001,MATCH(ROWS($O$2:O43),$O$2:$O$1001,0),0), INDEX($V$1004:$AE$1004,1,MATCH(COLUMNS($V$1006:Z1006),$V$1006:$AE$1006,0)))),"Fix")))</f>
        <v>0</v>
      </c>
      <c r="G43" s="4">
        <f>IF(OR(INDEX($P$2:$P$1001,MATCH(ROWS($O$2:O43),$O$2:$O$1001,0),1)&gt;=100000,INDEX($V$1005:$AE$1005,1,MATCH(COLUMNS($V$1006:AA1006),$V$1006:$AE$1006,0))&gt;=100000), " ",IF(INDEX($V$2:$AE$1001,MATCH(ROWS($O$2:O43),$O$2:$O$1001,0),MATCH(COLUMNS($V$1006:AA1006),$V$1006:$AE$1006,0)), HYPERLINK("#",""), HYPERLINK(CONCATENATE("#Metadata!", ADDRESS(INDEX($Q$2:$Q$1001,MATCH(ROWS($O$2:O43),$O$2:$O$1001,0),0), INDEX($V$1004:$AE$1004,1,MATCH(COLUMNS($V$1006:AA1006),$V$1006:$AE$1006,0)))),"Fix")))</f>
        <v>0</v>
      </c>
      <c r="H43" s="4">
        <f>IF(OR(INDEX($P$2:$P$1001,MATCH(ROWS($O$2:O43),$O$2:$O$1001,0),1)&gt;=100000,INDEX($V$1005:$AE$1005,1,MATCH(COLUMNS($V$1006:AB1006),$V$1006:$AE$1006,0))&gt;=100000), " ",IF(INDEX($V$2:$AE$1001,MATCH(ROWS($O$2:O43),$O$2:$O$1001,0),MATCH(COLUMNS($V$1006:AB1006),$V$1006:$AE$1006,0)), HYPERLINK("#",""), HYPERLINK(CONCATENATE("#Metadata!", ADDRESS(INDEX($Q$2:$Q$1001,MATCH(ROWS($O$2:O43),$O$2:$O$1001,0),0), INDEX($V$1004:$AE$1004,1,MATCH(COLUMNS($V$1006:AB1006),$V$1006:$AE$1006,0)))),"Fix")))</f>
        <v>0</v>
      </c>
      <c r="I43" s="4">
        <f>IF(OR(INDEX($P$2:$P$1001,MATCH(ROWS($O$2:O43),$O$2:$O$1001,0),1)&gt;=100000,INDEX($V$1005:$AE$1005,1,MATCH(COLUMNS($V$1006:AC1006),$V$1006:$AE$1006,0))&gt;=100000), " ",IF(INDEX($V$2:$AE$1001,MATCH(ROWS($O$2:O43),$O$2:$O$1001,0),MATCH(COLUMNS($V$1006:AC1006),$V$1006:$AE$1006,0)), HYPERLINK("#",""), HYPERLINK(CONCATENATE("#Metadata!", ADDRESS(INDEX($Q$2:$Q$1001,MATCH(ROWS($O$2:O43),$O$2:$O$1001,0),0), INDEX($V$1004:$AE$1004,1,MATCH(COLUMNS($V$1006:AC1006),$V$1006:$AE$1006,0)))),"Fix")))</f>
        <v>0</v>
      </c>
      <c r="J43" s="4">
        <f>IF(OR(INDEX($P$2:$P$1001,MATCH(ROWS($O$2:O43),$O$2:$O$1001,0),1)&gt;=100000,INDEX($V$1005:$AE$1005,1,MATCH(COLUMNS($V$1006:AD1006),$V$1006:$AE$1006,0))&gt;=100000), " ",IF(INDEX($V$2:$AE$1001,MATCH(ROWS($O$2:O43),$O$2:$O$1001,0),MATCH(COLUMNS($V$1006:AD1006),$V$1006:$AE$1006,0)), HYPERLINK("#",""), HYPERLINK(CONCATENATE("#Metadata!", ADDRESS(INDEX($Q$2:$Q$1001,MATCH(ROWS($O$2:O43),$O$2:$O$1001,0),0), INDEX($V$1004:$AE$1004,1,MATCH(COLUMNS($V$1006:AD1006),$V$1006:$AE$1006,0)))),"Fix")))</f>
        <v>0</v>
      </c>
      <c r="K43" s="4">
        <f>IF(OR(INDEX($P$2:$P$1001,MATCH(ROWS($O$2:O43),$O$2:$O$1001,0),1)&gt;=100000,INDEX($V$1005:$AE$1005,1,MATCH(COLUMNS($V$1006:AE1006),$V$1006:$AE$1006,0))&gt;=100000), " ",IF(INDEX($V$2:$AE$1001,MATCH(ROWS($O$2:O43),$O$2:$O$1001,0),MATCH(COLUMNS($V$1006:AE1006),$V$1006:$AE$1006,0)), HYPERLINK("#",""), HYPERLINK(CONCATENATE("#Metadata!", ADDRESS(INDEX($Q$2:$Q$1001,MATCH(ROWS($O$2:O43),$O$2:$O$1001,0),0), INDEX($V$1004:$AE$1004,1,MATCH(COLUMNS($V$1006:AE1006),$V$1006:$AE$1006,0)))),"Fix")))</f>
        <v>0</v>
      </c>
      <c r="O43">
        <v>0</v>
      </c>
      <c r="P43">
        <v>0</v>
      </c>
      <c r="Q43">
        <v>0</v>
      </c>
      <c r="R43">
        <f>IF(S43,TRUE,AND(V43:AE43))</f>
        <v>0</v>
      </c>
      <c r="S43">
        <f>COUNTBLANK(Metadata!B43:K43)=COLUMNS(Metadata!B43:K43)</f>
        <v>0</v>
      </c>
      <c r="T43">
        <v>0</v>
      </c>
      <c r="V43">
        <f>AND(IF(Metadata!B43="",FALSE,TRUE),COUNTIF(Metadata!B:B, Metadata!B43) = 1,NOT(ISERROR(SUMPRODUCT(SEARCH(MID(Metadata!B43,ROW(INDIRECT("1:"&amp;LEN(Metadata!B43))), 1),"0123456789abcdefghijklmnopqrstuvwxyzABCDEFGHIJKLMNOPQRSTUVWXYZ.")))))</f>
        <v>0</v>
      </c>
      <c r="W43">
        <f>AND(IF(Metadata!C43="",FALSE,TRUE),exact(Metadata!C43,"urban biome"))</f>
        <v>0</v>
      </c>
      <c r="X43">
        <f>AND(IF(Metadata!D43="",FALSE,TRUE),exact(Metadata!D43,"animal-associated habitat"))</f>
        <v>0</v>
      </c>
      <c r="Y43">
        <f>OR(AND(IF(Metadata!E43="",FALSE,TRUE),OR(exact(Metadata!E43,"not applicable"),exact(Metadata!E43,"missing: not collected"),exact(Metadata!E43,"missing: not provided"),exact(Metadata!E43,"missing: restricted access"))),AND(IF(Metadata!E43="",FALSE,ISNUMBER(VALUE(Metadata!E43))),Metadata!E43&gt;0))</f>
        <v>0</v>
      </c>
      <c r="Z43">
        <f>AND(IF(Metadata!F43="",FALSE,TRUE),exact(Metadata!F43,"weeks"))</f>
        <v>0</v>
      </c>
      <c r="AA43">
        <f>AND(IF(Metadata!G43="",FALSE,TRUE),exact(Metadata!G43,"mouse"))</f>
        <v>0</v>
      </c>
      <c r="AB43">
        <f>AND(IF(Metadata!H43="",FALSE,TRUE),exact(Metadata!H43,"Mus musculus"))</f>
        <v>0</v>
      </c>
      <c r="AC43">
        <f>AND(IF(Metadata!I43="",FALSE,TRUE),exact(Metadata!I43,"10090"))</f>
        <v>0</v>
      </c>
      <c r="AD43">
        <f>OR(AND(IF(Metadata!J43="",FALSE,TRUE),OR(exact(Metadata!J43,"not applicable"),exact(Metadata!J43,"missing: not collected"),exact(Metadata!J43,"missing: not provided"),exact(Metadata!J43,"missing: restricted access"))),AND(IF(Metadata!J43="",FALSE,ISNUMBER(VALUE(Metadata!J43))),Metadata!J43&gt;0))</f>
        <v>0</v>
      </c>
      <c r="AE43">
        <f>AND(IF(Metadata!K43="",FALSE,TRUE),exact(Metadata!K43,"g"))</f>
        <v>0</v>
      </c>
    </row>
    <row r="44" spans="1:31">
      <c r="A44" s="5">
        <f>IF(B44=" "," ",HYPERLINK(CONCATENATE("#metadata!",ADDRESS(INDEX($Q$2:$Q$1001,MATCH(ROWS($O$2:O44),$O$2:$O$1001,0),0),1)),INDEX($T$2:$T$1001,MATCH(ROWS($O$2:O44),$O$2:$O$1001,0),0)))</f>
        <v>0</v>
      </c>
      <c r="B44" s="4">
        <f>IF(OR(INDEX($P$2:$P$1001,MATCH(ROWS($O$2:O44),$O$2:$O$1001,0),1)&gt;=100000,INDEX($V$1005:$AE$1005,1,MATCH(COLUMNS($V$1006:V1006),$V$1006:$AE$1006,0))&gt;=100000), " ",IF(INDEX($V$2:$AE$1001,MATCH(ROWS($O$2:O44),$O$2:$O$1001,0),MATCH(COLUMNS($V$1006:V1006),$V$1006:$AE$1006,0)), HYPERLINK("#",""), HYPERLINK(CONCATENATE("#Metadata!", ADDRESS(INDEX($Q$2:$Q$1001,MATCH(ROWS($O$2:O44),$O$2:$O$1001,0),0), INDEX($V$1004:$AE$1004,1,MATCH(COLUMNS($V$1006:V1006),$V$1006:$AE$1006,0)))),"Fix")))</f>
        <v>0</v>
      </c>
      <c r="C44" s="4">
        <f>IF(OR(INDEX($P$2:$P$1001,MATCH(ROWS($O$2:O44),$O$2:$O$1001,0),1)&gt;=100000,INDEX($V$1005:$AE$1005,1,MATCH(COLUMNS($V$1006:W1006),$V$1006:$AE$1006,0))&gt;=100000), " ",IF(INDEX($V$2:$AE$1001,MATCH(ROWS($O$2:O44),$O$2:$O$1001,0),MATCH(COLUMNS($V$1006:W1006),$V$1006:$AE$1006,0)), HYPERLINK("#",""), HYPERLINK(CONCATENATE("#Metadata!", ADDRESS(INDEX($Q$2:$Q$1001,MATCH(ROWS($O$2:O44),$O$2:$O$1001,0),0), INDEX($V$1004:$AE$1004,1,MATCH(COLUMNS($V$1006:W1006),$V$1006:$AE$1006,0)))),"Fix")))</f>
        <v>0</v>
      </c>
      <c r="D44" s="4">
        <f>IF(OR(INDEX($P$2:$P$1001,MATCH(ROWS($O$2:O44),$O$2:$O$1001,0),1)&gt;=100000,INDEX($V$1005:$AE$1005,1,MATCH(COLUMNS($V$1006:X1006),$V$1006:$AE$1006,0))&gt;=100000), " ",IF(INDEX($V$2:$AE$1001,MATCH(ROWS($O$2:O44),$O$2:$O$1001,0),MATCH(COLUMNS($V$1006:X1006),$V$1006:$AE$1006,0)), HYPERLINK("#",""), HYPERLINK(CONCATENATE("#Metadata!", ADDRESS(INDEX($Q$2:$Q$1001,MATCH(ROWS($O$2:O44),$O$2:$O$1001,0),0), INDEX($V$1004:$AE$1004,1,MATCH(COLUMNS($V$1006:X1006),$V$1006:$AE$1006,0)))),"Fix")))</f>
        <v>0</v>
      </c>
      <c r="E44" s="4">
        <f>IF(OR(INDEX($P$2:$P$1001,MATCH(ROWS($O$2:O44),$O$2:$O$1001,0),1)&gt;=100000,INDEX($V$1005:$AE$1005,1,MATCH(COLUMNS($V$1006:Y1006),$V$1006:$AE$1006,0))&gt;=100000), " ",IF(INDEX($V$2:$AE$1001,MATCH(ROWS($O$2:O44),$O$2:$O$1001,0),MATCH(COLUMNS($V$1006:Y1006),$V$1006:$AE$1006,0)), HYPERLINK("#",""), HYPERLINK(CONCATENATE("#Metadata!", ADDRESS(INDEX($Q$2:$Q$1001,MATCH(ROWS($O$2:O44),$O$2:$O$1001,0),0), INDEX($V$1004:$AE$1004,1,MATCH(COLUMNS($V$1006:Y1006),$V$1006:$AE$1006,0)))),"Fix")))</f>
        <v>0</v>
      </c>
      <c r="F44" s="4">
        <f>IF(OR(INDEX($P$2:$P$1001,MATCH(ROWS($O$2:O44),$O$2:$O$1001,0),1)&gt;=100000,INDEX($V$1005:$AE$1005,1,MATCH(COLUMNS($V$1006:Z1006),$V$1006:$AE$1006,0))&gt;=100000), " ",IF(INDEX($V$2:$AE$1001,MATCH(ROWS($O$2:O44),$O$2:$O$1001,0),MATCH(COLUMNS($V$1006:Z1006),$V$1006:$AE$1006,0)), HYPERLINK("#",""), HYPERLINK(CONCATENATE("#Metadata!", ADDRESS(INDEX($Q$2:$Q$1001,MATCH(ROWS($O$2:O44),$O$2:$O$1001,0),0), INDEX($V$1004:$AE$1004,1,MATCH(COLUMNS($V$1006:Z1006),$V$1006:$AE$1006,0)))),"Fix")))</f>
        <v>0</v>
      </c>
      <c r="G44" s="4">
        <f>IF(OR(INDEX($P$2:$P$1001,MATCH(ROWS($O$2:O44),$O$2:$O$1001,0),1)&gt;=100000,INDEX($V$1005:$AE$1005,1,MATCH(COLUMNS($V$1006:AA1006),$V$1006:$AE$1006,0))&gt;=100000), " ",IF(INDEX($V$2:$AE$1001,MATCH(ROWS($O$2:O44),$O$2:$O$1001,0),MATCH(COLUMNS($V$1006:AA1006),$V$1006:$AE$1006,0)), HYPERLINK("#",""), HYPERLINK(CONCATENATE("#Metadata!", ADDRESS(INDEX($Q$2:$Q$1001,MATCH(ROWS($O$2:O44),$O$2:$O$1001,0),0), INDEX($V$1004:$AE$1004,1,MATCH(COLUMNS($V$1006:AA1006),$V$1006:$AE$1006,0)))),"Fix")))</f>
        <v>0</v>
      </c>
      <c r="H44" s="4">
        <f>IF(OR(INDEX($P$2:$P$1001,MATCH(ROWS($O$2:O44),$O$2:$O$1001,0),1)&gt;=100000,INDEX($V$1005:$AE$1005,1,MATCH(COLUMNS($V$1006:AB1006),$V$1006:$AE$1006,0))&gt;=100000), " ",IF(INDEX($V$2:$AE$1001,MATCH(ROWS($O$2:O44),$O$2:$O$1001,0),MATCH(COLUMNS($V$1006:AB1006),$V$1006:$AE$1006,0)), HYPERLINK("#",""), HYPERLINK(CONCATENATE("#Metadata!", ADDRESS(INDEX($Q$2:$Q$1001,MATCH(ROWS($O$2:O44),$O$2:$O$1001,0),0), INDEX($V$1004:$AE$1004,1,MATCH(COLUMNS($V$1006:AB1006),$V$1006:$AE$1006,0)))),"Fix")))</f>
        <v>0</v>
      </c>
      <c r="I44" s="4">
        <f>IF(OR(INDEX($P$2:$P$1001,MATCH(ROWS($O$2:O44),$O$2:$O$1001,0),1)&gt;=100000,INDEX($V$1005:$AE$1005,1,MATCH(COLUMNS($V$1006:AC1006),$V$1006:$AE$1006,0))&gt;=100000), " ",IF(INDEX($V$2:$AE$1001,MATCH(ROWS($O$2:O44),$O$2:$O$1001,0),MATCH(COLUMNS($V$1006:AC1006),$V$1006:$AE$1006,0)), HYPERLINK("#",""), HYPERLINK(CONCATENATE("#Metadata!", ADDRESS(INDEX($Q$2:$Q$1001,MATCH(ROWS($O$2:O44),$O$2:$O$1001,0),0), INDEX($V$1004:$AE$1004,1,MATCH(COLUMNS($V$1006:AC1006),$V$1006:$AE$1006,0)))),"Fix")))</f>
        <v>0</v>
      </c>
      <c r="J44" s="4">
        <f>IF(OR(INDEX($P$2:$P$1001,MATCH(ROWS($O$2:O44),$O$2:$O$1001,0),1)&gt;=100000,INDEX($V$1005:$AE$1005,1,MATCH(COLUMNS($V$1006:AD1006),$V$1006:$AE$1006,0))&gt;=100000), " ",IF(INDEX($V$2:$AE$1001,MATCH(ROWS($O$2:O44),$O$2:$O$1001,0),MATCH(COLUMNS($V$1006:AD1006),$V$1006:$AE$1006,0)), HYPERLINK("#",""), HYPERLINK(CONCATENATE("#Metadata!", ADDRESS(INDEX($Q$2:$Q$1001,MATCH(ROWS($O$2:O44),$O$2:$O$1001,0),0), INDEX($V$1004:$AE$1004,1,MATCH(COLUMNS($V$1006:AD1006),$V$1006:$AE$1006,0)))),"Fix")))</f>
        <v>0</v>
      </c>
      <c r="K44" s="4">
        <f>IF(OR(INDEX($P$2:$P$1001,MATCH(ROWS($O$2:O44),$O$2:$O$1001,0),1)&gt;=100000,INDEX($V$1005:$AE$1005,1,MATCH(COLUMNS($V$1006:AE1006),$V$1006:$AE$1006,0))&gt;=100000), " ",IF(INDEX($V$2:$AE$1001,MATCH(ROWS($O$2:O44),$O$2:$O$1001,0),MATCH(COLUMNS($V$1006:AE1006),$V$1006:$AE$1006,0)), HYPERLINK("#",""), HYPERLINK(CONCATENATE("#Metadata!", ADDRESS(INDEX($Q$2:$Q$1001,MATCH(ROWS($O$2:O44),$O$2:$O$1001,0),0), INDEX($V$1004:$AE$1004,1,MATCH(COLUMNS($V$1006:AE1006),$V$1006:$AE$1006,0)))),"Fix")))</f>
        <v>0</v>
      </c>
      <c r="O44">
        <v>0</v>
      </c>
      <c r="P44">
        <v>0</v>
      </c>
      <c r="Q44">
        <v>0</v>
      </c>
      <c r="R44">
        <f>IF(S44,TRUE,AND(V44:AE44))</f>
        <v>0</v>
      </c>
      <c r="S44">
        <f>COUNTBLANK(Metadata!B44:K44)=COLUMNS(Metadata!B44:K44)</f>
        <v>0</v>
      </c>
      <c r="T44">
        <v>0</v>
      </c>
      <c r="V44">
        <f>AND(IF(Metadata!B44="",FALSE,TRUE),COUNTIF(Metadata!B:B, Metadata!B44) = 1,NOT(ISERROR(SUMPRODUCT(SEARCH(MID(Metadata!B44,ROW(INDIRECT("1:"&amp;LEN(Metadata!B44))), 1),"0123456789abcdefghijklmnopqrstuvwxyzABCDEFGHIJKLMNOPQRSTUVWXYZ.")))))</f>
        <v>0</v>
      </c>
      <c r="W44">
        <f>AND(IF(Metadata!C44="",FALSE,TRUE),exact(Metadata!C44,"urban biome"))</f>
        <v>0</v>
      </c>
      <c r="X44">
        <f>AND(IF(Metadata!D44="",FALSE,TRUE),exact(Metadata!D44,"animal-associated habitat"))</f>
        <v>0</v>
      </c>
      <c r="Y44">
        <f>OR(AND(IF(Metadata!E44="",FALSE,TRUE),OR(exact(Metadata!E44,"not applicable"),exact(Metadata!E44,"missing: not collected"),exact(Metadata!E44,"missing: not provided"),exact(Metadata!E44,"missing: restricted access"))),AND(IF(Metadata!E44="",FALSE,ISNUMBER(VALUE(Metadata!E44))),Metadata!E44&gt;0))</f>
        <v>0</v>
      </c>
      <c r="Z44">
        <f>AND(IF(Metadata!F44="",FALSE,TRUE),exact(Metadata!F44,"weeks"))</f>
        <v>0</v>
      </c>
      <c r="AA44">
        <f>AND(IF(Metadata!G44="",FALSE,TRUE),exact(Metadata!G44,"mouse"))</f>
        <v>0</v>
      </c>
      <c r="AB44">
        <f>AND(IF(Metadata!H44="",FALSE,TRUE),exact(Metadata!H44,"Mus musculus"))</f>
        <v>0</v>
      </c>
      <c r="AC44">
        <f>AND(IF(Metadata!I44="",FALSE,TRUE),exact(Metadata!I44,"10090"))</f>
        <v>0</v>
      </c>
      <c r="AD44">
        <f>OR(AND(IF(Metadata!J44="",FALSE,TRUE),OR(exact(Metadata!J44,"not applicable"),exact(Metadata!J44,"missing: not collected"),exact(Metadata!J44,"missing: not provided"),exact(Metadata!J44,"missing: restricted access"))),AND(IF(Metadata!J44="",FALSE,ISNUMBER(VALUE(Metadata!J44))),Metadata!J44&gt;0))</f>
        <v>0</v>
      </c>
      <c r="AE44">
        <f>AND(IF(Metadata!K44="",FALSE,TRUE),exact(Metadata!K44,"g"))</f>
        <v>0</v>
      </c>
    </row>
    <row r="45" spans="1:31">
      <c r="A45" s="5">
        <f>IF(B45=" "," ",HYPERLINK(CONCATENATE("#metadata!",ADDRESS(INDEX($Q$2:$Q$1001,MATCH(ROWS($O$2:O45),$O$2:$O$1001,0),0),1)),INDEX($T$2:$T$1001,MATCH(ROWS($O$2:O45),$O$2:$O$1001,0),0)))</f>
        <v>0</v>
      </c>
      <c r="B45" s="4">
        <f>IF(OR(INDEX($P$2:$P$1001,MATCH(ROWS($O$2:O45),$O$2:$O$1001,0),1)&gt;=100000,INDEX($V$1005:$AE$1005,1,MATCH(COLUMNS($V$1006:V1006),$V$1006:$AE$1006,0))&gt;=100000), " ",IF(INDEX($V$2:$AE$1001,MATCH(ROWS($O$2:O45),$O$2:$O$1001,0),MATCH(COLUMNS($V$1006:V1006),$V$1006:$AE$1006,0)), HYPERLINK("#",""), HYPERLINK(CONCATENATE("#Metadata!", ADDRESS(INDEX($Q$2:$Q$1001,MATCH(ROWS($O$2:O45),$O$2:$O$1001,0),0), INDEX($V$1004:$AE$1004,1,MATCH(COLUMNS($V$1006:V1006),$V$1006:$AE$1006,0)))),"Fix")))</f>
        <v>0</v>
      </c>
      <c r="C45" s="4">
        <f>IF(OR(INDEX($P$2:$P$1001,MATCH(ROWS($O$2:O45),$O$2:$O$1001,0),1)&gt;=100000,INDEX($V$1005:$AE$1005,1,MATCH(COLUMNS($V$1006:W1006),$V$1006:$AE$1006,0))&gt;=100000), " ",IF(INDEX($V$2:$AE$1001,MATCH(ROWS($O$2:O45),$O$2:$O$1001,0),MATCH(COLUMNS($V$1006:W1006),$V$1006:$AE$1006,0)), HYPERLINK("#",""), HYPERLINK(CONCATENATE("#Metadata!", ADDRESS(INDEX($Q$2:$Q$1001,MATCH(ROWS($O$2:O45),$O$2:$O$1001,0),0), INDEX($V$1004:$AE$1004,1,MATCH(COLUMNS($V$1006:W1006),$V$1006:$AE$1006,0)))),"Fix")))</f>
        <v>0</v>
      </c>
      <c r="D45" s="4">
        <f>IF(OR(INDEX($P$2:$P$1001,MATCH(ROWS($O$2:O45),$O$2:$O$1001,0),1)&gt;=100000,INDEX($V$1005:$AE$1005,1,MATCH(COLUMNS($V$1006:X1006),$V$1006:$AE$1006,0))&gt;=100000), " ",IF(INDEX($V$2:$AE$1001,MATCH(ROWS($O$2:O45),$O$2:$O$1001,0),MATCH(COLUMNS($V$1006:X1006),$V$1006:$AE$1006,0)), HYPERLINK("#",""), HYPERLINK(CONCATENATE("#Metadata!", ADDRESS(INDEX($Q$2:$Q$1001,MATCH(ROWS($O$2:O45),$O$2:$O$1001,0),0), INDEX($V$1004:$AE$1004,1,MATCH(COLUMNS($V$1006:X1006),$V$1006:$AE$1006,0)))),"Fix")))</f>
        <v>0</v>
      </c>
      <c r="E45" s="4">
        <f>IF(OR(INDEX($P$2:$P$1001,MATCH(ROWS($O$2:O45),$O$2:$O$1001,0),1)&gt;=100000,INDEX($V$1005:$AE$1005,1,MATCH(COLUMNS($V$1006:Y1006),$V$1006:$AE$1006,0))&gt;=100000), " ",IF(INDEX($V$2:$AE$1001,MATCH(ROWS($O$2:O45),$O$2:$O$1001,0),MATCH(COLUMNS($V$1006:Y1006),$V$1006:$AE$1006,0)), HYPERLINK("#",""), HYPERLINK(CONCATENATE("#Metadata!", ADDRESS(INDEX($Q$2:$Q$1001,MATCH(ROWS($O$2:O45),$O$2:$O$1001,0),0), INDEX($V$1004:$AE$1004,1,MATCH(COLUMNS($V$1006:Y1006),$V$1006:$AE$1006,0)))),"Fix")))</f>
        <v>0</v>
      </c>
      <c r="F45" s="4">
        <f>IF(OR(INDEX($P$2:$P$1001,MATCH(ROWS($O$2:O45),$O$2:$O$1001,0),1)&gt;=100000,INDEX($V$1005:$AE$1005,1,MATCH(COLUMNS($V$1006:Z1006),$V$1006:$AE$1006,0))&gt;=100000), " ",IF(INDEX($V$2:$AE$1001,MATCH(ROWS($O$2:O45),$O$2:$O$1001,0),MATCH(COLUMNS($V$1006:Z1006),$V$1006:$AE$1006,0)), HYPERLINK("#",""), HYPERLINK(CONCATENATE("#Metadata!", ADDRESS(INDEX($Q$2:$Q$1001,MATCH(ROWS($O$2:O45),$O$2:$O$1001,0),0), INDEX($V$1004:$AE$1004,1,MATCH(COLUMNS($V$1006:Z1006),$V$1006:$AE$1006,0)))),"Fix")))</f>
        <v>0</v>
      </c>
      <c r="G45" s="4">
        <f>IF(OR(INDEX($P$2:$P$1001,MATCH(ROWS($O$2:O45),$O$2:$O$1001,0),1)&gt;=100000,INDEX($V$1005:$AE$1005,1,MATCH(COLUMNS($V$1006:AA1006),$V$1006:$AE$1006,0))&gt;=100000), " ",IF(INDEX($V$2:$AE$1001,MATCH(ROWS($O$2:O45),$O$2:$O$1001,0),MATCH(COLUMNS($V$1006:AA1006),$V$1006:$AE$1006,0)), HYPERLINK("#",""), HYPERLINK(CONCATENATE("#Metadata!", ADDRESS(INDEX($Q$2:$Q$1001,MATCH(ROWS($O$2:O45),$O$2:$O$1001,0),0), INDEX($V$1004:$AE$1004,1,MATCH(COLUMNS($V$1006:AA1006),$V$1006:$AE$1006,0)))),"Fix")))</f>
        <v>0</v>
      </c>
      <c r="H45" s="4">
        <f>IF(OR(INDEX($P$2:$P$1001,MATCH(ROWS($O$2:O45),$O$2:$O$1001,0),1)&gt;=100000,INDEX($V$1005:$AE$1005,1,MATCH(COLUMNS($V$1006:AB1006),$V$1006:$AE$1006,0))&gt;=100000), " ",IF(INDEX($V$2:$AE$1001,MATCH(ROWS($O$2:O45),$O$2:$O$1001,0),MATCH(COLUMNS($V$1006:AB1006),$V$1006:$AE$1006,0)), HYPERLINK("#",""), HYPERLINK(CONCATENATE("#Metadata!", ADDRESS(INDEX($Q$2:$Q$1001,MATCH(ROWS($O$2:O45),$O$2:$O$1001,0),0), INDEX($V$1004:$AE$1004,1,MATCH(COLUMNS($V$1006:AB1006),$V$1006:$AE$1006,0)))),"Fix")))</f>
        <v>0</v>
      </c>
      <c r="I45" s="4">
        <f>IF(OR(INDEX($P$2:$P$1001,MATCH(ROWS($O$2:O45),$O$2:$O$1001,0),1)&gt;=100000,INDEX($V$1005:$AE$1005,1,MATCH(COLUMNS($V$1006:AC1006),$V$1006:$AE$1006,0))&gt;=100000), " ",IF(INDEX($V$2:$AE$1001,MATCH(ROWS($O$2:O45),$O$2:$O$1001,0),MATCH(COLUMNS($V$1006:AC1006),$V$1006:$AE$1006,0)), HYPERLINK("#",""), HYPERLINK(CONCATENATE("#Metadata!", ADDRESS(INDEX($Q$2:$Q$1001,MATCH(ROWS($O$2:O45),$O$2:$O$1001,0),0), INDEX($V$1004:$AE$1004,1,MATCH(COLUMNS($V$1006:AC1006),$V$1006:$AE$1006,0)))),"Fix")))</f>
        <v>0</v>
      </c>
      <c r="J45" s="4">
        <f>IF(OR(INDEX($P$2:$P$1001,MATCH(ROWS($O$2:O45),$O$2:$O$1001,0),1)&gt;=100000,INDEX($V$1005:$AE$1005,1,MATCH(COLUMNS($V$1006:AD1006),$V$1006:$AE$1006,0))&gt;=100000), " ",IF(INDEX($V$2:$AE$1001,MATCH(ROWS($O$2:O45),$O$2:$O$1001,0),MATCH(COLUMNS($V$1006:AD1006),$V$1006:$AE$1006,0)), HYPERLINK("#",""), HYPERLINK(CONCATENATE("#Metadata!", ADDRESS(INDEX($Q$2:$Q$1001,MATCH(ROWS($O$2:O45),$O$2:$O$1001,0),0), INDEX($V$1004:$AE$1004,1,MATCH(COLUMNS($V$1006:AD1006),$V$1006:$AE$1006,0)))),"Fix")))</f>
        <v>0</v>
      </c>
      <c r="K45" s="4">
        <f>IF(OR(INDEX($P$2:$P$1001,MATCH(ROWS($O$2:O45),$O$2:$O$1001,0),1)&gt;=100000,INDEX($V$1005:$AE$1005,1,MATCH(COLUMNS($V$1006:AE1006),$V$1006:$AE$1006,0))&gt;=100000), " ",IF(INDEX($V$2:$AE$1001,MATCH(ROWS($O$2:O45),$O$2:$O$1001,0),MATCH(COLUMNS($V$1006:AE1006),$V$1006:$AE$1006,0)), HYPERLINK("#",""), HYPERLINK(CONCATENATE("#Metadata!", ADDRESS(INDEX($Q$2:$Q$1001,MATCH(ROWS($O$2:O45),$O$2:$O$1001,0),0), INDEX($V$1004:$AE$1004,1,MATCH(COLUMNS($V$1006:AE1006),$V$1006:$AE$1006,0)))),"Fix")))</f>
        <v>0</v>
      </c>
      <c r="O45">
        <v>0</v>
      </c>
      <c r="P45">
        <v>0</v>
      </c>
      <c r="Q45">
        <v>0</v>
      </c>
      <c r="R45">
        <f>IF(S45,TRUE,AND(V45:AE45))</f>
        <v>0</v>
      </c>
      <c r="S45">
        <f>COUNTBLANK(Metadata!B45:K45)=COLUMNS(Metadata!B45:K45)</f>
        <v>0</v>
      </c>
      <c r="T45">
        <v>0</v>
      </c>
      <c r="V45">
        <f>AND(IF(Metadata!B45="",FALSE,TRUE),COUNTIF(Metadata!B:B, Metadata!B45) = 1,NOT(ISERROR(SUMPRODUCT(SEARCH(MID(Metadata!B45,ROW(INDIRECT("1:"&amp;LEN(Metadata!B45))), 1),"0123456789abcdefghijklmnopqrstuvwxyzABCDEFGHIJKLMNOPQRSTUVWXYZ.")))))</f>
        <v>0</v>
      </c>
      <c r="W45">
        <f>AND(IF(Metadata!C45="",FALSE,TRUE),exact(Metadata!C45,"urban biome"))</f>
        <v>0</v>
      </c>
      <c r="X45">
        <f>AND(IF(Metadata!D45="",FALSE,TRUE),exact(Metadata!D45,"animal-associated habitat"))</f>
        <v>0</v>
      </c>
      <c r="Y45">
        <f>OR(AND(IF(Metadata!E45="",FALSE,TRUE),OR(exact(Metadata!E45,"not applicable"),exact(Metadata!E45,"missing: not collected"),exact(Metadata!E45,"missing: not provided"),exact(Metadata!E45,"missing: restricted access"))),AND(IF(Metadata!E45="",FALSE,ISNUMBER(VALUE(Metadata!E45))),Metadata!E45&gt;0))</f>
        <v>0</v>
      </c>
      <c r="Z45">
        <f>AND(IF(Metadata!F45="",FALSE,TRUE),exact(Metadata!F45,"weeks"))</f>
        <v>0</v>
      </c>
      <c r="AA45">
        <f>AND(IF(Metadata!G45="",FALSE,TRUE),exact(Metadata!G45,"mouse"))</f>
        <v>0</v>
      </c>
      <c r="AB45">
        <f>AND(IF(Metadata!H45="",FALSE,TRUE),exact(Metadata!H45,"Mus musculus"))</f>
        <v>0</v>
      </c>
      <c r="AC45">
        <f>AND(IF(Metadata!I45="",FALSE,TRUE),exact(Metadata!I45,"10090"))</f>
        <v>0</v>
      </c>
      <c r="AD45">
        <f>OR(AND(IF(Metadata!J45="",FALSE,TRUE),OR(exact(Metadata!J45,"not applicable"),exact(Metadata!J45,"missing: not collected"),exact(Metadata!J45,"missing: not provided"),exact(Metadata!J45,"missing: restricted access"))),AND(IF(Metadata!J45="",FALSE,ISNUMBER(VALUE(Metadata!J45))),Metadata!J45&gt;0))</f>
        <v>0</v>
      </c>
      <c r="AE45">
        <f>AND(IF(Metadata!K45="",FALSE,TRUE),exact(Metadata!K45,"g"))</f>
        <v>0</v>
      </c>
    </row>
    <row r="46" spans="1:31">
      <c r="A46" s="5">
        <f>IF(B46=" "," ",HYPERLINK(CONCATENATE("#metadata!",ADDRESS(INDEX($Q$2:$Q$1001,MATCH(ROWS($O$2:O46),$O$2:$O$1001,0),0),1)),INDEX($T$2:$T$1001,MATCH(ROWS($O$2:O46),$O$2:$O$1001,0),0)))</f>
        <v>0</v>
      </c>
      <c r="B46" s="4">
        <f>IF(OR(INDEX($P$2:$P$1001,MATCH(ROWS($O$2:O46),$O$2:$O$1001,0),1)&gt;=100000,INDEX($V$1005:$AE$1005,1,MATCH(COLUMNS($V$1006:V1006),$V$1006:$AE$1006,0))&gt;=100000), " ",IF(INDEX($V$2:$AE$1001,MATCH(ROWS($O$2:O46),$O$2:$O$1001,0),MATCH(COLUMNS($V$1006:V1006),$V$1006:$AE$1006,0)), HYPERLINK("#",""), HYPERLINK(CONCATENATE("#Metadata!", ADDRESS(INDEX($Q$2:$Q$1001,MATCH(ROWS($O$2:O46),$O$2:$O$1001,0),0), INDEX($V$1004:$AE$1004,1,MATCH(COLUMNS($V$1006:V1006),$V$1006:$AE$1006,0)))),"Fix")))</f>
        <v>0</v>
      </c>
      <c r="C46" s="4">
        <f>IF(OR(INDEX($P$2:$P$1001,MATCH(ROWS($O$2:O46),$O$2:$O$1001,0),1)&gt;=100000,INDEX($V$1005:$AE$1005,1,MATCH(COLUMNS($V$1006:W1006),$V$1006:$AE$1006,0))&gt;=100000), " ",IF(INDEX($V$2:$AE$1001,MATCH(ROWS($O$2:O46),$O$2:$O$1001,0),MATCH(COLUMNS($V$1006:W1006),$V$1006:$AE$1006,0)), HYPERLINK("#",""), HYPERLINK(CONCATENATE("#Metadata!", ADDRESS(INDEX($Q$2:$Q$1001,MATCH(ROWS($O$2:O46),$O$2:$O$1001,0),0), INDEX($V$1004:$AE$1004,1,MATCH(COLUMNS($V$1006:W1006),$V$1006:$AE$1006,0)))),"Fix")))</f>
        <v>0</v>
      </c>
      <c r="D46" s="4">
        <f>IF(OR(INDEX($P$2:$P$1001,MATCH(ROWS($O$2:O46),$O$2:$O$1001,0),1)&gt;=100000,INDEX($V$1005:$AE$1005,1,MATCH(COLUMNS($V$1006:X1006),$V$1006:$AE$1006,0))&gt;=100000), " ",IF(INDEX($V$2:$AE$1001,MATCH(ROWS($O$2:O46),$O$2:$O$1001,0),MATCH(COLUMNS($V$1006:X1006),$V$1006:$AE$1006,0)), HYPERLINK("#",""), HYPERLINK(CONCATENATE("#Metadata!", ADDRESS(INDEX($Q$2:$Q$1001,MATCH(ROWS($O$2:O46),$O$2:$O$1001,0),0), INDEX($V$1004:$AE$1004,1,MATCH(COLUMNS($V$1006:X1006),$V$1006:$AE$1006,0)))),"Fix")))</f>
        <v>0</v>
      </c>
      <c r="E46" s="4">
        <f>IF(OR(INDEX($P$2:$P$1001,MATCH(ROWS($O$2:O46),$O$2:$O$1001,0),1)&gt;=100000,INDEX($V$1005:$AE$1005,1,MATCH(COLUMNS($V$1006:Y1006),$V$1006:$AE$1006,0))&gt;=100000), " ",IF(INDEX($V$2:$AE$1001,MATCH(ROWS($O$2:O46),$O$2:$O$1001,0),MATCH(COLUMNS($V$1006:Y1006),$V$1006:$AE$1006,0)), HYPERLINK("#",""), HYPERLINK(CONCATENATE("#Metadata!", ADDRESS(INDEX($Q$2:$Q$1001,MATCH(ROWS($O$2:O46),$O$2:$O$1001,0),0), INDEX($V$1004:$AE$1004,1,MATCH(COLUMNS($V$1006:Y1006),$V$1006:$AE$1006,0)))),"Fix")))</f>
        <v>0</v>
      </c>
      <c r="F46" s="4">
        <f>IF(OR(INDEX($P$2:$P$1001,MATCH(ROWS($O$2:O46),$O$2:$O$1001,0),1)&gt;=100000,INDEX($V$1005:$AE$1005,1,MATCH(COLUMNS($V$1006:Z1006),$V$1006:$AE$1006,0))&gt;=100000), " ",IF(INDEX($V$2:$AE$1001,MATCH(ROWS($O$2:O46),$O$2:$O$1001,0),MATCH(COLUMNS($V$1006:Z1006),$V$1006:$AE$1006,0)), HYPERLINK("#",""), HYPERLINK(CONCATENATE("#Metadata!", ADDRESS(INDEX($Q$2:$Q$1001,MATCH(ROWS($O$2:O46),$O$2:$O$1001,0),0), INDEX($V$1004:$AE$1004,1,MATCH(COLUMNS($V$1006:Z1006),$V$1006:$AE$1006,0)))),"Fix")))</f>
        <v>0</v>
      </c>
      <c r="G46" s="4">
        <f>IF(OR(INDEX($P$2:$P$1001,MATCH(ROWS($O$2:O46),$O$2:$O$1001,0),1)&gt;=100000,INDEX($V$1005:$AE$1005,1,MATCH(COLUMNS($V$1006:AA1006),$V$1006:$AE$1006,0))&gt;=100000), " ",IF(INDEX($V$2:$AE$1001,MATCH(ROWS($O$2:O46),$O$2:$O$1001,0),MATCH(COLUMNS($V$1006:AA1006),$V$1006:$AE$1006,0)), HYPERLINK("#",""), HYPERLINK(CONCATENATE("#Metadata!", ADDRESS(INDEX($Q$2:$Q$1001,MATCH(ROWS($O$2:O46),$O$2:$O$1001,0),0), INDEX($V$1004:$AE$1004,1,MATCH(COLUMNS($V$1006:AA1006),$V$1006:$AE$1006,0)))),"Fix")))</f>
        <v>0</v>
      </c>
      <c r="H46" s="4">
        <f>IF(OR(INDEX($P$2:$P$1001,MATCH(ROWS($O$2:O46),$O$2:$O$1001,0),1)&gt;=100000,INDEX($V$1005:$AE$1005,1,MATCH(COLUMNS($V$1006:AB1006),$V$1006:$AE$1006,0))&gt;=100000), " ",IF(INDEX($V$2:$AE$1001,MATCH(ROWS($O$2:O46),$O$2:$O$1001,0),MATCH(COLUMNS($V$1006:AB1006),$V$1006:$AE$1006,0)), HYPERLINK("#",""), HYPERLINK(CONCATENATE("#Metadata!", ADDRESS(INDEX($Q$2:$Q$1001,MATCH(ROWS($O$2:O46),$O$2:$O$1001,0),0), INDEX($V$1004:$AE$1004,1,MATCH(COLUMNS($V$1006:AB1006),$V$1006:$AE$1006,0)))),"Fix")))</f>
        <v>0</v>
      </c>
      <c r="I46" s="4">
        <f>IF(OR(INDEX($P$2:$P$1001,MATCH(ROWS($O$2:O46),$O$2:$O$1001,0),1)&gt;=100000,INDEX($V$1005:$AE$1005,1,MATCH(COLUMNS($V$1006:AC1006),$V$1006:$AE$1006,0))&gt;=100000), " ",IF(INDEX($V$2:$AE$1001,MATCH(ROWS($O$2:O46),$O$2:$O$1001,0),MATCH(COLUMNS($V$1006:AC1006),$V$1006:$AE$1006,0)), HYPERLINK("#",""), HYPERLINK(CONCATENATE("#Metadata!", ADDRESS(INDEX($Q$2:$Q$1001,MATCH(ROWS($O$2:O46),$O$2:$O$1001,0),0), INDEX($V$1004:$AE$1004,1,MATCH(COLUMNS($V$1006:AC1006),$V$1006:$AE$1006,0)))),"Fix")))</f>
        <v>0</v>
      </c>
      <c r="J46" s="4">
        <f>IF(OR(INDEX($P$2:$P$1001,MATCH(ROWS($O$2:O46),$O$2:$O$1001,0),1)&gt;=100000,INDEX($V$1005:$AE$1005,1,MATCH(COLUMNS($V$1006:AD1006),$V$1006:$AE$1006,0))&gt;=100000), " ",IF(INDEX($V$2:$AE$1001,MATCH(ROWS($O$2:O46),$O$2:$O$1001,0),MATCH(COLUMNS($V$1006:AD1006),$V$1006:$AE$1006,0)), HYPERLINK("#",""), HYPERLINK(CONCATENATE("#Metadata!", ADDRESS(INDEX($Q$2:$Q$1001,MATCH(ROWS($O$2:O46),$O$2:$O$1001,0),0), INDEX($V$1004:$AE$1004,1,MATCH(COLUMNS($V$1006:AD1006),$V$1006:$AE$1006,0)))),"Fix")))</f>
        <v>0</v>
      </c>
      <c r="K46" s="4">
        <f>IF(OR(INDEX($P$2:$P$1001,MATCH(ROWS($O$2:O46),$O$2:$O$1001,0),1)&gt;=100000,INDEX($V$1005:$AE$1005,1,MATCH(COLUMNS($V$1006:AE1006),$V$1006:$AE$1006,0))&gt;=100000), " ",IF(INDEX($V$2:$AE$1001,MATCH(ROWS($O$2:O46),$O$2:$O$1001,0),MATCH(COLUMNS($V$1006:AE1006),$V$1006:$AE$1006,0)), HYPERLINK("#",""), HYPERLINK(CONCATENATE("#Metadata!", ADDRESS(INDEX($Q$2:$Q$1001,MATCH(ROWS($O$2:O46),$O$2:$O$1001,0),0), INDEX($V$1004:$AE$1004,1,MATCH(COLUMNS($V$1006:AE1006),$V$1006:$AE$1006,0)))),"Fix")))</f>
        <v>0</v>
      </c>
      <c r="O46">
        <v>0</v>
      </c>
      <c r="P46">
        <v>0</v>
      </c>
      <c r="Q46">
        <v>0</v>
      </c>
      <c r="R46">
        <f>IF(S46,TRUE,AND(V46:AE46))</f>
        <v>0</v>
      </c>
      <c r="S46">
        <f>COUNTBLANK(Metadata!B46:K46)=COLUMNS(Metadata!B46:K46)</f>
        <v>0</v>
      </c>
      <c r="T46">
        <v>0</v>
      </c>
      <c r="V46">
        <f>AND(IF(Metadata!B46="",FALSE,TRUE),COUNTIF(Metadata!B:B, Metadata!B46) = 1,NOT(ISERROR(SUMPRODUCT(SEARCH(MID(Metadata!B46,ROW(INDIRECT("1:"&amp;LEN(Metadata!B46))), 1),"0123456789abcdefghijklmnopqrstuvwxyzABCDEFGHIJKLMNOPQRSTUVWXYZ.")))))</f>
        <v>0</v>
      </c>
      <c r="W46">
        <f>AND(IF(Metadata!C46="",FALSE,TRUE),exact(Metadata!C46,"urban biome"))</f>
        <v>0</v>
      </c>
      <c r="X46">
        <f>AND(IF(Metadata!D46="",FALSE,TRUE),exact(Metadata!D46,"animal-associated habitat"))</f>
        <v>0</v>
      </c>
      <c r="Y46">
        <f>OR(AND(IF(Metadata!E46="",FALSE,TRUE),OR(exact(Metadata!E46,"not applicable"),exact(Metadata!E46,"missing: not collected"),exact(Metadata!E46,"missing: not provided"),exact(Metadata!E46,"missing: restricted access"))),AND(IF(Metadata!E46="",FALSE,ISNUMBER(VALUE(Metadata!E46))),Metadata!E46&gt;0))</f>
        <v>0</v>
      </c>
      <c r="Z46">
        <f>AND(IF(Metadata!F46="",FALSE,TRUE),exact(Metadata!F46,"weeks"))</f>
        <v>0</v>
      </c>
      <c r="AA46">
        <f>AND(IF(Metadata!G46="",FALSE,TRUE),exact(Metadata!G46,"mouse"))</f>
        <v>0</v>
      </c>
      <c r="AB46">
        <f>AND(IF(Metadata!H46="",FALSE,TRUE),exact(Metadata!H46,"Mus musculus"))</f>
        <v>0</v>
      </c>
      <c r="AC46">
        <f>AND(IF(Metadata!I46="",FALSE,TRUE),exact(Metadata!I46,"10090"))</f>
        <v>0</v>
      </c>
      <c r="AD46">
        <f>OR(AND(IF(Metadata!J46="",FALSE,TRUE),OR(exact(Metadata!J46,"not applicable"),exact(Metadata!J46,"missing: not collected"),exact(Metadata!J46,"missing: not provided"),exact(Metadata!J46,"missing: restricted access"))),AND(IF(Metadata!J46="",FALSE,ISNUMBER(VALUE(Metadata!J46))),Metadata!J46&gt;0))</f>
        <v>0</v>
      </c>
      <c r="AE46">
        <f>AND(IF(Metadata!K46="",FALSE,TRUE),exact(Metadata!K46,"g"))</f>
        <v>0</v>
      </c>
    </row>
    <row r="47" spans="1:31">
      <c r="A47" s="5">
        <f>IF(B47=" "," ",HYPERLINK(CONCATENATE("#metadata!",ADDRESS(INDEX($Q$2:$Q$1001,MATCH(ROWS($O$2:O47),$O$2:$O$1001,0),0),1)),INDEX($T$2:$T$1001,MATCH(ROWS($O$2:O47),$O$2:$O$1001,0),0)))</f>
        <v>0</v>
      </c>
      <c r="B47" s="4">
        <f>IF(OR(INDEX($P$2:$P$1001,MATCH(ROWS($O$2:O47),$O$2:$O$1001,0),1)&gt;=100000,INDEX($V$1005:$AE$1005,1,MATCH(COLUMNS($V$1006:V1006),$V$1006:$AE$1006,0))&gt;=100000), " ",IF(INDEX($V$2:$AE$1001,MATCH(ROWS($O$2:O47),$O$2:$O$1001,0),MATCH(COLUMNS($V$1006:V1006),$V$1006:$AE$1006,0)), HYPERLINK("#",""), HYPERLINK(CONCATENATE("#Metadata!", ADDRESS(INDEX($Q$2:$Q$1001,MATCH(ROWS($O$2:O47),$O$2:$O$1001,0),0), INDEX($V$1004:$AE$1004,1,MATCH(COLUMNS($V$1006:V1006),$V$1006:$AE$1006,0)))),"Fix")))</f>
        <v>0</v>
      </c>
      <c r="C47" s="4">
        <f>IF(OR(INDEX($P$2:$P$1001,MATCH(ROWS($O$2:O47),$O$2:$O$1001,0),1)&gt;=100000,INDEX($V$1005:$AE$1005,1,MATCH(COLUMNS($V$1006:W1006),$V$1006:$AE$1006,0))&gt;=100000), " ",IF(INDEX($V$2:$AE$1001,MATCH(ROWS($O$2:O47),$O$2:$O$1001,0),MATCH(COLUMNS($V$1006:W1006),$V$1006:$AE$1006,0)), HYPERLINK("#",""), HYPERLINK(CONCATENATE("#Metadata!", ADDRESS(INDEX($Q$2:$Q$1001,MATCH(ROWS($O$2:O47),$O$2:$O$1001,0),0), INDEX($V$1004:$AE$1004,1,MATCH(COLUMNS($V$1006:W1006),$V$1006:$AE$1006,0)))),"Fix")))</f>
        <v>0</v>
      </c>
      <c r="D47" s="4">
        <f>IF(OR(INDEX($P$2:$P$1001,MATCH(ROWS($O$2:O47),$O$2:$O$1001,0),1)&gt;=100000,INDEX($V$1005:$AE$1005,1,MATCH(COLUMNS($V$1006:X1006),$V$1006:$AE$1006,0))&gt;=100000), " ",IF(INDEX($V$2:$AE$1001,MATCH(ROWS($O$2:O47),$O$2:$O$1001,0),MATCH(COLUMNS($V$1006:X1006),$V$1006:$AE$1006,0)), HYPERLINK("#",""), HYPERLINK(CONCATENATE("#Metadata!", ADDRESS(INDEX($Q$2:$Q$1001,MATCH(ROWS($O$2:O47),$O$2:$O$1001,0),0), INDEX($V$1004:$AE$1004,1,MATCH(COLUMNS($V$1006:X1006),$V$1006:$AE$1006,0)))),"Fix")))</f>
        <v>0</v>
      </c>
      <c r="E47" s="4">
        <f>IF(OR(INDEX($P$2:$P$1001,MATCH(ROWS($O$2:O47),$O$2:$O$1001,0),1)&gt;=100000,INDEX($V$1005:$AE$1005,1,MATCH(COLUMNS($V$1006:Y1006),$V$1006:$AE$1006,0))&gt;=100000), " ",IF(INDEX($V$2:$AE$1001,MATCH(ROWS($O$2:O47),$O$2:$O$1001,0),MATCH(COLUMNS($V$1006:Y1006),$V$1006:$AE$1006,0)), HYPERLINK("#",""), HYPERLINK(CONCATENATE("#Metadata!", ADDRESS(INDEX($Q$2:$Q$1001,MATCH(ROWS($O$2:O47),$O$2:$O$1001,0),0), INDEX($V$1004:$AE$1004,1,MATCH(COLUMNS($V$1006:Y1006),$V$1006:$AE$1006,0)))),"Fix")))</f>
        <v>0</v>
      </c>
      <c r="F47" s="4">
        <f>IF(OR(INDEX($P$2:$P$1001,MATCH(ROWS($O$2:O47),$O$2:$O$1001,0),1)&gt;=100000,INDEX($V$1005:$AE$1005,1,MATCH(COLUMNS($V$1006:Z1006),$V$1006:$AE$1006,0))&gt;=100000), " ",IF(INDEX($V$2:$AE$1001,MATCH(ROWS($O$2:O47),$O$2:$O$1001,0),MATCH(COLUMNS($V$1006:Z1006),$V$1006:$AE$1006,0)), HYPERLINK("#",""), HYPERLINK(CONCATENATE("#Metadata!", ADDRESS(INDEX($Q$2:$Q$1001,MATCH(ROWS($O$2:O47),$O$2:$O$1001,0),0), INDEX($V$1004:$AE$1004,1,MATCH(COLUMNS($V$1006:Z1006),$V$1006:$AE$1006,0)))),"Fix")))</f>
        <v>0</v>
      </c>
      <c r="G47" s="4">
        <f>IF(OR(INDEX($P$2:$P$1001,MATCH(ROWS($O$2:O47),$O$2:$O$1001,0),1)&gt;=100000,INDEX($V$1005:$AE$1005,1,MATCH(COLUMNS($V$1006:AA1006),$V$1006:$AE$1006,0))&gt;=100000), " ",IF(INDEX($V$2:$AE$1001,MATCH(ROWS($O$2:O47),$O$2:$O$1001,0),MATCH(COLUMNS($V$1006:AA1006),$V$1006:$AE$1006,0)), HYPERLINK("#",""), HYPERLINK(CONCATENATE("#Metadata!", ADDRESS(INDEX($Q$2:$Q$1001,MATCH(ROWS($O$2:O47),$O$2:$O$1001,0),0), INDEX($V$1004:$AE$1004,1,MATCH(COLUMNS($V$1006:AA1006),$V$1006:$AE$1006,0)))),"Fix")))</f>
        <v>0</v>
      </c>
      <c r="H47" s="4">
        <f>IF(OR(INDEX($P$2:$P$1001,MATCH(ROWS($O$2:O47),$O$2:$O$1001,0),1)&gt;=100000,INDEX($V$1005:$AE$1005,1,MATCH(COLUMNS($V$1006:AB1006),$V$1006:$AE$1006,0))&gt;=100000), " ",IF(INDEX($V$2:$AE$1001,MATCH(ROWS($O$2:O47),$O$2:$O$1001,0),MATCH(COLUMNS($V$1006:AB1006),$V$1006:$AE$1006,0)), HYPERLINK("#",""), HYPERLINK(CONCATENATE("#Metadata!", ADDRESS(INDEX($Q$2:$Q$1001,MATCH(ROWS($O$2:O47),$O$2:$O$1001,0),0), INDEX($V$1004:$AE$1004,1,MATCH(COLUMNS($V$1006:AB1006),$V$1006:$AE$1006,0)))),"Fix")))</f>
        <v>0</v>
      </c>
      <c r="I47" s="4">
        <f>IF(OR(INDEX($P$2:$P$1001,MATCH(ROWS($O$2:O47),$O$2:$O$1001,0),1)&gt;=100000,INDEX($V$1005:$AE$1005,1,MATCH(COLUMNS($V$1006:AC1006),$V$1006:$AE$1006,0))&gt;=100000), " ",IF(INDEX($V$2:$AE$1001,MATCH(ROWS($O$2:O47),$O$2:$O$1001,0),MATCH(COLUMNS($V$1006:AC1006),$V$1006:$AE$1006,0)), HYPERLINK("#",""), HYPERLINK(CONCATENATE("#Metadata!", ADDRESS(INDEX($Q$2:$Q$1001,MATCH(ROWS($O$2:O47),$O$2:$O$1001,0),0), INDEX($V$1004:$AE$1004,1,MATCH(COLUMNS($V$1006:AC1006),$V$1006:$AE$1006,0)))),"Fix")))</f>
        <v>0</v>
      </c>
      <c r="J47" s="4">
        <f>IF(OR(INDEX($P$2:$P$1001,MATCH(ROWS($O$2:O47),$O$2:$O$1001,0),1)&gt;=100000,INDEX($V$1005:$AE$1005,1,MATCH(COLUMNS($V$1006:AD1006),$V$1006:$AE$1006,0))&gt;=100000), " ",IF(INDEX($V$2:$AE$1001,MATCH(ROWS($O$2:O47),$O$2:$O$1001,0),MATCH(COLUMNS($V$1006:AD1006),$V$1006:$AE$1006,0)), HYPERLINK("#",""), HYPERLINK(CONCATENATE("#Metadata!", ADDRESS(INDEX($Q$2:$Q$1001,MATCH(ROWS($O$2:O47),$O$2:$O$1001,0),0), INDEX($V$1004:$AE$1004,1,MATCH(COLUMNS($V$1006:AD1006),$V$1006:$AE$1006,0)))),"Fix")))</f>
        <v>0</v>
      </c>
      <c r="K47" s="4">
        <f>IF(OR(INDEX($P$2:$P$1001,MATCH(ROWS($O$2:O47),$O$2:$O$1001,0),1)&gt;=100000,INDEX($V$1005:$AE$1005,1,MATCH(COLUMNS($V$1006:AE1006),$V$1006:$AE$1006,0))&gt;=100000), " ",IF(INDEX($V$2:$AE$1001,MATCH(ROWS($O$2:O47),$O$2:$O$1001,0),MATCH(COLUMNS($V$1006:AE1006),$V$1006:$AE$1006,0)), HYPERLINK("#",""), HYPERLINK(CONCATENATE("#Metadata!", ADDRESS(INDEX($Q$2:$Q$1001,MATCH(ROWS($O$2:O47),$O$2:$O$1001,0),0), INDEX($V$1004:$AE$1004,1,MATCH(COLUMNS($V$1006:AE1006),$V$1006:$AE$1006,0)))),"Fix")))</f>
        <v>0</v>
      </c>
      <c r="O47">
        <v>0</v>
      </c>
      <c r="P47">
        <v>0</v>
      </c>
      <c r="Q47">
        <v>0</v>
      </c>
      <c r="R47">
        <f>IF(S47,TRUE,AND(V47:AE47))</f>
        <v>0</v>
      </c>
      <c r="S47">
        <f>COUNTBLANK(Metadata!B47:K47)=COLUMNS(Metadata!B47:K47)</f>
        <v>0</v>
      </c>
      <c r="T47">
        <v>0</v>
      </c>
      <c r="V47">
        <f>AND(IF(Metadata!B47="",FALSE,TRUE),COUNTIF(Metadata!B:B, Metadata!B47) = 1,NOT(ISERROR(SUMPRODUCT(SEARCH(MID(Metadata!B47,ROW(INDIRECT("1:"&amp;LEN(Metadata!B47))), 1),"0123456789abcdefghijklmnopqrstuvwxyzABCDEFGHIJKLMNOPQRSTUVWXYZ.")))))</f>
        <v>0</v>
      </c>
      <c r="W47">
        <f>AND(IF(Metadata!C47="",FALSE,TRUE),exact(Metadata!C47,"urban biome"))</f>
        <v>0</v>
      </c>
      <c r="X47">
        <f>AND(IF(Metadata!D47="",FALSE,TRUE),exact(Metadata!D47,"animal-associated habitat"))</f>
        <v>0</v>
      </c>
      <c r="Y47">
        <f>OR(AND(IF(Metadata!E47="",FALSE,TRUE),OR(exact(Metadata!E47,"not applicable"),exact(Metadata!E47,"missing: not collected"),exact(Metadata!E47,"missing: not provided"),exact(Metadata!E47,"missing: restricted access"))),AND(IF(Metadata!E47="",FALSE,ISNUMBER(VALUE(Metadata!E47))),Metadata!E47&gt;0))</f>
        <v>0</v>
      </c>
      <c r="Z47">
        <f>AND(IF(Metadata!F47="",FALSE,TRUE),exact(Metadata!F47,"weeks"))</f>
        <v>0</v>
      </c>
      <c r="AA47">
        <f>AND(IF(Metadata!G47="",FALSE,TRUE),exact(Metadata!G47,"mouse"))</f>
        <v>0</v>
      </c>
      <c r="AB47">
        <f>AND(IF(Metadata!H47="",FALSE,TRUE),exact(Metadata!H47,"Mus musculus"))</f>
        <v>0</v>
      </c>
      <c r="AC47">
        <f>AND(IF(Metadata!I47="",FALSE,TRUE),exact(Metadata!I47,"10090"))</f>
        <v>0</v>
      </c>
      <c r="AD47">
        <f>OR(AND(IF(Metadata!J47="",FALSE,TRUE),OR(exact(Metadata!J47,"not applicable"),exact(Metadata!J47,"missing: not collected"),exact(Metadata!J47,"missing: not provided"),exact(Metadata!J47,"missing: restricted access"))),AND(IF(Metadata!J47="",FALSE,ISNUMBER(VALUE(Metadata!J47))),Metadata!J47&gt;0))</f>
        <v>0</v>
      </c>
      <c r="AE47">
        <f>AND(IF(Metadata!K47="",FALSE,TRUE),exact(Metadata!K47,"g"))</f>
        <v>0</v>
      </c>
    </row>
    <row r="48" spans="1:31">
      <c r="A48" s="5">
        <f>IF(B48=" "," ",HYPERLINK(CONCATENATE("#metadata!",ADDRESS(INDEX($Q$2:$Q$1001,MATCH(ROWS($O$2:O48),$O$2:$O$1001,0),0),1)),INDEX($T$2:$T$1001,MATCH(ROWS($O$2:O48),$O$2:$O$1001,0),0)))</f>
        <v>0</v>
      </c>
      <c r="B48" s="4">
        <f>IF(OR(INDEX($P$2:$P$1001,MATCH(ROWS($O$2:O48),$O$2:$O$1001,0),1)&gt;=100000,INDEX($V$1005:$AE$1005,1,MATCH(COLUMNS($V$1006:V1006),$V$1006:$AE$1006,0))&gt;=100000), " ",IF(INDEX($V$2:$AE$1001,MATCH(ROWS($O$2:O48),$O$2:$O$1001,0),MATCH(COLUMNS($V$1006:V1006),$V$1006:$AE$1006,0)), HYPERLINK("#",""), HYPERLINK(CONCATENATE("#Metadata!", ADDRESS(INDEX($Q$2:$Q$1001,MATCH(ROWS($O$2:O48),$O$2:$O$1001,0),0), INDEX($V$1004:$AE$1004,1,MATCH(COLUMNS($V$1006:V1006),$V$1006:$AE$1006,0)))),"Fix")))</f>
        <v>0</v>
      </c>
      <c r="C48" s="4">
        <f>IF(OR(INDEX($P$2:$P$1001,MATCH(ROWS($O$2:O48),$O$2:$O$1001,0),1)&gt;=100000,INDEX($V$1005:$AE$1005,1,MATCH(COLUMNS($V$1006:W1006),$V$1006:$AE$1006,0))&gt;=100000), " ",IF(INDEX($V$2:$AE$1001,MATCH(ROWS($O$2:O48),$O$2:$O$1001,0),MATCH(COLUMNS($V$1006:W1006),$V$1006:$AE$1006,0)), HYPERLINK("#",""), HYPERLINK(CONCATENATE("#Metadata!", ADDRESS(INDEX($Q$2:$Q$1001,MATCH(ROWS($O$2:O48),$O$2:$O$1001,0),0), INDEX($V$1004:$AE$1004,1,MATCH(COLUMNS($V$1006:W1006),$V$1006:$AE$1006,0)))),"Fix")))</f>
        <v>0</v>
      </c>
      <c r="D48" s="4">
        <f>IF(OR(INDEX($P$2:$P$1001,MATCH(ROWS($O$2:O48),$O$2:$O$1001,0),1)&gt;=100000,INDEX($V$1005:$AE$1005,1,MATCH(COLUMNS($V$1006:X1006),$V$1006:$AE$1006,0))&gt;=100000), " ",IF(INDEX($V$2:$AE$1001,MATCH(ROWS($O$2:O48),$O$2:$O$1001,0),MATCH(COLUMNS($V$1006:X1006),$V$1006:$AE$1006,0)), HYPERLINK("#",""), HYPERLINK(CONCATENATE("#Metadata!", ADDRESS(INDEX($Q$2:$Q$1001,MATCH(ROWS($O$2:O48),$O$2:$O$1001,0),0), INDEX($V$1004:$AE$1004,1,MATCH(COLUMNS($V$1006:X1006),$V$1006:$AE$1006,0)))),"Fix")))</f>
        <v>0</v>
      </c>
      <c r="E48" s="4">
        <f>IF(OR(INDEX($P$2:$P$1001,MATCH(ROWS($O$2:O48),$O$2:$O$1001,0),1)&gt;=100000,INDEX($V$1005:$AE$1005,1,MATCH(COLUMNS($V$1006:Y1006),$V$1006:$AE$1006,0))&gt;=100000), " ",IF(INDEX($V$2:$AE$1001,MATCH(ROWS($O$2:O48),$O$2:$O$1001,0),MATCH(COLUMNS($V$1006:Y1006),$V$1006:$AE$1006,0)), HYPERLINK("#",""), HYPERLINK(CONCATENATE("#Metadata!", ADDRESS(INDEX($Q$2:$Q$1001,MATCH(ROWS($O$2:O48),$O$2:$O$1001,0),0), INDEX($V$1004:$AE$1004,1,MATCH(COLUMNS($V$1006:Y1006),$V$1006:$AE$1006,0)))),"Fix")))</f>
        <v>0</v>
      </c>
      <c r="F48" s="4">
        <f>IF(OR(INDEX($P$2:$P$1001,MATCH(ROWS($O$2:O48),$O$2:$O$1001,0),1)&gt;=100000,INDEX($V$1005:$AE$1005,1,MATCH(COLUMNS($V$1006:Z1006),$V$1006:$AE$1006,0))&gt;=100000), " ",IF(INDEX($V$2:$AE$1001,MATCH(ROWS($O$2:O48),$O$2:$O$1001,0),MATCH(COLUMNS($V$1006:Z1006),$V$1006:$AE$1006,0)), HYPERLINK("#",""), HYPERLINK(CONCATENATE("#Metadata!", ADDRESS(INDEX($Q$2:$Q$1001,MATCH(ROWS($O$2:O48),$O$2:$O$1001,0),0), INDEX($V$1004:$AE$1004,1,MATCH(COLUMNS($V$1006:Z1006),$V$1006:$AE$1006,0)))),"Fix")))</f>
        <v>0</v>
      </c>
      <c r="G48" s="4">
        <f>IF(OR(INDEX($P$2:$P$1001,MATCH(ROWS($O$2:O48),$O$2:$O$1001,0),1)&gt;=100000,INDEX($V$1005:$AE$1005,1,MATCH(COLUMNS($V$1006:AA1006),$V$1006:$AE$1006,0))&gt;=100000), " ",IF(INDEX($V$2:$AE$1001,MATCH(ROWS($O$2:O48),$O$2:$O$1001,0),MATCH(COLUMNS($V$1006:AA1006),$V$1006:$AE$1006,0)), HYPERLINK("#",""), HYPERLINK(CONCATENATE("#Metadata!", ADDRESS(INDEX($Q$2:$Q$1001,MATCH(ROWS($O$2:O48),$O$2:$O$1001,0),0), INDEX($V$1004:$AE$1004,1,MATCH(COLUMNS($V$1006:AA1006),$V$1006:$AE$1006,0)))),"Fix")))</f>
        <v>0</v>
      </c>
      <c r="H48" s="4">
        <f>IF(OR(INDEX($P$2:$P$1001,MATCH(ROWS($O$2:O48),$O$2:$O$1001,0),1)&gt;=100000,INDEX($V$1005:$AE$1005,1,MATCH(COLUMNS($V$1006:AB1006),$V$1006:$AE$1006,0))&gt;=100000), " ",IF(INDEX($V$2:$AE$1001,MATCH(ROWS($O$2:O48),$O$2:$O$1001,0),MATCH(COLUMNS($V$1006:AB1006),$V$1006:$AE$1006,0)), HYPERLINK("#",""), HYPERLINK(CONCATENATE("#Metadata!", ADDRESS(INDEX($Q$2:$Q$1001,MATCH(ROWS($O$2:O48),$O$2:$O$1001,0),0), INDEX($V$1004:$AE$1004,1,MATCH(COLUMNS($V$1006:AB1006),$V$1006:$AE$1006,0)))),"Fix")))</f>
        <v>0</v>
      </c>
      <c r="I48" s="4">
        <f>IF(OR(INDEX($P$2:$P$1001,MATCH(ROWS($O$2:O48),$O$2:$O$1001,0),1)&gt;=100000,INDEX($V$1005:$AE$1005,1,MATCH(COLUMNS($V$1006:AC1006),$V$1006:$AE$1006,0))&gt;=100000), " ",IF(INDEX($V$2:$AE$1001,MATCH(ROWS($O$2:O48),$O$2:$O$1001,0),MATCH(COLUMNS($V$1006:AC1006),$V$1006:$AE$1006,0)), HYPERLINK("#",""), HYPERLINK(CONCATENATE("#Metadata!", ADDRESS(INDEX($Q$2:$Q$1001,MATCH(ROWS($O$2:O48),$O$2:$O$1001,0),0), INDEX($V$1004:$AE$1004,1,MATCH(COLUMNS($V$1006:AC1006),$V$1006:$AE$1006,0)))),"Fix")))</f>
        <v>0</v>
      </c>
      <c r="J48" s="4">
        <f>IF(OR(INDEX($P$2:$P$1001,MATCH(ROWS($O$2:O48),$O$2:$O$1001,0),1)&gt;=100000,INDEX($V$1005:$AE$1005,1,MATCH(COLUMNS($V$1006:AD1006),$V$1006:$AE$1006,0))&gt;=100000), " ",IF(INDEX($V$2:$AE$1001,MATCH(ROWS($O$2:O48),$O$2:$O$1001,0),MATCH(COLUMNS($V$1006:AD1006),$V$1006:$AE$1006,0)), HYPERLINK("#",""), HYPERLINK(CONCATENATE("#Metadata!", ADDRESS(INDEX($Q$2:$Q$1001,MATCH(ROWS($O$2:O48),$O$2:$O$1001,0),0), INDEX($V$1004:$AE$1004,1,MATCH(COLUMNS($V$1006:AD1006),$V$1006:$AE$1006,0)))),"Fix")))</f>
        <v>0</v>
      </c>
      <c r="K48" s="4">
        <f>IF(OR(INDEX($P$2:$P$1001,MATCH(ROWS($O$2:O48),$O$2:$O$1001,0),1)&gt;=100000,INDEX($V$1005:$AE$1005,1,MATCH(COLUMNS($V$1006:AE1006),$V$1006:$AE$1006,0))&gt;=100000), " ",IF(INDEX($V$2:$AE$1001,MATCH(ROWS($O$2:O48),$O$2:$O$1001,0),MATCH(COLUMNS($V$1006:AE1006),$V$1006:$AE$1006,0)), HYPERLINK("#",""), HYPERLINK(CONCATENATE("#Metadata!", ADDRESS(INDEX($Q$2:$Q$1001,MATCH(ROWS($O$2:O48),$O$2:$O$1001,0),0), INDEX($V$1004:$AE$1004,1,MATCH(COLUMNS($V$1006:AE1006),$V$1006:$AE$1006,0)))),"Fix")))</f>
        <v>0</v>
      </c>
      <c r="O48">
        <v>0</v>
      </c>
      <c r="P48">
        <v>0</v>
      </c>
      <c r="Q48">
        <v>0</v>
      </c>
      <c r="R48">
        <f>IF(S48,TRUE,AND(V48:AE48))</f>
        <v>0</v>
      </c>
      <c r="S48">
        <f>COUNTBLANK(Metadata!B48:K48)=COLUMNS(Metadata!B48:K48)</f>
        <v>0</v>
      </c>
      <c r="T48">
        <v>0</v>
      </c>
      <c r="V48">
        <f>AND(IF(Metadata!B48="",FALSE,TRUE),COUNTIF(Metadata!B:B, Metadata!B48) = 1,NOT(ISERROR(SUMPRODUCT(SEARCH(MID(Metadata!B48,ROW(INDIRECT("1:"&amp;LEN(Metadata!B48))), 1),"0123456789abcdefghijklmnopqrstuvwxyzABCDEFGHIJKLMNOPQRSTUVWXYZ.")))))</f>
        <v>0</v>
      </c>
      <c r="W48">
        <f>AND(IF(Metadata!C48="",FALSE,TRUE),exact(Metadata!C48,"urban biome"))</f>
        <v>0</v>
      </c>
      <c r="X48">
        <f>AND(IF(Metadata!D48="",FALSE,TRUE),exact(Metadata!D48,"animal-associated habitat"))</f>
        <v>0</v>
      </c>
      <c r="Y48">
        <f>OR(AND(IF(Metadata!E48="",FALSE,TRUE),OR(exact(Metadata!E48,"not applicable"),exact(Metadata!E48,"missing: not collected"),exact(Metadata!E48,"missing: not provided"),exact(Metadata!E48,"missing: restricted access"))),AND(IF(Metadata!E48="",FALSE,ISNUMBER(VALUE(Metadata!E48))),Metadata!E48&gt;0))</f>
        <v>0</v>
      </c>
      <c r="Z48">
        <f>AND(IF(Metadata!F48="",FALSE,TRUE),exact(Metadata!F48,"weeks"))</f>
        <v>0</v>
      </c>
      <c r="AA48">
        <f>AND(IF(Metadata!G48="",FALSE,TRUE),exact(Metadata!G48,"mouse"))</f>
        <v>0</v>
      </c>
      <c r="AB48">
        <f>AND(IF(Metadata!H48="",FALSE,TRUE),exact(Metadata!H48,"Mus musculus"))</f>
        <v>0</v>
      </c>
      <c r="AC48">
        <f>AND(IF(Metadata!I48="",FALSE,TRUE),exact(Metadata!I48,"10090"))</f>
        <v>0</v>
      </c>
      <c r="AD48">
        <f>OR(AND(IF(Metadata!J48="",FALSE,TRUE),OR(exact(Metadata!J48,"not applicable"),exact(Metadata!J48,"missing: not collected"),exact(Metadata!J48,"missing: not provided"),exact(Metadata!J48,"missing: restricted access"))),AND(IF(Metadata!J48="",FALSE,ISNUMBER(VALUE(Metadata!J48))),Metadata!J48&gt;0))</f>
        <v>0</v>
      </c>
      <c r="AE48">
        <f>AND(IF(Metadata!K48="",FALSE,TRUE),exact(Metadata!K48,"g"))</f>
        <v>0</v>
      </c>
    </row>
    <row r="49" spans="1:31">
      <c r="A49" s="5">
        <f>IF(B49=" "," ",HYPERLINK(CONCATENATE("#metadata!",ADDRESS(INDEX($Q$2:$Q$1001,MATCH(ROWS($O$2:O49),$O$2:$O$1001,0),0),1)),INDEX($T$2:$T$1001,MATCH(ROWS($O$2:O49),$O$2:$O$1001,0),0)))</f>
        <v>0</v>
      </c>
      <c r="B49" s="4">
        <f>IF(OR(INDEX($P$2:$P$1001,MATCH(ROWS($O$2:O49),$O$2:$O$1001,0),1)&gt;=100000,INDEX($V$1005:$AE$1005,1,MATCH(COLUMNS($V$1006:V1006),$V$1006:$AE$1006,0))&gt;=100000), " ",IF(INDEX($V$2:$AE$1001,MATCH(ROWS($O$2:O49),$O$2:$O$1001,0),MATCH(COLUMNS($V$1006:V1006),$V$1006:$AE$1006,0)), HYPERLINK("#",""), HYPERLINK(CONCATENATE("#Metadata!", ADDRESS(INDEX($Q$2:$Q$1001,MATCH(ROWS($O$2:O49),$O$2:$O$1001,0),0), INDEX($V$1004:$AE$1004,1,MATCH(COLUMNS($V$1006:V1006),$V$1006:$AE$1006,0)))),"Fix")))</f>
        <v>0</v>
      </c>
      <c r="C49" s="4">
        <f>IF(OR(INDEX($P$2:$P$1001,MATCH(ROWS($O$2:O49),$O$2:$O$1001,0),1)&gt;=100000,INDEX($V$1005:$AE$1005,1,MATCH(COLUMNS($V$1006:W1006),$V$1006:$AE$1006,0))&gt;=100000), " ",IF(INDEX($V$2:$AE$1001,MATCH(ROWS($O$2:O49),$O$2:$O$1001,0),MATCH(COLUMNS($V$1006:W1006),$V$1006:$AE$1006,0)), HYPERLINK("#",""), HYPERLINK(CONCATENATE("#Metadata!", ADDRESS(INDEX($Q$2:$Q$1001,MATCH(ROWS($O$2:O49),$O$2:$O$1001,0),0), INDEX($V$1004:$AE$1004,1,MATCH(COLUMNS($V$1006:W1006),$V$1006:$AE$1006,0)))),"Fix")))</f>
        <v>0</v>
      </c>
      <c r="D49" s="4">
        <f>IF(OR(INDEX($P$2:$P$1001,MATCH(ROWS($O$2:O49),$O$2:$O$1001,0),1)&gt;=100000,INDEX($V$1005:$AE$1005,1,MATCH(COLUMNS($V$1006:X1006),$V$1006:$AE$1006,0))&gt;=100000), " ",IF(INDEX($V$2:$AE$1001,MATCH(ROWS($O$2:O49),$O$2:$O$1001,0),MATCH(COLUMNS($V$1006:X1006),$V$1006:$AE$1006,0)), HYPERLINK("#",""), HYPERLINK(CONCATENATE("#Metadata!", ADDRESS(INDEX($Q$2:$Q$1001,MATCH(ROWS($O$2:O49),$O$2:$O$1001,0),0), INDEX($V$1004:$AE$1004,1,MATCH(COLUMNS($V$1006:X1006),$V$1006:$AE$1006,0)))),"Fix")))</f>
        <v>0</v>
      </c>
      <c r="E49" s="4">
        <f>IF(OR(INDEX($P$2:$P$1001,MATCH(ROWS($O$2:O49),$O$2:$O$1001,0),1)&gt;=100000,INDEX($V$1005:$AE$1005,1,MATCH(COLUMNS($V$1006:Y1006),$V$1006:$AE$1006,0))&gt;=100000), " ",IF(INDEX($V$2:$AE$1001,MATCH(ROWS($O$2:O49),$O$2:$O$1001,0),MATCH(COLUMNS($V$1006:Y1006),$V$1006:$AE$1006,0)), HYPERLINK("#",""), HYPERLINK(CONCATENATE("#Metadata!", ADDRESS(INDEX($Q$2:$Q$1001,MATCH(ROWS($O$2:O49),$O$2:$O$1001,0),0), INDEX($V$1004:$AE$1004,1,MATCH(COLUMNS($V$1006:Y1006),$V$1006:$AE$1006,0)))),"Fix")))</f>
        <v>0</v>
      </c>
      <c r="F49" s="4">
        <f>IF(OR(INDEX($P$2:$P$1001,MATCH(ROWS($O$2:O49),$O$2:$O$1001,0),1)&gt;=100000,INDEX($V$1005:$AE$1005,1,MATCH(COLUMNS($V$1006:Z1006),$V$1006:$AE$1006,0))&gt;=100000), " ",IF(INDEX($V$2:$AE$1001,MATCH(ROWS($O$2:O49),$O$2:$O$1001,0),MATCH(COLUMNS($V$1006:Z1006),$V$1006:$AE$1006,0)), HYPERLINK("#",""), HYPERLINK(CONCATENATE("#Metadata!", ADDRESS(INDEX($Q$2:$Q$1001,MATCH(ROWS($O$2:O49),$O$2:$O$1001,0),0), INDEX($V$1004:$AE$1004,1,MATCH(COLUMNS($V$1006:Z1006),$V$1006:$AE$1006,0)))),"Fix")))</f>
        <v>0</v>
      </c>
      <c r="G49" s="4">
        <f>IF(OR(INDEX($P$2:$P$1001,MATCH(ROWS($O$2:O49),$O$2:$O$1001,0),1)&gt;=100000,INDEX($V$1005:$AE$1005,1,MATCH(COLUMNS($V$1006:AA1006),$V$1006:$AE$1006,0))&gt;=100000), " ",IF(INDEX($V$2:$AE$1001,MATCH(ROWS($O$2:O49),$O$2:$O$1001,0),MATCH(COLUMNS($V$1006:AA1006),$V$1006:$AE$1006,0)), HYPERLINK("#",""), HYPERLINK(CONCATENATE("#Metadata!", ADDRESS(INDEX($Q$2:$Q$1001,MATCH(ROWS($O$2:O49),$O$2:$O$1001,0),0), INDEX($V$1004:$AE$1004,1,MATCH(COLUMNS($V$1006:AA1006),$V$1006:$AE$1006,0)))),"Fix")))</f>
        <v>0</v>
      </c>
      <c r="H49" s="4">
        <f>IF(OR(INDEX($P$2:$P$1001,MATCH(ROWS($O$2:O49),$O$2:$O$1001,0),1)&gt;=100000,INDEX($V$1005:$AE$1005,1,MATCH(COLUMNS($V$1006:AB1006),$V$1006:$AE$1006,0))&gt;=100000), " ",IF(INDEX($V$2:$AE$1001,MATCH(ROWS($O$2:O49),$O$2:$O$1001,0),MATCH(COLUMNS($V$1006:AB1006),$V$1006:$AE$1006,0)), HYPERLINK("#",""), HYPERLINK(CONCATENATE("#Metadata!", ADDRESS(INDEX($Q$2:$Q$1001,MATCH(ROWS($O$2:O49),$O$2:$O$1001,0),0), INDEX($V$1004:$AE$1004,1,MATCH(COLUMNS($V$1006:AB1006),$V$1006:$AE$1006,0)))),"Fix")))</f>
        <v>0</v>
      </c>
      <c r="I49" s="4">
        <f>IF(OR(INDEX($P$2:$P$1001,MATCH(ROWS($O$2:O49),$O$2:$O$1001,0),1)&gt;=100000,INDEX($V$1005:$AE$1005,1,MATCH(COLUMNS($V$1006:AC1006),$V$1006:$AE$1006,0))&gt;=100000), " ",IF(INDEX($V$2:$AE$1001,MATCH(ROWS($O$2:O49),$O$2:$O$1001,0),MATCH(COLUMNS($V$1006:AC1006),$V$1006:$AE$1006,0)), HYPERLINK("#",""), HYPERLINK(CONCATENATE("#Metadata!", ADDRESS(INDEX($Q$2:$Q$1001,MATCH(ROWS($O$2:O49),$O$2:$O$1001,0),0), INDEX($V$1004:$AE$1004,1,MATCH(COLUMNS($V$1006:AC1006),$V$1006:$AE$1006,0)))),"Fix")))</f>
        <v>0</v>
      </c>
      <c r="J49" s="4">
        <f>IF(OR(INDEX($P$2:$P$1001,MATCH(ROWS($O$2:O49),$O$2:$O$1001,0),1)&gt;=100000,INDEX($V$1005:$AE$1005,1,MATCH(COLUMNS($V$1006:AD1006),$V$1006:$AE$1006,0))&gt;=100000), " ",IF(INDEX($V$2:$AE$1001,MATCH(ROWS($O$2:O49),$O$2:$O$1001,0),MATCH(COLUMNS($V$1006:AD1006),$V$1006:$AE$1006,0)), HYPERLINK("#",""), HYPERLINK(CONCATENATE("#Metadata!", ADDRESS(INDEX($Q$2:$Q$1001,MATCH(ROWS($O$2:O49),$O$2:$O$1001,0),0), INDEX($V$1004:$AE$1004,1,MATCH(COLUMNS($V$1006:AD1006),$V$1006:$AE$1006,0)))),"Fix")))</f>
        <v>0</v>
      </c>
      <c r="K49" s="4">
        <f>IF(OR(INDEX($P$2:$P$1001,MATCH(ROWS($O$2:O49),$O$2:$O$1001,0),1)&gt;=100000,INDEX($V$1005:$AE$1005,1,MATCH(COLUMNS($V$1006:AE1006),$V$1006:$AE$1006,0))&gt;=100000), " ",IF(INDEX($V$2:$AE$1001,MATCH(ROWS($O$2:O49),$O$2:$O$1001,0),MATCH(COLUMNS($V$1006:AE1006),$V$1006:$AE$1006,0)), HYPERLINK("#",""), HYPERLINK(CONCATENATE("#Metadata!", ADDRESS(INDEX($Q$2:$Q$1001,MATCH(ROWS($O$2:O49),$O$2:$O$1001,0),0), INDEX($V$1004:$AE$1004,1,MATCH(COLUMNS($V$1006:AE1006),$V$1006:$AE$1006,0)))),"Fix")))</f>
        <v>0</v>
      </c>
      <c r="O49">
        <v>0</v>
      </c>
      <c r="P49">
        <v>0</v>
      </c>
      <c r="Q49">
        <v>0</v>
      </c>
      <c r="R49">
        <f>IF(S49,TRUE,AND(V49:AE49))</f>
        <v>0</v>
      </c>
      <c r="S49">
        <f>COUNTBLANK(Metadata!B49:K49)=COLUMNS(Metadata!B49:K49)</f>
        <v>0</v>
      </c>
      <c r="T49">
        <v>0</v>
      </c>
      <c r="V49">
        <f>AND(IF(Metadata!B49="",FALSE,TRUE),COUNTIF(Metadata!B:B, Metadata!B49) = 1,NOT(ISERROR(SUMPRODUCT(SEARCH(MID(Metadata!B49,ROW(INDIRECT("1:"&amp;LEN(Metadata!B49))), 1),"0123456789abcdefghijklmnopqrstuvwxyzABCDEFGHIJKLMNOPQRSTUVWXYZ.")))))</f>
        <v>0</v>
      </c>
      <c r="W49">
        <f>AND(IF(Metadata!C49="",FALSE,TRUE),exact(Metadata!C49,"urban biome"))</f>
        <v>0</v>
      </c>
      <c r="X49">
        <f>AND(IF(Metadata!D49="",FALSE,TRUE),exact(Metadata!D49,"animal-associated habitat"))</f>
        <v>0</v>
      </c>
      <c r="Y49">
        <f>OR(AND(IF(Metadata!E49="",FALSE,TRUE),OR(exact(Metadata!E49,"not applicable"),exact(Metadata!E49,"missing: not collected"),exact(Metadata!E49,"missing: not provided"),exact(Metadata!E49,"missing: restricted access"))),AND(IF(Metadata!E49="",FALSE,ISNUMBER(VALUE(Metadata!E49))),Metadata!E49&gt;0))</f>
        <v>0</v>
      </c>
      <c r="Z49">
        <f>AND(IF(Metadata!F49="",FALSE,TRUE),exact(Metadata!F49,"weeks"))</f>
        <v>0</v>
      </c>
      <c r="AA49">
        <f>AND(IF(Metadata!G49="",FALSE,TRUE),exact(Metadata!G49,"mouse"))</f>
        <v>0</v>
      </c>
      <c r="AB49">
        <f>AND(IF(Metadata!H49="",FALSE,TRUE),exact(Metadata!H49,"Mus musculus"))</f>
        <v>0</v>
      </c>
      <c r="AC49">
        <f>AND(IF(Metadata!I49="",FALSE,TRUE),exact(Metadata!I49,"10090"))</f>
        <v>0</v>
      </c>
      <c r="AD49">
        <f>OR(AND(IF(Metadata!J49="",FALSE,TRUE),OR(exact(Metadata!J49,"not applicable"),exact(Metadata!J49,"missing: not collected"),exact(Metadata!J49,"missing: not provided"),exact(Metadata!J49,"missing: restricted access"))),AND(IF(Metadata!J49="",FALSE,ISNUMBER(VALUE(Metadata!J49))),Metadata!J49&gt;0))</f>
        <v>0</v>
      </c>
      <c r="AE49">
        <f>AND(IF(Metadata!K49="",FALSE,TRUE),exact(Metadata!K49,"g"))</f>
        <v>0</v>
      </c>
    </row>
    <row r="50" spans="1:31">
      <c r="A50" s="5">
        <f>IF(B50=" "," ",HYPERLINK(CONCATENATE("#metadata!",ADDRESS(INDEX($Q$2:$Q$1001,MATCH(ROWS($O$2:O50),$O$2:$O$1001,0),0),1)),INDEX($T$2:$T$1001,MATCH(ROWS($O$2:O50),$O$2:$O$1001,0),0)))</f>
        <v>0</v>
      </c>
      <c r="B50" s="4">
        <f>IF(OR(INDEX($P$2:$P$1001,MATCH(ROWS($O$2:O50),$O$2:$O$1001,0),1)&gt;=100000,INDEX($V$1005:$AE$1005,1,MATCH(COLUMNS($V$1006:V1006),$V$1006:$AE$1006,0))&gt;=100000), " ",IF(INDEX($V$2:$AE$1001,MATCH(ROWS($O$2:O50),$O$2:$O$1001,0),MATCH(COLUMNS($V$1006:V1006),$V$1006:$AE$1006,0)), HYPERLINK("#",""), HYPERLINK(CONCATENATE("#Metadata!", ADDRESS(INDEX($Q$2:$Q$1001,MATCH(ROWS($O$2:O50),$O$2:$O$1001,0),0), INDEX($V$1004:$AE$1004,1,MATCH(COLUMNS($V$1006:V1006),$V$1006:$AE$1006,0)))),"Fix")))</f>
        <v>0</v>
      </c>
      <c r="C50" s="4">
        <f>IF(OR(INDEX($P$2:$P$1001,MATCH(ROWS($O$2:O50),$O$2:$O$1001,0),1)&gt;=100000,INDEX($V$1005:$AE$1005,1,MATCH(COLUMNS($V$1006:W1006),$V$1006:$AE$1006,0))&gt;=100000), " ",IF(INDEX($V$2:$AE$1001,MATCH(ROWS($O$2:O50),$O$2:$O$1001,0),MATCH(COLUMNS($V$1006:W1006),$V$1006:$AE$1006,0)), HYPERLINK("#",""), HYPERLINK(CONCATENATE("#Metadata!", ADDRESS(INDEX($Q$2:$Q$1001,MATCH(ROWS($O$2:O50),$O$2:$O$1001,0),0), INDEX($V$1004:$AE$1004,1,MATCH(COLUMNS($V$1006:W1006),$V$1006:$AE$1006,0)))),"Fix")))</f>
        <v>0</v>
      </c>
      <c r="D50" s="4">
        <f>IF(OR(INDEX($P$2:$P$1001,MATCH(ROWS($O$2:O50),$O$2:$O$1001,0),1)&gt;=100000,INDEX($V$1005:$AE$1005,1,MATCH(COLUMNS($V$1006:X1006),$V$1006:$AE$1006,0))&gt;=100000), " ",IF(INDEX($V$2:$AE$1001,MATCH(ROWS($O$2:O50),$O$2:$O$1001,0),MATCH(COLUMNS($V$1006:X1006),$V$1006:$AE$1006,0)), HYPERLINK("#",""), HYPERLINK(CONCATENATE("#Metadata!", ADDRESS(INDEX($Q$2:$Q$1001,MATCH(ROWS($O$2:O50),$O$2:$O$1001,0),0), INDEX($V$1004:$AE$1004,1,MATCH(COLUMNS($V$1006:X1006),$V$1006:$AE$1006,0)))),"Fix")))</f>
        <v>0</v>
      </c>
      <c r="E50" s="4">
        <f>IF(OR(INDEX($P$2:$P$1001,MATCH(ROWS($O$2:O50),$O$2:$O$1001,0),1)&gt;=100000,INDEX($V$1005:$AE$1005,1,MATCH(COLUMNS($V$1006:Y1006),$V$1006:$AE$1006,0))&gt;=100000), " ",IF(INDEX($V$2:$AE$1001,MATCH(ROWS($O$2:O50),$O$2:$O$1001,0),MATCH(COLUMNS($V$1006:Y1006),$V$1006:$AE$1006,0)), HYPERLINK("#",""), HYPERLINK(CONCATENATE("#Metadata!", ADDRESS(INDEX($Q$2:$Q$1001,MATCH(ROWS($O$2:O50),$O$2:$O$1001,0),0), INDEX($V$1004:$AE$1004,1,MATCH(COLUMNS($V$1006:Y1006),$V$1006:$AE$1006,0)))),"Fix")))</f>
        <v>0</v>
      </c>
      <c r="F50" s="4">
        <f>IF(OR(INDEX($P$2:$P$1001,MATCH(ROWS($O$2:O50),$O$2:$O$1001,0),1)&gt;=100000,INDEX($V$1005:$AE$1005,1,MATCH(COLUMNS($V$1006:Z1006),$V$1006:$AE$1006,0))&gt;=100000), " ",IF(INDEX($V$2:$AE$1001,MATCH(ROWS($O$2:O50),$O$2:$O$1001,0),MATCH(COLUMNS($V$1006:Z1006),$V$1006:$AE$1006,0)), HYPERLINK("#",""), HYPERLINK(CONCATENATE("#Metadata!", ADDRESS(INDEX($Q$2:$Q$1001,MATCH(ROWS($O$2:O50),$O$2:$O$1001,0),0), INDEX($V$1004:$AE$1004,1,MATCH(COLUMNS($V$1006:Z1006),$V$1006:$AE$1006,0)))),"Fix")))</f>
        <v>0</v>
      </c>
      <c r="G50" s="4">
        <f>IF(OR(INDEX($P$2:$P$1001,MATCH(ROWS($O$2:O50),$O$2:$O$1001,0),1)&gt;=100000,INDEX($V$1005:$AE$1005,1,MATCH(COLUMNS($V$1006:AA1006),$V$1006:$AE$1006,0))&gt;=100000), " ",IF(INDEX($V$2:$AE$1001,MATCH(ROWS($O$2:O50),$O$2:$O$1001,0),MATCH(COLUMNS($V$1006:AA1006),$V$1006:$AE$1006,0)), HYPERLINK("#",""), HYPERLINK(CONCATENATE("#Metadata!", ADDRESS(INDEX($Q$2:$Q$1001,MATCH(ROWS($O$2:O50),$O$2:$O$1001,0),0), INDEX($V$1004:$AE$1004,1,MATCH(COLUMNS($V$1006:AA1006),$V$1006:$AE$1006,0)))),"Fix")))</f>
        <v>0</v>
      </c>
      <c r="H50" s="4">
        <f>IF(OR(INDEX($P$2:$P$1001,MATCH(ROWS($O$2:O50),$O$2:$O$1001,0),1)&gt;=100000,INDEX($V$1005:$AE$1005,1,MATCH(COLUMNS($V$1006:AB1006),$V$1006:$AE$1006,0))&gt;=100000), " ",IF(INDEX($V$2:$AE$1001,MATCH(ROWS($O$2:O50),$O$2:$O$1001,0),MATCH(COLUMNS($V$1006:AB1006),$V$1006:$AE$1006,0)), HYPERLINK("#",""), HYPERLINK(CONCATENATE("#Metadata!", ADDRESS(INDEX($Q$2:$Q$1001,MATCH(ROWS($O$2:O50),$O$2:$O$1001,0),0), INDEX($V$1004:$AE$1004,1,MATCH(COLUMNS($V$1006:AB1006),$V$1006:$AE$1006,0)))),"Fix")))</f>
        <v>0</v>
      </c>
      <c r="I50" s="4">
        <f>IF(OR(INDEX($P$2:$P$1001,MATCH(ROWS($O$2:O50),$O$2:$O$1001,0),1)&gt;=100000,INDEX($V$1005:$AE$1005,1,MATCH(COLUMNS($V$1006:AC1006),$V$1006:$AE$1006,0))&gt;=100000), " ",IF(INDEX($V$2:$AE$1001,MATCH(ROWS($O$2:O50),$O$2:$O$1001,0),MATCH(COLUMNS($V$1006:AC1006),$V$1006:$AE$1006,0)), HYPERLINK("#",""), HYPERLINK(CONCATENATE("#Metadata!", ADDRESS(INDEX($Q$2:$Q$1001,MATCH(ROWS($O$2:O50),$O$2:$O$1001,0),0), INDEX($V$1004:$AE$1004,1,MATCH(COLUMNS($V$1006:AC1006),$V$1006:$AE$1006,0)))),"Fix")))</f>
        <v>0</v>
      </c>
      <c r="J50" s="4">
        <f>IF(OR(INDEX($P$2:$P$1001,MATCH(ROWS($O$2:O50),$O$2:$O$1001,0),1)&gt;=100000,INDEX($V$1005:$AE$1005,1,MATCH(COLUMNS($V$1006:AD1006),$V$1006:$AE$1006,0))&gt;=100000), " ",IF(INDEX($V$2:$AE$1001,MATCH(ROWS($O$2:O50),$O$2:$O$1001,0),MATCH(COLUMNS($V$1006:AD1006),$V$1006:$AE$1006,0)), HYPERLINK("#",""), HYPERLINK(CONCATENATE("#Metadata!", ADDRESS(INDEX($Q$2:$Q$1001,MATCH(ROWS($O$2:O50),$O$2:$O$1001,0),0), INDEX($V$1004:$AE$1004,1,MATCH(COLUMNS($V$1006:AD1006),$V$1006:$AE$1006,0)))),"Fix")))</f>
        <v>0</v>
      </c>
      <c r="K50" s="4">
        <f>IF(OR(INDEX($P$2:$P$1001,MATCH(ROWS($O$2:O50),$O$2:$O$1001,0),1)&gt;=100000,INDEX($V$1005:$AE$1005,1,MATCH(COLUMNS($V$1006:AE1006),$V$1006:$AE$1006,0))&gt;=100000), " ",IF(INDEX($V$2:$AE$1001,MATCH(ROWS($O$2:O50),$O$2:$O$1001,0),MATCH(COLUMNS($V$1006:AE1006),$V$1006:$AE$1006,0)), HYPERLINK("#",""), HYPERLINK(CONCATENATE("#Metadata!", ADDRESS(INDEX($Q$2:$Q$1001,MATCH(ROWS($O$2:O50),$O$2:$O$1001,0),0), INDEX($V$1004:$AE$1004,1,MATCH(COLUMNS($V$1006:AE1006),$V$1006:$AE$1006,0)))),"Fix")))</f>
        <v>0</v>
      </c>
      <c r="O50">
        <v>0</v>
      </c>
      <c r="P50">
        <v>0</v>
      </c>
      <c r="Q50">
        <v>0</v>
      </c>
      <c r="R50">
        <f>IF(S50,TRUE,AND(V50:AE50))</f>
        <v>0</v>
      </c>
      <c r="S50">
        <f>COUNTBLANK(Metadata!B50:K50)=COLUMNS(Metadata!B50:K50)</f>
        <v>0</v>
      </c>
      <c r="T50">
        <v>0</v>
      </c>
      <c r="V50">
        <f>AND(IF(Metadata!B50="",FALSE,TRUE),COUNTIF(Metadata!B:B, Metadata!B50) = 1,NOT(ISERROR(SUMPRODUCT(SEARCH(MID(Metadata!B50,ROW(INDIRECT("1:"&amp;LEN(Metadata!B50))), 1),"0123456789abcdefghijklmnopqrstuvwxyzABCDEFGHIJKLMNOPQRSTUVWXYZ.")))))</f>
        <v>0</v>
      </c>
      <c r="W50">
        <f>AND(IF(Metadata!C50="",FALSE,TRUE),exact(Metadata!C50,"urban biome"))</f>
        <v>0</v>
      </c>
      <c r="X50">
        <f>AND(IF(Metadata!D50="",FALSE,TRUE),exact(Metadata!D50,"animal-associated habitat"))</f>
        <v>0</v>
      </c>
      <c r="Y50">
        <f>OR(AND(IF(Metadata!E50="",FALSE,TRUE),OR(exact(Metadata!E50,"not applicable"),exact(Metadata!E50,"missing: not collected"),exact(Metadata!E50,"missing: not provided"),exact(Metadata!E50,"missing: restricted access"))),AND(IF(Metadata!E50="",FALSE,ISNUMBER(VALUE(Metadata!E50))),Metadata!E50&gt;0))</f>
        <v>0</v>
      </c>
      <c r="Z50">
        <f>AND(IF(Metadata!F50="",FALSE,TRUE),exact(Metadata!F50,"weeks"))</f>
        <v>0</v>
      </c>
      <c r="AA50">
        <f>AND(IF(Metadata!G50="",FALSE,TRUE),exact(Metadata!G50,"mouse"))</f>
        <v>0</v>
      </c>
      <c r="AB50">
        <f>AND(IF(Metadata!H50="",FALSE,TRUE),exact(Metadata!H50,"Mus musculus"))</f>
        <v>0</v>
      </c>
      <c r="AC50">
        <f>AND(IF(Metadata!I50="",FALSE,TRUE),exact(Metadata!I50,"10090"))</f>
        <v>0</v>
      </c>
      <c r="AD50">
        <f>OR(AND(IF(Metadata!J50="",FALSE,TRUE),OR(exact(Metadata!J50,"not applicable"),exact(Metadata!J50,"missing: not collected"),exact(Metadata!J50,"missing: not provided"),exact(Metadata!J50,"missing: restricted access"))),AND(IF(Metadata!J50="",FALSE,ISNUMBER(VALUE(Metadata!J50))),Metadata!J50&gt;0))</f>
        <v>0</v>
      </c>
      <c r="AE50">
        <f>AND(IF(Metadata!K50="",FALSE,TRUE),exact(Metadata!K50,"g"))</f>
        <v>0</v>
      </c>
    </row>
    <row r="51" spans="1:31">
      <c r="A51" s="5">
        <f>IF(B51=" "," ",HYPERLINK(CONCATENATE("#metadata!",ADDRESS(INDEX($Q$2:$Q$1001,MATCH(ROWS($O$2:O51),$O$2:$O$1001,0),0),1)),INDEX($T$2:$T$1001,MATCH(ROWS($O$2:O51),$O$2:$O$1001,0),0)))</f>
        <v>0</v>
      </c>
      <c r="B51" s="4">
        <f>IF(OR(INDEX($P$2:$P$1001,MATCH(ROWS($O$2:O51),$O$2:$O$1001,0),1)&gt;=100000,INDEX($V$1005:$AE$1005,1,MATCH(COLUMNS($V$1006:V1006),$V$1006:$AE$1006,0))&gt;=100000), " ",IF(INDEX($V$2:$AE$1001,MATCH(ROWS($O$2:O51),$O$2:$O$1001,0),MATCH(COLUMNS($V$1006:V1006),$V$1006:$AE$1006,0)), HYPERLINK("#",""), HYPERLINK(CONCATENATE("#Metadata!", ADDRESS(INDEX($Q$2:$Q$1001,MATCH(ROWS($O$2:O51),$O$2:$O$1001,0),0), INDEX($V$1004:$AE$1004,1,MATCH(COLUMNS($V$1006:V1006),$V$1006:$AE$1006,0)))),"Fix")))</f>
        <v>0</v>
      </c>
      <c r="C51" s="4">
        <f>IF(OR(INDEX($P$2:$P$1001,MATCH(ROWS($O$2:O51),$O$2:$O$1001,0),1)&gt;=100000,INDEX($V$1005:$AE$1005,1,MATCH(COLUMNS($V$1006:W1006),$V$1006:$AE$1006,0))&gt;=100000), " ",IF(INDEX($V$2:$AE$1001,MATCH(ROWS($O$2:O51),$O$2:$O$1001,0),MATCH(COLUMNS($V$1006:W1006),$V$1006:$AE$1006,0)), HYPERLINK("#",""), HYPERLINK(CONCATENATE("#Metadata!", ADDRESS(INDEX($Q$2:$Q$1001,MATCH(ROWS($O$2:O51),$O$2:$O$1001,0),0), INDEX($V$1004:$AE$1004,1,MATCH(COLUMNS($V$1006:W1006),$V$1006:$AE$1006,0)))),"Fix")))</f>
        <v>0</v>
      </c>
      <c r="D51" s="4">
        <f>IF(OR(INDEX($P$2:$P$1001,MATCH(ROWS($O$2:O51),$O$2:$O$1001,0),1)&gt;=100000,INDEX($V$1005:$AE$1005,1,MATCH(COLUMNS($V$1006:X1006),$V$1006:$AE$1006,0))&gt;=100000), " ",IF(INDEX($V$2:$AE$1001,MATCH(ROWS($O$2:O51),$O$2:$O$1001,0),MATCH(COLUMNS($V$1006:X1006),$V$1006:$AE$1006,0)), HYPERLINK("#",""), HYPERLINK(CONCATENATE("#Metadata!", ADDRESS(INDEX($Q$2:$Q$1001,MATCH(ROWS($O$2:O51),$O$2:$O$1001,0),0), INDEX($V$1004:$AE$1004,1,MATCH(COLUMNS($V$1006:X1006),$V$1006:$AE$1006,0)))),"Fix")))</f>
        <v>0</v>
      </c>
      <c r="E51" s="4">
        <f>IF(OR(INDEX($P$2:$P$1001,MATCH(ROWS($O$2:O51),$O$2:$O$1001,0),1)&gt;=100000,INDEX($V$1005:$AE$1005,1,MATCH(COLUMNS($V$1006:Y1006),$V$1006:$AE$1006,0))&gt;=100000), " ",IF(INDEX($V$2:$AE$1001,MATCH(ROWS($O$2:O51),$O$2:$O$1001,0),MATCH(COLUMNS($V$1006:Y1006),$V$1006:$AE$1006,0)), HYPERLINK("#",""), HYPERLINK(CONCATENATE("#Metadata!", ADDRESS(INDEX($Q$2:$Q$1001,MATCH(ROWS($O$2:O51),$O$2:$O$1001,0),0), INDEX($V$1004:$AE$1004,1,MATCH(COLUMNS($V$1006:Y1006),$V$1006:$AE$1006,0)))),"Fix")))</f>
        <v>0</v>
      </c>
      <c r="F51" s="4">
        <f>IF(OR(INDEX($P$2:$P$1001,MATCH(ROWS($O$2:O51),$O$2:$O$1001,0),1)&gt;=100000,INDEX($V$1005:$AE$1005,1,MATCH(COLUMNS($V$1006:Z1006),$V$1006:$AE$1006,0))&gt;=100000), " ",IF(INDEX($V$2:$AE$1001,MATCH(ROWS($O$2:O51),$O$2:$O$1001,0),MATCH(COLUMNS($V$1006:Z1006),$V$1006:$AE$1006,0)), HYPERLINK("#",""), HYPERLINK(CONCATENATE("#Metadata!", ADDRESS(INDEX($Q$2:$Q$1001,MATCH(ROWS($O$2:O51),$O$2:$O$1001,0),0), INDEX($V$1004:$AE$1004,1,MATCH(COLUMNS($V$1006:Z1006),$V$1006:$AE$1006,0)))),"Fix")))</f>
        <v>0</v>
      </c>
      <c r="G51" s="4">
        <f>IF(OR(INDEX($P$2:$P$1001,MATCH(ROWS($O$2:O51),$O$2:$O$1001,0),1)&gt;=100000,INDEX($V$1005:$AE$1005,1,MATCH(COLUMNS($V$1006:AA1006),$V$1006:$AE$1006,0))&gt;=100000), " ",IF(INDEX($V$2:$AE$1001,MATCH(ROWS($O$2:O51),$O$2:$O$1001,0),MATCH(COLUMNS($V$1006:AA1006),$V$1006:$AE$1006,0)), HYPERLINK("#",""), HYPERLINK(CONCATENATE("#Metadata!", ADDRESS(INDEX($Q$2:$Q$1001,MATCH(ROWS($O$2:O51),$O$2:$O$1001,0),0), INDEX($V$1004:$AE$1004,1,MATCH(COLUMNS($V$1006:AA1006),$V$1006:$AE$1006,0)))),"Fix")))</f>
        <v>0</v>
      </c>
      <c r="H51" s="4">
        <f>IF(OR(INDEX($P$2:$P$1001,MATCH(ROWS($O$2:O51),$O$2:$O$1001,0),1)&gt;=100000,INDEX($V$1005:$AE$1005,1,MATCH(COLUMNS($V$1006:AB1006),$V$1006:$AE$1006,0))&gt;=100000), " ",IF(INDEX($V$2:$AE$1001,MATCH(ROWS($O$2:O51),$O$2:$O$1001,0),MATCH(COLUMNS($V$1006:AB1006),$V$1006:$AE$1006,0)), HYPERLINK("#",""), HYPERLINK(CONCATENATE("#Metadata!", ADDRESS(INDEX($Q$2:$Q$1001,MATCH(ROWS($O$2:O51),$O$2:$O$1001,0),0), INDEX($V$1004:$AE$1004,1,MATCH(COLUMNS($V$1006:AB1006),$V$1006:$AE$1006,0)))),"Fix")))</f>
        <v>0</v>
      </c>
      <c r="I51" s="4">
        <f>IF(OR(INDEX($P$2:$P$1001,MATCH(ROWS($O$2:O51),$O$2:$O$1001,0),1)&gt;=100000,INDEX($V$1005:$AE$1005,1,MATCH(COLUMNS($V$1006:AC1006),$V$1006:$AE$1006,0))&gt;=100000), " ",IF(INDEX($V$2:$AE$1001,MATCH(ROWS($O$2:O51),$O$2:$O$1001,0),MATCH(COLUMNS($V$1006:AC1006),$V$1006:$AE$1006,0)), HYPERLINK("#",""), HYPERLINK(CONCATENATE("#Metadata!", ADDRESS(INDEX($Q$2:$Q$1001,MATCH(ROWS($O$2:O51),$O$2:$O$1001,0),0), INDEX($V$1004:$AE$1004,1,MATCH(COLUMNS($V$1006:AC1006),$V$1006:$AE$1006,0)))),"Fix")))</f>
        <v>0</v>
      </c>
      <c r="J51" s="4">
        <f>IF(OR(INDEX($P$2:$P$1001,MATCH(ROWS($O$2:O51),$O$2:$O$1001,0),1)&gt;=100000,INDEX($V$1005:$AE$1005,1,MATCH(COLUMNS($V$1006:AD1006),$V$1006:$AE$1006,0))&gt;=100000), " ",IF(INDEX($V$2:$AE$1001,MATCH(ROWS($O$2:O51),$O$2:$O$1001,0),MATCH(COLUMNS($V$1006:AD1006),$V$1006:$AE$1006,0)), HYPERLINK("#",""), HYPERLINK(CONCATENATE("#Metadata!", ADDRESS(INDEX($Q$2:$Q$1001,MATCH(ROWS($O$2:O51),$O$2:$O$1001,0),0), INDEX($V$1004:$AE$1004,1,MATCH(COLUMNS($V$1006:AD1006),$V$1006:$AE$1006,0)))),"Fix")))</f>
        <v>0</v>
      </c>
      <c r="K51" s="4">
        <f>IF(OR(INDEX($P$2:$P$1001,MATCH(ROWS($O$2:O51),$O$2:$O$1001,0),1)&gt;=100000,INDEX($V$1005:$AE$1005,1,MATCH(COLUMNS($V$1006:AE1006),$V$1006:$AE$1006,0))&gt;=100000), " ",IF(INDEX($V$2:$AE$1001,MATCH(ROWS($O$2:O51),$O$2:$O$1001,0),MATCH(COLUMNS($V$1006:AE1006),$V$1006:$AE$1006,0)), HYPERLINK("#",""), HYPERLINK(CONCATENATE("#Metadata!", ADDRESS(INDEX($Q$2:$Q$1001,MATCH(ROWS($O$2:O51),$O$2:$O$1001,0),0), INDEX($V$1004:$AE$1004,1,MATCH(COLUMNS($V$1006:AE1006),$V$1006:$AE$1006,0)))),"Fix")))</f>
        <v>0</v>
      </c>
      <c r="O51">
        <v>0</v>
      </c>
      <c r="P51">
        <v>0</v>
      </c>
      <c r="Q51">
        <v>0</v>
      </c>
      <c r="R51">
        <f>IF(S51,TRUE,AND(V51:AE51))</f>
        <v>0</v>
      </c>
      <c r="S51">
        <f>COUNTBLANK(Metadata!B51:K51)=COLUMNS(Metadata!B51:K51)</f>
        <v>0</v>
      </c>
      <c r="T51">
        <v>0</v>
      </c>
      <c r="V51">
        <f>AND(IF(Metadata!B51="",FALSE,TRUE),COUNTIF(Metadata!B:B, Metadata!B51) = 1,NOT(ISERROR(SUMPRODUCT(SEARCH(MID(Metadata!B51,ROW(INDIRECT("1:"&amp;LEN(Metadata!B51))), 1),"0123456789abcdefghijklmnopqrstuvwxyzABCDEFGHIJKLMNOPQRSTUVWXYZ.")))))</f>
        <v>0</v>
      </c>
      <c r="W51">
        <f>AND(IF(Metadata!C51="",FALSE,TRUE),exact(Metadata!C51,"urban biome"))</f>
        <v>0</v>
      </c>
      <c r="X51">
        <f>AND(IF(Metadata!D51="",FALSE,TRUE),exact(Metadata!D51,"animal-associated habitat"))</f>
        <v>0</v>
      </c>
      <c r="Y51">
        <f>OR(AND(IF(Metadata!E51="",FALSE,TRUE),OR(exact(Metadata!E51,"not applicable"),exact(Metadata!E51,"missing: not collected"),exact(Metadata!E51,"missing: not provided"),exact(Metadata!E51,"missing: restricted access"))),AND(IF(Metadata!E51="",FALSE,ISNUMBER(VALUE(Metadata!E51))),Metadata!E51&gt;0))</f>
        <v>0</v>
      </c>
      <c r="Z51">
        <f>AND(IF(Metadata!F51="",FALSE,TRUE),exact(Metadata!F51,"weeks"))</f>
        <v>0</v>
      </c>
      <c r="AA51">
        <f>AND(IF(Metadata!G51="",FALSE,TRUE),exact(Metadata!G51,"mouse"))</f>
        <v>0</v>
      </c>
      <c r="AB51">
        <f>AND(IF(Metadata!H51="",FALSE,TRUE),exact(Metadata!H51,"Mus musculus"))</f>
        <v>0</v>
      </c>
      <c r="AC51">
        <f>AND(IF(Metadata!I51="",FALSE,TRUE),exact(Metadata!I51,"10090"))</f>
        <v>0</v>
      </c>
      <c r="AD51">
        <f>OR(AND(IF(Metadata!J51="",FALSE,TRUE),OR(exact(Metadata!J51,"not applicable"),exact(Metadata!J51,"missing: not collected"),exact(Metadata!J51,"missing: not provided"),exact(Metadata!J51,"missing: restricted access"))),AND(IF(Metadata!J51="",FALSE,ISNUMBER(VALUE(Metadata!J51))),Metadata!J51&gt;0))</f>
        <v>0</v>
      </c>
      <c r="AE51">
        <f>AND(IF(Metadata!K51="",FALSE,TRUE),exact(Metadata!K51,"g"))</f>
        <v>0</v>
      </c>
    </row>
    <row r="52" spans="1:31">
      <c r="A52" s="5">
        <f>IF(B52=" "," ",HYPERLINK(CONCATENATE("#metadata!",ADDRESS(INDEX($Q$2:$Q$1001,MATCH(ROWS($O$2:O52),$O$2:$O$1001,0),0),1)),INDEX($T$2:$T$1001,MATCH(ROWS($O$2:O52),$O$2:$O$1001,0),0)))</f>
        <v>0</v>
      </c>
      <c r="B52" s="4">
        <f>IF(OR(INDEX($P$2:$P$1001,MATCH(ROWS($O$2:O52),$O$2:$O$1001,0),1)&gt;=100000,INDEX($V$1005:$AE$1005,1,MATCH(COLUMNS($V$1006:V1006),$V$1006:$AE$1006,0))&gt;=100000), " ",IF(INDEX($V$2:$AE$1001,MATCH(ROWS($O$2:O52),$O$2:$O$1001,0),MATCH(COLUMNS($V$1006:V1006),$V$1006:$AE$1006,0)), HYPERLINK("#",""), HYPERLINK(CONCATENATE("#Metadata!", ADDRESS(INDEX($Q$2:$Q$1001,MATCH(ROWS($O$2:O52),$O$2:$O$1001,0),0), INDEX($V$1004:$AE$1004,1,MATCH(COLUMNS($V$1006:V1006),$V$1006:$AE$1006,0)))),"Fix")))</f>
        <v>0</v>
      </c>
      <c r="C52" s="4">
        <f>IF(OR(INDEX($P$2:$P$1001,MATCH(ROWS($O$2:O52),$O$2:$O$1001,0),1)&gt;=100000,INDEX($V$1005:$AE$1005,1,MATCH(COLUMNS($V$1006:W1006),$V$1006:$AE$1006,0))&gt;=100000), " ",IF(INDEX($V$2:$AE$1001,MATCH(ROWS($O$2:O52),$O$2:$O$1001,0),MATCH(COLUMNS($V$1006:W1006),$V$1006:$AE$1006,0)), HYPERLINK("#",""), HYPERLINK(CONCATENATE("#Metadata!", ADDRESS(INDEX($Q$2:$Q$1001,MATCH(ROWS($O$2:O52),$O$2:$O$1001,0),0), INDEX($V$1004:$AE$1004,1,MATCH(COLUMNS($V$1006:W1006),$V$1006:$AE$1006,0)))),"Fix")))</f>
        <v>0</v>
      </c>
      <c r="D52" s="4">
        <f>IF(OR(INDEX($P$2:$P$1001,MATCH(ROWS($O$2:O52),$O$2:$O$1001,0),1)&gt;=100000,INDEX($V$1005:$AE$1005,1,MATCH(COLUMNS($V$1006:X1006),$V$1006:$AE$1006,0))&gt;=100000), " ",IF(INDEX($V$2:$AE$1001,MATCH(ROWS($O$2:O52),$O$2:$O$1001,0),MATCH(COLUMNS($V$1006:X1006),$V$1006:$AE$1006,0)), HYPERLINK("#",""), HYPERLINK(CONCATENATE("#Metadata!", ADDRESS(INDEX($Q$2:$Q$1001,MATCH(ROWS($O$2:O52),$O$2:$O$1001,0),0), INDEX($V$1004:$AE$1004,1,MATCH(COLUMNS($V$1006:X1006),$V$1006:$AE$1006,0)))),"Fix")))</f>
        <v>0</v>
      </c>
      <c r="E52" s="4">
        <f>IF(OR(INDEX($P$2:$P$1001,MATCH(ROWS($O$2:O52),$O$2:$O$1001,0),1)&gt;=100000,INDEX($V$1005:$AE$1005,1,MATCH(COLUMNS($V$1006:Y1006),$V$1006:$AE$1006,0))&gt;=100000), " ",IF(INDEX($V$2:$AE$1001,MATCH(ROWS($O$2:O52),$O$2:$O$1001,0),MATCH(COLUMNS($V$1006:Y1006),$V$1006:$AE$1006,0)), HYPERLINK("#",""), HYPERLINK(CONCATENATE("#Metadata!", ADDRESS(INDEX($Q$2:$Q$1001,MATCH(ROWS($O$2:O52),$O$2:$O$1001,0),0), INDEX($V$1004:$AE$1004,1,MATCH(COLUMNS($V$1006:Y1006),$V$1006:$AE$1006,0)))),"Fix")))</f>
        <v>0</v>
      </c>
      <c r="F52" s="4">
        <f>IF(OR(INDEX($P$2:$P$1001,MATCH(ROWS($O$2:O52),$O$2:$O$1001,0),1)&gt;=100000,INDEX($V$1005:$AE$1005,1,MATCH(COLUMNS($V$1006:Z1006),$V$1006:$AE$1006,0))&gt;=100000), " ",IF(INDEX($V$2:$AE$1001,MATCH(ROWS($O$2:O52),$O$2:$O$1001,0),MATCH(COLUMNS($V$1006:Z1006),$V$1006:$AE$1006,0)), HYPERLINK("#",""), HYPERLINK(CONCATENATE("#Metadata!", ADDRESS(INDEX($Q$2:$Q$1001,MATCH(ROWS($O$2:O52),$O$2:$O$1001,0),0), INDEX($V$1004:$AE$1004,1,MATCH(COLUMNS($V$1006:Z1006),$V$1006:$AE$1006,0)))),"Fix")))</f>
        <v>0</v>
      </c>
      <c r="G52" s="4">
        <f>IF(OR(INDEX($P$2:$P$1001,MATCH(ROWS($O$2:O52),$O$2:$O$1001,0),1)&gt;=100000,INDEX($V$1005:$AE$1005,1,MATCH(COLUMNS($V$1006:AA1006),$V$1006:$AE$1006,0))&gt;=100000), " ",IF(INDEX($V$2:$AE$1001,MATCH(ROWS($O$2:O52),$O$2:$O$1001,0),MATCH(COLUMNS($V$1006:AA1006),$V$1006:$AE$1006,0)), HYPERLINK("#",""), HYPERLINK(CONCATENATE("#Metadata!", ADDRESS(INDEX($Q$2:$Q$1001,MATCH(ROWS($O$2:O52),$O$2:$O$1001,0),0), INDEX($V$1004:$AE$1004,1,MATCH(COLUMNS($V$1006:AA1006),$V$1006:$AE$1006,0)))),"Fix")))</f>
        <v>0</v>
      </c>
      <c r="H52" s="4">
        <f>IF(OR(INDEX($P$2:$P$1001,MATCH(ROWS($O$2:O52),$O$2:$O$1001,0),1)&gt;=100000,INDEX($V$1005:$AE$1005,1,MATCH(COLUMNS($V$1006:AB1006),$V$1006:$AE$1006,0))&gt;=100000), " ",IF(INDEX($V$2:$AE$1001,MATCH(ROWS($O$2:O52),$O$2:$O$1001,0),MATCH(COLUMNS($V$1006:AB1006),$V$1006:$AE$1006,0)), HYPERLINK("#",""), HYPERLINK(CONCATENATE("#Metadata!", ADDRESS(INDEX($Q$2:$Q$1001,MATCH(ROWS($O$2:O52),$O$2:$O$1001,0),0), INDEX($V$1004:$AE$1004,1,MATCH(COLUMNS($V$1006:AB1006),$V$1006:$AE$1006,0)))),"Fix")))</f>
        <v>0</v>
      </c>
      <c r="I52" s="4">
        <f>IF(OR(INDEX($P$2:$P$1001,MATCH(ROWS($O$2:O52),$O$2:$O$1001,0),1)&gt;=100000,INDEX($V$1005:$AE$1005,1,MATCH(COLUMNS($V$1006:AC1006),$V$1006:$AE$1006,0))&gt;=100000), " ",IF(INDEX($V$2:$AE$1001,MATCH(ROWS($O$2:O52),$O$2:$O$1001,0),MATCH(COLUMNS($V$1006:AC1006),$V$1006:$AE$1006,0)), HYPERLINK("#",""), HYPERLINK(CONCATENATE("#Metadata!", ADDRESS(INDEX($Q$2:$Q$1001,MATCH(ROWS($O$2:O52),$O$2:$O$1001,0),0), INDEX($V$1004:$AE$1004,1,MATCH(COLUMNS($V$1006:AC1006),$V$1006:$AE$1006,0)))),"Fix")))</f>
        <v>0</v>
      </c>
      <c r="J52" s="4">
        <f>IF(OR(INDEX($P$2:$P$1001,MATCH(ROWS($O$2:O52),$O$2:$O$1001,0),1)&gt;=100000,INDEX($V$1005:$AE$1005,1,MATCH(COLUMNS($V$1006:AD1006),$V$1006:$AE$1006,0))&gt;=100000), " ",IF(INDEX($V$2:$AE$1001,MATCH(ROWS($O$2:O52),$O$2:$O$1001,0),MATCH(COLUMNS($V$1006:AD1006),$V$1006:$AE$1006,0)), HYPERLINK("#",""), HYPERLINK(CONCATENATE("#Metadata!", ADDRESS(INDEX($Q$2:$Q$1001,MATCH(ROWS($O$2:O52),$O$2:$O$1001,0),0), INDEX($V$1004:$AE$1004,1,MATCH(COLUMNS($V$1006:AD1006),$V$1006:$AE$1006,0)))),"Fix")))</f>
        <v>0</v>
      </c>
      <c r="K52" s="4">
        <f>IF(OR(INDEX($P$2:$P$1001,MATCH(ROWS($O$2:O52),$O$2:$O$1001,0),1)&gt;=100000,INDEX($V$1005:$AE$1005,1,MATCH(COLUMNS($V$1006:AE1006),$V$1006:$AE$1006,0))&gt;=100000), " ",IF(INDEX($V$2:$AE$1001,MATCH(ROWS($O$2:O52),$O$2:$O$1001,0),MATCH(COLUMNS($V$1006:AE1006),$V$1006:$AE$1006,0)), HYPERLINK("#",""), HYPERLINK(CONCATENATE("#Metadata!", ADDRESS(INDEX($Q$2:$Q$1001,MATCH(ROWS($O$2:O52),$O$2:$O$1001,0),0), INDEX($V$1004:$AE$1004,1,MATCH(COLUMNS($V$1006:AE1006),$V$1006:$AE$1006,0)))),"Fix")))</f>
        <v>0</v>
      </c>
      <c r="O52">
        <v>0</v>
      </c>
      <c r="P52">
        <v>0</v>
      </c>
      <c r="Q52">
        <v>0</v>
      </c>
      <c r="R52">
        <f>IF(S52,TRUE,AND(V52:AE52))</f>
        <v>0</v>
      </c>
      <c r="S52">
        <f>COUNTBLANK(Metadata!B52:K52)=COLUMNS(Metadata!B52:K52)</f>
        <v>0</v>
      </c>
      <c r="T52">
        <v>0</v>
      </c>
      <c r="V52">
        <f>AND(IF(Metadata!B52="",FALSE,TRUE),COUNTIF(Metadata!B:B, Metadata!B52) = 1,NOT(ISERROR(SUMPRODUCT(SEARCH(MID(Metadata!B52,ROW(INDIRECT("1:"&amp;LEN(Metadata!B52))), 1),"0123456789abcdefghijklmnopqrstuvwxyzABCDEFGHIJKLMNOPQRSTUVWXYZ.")))))</f>
        <v>0</v>
      </c>
      <c r="W52">
        <f>AND(IF(Metadata!C52="",FALSE,TRUE),exact(Metadata!C52,"urban biome"))</f>
        <v>0</v>
      </c>
      <c r="X52">
        <f>AND(IF(Metadata!D52="",FALSE,TRUE),exact(Metadata!D52,"animal-associated habitat"))</f>
        <v>0</v>
      </c>
      <c r="Y52">
        <f>OR(AND(IF(Metadata!E52="",FALSE,TRUE),OR(exact(Metadata!E52,"not applicable"),exact(Metadata!E52,"missing: not collected"),exact(Metadata!E52,"missing: not provided"),exact(Metadata!E52,"missing: restricted access"))),AND(IF(Metadata!E52="",FALSE,ISNUMBER(VALUE(Metadata!E52))),Metadata!E52&gt;0))</f>
        <v>0</v>
      </c>
      <c r="Z52">
        <f>AND(IF(Metadata!F52="",FALSE,TRUE),exact(Metadata!F52,"weeks"))</f>
        <v>0</v>
      </c>
      <c r="AA52">
        <f>AND(IF(Metadata!G52="",FALSE,TRUE),exact(Metadata!G52,"mouse"))</f>
        <v>0</v>
      </c>
      <c r="AB52">
        <f>AND(IF(Metadata!H52="",FALSE,TRUE),exact(Metadata!H52,"Mus musculus"))</f>
        <v>0</v>
      </c>
      <c r="AC52">
        <f>AND(IF(Metadata!I52="",FALSE,TRUE),exact(Metadata!I52,"10090"))</f>
        <v>0</v>
      </c>
      <c r="AD52">
        <f>OR(AND(IF(Metadata!J52="",FALSE,TRUE),OR(exact(Metadata!J52,"not applicable"),exact(Metadata!J52,"missing: not collected"),exact(Metadata!J52,"missing: not provided"),exact(Metadata!J52,"missing: restricted access"))),AND(IF(Metadata!J52="",FALSE,ISNUMBER(VALUE(Metadata!J52))),Metadata!J52&gt;0))</f>
        <v>0</v>
      </c>
      <c r="AE52">
        <f>AND(IF(Metadata!K52="",FALSE,TRUE),exact(Metadata!K52,"g"))</f>
        <v>0</v>
      </c>
    </row>
    <row r="53" spans="1:31">
      <c r="A53" s="5">
        <f>IF(B53=" "," ",HYPERLINK(CONCATENATE("#metadata!",ADDRESS(INDEX($Q$2:$Q$1001,MATCH(ROWS($O$2:O53),$O$2:$O$1001,0),0),1)),INDEX($T$2:$T$1001,MATCH(ROWS($O$2:O53),$O$2:$O$1001,0),0)))</f>
        <v>0</v>
      </c>
      <c r="B53" s="4">
        <f>IF(OR(INDEX($P$2:$P$1001,MATCH(ROWS($O$2:O53),$O$2:$O$1001,0),1)&gt;=100000,INDEX($V$1005:$AE$1005,1,MATCH(COLUMNS($V$1006:V1006),$V$1006:$AE$1006,0))&gt;=100000), " ",IF(INDEX($V$2:$AE$1001,MATCH(ROWS($O$2:O53),$O$2:$O$1001,0),MATCH(COLUMNS($V$1006:V1006),$V$1006:$AE$1006,0)), HYPERLINK("#",""), HYPERLINK(CONCATENATE("#Metadata!", ADDRESS(INDEX($Q$2:$Q$1001,MATCH(ROWS($O$2:O53),$O$2:$O$1001,0),0), INDEX($V$1004:$AE$1004,1,MATCH(COLUMNS($V$1006:V1006),$V$1006:$AE$1006,0)))),"Fix")))</f>
        <v>0</v>
      </c>
      <c r="C53" s="4">
        <f>IF(OR(INDEX($P$2:$P$1001,MATCH(ROWS($O$2:O53),$O$2:$O$1001,0),1)&gt;=100000,INDEX($V$1005:$AE$1005,1,MATCH(COLUMNS($V$1006:W1006),$V$1006:$AE$1006,0))&gt;=100000), " ",IF(INDEX($V$2:$AE$1001,MATCH(ROWS($O$2:O53),$O$2:$O$1001,0),MATCH(COLUMNS($V$1006:W1006),$V$1006:$AE$1006,0)), HYPERLINK("#",""), HYPERLINK(CONCATENATE("#Metadata!", ADDRESS(INDEX($Q$2:$Q$1001,MATCH(ROWS($O$2:O53),$O$2:$O$1001,0),0), INDEX($V$1004:$AE$1004,1,MATCH(COLUMNS($V$1006:W1006),$V$1006:$AE$1006,0)))),"Fix")))</f>
        <v>0</v>
      </c>
      <c r="D53" s="4">
        <f>IF(OR(INDEX($P$2:$P$1001,MATCH(ROWS($O$2:O53),$O$2:$O$1001,0),1)&gt;=100000,INDEX($V$1005:$AE$1005,1,MATCH(COLUMNS($V$1006:X1006),$V$1006:$AE$1006,0))&gt;=100000), " ",IF(INDEX($V$2:$AE$1001,MATCH(ROWS($O$2:O53),$O$2:$O$1001,0),MATCH(COLUMNS($V$1006:X1006),$V$1006:$AE$1006,0)), HYPERLINK("#",""), HYPERLINK(CONCATENATE("#Metadata!", ADDRESS(INDEX($Q$2:$Q$1001,MATCH(ROWS($O$2:O53),$O$2:$O$1001,0),0), INDEX($V$1004:$AE$1004,1,MATCH(COLUMNS($V$1006:X1006),$V$1006:$AE$1006,0)))),"Fix")))</f>
        <v>0</v>
      </c>
      <c r="E53" s="4">
        <f>IF(OR(INDEX($P$2:$P$1001,MATCH(ROWS($O$2:O53),$O$2:$O$1001,0),1)&gt;=100000,INDEX($V$1005:$AE$1005,1,MATCH(COLUMNS($V$1006:Y1006),$V$1006:$AE$1006,0))&gt;=100000), " ",IF(INDEX($V$2:$AE$1001,MATCH(ROWS($O$2:O53),$O$2:$O$1001,0),MATCH(COLUMNS($V$1006:Y1006),$V$1006:$AE$1006,0)), HYPERLINK("#",""), HYPERLINK(CONCATENATE("#Metadata!", ADDRESS(INDEX($Q$2:$Q$1001,MATCH(ROWS($O$2:O53),$O$2:$O$1001,0),0), INDEX($V$1004:$AE$1004,1,MATCH(COLUMNS($V$1006:Y1006),$V$1006:$AE$1006,0)))),"Fix")))</f>
        <v>0</v>
      </c>
      <c r="F53" s="4">
        <f>IF(OR(INDEX($P$2:$P$1001,MATCH(ROWS($O$2:O53),$O$2:$O$1001,0),1)&gt;=100000,INDEX($V$1005:$AE$1005,1,MATCH(COLUMNS($V$1006:Z1006),$V$1006:$AE$1006,0))&gt;=100000), " ",IF(INDEX($V$2:$AE$1001,MATCH(ROWS($O$2:O53),$O$2:$O$1001,0),MATCH(COLUMNS($V$1006:Z1006),$V$1006:$AE$1006,0)), HYPERLINK("#",""), HYPERLINK(CONCATENATE("#Metadata!", ADDRESS(INDEX($Q$2:$Q$1001,MATCH(ROWS($O$2:O53),$O$2:$O$1001,0),0), INDEX($V$1004:$AE$1004,1,MATCH(COLUMNS($V$1006:Z1006),$V$1006:$AE$1006,0)))),"Fix")))</f>
        <v>0</v>
      </c>
      <c r="G53" s="4">
        <f>IF(OR(INDEX($P$2:$P$1001,MATCH(ROWS($O$2:O53),$O$2:$O$1001,0),1)&gt;=100000,INDEX($V$1005:$AE$1005,1,MATCH(COLUMNS($V$1006:AA1006),$V$1006:$AE$1006,0))&gt;=100000), " ",IF(INDEX($V$2:$AE$1001,MATCH(ROWS($O$2:O53),$O$2:$O$1001,0),MATCH(COLUMNS($V$1006:AA1006),$V$1006:$AE$1006,0)), HYPERLINK("#",""), HYPERLINK(CONCATENATE("#Metadata!", ADDRESS(INDEX($Q$2:$Q$1001,MATCH(ROWS($O$2:O53),$O$2:$O$1001,0),0), INDEX($V$1004:$AE$1004,1,MATCH(COLUMNS($V$1006:AA1006),$V$1006:$AE$1006,0)))),"Fix")))</f>
        <v>0</v>
      </c>
      <c r="H53" s="4">
        <f>IF(OR(INDEX($P$2:$P$1001,MATCH(ROWS($O$2:O53),$O$2:$O$1001,0),1)&gt;=100000,INDEX($V$1005:$AE$1005,1,MATCH(COLUMNS($V$1006:AB1006),$V$1006:$AE$1006,0))&gt;=100000), " ",IF(INDEX($V$2:$AE$1001,MATCH(ROWS($O$2:O53),$O$2:$O$1001,0),MATCH(COLUMNS($V$1006:AB1006),$V$1006:$AE$1006,0)), HYPERLINK("#",""), HYPERLINK(CONCATENATE("#Metadata!", ADDRESS(INDEX($Q$2:$Q$1001,MATCH(ROWS($O$2:O53),$O$2:$O$1001,0),0), INDEX($V$1004:$AE$1004,1,MATCH(COLUMNS($V$1006:AB1006),$V$1006:$AE$1006,0)))),"Fix")))</f>
        <v>0</v>
      </c>
      <c r="I53" s="4">
        <f>IF(OR(INDEX($P$2:$P$1001,MATCH(ROWS($O$2:O53),$O$2:$O$1001,0),1)&gt;=100000,INDEX($V$1005:$AE$1005,1,MATCH(COLUMNS($V$1006:AC1006),$V$1006:$AE$1006,0))&gt;=100000), " ",IF(INDEX($V$2:$AE$1001,MATCH(ROWS($O$2:O53),$O$2:$O$1001,0),MATCH(COLUMNS($V$1006:AC1006),$V$1006:$AE$1006,0)), HYPERLINK("#",""), HYPERLINK(CONCATENATE("#Metadata!", ADDRESS(INDEX($Q$2:$Q$1001,MATCH(ROWS($O$2:O53),$O$2:$O$1001,0),0), INDEX($V$1004:$AE$1004,1,MATCH(COLUMNS($V$1006:AC1006),$V$1006:$AE$1006,0)))),"Fix")))</f>
        <v>0</v>
      </c>
      <c r="J53" s="4">
        <f>IF(OR(INDEX($P$2:$P$1001,MATCH(ROWS($O$2:O53),$O$2:$O$1001,0),1)&gt;=100000,INDEX($V$1005:$AE$1005,1,MATCH(COLUMNS($V$1006:AD1006),$V$1006:$AE$1006,0))&gt;=100000), " ",IF(INDEX($V$2:$AE$1001,MATCH(ROWS($O$2:O53),$O$2:$O$1001,0),MATCH(COLUMNS($V$1006:AD1006),$V$1006:$AE$1006,0)), HYPERLINK("#",""), HYPERLINK(CONCATENATE("#Metadata!", ADDRESS(INDEX($Q$2:$Q$1001,MATCH(ROWS($O$2:O53),$O$2:$O$1001,0),0), INDEX($V$1004:$AE$1004,1,MATCH(COLUMNS($V$1006:AD1006),$V$1006:$AE$1006,0)))),"Fix")))</f>
        <v>0</v>
      </c>
      <c r="K53" s="4">
        <f>IF(OR(INDEX($P$2:$P$1001,MATCH(ROWS($O$2:O53),$O$2:$O$1001,0),1)&gt;=100000,INDEX($V$1005:$AE$1005,1,MATCH(COLUMNS($V$1006:AE1006),$V$1006:$AE$1006,0))&gt;=100000), " ",IF(INDEX($V$2:$AE$1001,MATCH(ROWS($O$2:O53),$O$2:$O$1001,0),MATCH(COLUMNS($V$1006:AE1006),$V$1006:$AE$1006,0)), HYPERLINK("#",""), HYPERLINK(CONCATENATE("#Metadata!", ADDRESS(INDEX($Q$2:$Q$1001,MATCH(ROWS($O$2:O53),$O$2:$O$1001,0),0), INDEX($V$1004:$AE$1004,1,MATCH(COLUMNS($V$1006:AE1006),$V$1006:$AE$1006,0)))),"Fix")))</f>
        <v>0</v>
      </c>
      <c r="O53">
        <v>0</v>
      </c>
      <c r="P53">
        <v>0</v>
      </c>
      <c r="Q53">
        <v>0</v>
      </c>
      <c r="R53">
        <f>IF(S53,TRUE,AND(V53:AE53))</f>
        <v>0</v>
      </c>
      <c r="S53">
        <f>COUNTBLANK(Metadata!B53:K53)=COLUMNS(Metadata!B53:K53)</f>
        <v>0</v>
      </c>
      <c r="T53">
        <v>0</v>
      </c>
      <c r="V53">
        <f>AND(IF(Metadata!B53="",FALSE,TRUE),COUNTIF(Metadata!B:B, Metadata!B53) = 1,NOT(ISERROR(SUMPRODUCT(SEARCH(MID(Metadata!B53,ROW(INDIRECT("1:"&amp;LEN(Metadata!B53))), 1),"0123456789abcdefghijklmnopqrstuvwxyzABCDEFGHIJKLMNOPQRSTUVWXYZ.")))))</f>
        <v>0</v>
      </c>
      <c r="W53">
        <f>AND(IF(Metadata!C53="",FALSE,TRUE),exact(Metadata!C53,"urban biome"))</f>
        <v>0</v>
      </c>
      <c r="X53">
        <f>AND(IF(Metadata!D53="",FALSE,TRUE),exact(Metadata!D53,"animal-associated habitat"))</f>
        <v>0</v>
      </c>
      <c r="Y53">
        <f>OR(AND(IF(Metadata!E53="",FALSE,TRUE),OR(exact(Metadata!E53,"not applicable"),exact(Metadata!E53,"missing: not collected"),exact(Metadata!E53,"missing: not provided"),exact(Metadata!E53,"missing: restricted access"))),AND(IF(Metadata!E53="",FALSE,ISNUMBER(VALUE(Metadata!E53))),Metadata!E53&gt;0))</f>
        <v>0</v>
      </c>
      <c r="Z53">
        <f>AND(IF(Metadata!F53="",FALSE,TRUE),exact(Metadata!F53,"weeks"))</f>
        <v>0</v>
      </c>
      <c r="AA53">
        <f>AND(IF(Metadata!G53="",FALSE,TRUE),exact(Metadata!G53,"mouse"))</f>
        <v>0</v>
      </c>
      <c r="AB53">
        <f>AND(IF(Metadata!H53="",FALSE,TRUE),exact(Metadata!H53,"Mus musculus"))</f>
        <v>0</v>
      </c>
      <c r="AC53">
        <f>AND(IF(Metadata!I53="",FALSE,TRUE),exact(Metadata!I53,"10090"))</f>
        <v>0</v>
      </c>
      <c r="AD53">
        <f>OR(AND(IF(Metadata!J53="",FALSE,TRUE),OR(exact(Metadata!J53,"not applicable"),exact(Metadata!J53,"missing: not collected"),exact(Metadata!J53,"missing: not provided"),exact(Metadata!J53,"missing: restricted access"))),AND(IF(Metadata!J53="",FALSE,ISNUMBER(VALUE(Metadata!J53))),Metadata!J53&gt;0))</f>
        <v>0</v>
      </c>
      <c r="AE53">
        <f>AND(IF(Metadata!K53="",FALSE,TRUE),exact(Metadata!K53,"g"))</f>
        <v>0</v>
      </c>
    </row>
    <row r="54" spans="1:31">
      <c r="A54" s="5">
        <f>IF(B54=" "," ",HYPERLINK(CONCATENATE("#metadata!",ADDRESS(INDEX($Q$2:$Q$1001,MATCH(ROWS($O$2:O54),$O$2:$O$1001,0),0),1)),INDEX($T$2:$T$1001,MATCH(ROWS($O$2:O54),$O$2:$O$1001,0),0)))</f>
        <v>0</v>
      </c>
      <c r="B54" s="4">
        <f>IF(OR(INDEX($P$2:$P$1001,MATCH(ROWS($O$2:O54),$O$2:$O$1001,0),1)&gt;=100000,INDEX($V$1005:$AE$1005,1,MATCH(COLUMNS($V$1006:V1006),$V$1006:$AE$1006,0))&gt;=100000), " ",IF(INDEX($V$2:$AE$1001,MATCH(ROWS($O$2:O54),$O$2:$O$1001,0),MATCH(COLUMNS($V$1006:V1006),$V$1006:$AE$1006,0)), HYPERLINK("#",""), HYPERLINK(CONCATENATE("#Metadata!", ADDRESS(INDEX($Q$2:$Q$1001,MATCH(ROWS($O$2:O54),$O$2:$O$1001,0),0), INDEX($V$1004:$AE$1004,1,MATCH(COLUMNS($V$1006:V1006),$V$1006:$AE$1006,0)))),"Fix")))</f>
        <v>0</v>
      </c>
      <c r="C54" s="4">
        <f>IF(OR(INDEX($P$2:$P$1001,MATCH(ROWS($O$2:O54),$O$2:$O$1001,0),1)&gt;=100000,INDEX($V$1005:$AE$1005,1,MATCH(COLUMNS($V$1006:W1006),$V$1006:$AE$1006,0))&gt;=100000), " ",IF(INDEX($V$2:$AE$1001,MATCH(ROWS($O$2:O54),$O$2:$O$1001,0),MATCH(COLUMNS($V$1006:W1006),$V$1006:$AE$1006,0)), HYPERLINK("#",""), HYPERLINK(CONCATENATE("#Metadata!", ADDRESS(INDEX($Q$2:$Q$1001,MATCH(ROWS($O$2:O54),$O$2:$O$1001,0),0), INDEX($V$1004:$AE$1004,1,MATCH(COLUMNS($V$1006:W1006),$V$1006:$AE$1006,0)))),"Fix")))</f>
        <v>0</v>
      </c>
      <c r="D54" s="4">
        <f>IF(OR(INDEX($P$2:$P$1001,MATCH(ROWS($O$2:O54),$O$2:$O$1001,0),1)&gt;=100000,INDEX($V$1005:$AE$1005,1,MATCH(COLUMNS($V$1006:X1006),$V$1006:$AE$1006,0))&gt;=100000), " ",IF(INDEX($V$2:$AE$1001,MATCH(ROWS($O$2:O54),$O$2:$O$1001,0),MATCH(COLUMNS($V$1006:X1006),$V$1006:$AE$1006,0)), HYPERLINK("#",""), HYPERLINK(CONCATENATE("#Metadata!", ADDRESS(INDEX($Q$2:$Q$1001,MATCH(ROWS($O$2:O54),$O$2:$O$1001,0),0), INDEX($V$1004:$AE$1004,1,MATCH(COLUMNS($V$1006:X1006),$V$1006:$AE$1006,0)))),"Fix")))</f>
        <v>0</v>
      </c>
      <c r="E54" s="4">
        <f>IF(OR(INDEX($P$2:$P$1001,MATCH(ROWS($O$2:O54),$O$2:$O$1001,0),1)&gt;=100000,INDEX($V$1005:$AE$1005,1,MATCH(COLUMNS($V$1006:Y1006),$V$1006:$AE$1006,0))&gt;=100000), " ",IF(INDEX($V$2:$AE$1001,MATCH(ROWS($O$2:O54),$O$2:$O$1001,0),MATCH(COLUMNS($V$1006:Y1006),$V$1006:$AE$1006,0)), HYPERLINK("#",""), HYPERLINK(CONCATENATE("#Metadata!", ADDRESS(INDEX($Q$2:$Q$1001,MATCH(ROWS($O$2:O54),$O$2:$O$1001,0),0), INDEX($V$1004:$AE$1004,1,MATCH(COLUMNS($V$1006:Y1006),$V$1006:$AE$1006,0)))),"Fix")))</f>
        <v>0</v>
      </c>
      <c r="F54" s="4">
        <f>IF(OR(INDEX($P$2:$P$1001,MATCH(ROWS($O$2:O54),$O$2:$O$1001,0),1)&gt;=100000,INDEX($V$1005:$AE$1005,1,MATCH(COLUMNS($V$1006:Z1006),$V$1006:$AE$1006,0))&gt;=100000), " ",IF(INDEX($V$2:$AE$1001,MATCH(ROWS($O$2:O54),$O$2:$O$1001,0),MATCH(COLUMNS($V$1006:Z1006),$V$1006:$AE$1006,0)), HYPERLINK("#",""), HYPERLINK(CONCATENATE("#Metadata!", ADDRESS(INDEX($Q$2:$Q$1001,MATCH(ROWS($O$2:O54),$O$2:$O$1001,0),0), INDEX($V$1004:$AE$1004,1,MATCH(COLUMNS($V$1006:Z1006),$V$1006:$AE$1006,0)))),"Fix")))</f>
        <v>0</v>
      </c>
      <c r="G54" s="4">
        <f>IF(OR(INDEX($P$2:$P$1001,MATCH(ROWS($O$2:O54),$O$2:$O$1001,0),1)&gt;=100000,INDEX($V$1005:$AE$1005,1,MATCH(COLUMNS($V$1006:AA1006),$V$1006:$AE$1006,0))&gt;=100000), " ",IF(INDEX($V$2:$AE$1001,MATCH(ROWS($O$2:O54),$O$2:$O$1001,0),MATCH(COLUMNS($V$1006:AA1006),$V$1006:$AE$1006,0)), HYPERLINK("#",""), HYPERLINK(CONCATENATE("#Metadata!", ADDRESS(INDEX($Q$2:$Q$1001,MATCH(ROWS($O$2:O54),$O$2:$O$1001,0),0), INDEX($V$1004:$AE$1004,1,MATCH(COLUMNS($V$1006:AA1006),$V$1006:$AE$1006,0)))),"Fix")))</f>
        <v>0</v>
      </c>
      <c r="H54" s="4">
        <f>IF(OR(INDEX($P$2:$P$1001,MATCH(ROWS($O$2:O54),$O$2:$O$1001,0),1)&gt;=100000,INDEX($V$1005:$AE$1005,1,MATCH(COLUMNS($V$1006:AB1006),$V$1006:$AE$1006,0))&gt;=100000), " ",IF(INDEX($V$2:$AE$1001,MATCH(ROWS($O$2:O54),$O$2:$O$1001,0),MATCH(COLUMNS($V$1006:AB1006),$V$1006:$AE$1006,0)), HYPERLINK("#",""), HYPERLINK(CONCATENATE("#Metadata!", ADDRESS(INDEX($Q$2:$Q$1001,MATCH(ROWS($O$2:O54),$O$2:$O$1001,0),0), INDEX($V$1004:$AE$1004,1,MATCH(COLUMNS($V$1006:AB1006),$V$1006:$AE$1006,0)))),"Fix")))</f>
        <v>0</v>
      </c>
      <c r="I54" s="4">
        <f>IF(OR(INDEX($P$2:$P$1001,MATCH(ROWS($O$2:O54),$O$2:$O$1001,0),1)&gt;=100000,INDEX($V$1005:$AE$1005,1,MATCH(COLUMNS($V$1006:AC1006),$V$1006:$AE$1006,0))&gt;=100000), " ",IF(INDEX($V$2:$AE$1001,MATCH(ROWS($O$2:O54),$O$2:$O$1001,0),MATCH(COLUMNS($V$1006:AC1006),$V$1006:$AE$1006,0)), HYPERLINK("#",""), HYPERLINK(CONCATENATE("#Metadata!", ADDRESS(INDEX($Q$2:$Q$1001,MATCH(ROWS($O$2:O54),$O$2:$O$1001,0),0), INDEX($V$1004:$AE$1004,1,MATCH(COLUMNS($V$1006:AC1006),$V$1006:$AE$1006,0)))),"Fix")))</f>
        <v>0</v>
      </c>
      <c r="J54" s="4">
        <f>IF(OR(INDEX($P$2:$P$1001,MATCH(ROWS($O$2:O54),$O$2:$O$1001,0),1)&gt;=100000,INDEX($V$1005:$AE$1005,1,MATCH(COLUMNS($V$1006:AD1006),$V$1006:$AE$1006,0))&gt;=100000), " ",IF(INDEX($V$2:$AE$1001,MATCH(ROWS($O$2:O54),$O$2:$O$1001,0),MATCH(COLUMNS($V$1006:AD1006),$V$1006:$AE$1006,0)), HYPERLINK("#",""), HYPERLINK(CONCATENATE("#Metadata!", ADDRESS(INDEX($Q$2:$Q$1001,MATCH(ROWS($O$2:O54),$O$2:$O$1001,0),0), INDEX($V$1004:$AE$1004,1,MATCH(COLUMNS($V$1006:AD1006),$V$1006:$AE$1006,0)))),"Fix")))</f>
        <v>0</v>
      </c>
      <c r="K54" s="4">
        <f>IF(OR(INDEX($P$2:$P$1001,MATCH(ROWS($O$2:O54),$O$2:$O$1001,0),1)&gt;=100000,INDEX($V$1005:$AE$1005,1,MATCH(COLUMNS($V$1006:AE1006),$V$1006:$AE$1006,0))&gt;=100000), " ",IF(INDEX($V$2:$AE$1001,MATCH(ROWS($O$2:O54),$O$2:$O$1001,0),MATCH(COLUMNS($V$1006:AE1006),$V$1006:$AE$1006,0)), HYPERLINK("#",""), HYPERLINK(CONCATENATE("#Metadata!", ADDRESS(INDEX($Q$2:$Q$1001,MATCH(ROWS($O$2:O54),$O$2:$O$1001,0),0), INDEX($V$1004:$AE$1004,1,MATCH(COLUMNS($V$1006:AE1006),$V$1006:$AE$1006,0)))),"Fix")))</f>
        <v>0</v>
      </c>
      <c r="O54">
        <v>0</v>
      </c>
      <c r="P54">
        <v>0</v>
      </c>
      <c r="Q54">
        <v>0</v>
      </c>
      <c r="R54">
        <f>IF(S54,TRUE,AND(V54:AE54))</f>
        <v>0</v>
      </c>
      <c r="S54">
        <f>COUNTBLANK(Metadata!B54:K54)=COLUMNS(Metadata!B54:K54)</f>
        <v>0</v>
      </c>
      <c r="T54">
        <v>0</v>
      </c>
      <c r="V54">
        <f>AND(IF(Metadata!B54="",FALSE,TRUE),COUNTIF(Metadata!B:B, Metadata!B54) = 1,NOT(ISERROR(SUMPRODUCT(SEARCH(MID(Metadata!B54,ROW(INDIRECT("1:"&amp;LEN(Metadata!B54))), 1),"0123456789abcdefghijklmnopqrstuvwxyzABCDEFGHIJKLMNOPQRSTUVWXYZ.")))))</f>
        <v>0</v>
      </c>
      <c r="W54">
        <f>AND(IF(Metadata!C54="",FALSE,TRUE),exact(Metadata!C54,"urban biome"))</f>
        <v>0</v>
      </c>
      <c r="X54">
        <f>AND(IF(Metadata!D54="",FALSE,TRUE),exact(Metadata!D54,"animal-associated habitat"))</f>
        <v>0</v>
      </c>
      <c r="Y54">
        <f>OR(AND(IF(Metadata!E54="",FALSE,TRUE),OR(exact(Metadata!E54,"not applicable"),exact(Metadata!E54,"missing: not collected"),exact(Metadata!E54,"missing: not provided"),exact(Metadata!E54,"missing: restricted access"))),AND(IF(Metadata!E54="",FALSE,ISNUMBER(VALUE(Metadata!E54))),Metadata!E54&gt;0))</f>
        <v>0</v>
      </c>
      <c r="Z54">
        <f>AND(IF(Metadata!F54="",FALSE,TRUE),exact(Metadata!F54,"weeks"))</f>
        <v>0</v>
      </c>
      <c r="AA54">
        <f>AND(IF(Metadata!G54="",FALSE,TRUE),exact(Metadata!G54,"mouse"))</f>
        <v>0</v>
      </c>
      <c r="AB54">
        <f>AND(IF(Metadata!H54="",FALSE,TRUE),exact(Metadata!H54,"Mus musculus"))</f>
        <v>0</v>
      </c>
      <c r="AC54">
        <f>AND(IF(Metadata!I54="",FALSE,TRUE),exact(Metadata!I54,"10090"))</f>
        <v>0</v>
      </c>
      <c r="AD54">
        <f>OR(AND(IF(Metadata!J54="",FALSE,TRUE),OR(exact(Metadata!J54,"not applicable"),exact(Metadata!J54,"missing: not collected"),exact(Metadata!J54,"missing: not provided"),exact(Metadata!J54,"missing: restricted access"))),AND(IF(Metadata!J54="",FALSE,ISNUMBER(VALUE(Metadata!J54))),Metadata!J54&gt;0))</f>
        <v>0</v>
      </c>
      <c r="AE54">
        <f>AND(IF(Metadata!K54="",FALSE,TRUE),exact(Metadata!K54,"g"))</f>
        <v>0</v>
      </c>
    </row>
    <row r="55" spans="1:31">
      <c r="A55" s="5">
        <f>IF(B55=" "," ",HYPERLINK(CONCATENATE("#metadata!",ADDRESS(INDEX($Q$2:$Q$1001,MATCH(ROWS($O$2:O55),$O$2:$O$1001,0),0),1)),INDEX($T$2:$T$1001,MATCH(ROWS($O$2:O55),$O$2:$O$1001,0),0)))</f>
        <v>0</v>
      </c>
      <c r="B55" s="4">
        <f>IF(OR(INDEX($P$2:$P$1001,MATCH(ROWS($O$2:O55),$O$2:$O$1001,0),1)&gt;=100000,INDEX($V$1005:$AE$1005,1,MATCH(COLUMNS($V$1006:V1006),$V$1006:$AE$1006,0))&gt;=100000), " ",IF(INDEX($V$2:$AE$1001,MATCH(ROWS($O$2:O55),$O$2:$O$1001,0),MATCH(COLUMNS($V$1006:V1006),$V$1006:$AE$1006,0)), HYPERLINK("#",""), HYPERLINK(CONCATENATE("#Metadata!", ADDRESS(INDEX($Q$2:$Q$1001,MATCH(ROWS($O$2:O55),$O$2:$O$1001,0),0), INDEX($V$1004:$AE$1004,1,MATCH(COLUMNS($V$1006:V1006),$V$1006:$AE$1006,0)))),"Fix")))</f>
        <v>0</v>
      </c>
      <c r="C55" s="4">
        <f>IF(OR(INDEX($P$2:$P$1001,MATCH(ROWS($O$2:O55),$O$2:$O$1001,0),1)&gt;=100000,INDEX($V$1005:$AE$1005,1,MATCH(COLUMNS($V$1006:W1006),$V$1006:$AE$1006,0))&gt;=100000), " ",IF(INDEX($V$2:$AE$1001,MATCH(ROWS($O$2:O55),$O$2:$O$1001,0),MATCH(COLUMNS($V$1006:W1006),$V$1006:$AE$1006,0)), HYPERLINK("#",""), HYPERLINK(CONCATENATE("#Metadata!", ADDRESS(INDEX($Q$2:$Q$1001,MATCH(ROWS($O$2:O55),$O$2:$O$1001,0),0), INDEX($V$1004:$AE$1004,1,MATCH(COLUMNS($V$1006:W1006),$V$1006:$AE$1006,0)))),"Fix")))</f>
        <v>0</v>
      </c>
      <c r="D55" s="4">
        <f>IF(OR(INDEX($P$2:$P$1001,MATCH(ROWS($O$2:O55),$O$2:$O$1001,0),1)&gt;=100000,INDEX($V$1005:$AE$1005,1,MATCH(COLUMNS($V$1006:X1006),$V$1006:$AE$1006,0))&gt;=100000), " ",IF(INDEX($V$2:$AE$1001,MATCH(ROWS($O$2:O55),$O$2:$O$1001,0),MATCH(COLUMNS($V$1006:X1006),$V$1006:$AE$1006,0)), HYPERLINK("#",""), HYPERLINK(CONCATENATE("#Metadata!", ADDRESS(INDEX($Q$2:$Q$1001,MATCH(ROWS($O$2:O55),$O$2:$O$1001,0),0), INDEX($V$1004:$AE$1004,1,MATCH(COLUMNS($V$1006:X1006),$V$1006:$AE$1006,0)))),"Fix")))</f>
        <v>0</v>
      </c>
      <c r="E55" s="4">
        <f>IF(OR(INDEX($P$2:$P$1001,MATCH(ROWS($O$2:O55),$O$2:$O$1001,0),1)&gt;=100000,INDEX($V$1005:$AE$1005,1,MATCH(COLUMNS($V$1006:Y1006),$V$1006:$AE$1006,0))&gt;=100000), " ",IF(INDEX($V$2:$AE$1001,MATCH(ROWS($O$2:O55),$O$2:$O$1001,0),MATCH(COLUMNS($V$1006:Y1006),$V$1006:$AE$1006,0)), HYPERLINK("#",""), HYPERLINK(CONCATENATE("#Metadata!", ADDRESS(INDEX($Q$2:$Q$1001,MATCH(ROWS($O$2:O55),$O$2:$O$1001,0),0), INDEX($V$1004:$AE$1004,1,MATCH(COLUMNS($V$1006:Y1006),$V$1006:$AE$1006,0)))),"Fix")))</f>
        <v>0</v>
      </c>
      <c r="F55" s="4">
        <f>IF(OR(INDEX($P$2:$P$1001,MATCH(ROWS($O$2:O55),$O$2:$O$1001,0),1)&gt;=100000,INDEX($V$1005:$AE$1005,1,MATCH(COLUMNS($V$1006:Z1006),$V$1006:$AE$1006,0))&gt;=100000), " ",IF(INDEX($V$2:$AE$1001,MATCH(ROWS($O$2:O55),$O$2:$O$1001,0),MATCH(COLUMNS($V$1006:Z1006),$V$1006:$AE$1006,0)), HYPERLINK("#",""), HYPERLINK(CONCATENATE("#Metadata!", ADDRESS(INDEX($Q$2:$Q$1001,MATCH(ROWS($O$2:O55),$O$2:$O$1001,0),0), INDEX($V$1004:$AE$1004,1,MATCH(COLUMNS($V$1006:Z1006),$V$1006:$AE$1006,0)))),"Fix")))</f>
        <v>0</v>
      </c>
      <c r="G55" s="4">
        <f>IF(OR(INDEX($P$2:$P$1001,MATCH(ROWS($O$2:O55),$O$2:$O$1001,0),1)&gt;=100000,INDEX($V$1005:$AE$1005,1,MATCH(COLUMNS($V$1006:AA1006),$V$1006:$AE$1006,0))&gt;=100000), " ",IF(INDEX($V$2:$AE$1001,MATCH(ROWS($O$2:O55),$O$2:$O$1001,0),MATCH(COLUMNS($V$1006:AA1006),$V$1006:$AE$1006,0)), HYPERLINK("#",""), HYPERLINK(CONCATENATE("#Metadata!", ADDRESS(INDEX($Q$2:$Q$1001,MATCH(ROWS($O$2:O55),$O$2:$O$1001,0),0), INDEX($V$1004:$AE$1004,1,MATCH(COLUMNS($V$1006:AA1006),$V$1006:$AE$1006,0)))),"Fix")))</f>
        <v>0</v>
      </c>
      <c r="H55" s="4">
        <f>IF(OR(INDEX($P$2:$P$1001,MATCH(ROWS($O$2:O55),$O$2:$O$1001,0),1)&gt;=100000,INDEX($V$1005:$AE$1005,1,MATCH(COLUMNS($V$1006:AB1006),$V$1006:$AE$1006,0))&gt;=100000), " ",IF(INDEX($V$2:$AE$1001,MATCH(ROWS($O$2:O55),$O$2:$O$1001,0),MATCH(COLUMNS($V$1006:AB1006),$V$1006:$AE$1006,0)), HYPERLINK("#",""), HYPERLINK(CONCATENATE("#Metadata!", ADDRESS(INDEX($Q$2:$Q$1001,MATCH(ROWS($O$2:O55),$O$2:$O$1001,0),0), INDEX($V$1004:$AE$1004,1,MATCH(COLUMNS($V$1006:AB1006),$V$1006:$AE$1006,0)))),"Fix")))</f>
        <v>0</v>
      </c>
      <c r="I55" s="4">
        <f>IF(OR(INDEX($P$2:$P$1001,MATCH(ROWS($O$2:O55),$O$2:$O$1001,0),1)&gt;=100000,INDEX($V$1005:$AE$1005,1,MATCH(COLUMNS($V$1006:AC1006),$V$1006:$AE$1006,0))&gt;=100000), " ",IF(INDEX($V$2:$AE$1001,MATCH(ROWS($O$2:O55),$O$2:$O$1001,0),MATCH(COLUMNS($V$1006:AC1006),$V$1006:$AE$1006,0)), HYPERLINK("#",""), HYPERLINK(CONCATENATE("#Metadata!", ADDRESS(INDEX($Q$2:$Q$1001,MATCH(ROWS($O$2:O55),$O$2:$O$1001,0),0), INDEX($V$1004:$AE$1004,1,MATCH(COLUMNS($V$1006:AC1006),$V$1006:$AE$1006,0)))),"Fix")))</f>
        <v>0</v>
      </c>
      <c r="J55" s="4">
        <f>IF(OR(INDEX($P$2:$P$1001,MATCH(ROWS($O$2:O55),$O$2:$O$1001,0),1)&gt;=100000,INDEX($V$1005:$AE$1005,1,MATCH(COLUMNS($V$1006:AD1006),$V$1006:$AE$1006,0))&gt;=100000), " ",IF(INDEX($V$2:$AE$1001,MATCH(ROWS($O$2:O55),$O$2:$O$1001,0),MATCH(COLUMNS($V$1006:AD1006),$V$1006:$AE$1006,0)), HYPERLINK("#",""), HYPERLINK(CONCATENATE("#Metadata!", ADDRESS(INDEX($Q$2:$Q$1001,MATCH(ROWS($O$2:O55),$O$2:$O$1001,0),0), INDEX($V$1004:$AE$1004,1,MATCH(COLUMNS($V$1006:AD1006),$V$1006:$AE$1006,0)))),"Fix")))</f>
        <v>0</v>
      </c>
      <c r="K55" s="4">
        <f>IF(OR(INDEX($P$2:$P$1001,MATCH(ROWS($O$2:O55),$O$2:$O$1001,0),1)&gt;=100000,INDEX($V$1005:$AE$1005,1,MATCH(COLUMNS($V$1006:AE1006),$V$1006:$AE$1006,0))&gt;=100000), " ",IF(INDEX($V$2:$AE$1001,MATCH(ROWS($O$2:O55),$O$2:$O$1001,0),MATCH(COLUMNS($V$1006:AE1006),$V$1006:$AE$1006,0)), HYPERLINK("#",""), HYPERLINK(CONCATENATE("#Metadata!", ADDRESS(INDEX($Q$2:$Q$1001,MATCH(ROWS($O$2:O55),$O$2:$O$1001,0),0), INDEX($V$1004:$AE$1004,1,MATCH(COLUMNS($V$1006:AE1006),$V$1006:$AE$1006,0)))),"Fix")))</f>
        <v>0</v>
      </c>
      <c r="O55">
        <v>0</v>
      </c>
      <c r="P55">
        <v>0</v>
      </c>
      <c r="Q55">
        <v>0</v>
      </c>
      <c r="R55">
        <f>IF(S55,TRUE,AND(V55:AE55))</f>
        <v>0</v>
      </c>
      <c r="S55">
        <f>COUNTBLANK(Metadata!B55:K55)=COLUMNS(Metadata!B55:K55)</f>
        <v>0</v>
      </c>
      <c r="T55">
        <v>0</v>
      </c>
      <c r="V55">
        <f>AND(IF(Metadata!B55="",FALSE,TRUE),COUNTIF(Metadata!B:B, Metadata!B55) = 1,NOT(ISERROR(SUMPRODUCT(SEARCH(MID(Metadata!B55,ROW(INDIRECT("1:"&amp;LEN(Metadata!B55))), 1),"0123456789abcdefghijklmnopqrstuvwxyzABCDEFGHIJKLMNOPQRSTUVWXYZ.")))))</f>
        <v>0</v>
      </c>
      <c r="W55">
        <f>AND(IF(Metadata!C55="",FALSE,TRUE),exact(Metadata!C55,"urban biome"))</f>
        <v>0</v>
      </c>
      <c r="X55">
        <f>AND(IF(Metadata!D55="",FALSE,TRUE),exact(Metadata!D55,"animal-associated habitat"))</f>
        <v>0</v>
      </c>
      <c r="Y55">
        <f>OR(AND(IF(Metadata!E55="",FALSE,TRUE),OR(exact(Metadata!E55,"not applicable"),exact(Metadata!E55,"missing: not collected"),exact(Metadata!E55,"missing: not provided"),exact(Metadata!E55,"missing: restricted access"))),AND(IF(Metadata!E55="",FALSE,ISNUMBER(VALUE(Metadata!E55))),Metadata!E55&gt;0))</f>
        <v>0</v>
      </c>
      <c r="Z55">
        <f>AND(IF(Metadata!F55="",FALSE,TRUE),exact(Metadata!F55,"weeks"))</f>
        <v>0</v>
      </c>
      <c r="AA55">
        <f>AND(IF(Metadata!G55="",FALSE,TRUE),exact(Metadata!G55,"mouse"))</f>
        <v>0</v>
      </c>
      <c r="AB55">
        <f>AND(IF(Metadata!H55="",FALSE,TRUE),exact(Metadata!H55,"Mus musculus"))</f>
        <v>0</v>
      </c>
      <c r="AC55">
        <f>AND(IF(Metadata!I55="",FALSE,TRUE),exact(Metadata!I55,"10090"))</f>
        <v>0</v>
      </c>
      <c r="AD55">
        <f>OR(AND(IF(Metadata!J55="",FALSE,TRUE),OR(exact(Metadata!J55,"not applicable"),exact(Metadata!J55,"missing: not collected"),exact(Metadata!J55,"missing: not provided"),exact(Metadata!J55,"missing: restricted access"))),AND(IF(Metadata!J55="",FALSE,ISNUMBER(VALUE(Metadata!J55))),Metadata!J55&gt;0))</f>
        <v>0</v>
      </c>
      <c r="AE55">
        <f>AND(IF(Metadata!K55="",FALSE,TRUE),exact(Metadata!K55,"g"))</f>
        <v>0</v>
      </c>
    </row>
    <row r="56" spans="1:31">
      <c r="A56" s="5">
        <f>IF(B56=" "," ",HYPERLINK(CONCATENATE("#metadata!",ADDRESS(INDEX($Q$2:$Q$1001,MATCH(ROWS($O$2:O56),$O$2:$O$1001,0),0),1)),INDEX($T$2:$T$1001,MATCH(ROWS($O$2:O56),$O$2:$O$1001,0),0)))</f>
        <v>0</v>
      </c>
      <c r="B56" s="4">
        <f>IF(OR(INDEX($P$2:$P$1001,MATCH(ROWS($O$2:O56),$O$2:$O$1001,0),1)&gt;=100000,INDEX($V$1005:$AE$1005,1,MATCH(COLUMNS($V$1006:V1006),$V$1006:$AE$1006,0))&gt;=100000), " ",IF(INDEX($V$2:$AE$1001,MATCH(ROWS($O$2:O56),$O$2:$O$1001,0),MATCH(COLUMNS($V$1006:V1006),$V$1006:$AE$1006,0)), HYPERLINK("#",""), HYPERLINK(CONCATENATE("#Metadata!", ADDRESS(INDEX($Q$2:$Q$1001,MATCH(ROWS($O$2:O56),$O$2:$O$1001,0),0), INDEX($V$1004:$AE$1004,1,MATCH(COLUMNS($V$1006:V1006),$V$1006:$AE$1006,0)))),"Fix")))</f>
        <v>0</v>
      </c>
      <c r="C56" s="4">
        <f>IF(OR(INDEX($P$2:$P$1001,MATCH(ROWS($O$2:O56),$O$2:$O$1001,0),1)&gt;=100000,INDEX($V$1005:$AE$1005,1,MATCH(COLUMNS($V$1006:W1006),$V$1006:$AE$1006,0))&gt;=100000), " ",IF(INDEX($V$2:$AE$1001,MATCH(ROWS($O$2:O56),$O$2:$O$1001,0),MATCH(COLUMNS($V$1006:W1006),$V$1006:$AE$1006,0)), HYPERLINK("#",""), HYPERLINK(CONCATENATE("#Metadata!", ADDRESS(INDEX($Q$2:$Q$1001,MATCH(ROWS($O$2:O56),$O$2:$O$1001,0),0), INDEX($V$1004:$AE$1004,1,MATCH(COLUMNS($V$1006:W1006),$V$1006:$AE$1006,0)))),"Fix")))</f>
        <v>0</v>
      </c>
      <c r="D56" s="4">
        <f>IF(OR(INDEX($P$2:$P$1001,MATCH(ROWS($O$2:O56),$O$2:$O$1001,0),1)&gt;=100000,INDEX($V$1005:$AE$1005,1,MATCH(COLUMNS($V$1006:X1006),$V$1006:$AE$1006,0))&gt;=100000), " ",IF(INDEX($V$2:$AE$1001,MATCH(ROWS($O$2:O56),$O$2:$O$1001,0),MATCH(COLUMNS($V$1006:X1006),$V$1006:$AE$1006,0)), HYPERLINK("#",""), HYPERLINK(CONCATENATE("#Metadata!", ADDRESS(INDEX($Q$2:$Q$1001,MATCH(ROWS($O$2:O56),$O$2:$O$1001,0),0), INDEX($V$1004:$AE$1004,1,MATCH(COLUMNS($V$1006:X1006),$V$1006:$AE$1006,0)))),"Fix")))</f>
        <v>0</v>
      </c>
      <c r="E56" s="4">
        <f>IF(OR(INDEX($P$2:$P$1001,MATCH(ROWS($O$2:O56),$O$2:$O$1001,0),1)&gt;=100000,INDEX($V$1005:$AE$1005,1,MATCH(COLUMNS($V$1006:Y1006),$V$1006:$AE$1006,0))&gt;=100000), " ",IF(INDEX($V$2:$AE$1001,MATCH(ROWS($O$2:O56),$O$2:$O$1001,0),MATCH(COLUMNS($V$1006:Y1006),$V$1006:$AE$1006,0)), HYPERLINK("#",""), HYPERLINK(CONCATENATE("#Metadata!", ADDRESS(INDEX($Q$2:$Q$1001,MATCH(ROWS($O$2:O56),$O$2:$O$1001,0),0), INDEX($V$1004:$AE$1004,1,MATCH(COLUMNS($V$1006:Y1006),$V$1006:$AE$1006,0)))),"Fix")))</f>
        <v>0</v>
      </c>
      <c r="F56" s="4">
        <f>IF(OR(INDEX($P$2:$P$1001,MATCH(ROWS($O$2:O56),$O$2:$O$1001,0),1)&gt;=100000,INDEX($V$1005:$AE$1005,1,MATCH(COLUMNS($V$1006:Z1006),$V$1006:$AE$1006,0))&gt;=100000), " ",IF(INDEX($V$2:$AE$1001,MATCH(ROWS($O$2:O56),$O$2:$O$1001,0),MATCH(COLUMNS($V$1006:Z1006),$V$1006:$AE$1006,0)), HYPERLINK("#",""), HYPERLINK(CONCATENATE("#Metadata!", ADDRESS(INDEX($Q$2:$Q$1001,MATCH(ROWS($O$2:O56),$O$2:$O$1001,0),0), INDEX($V$1004:$AE$1004,1,MATCH(COLUMNS($V$1006:Z1006),$V$1006:$AE$1006,0)))),"Fix")))</f>
        <v>0</v>
      </c>
      <c r="G56" s="4">
        <f>IF(OR(INDEX($P$2:$P$1001,MATCH(ROWS($O$2:O56),$O$2:$O$1001,0),1)&gt;=100000,INDEX($V$1005:$AE$1005,1,MATCH(COLUMNS($V$1006:AA1006),$V$1006:$AE$1006,0))&gt;=100000), " ",IF(INDEX($V$2:$AE$1001,MATCH(ROWS($O$2:O56),$O$2:$O$1001,0),MATCH(COLUMNS($V$1006:AA1006),$V$1006:$AE$1006,0)), HYPERLINK("#",""), HYPERLINK(CONCATENATE("#Metadata!", ADDRESS(INDEX($Q$2:$Q$1001,MATCH(ROWS($O$2:O56),$O$2:$O$1001,0),0), INDEX($V$1004:$AE$1004,1,MATCH(COLUMNS($V$1006:AA1006),$V$1006:$AE$1006,0)))),"Fix")))</f>
        <v>0</v>
      </c>
      <c r="H56" s="4">
        <f>IF(OR(INDEX($P$2:$P$1001,MATCH(ROWS($O$2:O56),$O$2:$O$1001,0),1)&gt;=100000,INDEX($V$1005:$AE$1005,1,MATCH(COLUMNS($V$1006:AB1006),$V$1006:$AE$1006,0))&gt;=100000), " ",IF(INDEX($V$2:$AE$1001,MATCH(ROWS($O$2:O56),$O$2:$O$1001,0),MATCH(COLUMNS($V$1006:AB1006),$V$1006:$AE$1006,0)), HYPERLINK("#",""), HYPERLINK(CONCATENATE("#Metadata!", ADDRESS(INDEX($Q$2:$Q$1001,MATCH(ROWS($O$2:O56),$O$2:$O$1001,0),0), INDEX($V$1004:$AE$1004,1,MATCH(COLUMNS($V$1006:AB1006),$V$1006:$AE$1006,0)))),"Fix")))</f>
        <v>0</v>
      </c>
      <c r="I56" s="4">
        <f>IF(OR(INDEX($P$2:$P$1001,MATCH(ROWS($O$2:O56),$O$2:$O$1001,0),1)&gt;=100000,INDEX($V$1005:$AE$1005,1,MATCH(COLUMNS($V$1006:AC1006),$V$1006:$AE$1006,0))&gt;=100000), " ",IF(INDEX($V$2:$AE$1001,MATCH(ROWS($O$2:O56),$O$2:$O$1001,0),MATCH(COLUMNS($V$1006:AC1006),$V$1006:$AE$1006,0)), HYPERLINK("#",""), HYPERLINK(CONCATENATE("#Metadata!", ADDRESS(INDEX($Q$2:$Q$1001,MATCH(ROWS($O$2:O56),$O$2:$O$1001,0),0), INDEX($V$1004:$AE$1004,1,MATCH(COLUMNS($V$1006:AC1006),$V$1006:$AE$1006,0)))),"Fix")))</f>
        <v>0</v>
      </c>
      <c r="J56" s="4">
        <f>IF(OR(INDEX($P$2:$P$1001,MATCH(ROWS($O$2:O56),$O$2:$O$1001,0),1)&gt;=100000,INDEX($V$1005:$AE$1005,1,MATCH(COLUMNS($V$1006:AD1006),$V$1006:$AE$1006,0))&gt;=100000), " ",IF(INDEX($V$2:$AE$1001,MATCH(ROWS($O$2:O56),$O$2:$O$1001,0),MATCH(COLUMNS($V$1006:AD1006),$V$1006:$AE$1006,0)), HYPERLINK("#",""), HYPERLINK(CONCATENATE("#Metadata!", ADDRESS(INDEX($Q$2:$Q$1001,MATCH(ROWS($O$2:O56),$O$2:$O$1001,0),0), INDEX($V$1004:$AE$1004,1,MATCH(COLUMNS($V$1006:AD1006),$V$1006:$AE$1006,0)))),"Fix")))</f>
        <v>0</v>
      </c>
      <c r="K56" s="4">
        <f>IF(OR(INDEX($P$2:$P$1001,MATCH(ROWS($O$2:O56),$O$2:$O$1001,0),1)&gt;=100000,INDEX($V$1005:$AE$1005,1,MATCH(COLUMNS($V$1006:AE1006),$V$1006:$AE$1006,0))&gt;=100000), " ",IF(INDEX($V$2:$AE$1001,MATCH(ROWS($O$2:O56),$O$2:$O$1001,0),MATCH(COLUMNS($V$1006:AE1006),$V$1006:$AE$1006,0)), HYPERLINK("#",""), HYPERLINK(CONCATENATE("#Metadata!", ADDRESS(INDEX($Q$2:$Q$1001,MATCH(ROWS($O$2:O56),$O$2:$O$1001,0),0), INDEX($V$1004:$AE$1004,1,MATCH(COLUMNS($V$1006:AE1006),$V$1006:$AE$1006,0)))),"Fix")))</f>
        <v>0</v>
      </c>
      <c r="O56">
        <v>0</v>
      </c>
      <c r="P56">
        <v>0</v>
      </c>
      <c r="Q56">
        <v>0</v>
      </c>
      <c r="R56">
        <f>IF(S56,TRUE,AND(V56:AE56))</f>
        <v>0</v>
      </c>
      <c r="S56">
        <f>COUNTBLANK(Metadata!B56:K56)=COLUMNS(Metadata!B56:K56)</f>
        <v>0</v>
      </c>
      <c r="T56">
        <v>0</v>
      </c>
      <c r="V56">
        <f>AND(IF(Metadata!B56="",FALSE,TRUE),COUNTIF(Metadata!B:B, Metadata!B56) = 1,NOT(ISERROR(SUMPRODUCT(SEARCH(MID(Metadata!B56,ROW(INDIRECT("1:"&amp;LEN(Metadata!B56))), 1),"0123456789abcdefghijklmnopqrstuvwxyzABCDEFGHIJKLMNOPQRSTUVWXYZ.")))))</f>
        <v>0</v>
      </c>
      <c r="W56">
        <f>AND(IF(Metadata!C56="",FALSE,TRUE),exact(Metadata!C56,"urban biome"))</f>
        <v>0</v>
      </c>
      <c r="X56">
        <f>AND(IF(Metadata!D56="",FALSE,TRUE),exact(Metadata!D56,"animal-associated habitat"))</f>
        <v>0</v>
      </c>
      <c r="Y56">
        <f>OR(AND(IF(Metadata!E56="",FALSE,TRUE),OR(exact(Metadata!E56,"not applicable"),exact(Metadata!E56,"missing: not collected"),exact(Metadata!E56,"missing: not provided"),exact(Metadata!E56,"missing: restricted access"))),AND(IF(Metadata!E56="",FALSE,ISNUMBER(VALUE(Metadata!E56))),Metadata!E56&gt;0))</f>
        <v>0</v>
      </c>
      <c r="Z56">
        <f>AND(IF(Metadata!F56="",FALSE,TRUE),exact(Metadata!F56,"weeks"))</f>
        <v>0</v>
      </c>
      <c r="AA56">
        <f>AND(IF(Metadata!G56="",FALSE,TRUE),exact(Metadata!G56,"mouse"))</f>
        <v>0</v>
      </c>
      <c r="AB56">
        <f>AND(IF(Metadata!H56="",FALSE,TRUE),exact(Metadata!H56,"Mus musculus"))</f>
        <v>0</v>
      </c>
      <c r="AC56">
        <f>AND(IF(Metadata!I56="",FALSE,TRUE),exact(Metadata!I56,"10090"))</f>
        <v>0</v>
      </c>
      <c r="AD56">
        <f>OR(AND(IF(Metadata!J56="",FALSE,TRUE),OR(exact(Metadata!J56,"not applicable"),exact(Metadata!J56,"missing: not collected"),exact(Metadata!J56,"missing: not provided"),exact(Metadata!J56,"missing: restricted access"))),AND(IF(Metadata!J56="",FALSE,ISNUMBER(VALUE(Metadata!J56))),Metadata!J56&gt;0))</f>
        <v>0</v>
      </c>
      <c r="AE56">
        <f>AND(IF(Metadata!K56="",FALSE,TRUE),exact(Metadata!K56,"g"))</f>
        <v>0</v>
      </c>
    </row>
    <row r="57" spans="1:31">
      <c r="A57" s="5">
        <f>IF(B57=" "," ",HYPERLINK(CONCATENATE("#metadata!",ADDRESS(INDEX($Q$2:$Q$1001,MATCH(ROWS($O$2:O57),$O$2:$O$1001,0),0),1)),INDEX($T$2:$T$1001,MATCH(ROWS($O$2:O57),$O$2:$O$1001,0),0)))</f>
        <v>0</v>
      </c>
      <c r="B57" s="4">
        <f>IF(OR(INDEX($P$2:$P$1001,MATCH(ROWS($O$2:O57),$O$2:$O$1001,0),1)&gt;=100000,INDEX($V$1005:$AE$1005,1,MATCH(COLUMNS($V$1006:V1006),$V$1006:$AE$1006,0))&gt;=100000), " ",IF(INDEX($V$2:$AE$1001,MATCH(ROWS($O$2:O57),$O$2:$O$1001,0),MATCH(COLUMNS($V$1006:V1006),$V$1006:$AE$1006,0)), HYPERLINK("#",""), HYPERLINK(CONCATENATE("#Metadata!", ADDRESS(INDEX($Q$2:$Q$1001,MATCH(ROWS($O$2:O57),$O$2:$O$1001,0),0), INDEX($V$1004:$AE$1004,1,MATCH(COLUMNS($V$1006:V1006),$V$1006:$AE$1006,0)))),"Fix")))</f>
        <v>0</v>
      </c>
      <c r="C57" s="4">
        <f>IF(OR(INDEX($P$2:$P$1001,MATCH(ROWS($O$2:O57),$O$2:$O$1001,0),1)&gt;=100000,INDEX($V$1005:$AE$1005,1,MATCH(COLUMNS($V$1006:W1006),$V$1006:$AE$1006,0))&gt;=100000), " ",IF(INDEX($V$2:$AE$1001,MATCH(ROWS($O$2:O57),$O$2:$O$1001,0),MATCH(COLUMNS($V$1006:W1006),$V$1006:$AE$1006,0)), HYPERLINK("#",""), HYPERLINK(CONCATENATE("#Metadata!", ADDRESS(INDEX($Q$2:$Q$1001,MATCH(ROWS($O$2:O57),$O$2:$O$1001,0),0), INDEX($V$1004:$AE$1004,1,MATCH(COLUMNS($V$1006:W1006),$V$1006:$AE$1006,0)))),"Fix")))</f>
        <v>0</v>
      </c>
      <c r="D57" s="4">
        <f>IF(OR(INDEX($P$2:$P$1001,MATCH(ROWS($O$2:O57),$O$2:$O$1001,0),1)&gt;=100000,INDEX($V$1005:$AE$1005,1,MATCH(COLUMNS($V$1006:X1006),$V$1006:$AE$1006,0))&gt;=100000), " ",IF(INDEX($V$2:$AE$1001,MATCH(ROWS($O$2:O57),$O$2:$O$1001,0),MATCH(COLUMNS($V$1006:X1006),$V$1006:$AE$1006,0)), HYPERLINK("#",""), HYPERLINK(CONCATENATE("#Metadata!", ADDRESS(INDEX($Q$2:$Q$1001,MATCH(ROWS($O$2:O57),$O$2:$O$1001,0),0), INDEX($V$1004:$AE$1004,1,MATCH(COLUMNS($V$1006:X1006),$V$1006:$AE$1006,0)))),"Fix")))</f>
        <v>0</v>
      </c>
      <c r="E57" s="4">
        <f>IF(OR(INDEX($P$2:$P$1001,MATCH(ROWS($O$2:O57),$O$2:$O$1001,0),1)&gt;=100000,INDEX($V$1005:$AE$1005,1,MATCH(COLUMNS($V$1006:Y1006),$V$1006:$AE$1006,0))&gt;=100000), " ",IF(INDEX($V$2:$AE$1001,MATCH(ROWS($O$2:O57),$O$2:$O$1001,0),MATCH(COLUMNS($V$1006:Y1006),$V$1006:$AE$1006,0)), HYPERLINK("#",""), HYPERLINK(CONCATENATE("#Metadata!", ADDRESS(INDEX($Q$2:$Q$1001,MATCH(ROWS($O$2:O57),$O$2:$O$1001,0),0), INDEX($V$1004:$AE$1004,1,MATCH(COLUMNS($V$1006:Y1006),$V$1006:$AE$1006,0)))),"Fix")))</f>
        <v>0</v>
      </c>
      <c r="F57" s="4">
        <f>IF(OR(INDEX($P$2:$P$1001,MATCH(ROWS($O$2:O57),$O$2:$O$1001,0),1)&gt;=100000,INDEX($V$1005:$AE$1005,1,MATCH(COLUMNS($V$1006:Z1006),$V$1006:$AE$1006,0))&gt;=100000), " ",IF(INDEX($V$2:$AE$1001,MATCH(ROWS($O$2:O57),$O$2:$O$1001,0),MATCH(COLUMNS($V$1006:Z1006),$V$1006:$AE$1006,0)), HYPERLINK("#",""), HYPERLINK(CONCATENATE("#Metadata!", ADDRESS(INDEX($Q$2:$Q$1001,MATCH(ROWS($O$2:O57),$O$2:$O$1001,0),0), INDEX($V$1004:$AE$1004,1,MATCH(COLUMNS($V$1006:Z1006),$V$1006:$AE$1006,0)))),"Fix")))</f>
        <v>0</v>
      </c>
      <c r="G57" s="4">
        <f>IF(OR(INDEX($P$2:$P$1001,MATCH(ROWS($O$2:O57),$O$2:$O$1001,0),1)&gt;=100000,INDEX($V$1005:$AE$1005,1,MATCH(COLUMNS($V$1006:AA1006),$V$1006:$AE$1006,0))&gt;=100000), " ",IF(INDEX($V$2:$AE$1001,MATCH(ROWS($O$2:O57),$O$2:$O$1001,0),MATCH(COLUMNS($V$1006:AA1006),$V$1006:$AE$1006,0)), HYPERLINK("#",""), HYPERLINK(CONCATENATE("#Metadata!", ADDRESS(INDEX($Q$2:$Q$1001,MATCH(ROWS($O$2:O57),$O$2:$O$1001,0),0), INDEX($V$1004:$AE$1004,1,MATCH(COLUMNS($V$1006:AA1006),$V$1006:$AE$1006,0)))),"Fix")))</f>
        <v>0</v>
      </c>
      <c r="H57" s="4">
        <f>IF(OR(INDEX($P$2:$P$1001,MATCH(ROWS($O$2:O57),$O$2:$O$1001,0),1)&gt;=100000,INDEX($V$1005:$AE$1005,1,MATCH(COLUMNS($V$1006:AB1006),$V$1006:$AE$1006,0))&gt;=100000), " ",IF(INDEX($V$2:$AE$1001,MATCH(ROWS($O$2:O57),$O$2:$O$1001,0),MATCH(COLUMNS($V$1006:AB1006),$V$1006:$AE$1006,0)), HYPERLINK("#",""), HYPERLINK(CONCATENATE("#Metadata!", ADDRESS(INDEX($Q$2:$Q$1001,MATCH(ROWS($O$2:O57),$O$2:$O$1001,0),0), INDEX($V$1004:$AE$1004,1,MATCH(COLUMNS($V$1006:AB1006),$V$1006:$AE$1006,0)))),"Fix")))</f>
        <v>0</v>
      </c>
      <c r="I57" s="4">
        <f>IF(OR(INDEX($P$2:$P$1001,MATCH(ROWS($O$2:O57),$O$2:$O$1001,0),1)&gt;=100000,INDEX($V$1005:$AE$1005,1,MATCH(COLUMNS($V$1006:AC1006),$V$1006:$AE$1006,0))&gt;=100000), " ",IF(INDEX($V$2:$AE$1001,MATCH(ROWS($O$2:O57),$O$2:$O$1001,0),MATCH(COLUMNS($V$1006:AC1006),$V$1006:$AE$1006,0)), HYPERLINK("#",""), HYPERLINK(CONCATENATE("#Metadata!", ADDRESS(INDEX($Q$2:$Q$1001,MATCH(ROWS($O$2:O57),$O$2:$O$1001,0),0), INDEX($V$1004:$AE$1004,1,MATCH(COLUMNS($V$1006:AC1006),$V$1006:$AE$1006,0)))),"Fix")))</f>
        <v>0</v>
      </c>
      <c r="J57" s="4">
        <f>IF(OR(INDEX($P$2:$P$1001,MATCH(ROWS($O$2:O57),$O$2:$O$1001,0),1)&gt;=100000,INDEX($V$1005:$AE$1005,1,MATCH(COLUMNS($V$1006:AD1006),$V$1006:$AE$1006,0))&gt;=100000), " ",IF(INDEX($V$2:$AE$1001,MATCH(ROWS($O$2:O57),$O$2:$O$1001,0),MATCH(COLUMNS($V$1006:AD1006),$V$1006:$AE$1006,0)), HYPERLINK("#",""), HYPERLINK(CONCATENATE("#Metadata!", ADDRESS(INDEX($Q$2:$Q$1001,MATCH(ROWS($O$2:O57),$O$2:$O$1001,0),0), INDEX($V$1004:$AE$1004,1,MATCH(COLUMNS($V$1006:AD1006),$V$1006:$AE$1006,0)))),"Fix")))</f>
        <v>0</v>
      </c>
      <c r="K57" s="4">
        <f>IF(OR(INDEX($P$2:$P$1001,MATCH(ROWS($O$2:O57),$O$2:$O$1001,0),1)&gt;=100000,INDEX($V$1005:$AE$1005,1,MATCH(COLUMNS($V$1006:AE1006),$V$1006:$AE$1006,0))&gt;=100000), " ",IF(INDEX($V$2:$AE$1001,MATCH(ROWS($O$2:O57),$O$2:$O$1001,0),MATCH(COLUMNS($V$1006:AE1006),$V$1006:$AE$1006,0)), HYPERLINK("#",""), HYPERLINK(CONCATENATE("#Metadata!", ADDRESS(INDEX($Q$2:$Q$1001,MATCH(ROWS($O$2:O57),$O$2:$O$1001,0),0), INDEX($V$1004:$AE$1004,1,MATCH(COLUMNS($V$1006:AE1006),$V$1006:$AE$1006,0)))),"Fix")))</f>
        <v>0</v>
      </c>
      <c r="O57">
        <v>0</v>
      </c>
      <c r="P57">
        <v>0</v>
      </c>
      <c r="Q57">
        <v>0</v>
      </c>
      <c r="R57">
        <f>IF(S57,TRUE,AND(V57:AE57))</f>
        <v>0</v>
      </c>
      <c r="S57">
        <f>COUNTBLANK(Metadata!B57:K57)=COLUMNS(Metadata!B57:K57)</f>
        <v>0</v>
      </c>
      <c r="T57">
        <v>0</v>
      </c>
      <c r="V57">
        <f>AND(IF(Metadata!B57="",FALSE,TRUE),COUNTIF(Metadata!B:B, Metadata!B57) = 1,NOT(ISERROR(SUMPRODUCT(SEARCH(MID(Metadata!B57,ROW(INDIRECT("1:"&amp;LEN(Metadata!B57))), 1),"0123456789abcdefghijklmnopqrstuvwxyzABCDEFGHIJKLMNOPQRSTUVWXYZ.")))))</f>
        <v>0</v>
      </c>
      <c r="W57">
        <f>AND(IF(Metadata!C57="",FALSE,TRUE),exact(Metadata!C57,"urban biome"))</f>
        <v>0</v>
      </c>
      <c r="X57">
        <f>AND(IF(Metadata!D57="",FALSE,TRUE),exact(Metadata!D57,"animal-associated habitat"))</f>
        <v>0</v>
      </c>
      <c r="Y57">
        <f>OR(AND(IF(Metadata!E57="",FALSE,TRUE),OR(exact(Metadata!E57,"not applicable"),exact(Metadata!E57,"missing: not collected"),exact(Metadata!E57,"missing: not provided"),exact(Metadata!E57,"missing: restricted access"))),AND(IF(Metadata!E57="",FALSE,ISNUMBER(VALUE(Metadata!E57))),Metadata!E57&gt;0))</f>
        <v>0</v>
      </c>
      <c r="Z57">
        <f>AND(IF(Metadata!F57="",FALSE,TRUE),exact(Metadata!F57,"weeks"))</f>
        <v>0</v>
      </c>
      <c r="AA57">
        <f>AND(IF(Metadata!G57="",FALSE,TRUE),exact(Metadata!G57,"mouse"))</f>
        <v>0</v>
      </c>
      <c r="AB57">
        <f>AND(IF(Metadata!H57="",FALSE,TRUE),exact(Metadata!H57,"Mus musculus"))</f>
        <v>0</v>
      </c>
      <c r="AC57">
        <f>AND(IF(Metadata!I57="",FALSE,TRUE),exact(Metadata!I57,"10090"))</f>
        <v>0</v>
      </c>
      <c r="AD57">
        <f>OR(AND(IF(Metadata!J57="",FALSE,TRUE),OR(exact(Metadata!J57,"not applicable"),exact(Metadata!J57,"missing: not collected"),exact(Metadata!J57,"missing: not provided"),exact(Metadata!J57,"missing: restricted access"))),AND(IF(Metadata!J57="",FALSE,ISNUMBER(VALUE(Metadata!J57))),Metadata!J57&gt;0))</f>
        <v>0</v>
      </c>
      <c r="AE57">
        <f>AND(IF(Metadata!K57="",FALSE,TRUE),exact(Metadata!K57,"g"))</f>
        <v>0</v>
      </c>
    </row>
    <row r="58" spans="1:31">
      <c r="A58" s="5">
        <f>IF(B58=" "," ",HYPERLINK(CONCATENATE("#metadata!",ADDRESS(INDEX($Q$2:$Q$1001,MATCH(ROWS($O$2:O58),$O$2:$O$1001,0),0),1)),INDEX($T$2:$T$1001,MATCH(ROWS($O$2:O58),$O$2:$O$1001,0),0)))</f>
        <v>0</v>
      </c>
      <c r="B58" s="4">
        <f>IF(OR(INDEX($P$2:$P$1001,MATCH(ROWS($O$2:O58),$O$2:$O$1001,0),1)&gt;=100000,INDEX($V$1005:$AE$1005,1,MATCH(COLUMNS($V$1006:V1006),$V$1006:$AE$1006,0))&gt;=100000), " ",IF(INDEX($V$2:$AE$1001,MATCH(ROWS($O$2:O58),$O$2:$O$1001,0),MATCH(COLUMNS($V$1006:V1006),$V$1006:$AE$1006,0)), HYPERLINK("#",""), HYPERLINK(CONCATENATE("#Metadata!", ADDRESS(INDEX($Q$2:$Q$1001,MATCH(ROWS($O$2:O58),$O$2:$O$1001,0),0), INDEX($V$1004:$AE$1004,1,MATCH(COLUMNS($V$1006:V1006),$V$1006:$AE$1006,0)))),"Fix")))</f>
        <v>0</v>
      </c>
      <c r="C58" s="4">
        <f>IF(OR(INDEX($P$2:$P$1001,MATCH(ROWS($O$2:O58),$O$2:$O$1001,0),1)&gt;=100000,INDEX($V$1005:$AE$1005,1,MATCH(COLUMNS($V$1006:W1006),$V$1006:$AE$1006,0))&gt;=100000), " ",IF(INDEX($V$2:$AE$1001,MATCH(ROWS($O$2:O58),$O$2:$O$1001,0),MATCH(COLUMNS($V$1006:W1006),$V$1006:$AE$1006,0)), HYPERLINK("#",""), HYPERLINK(CONCATENATE("#Metadata!", ADDRESS(INDEX($Q$2:$Q$1001,MATCH(ROWS($O$2:O58),$O$2:$O$1001,0),0), INDEX($V$1004:$AE$1004,1,MATCH(COLUMNS($V$1006:W1006),$V$1006:$AE$1006,0)))),"Fix")))</f>
        <v>0</v>
      </c>
      <c r="D58" s="4">
        <f>IF(OR(INDEX($P$2:$P$1001,MATCH(ROWS($O$2:O58),$O$2:$O$1001,0),1)&gt;=100000,INDEX($V$1005:$AE$1005,1,MATCH(COLUMNS($V$1006:X1006),$V$1006:$AE$1006,0))&gt;=100000), " ",IF(INDEX($V$2:$AE$1001,MATCH(ROWS($O$2:O58),$O$2:$O$1001,0),MATCH(COLUMNS($V$1006:X1006),$V$1006:$AE$1006,0)), HYPERLINK("#",""), HYPERLINK(CONCATENATE("#Metadata!", ADDRESS(INDEX($Q$2:$Q$1001,MATCH(ROWS($O$2:O58),$O$2:$O$1001,0),0), INDEX($V$1004:$AE$1004,1,MATCH(COLUMNS($V$1006:X1006),$V$1006:$AE$1006,0)))),"Fix")))</f>
        <v>0</v>
      </c>
      <c r="E58" s="4">
        <f>IF(OR(INDEX($P$2:$P$1001,MATCH(ROWS($O$2:O58),$O$2:$O$1001,0),1)&gt;=100000,INDEX($V$1005:$AE$1005,1,MATCH(COLUMNS($V$1006:Y1006),$V$1006:$AE$1006,0))&gt;=100000), " ",IF(INDEX($V$2:$AE$1001,MATCH(ROWS($O$2:O58),$O$2:$O$1001,0),MATCH(COLUMNS($V$1006:Y1006),$V$1006:$AE$1006,0)), HYPERLINK("#",""), HYPERLINK(CONCATENATE("#Metadata!", ADDRESS(INDEX($Q$2:$Q$1001,MATCH(ROWS($O$2:O58),$O$2:$O$1001,0),0), INDEX($V$1004:$AE$1004,1,MATCH(COLUMNS($V$1006:Y1006),$V$1006:$AE$1006,0)))),"Fix")))</f>
        <v>0</v>
      </c>
      <c r="F58" s="4">
        <f>IF(OR(INDEX($P$2:$P$1001,MATCH(ROWS($O$2:O58),$O$2:$O$1001,0),1)&gt;=100000,INDEX($V$1005:$AE$1005,1,MATCH(COLUMNS($V$1006:Z1006),$V$1006:$AE$1006,0))&gt;=100000), " ",IF(INDEX($V$2:$AE$1001,MATCH(ROWS($O$2:O58),$O$2:$O$1001,0),MATCH(COLUMNS($V$1006:Z1006),$V$1006:$AE$1006,0)), HYPERLINK("#",""), HYPERLINK(CONCATENATE("#Metadata!", ADDRESS(INDEX($Q$2:$Q$1001,MATCH(ROWS($O$2:O58),$O$2:$O$1001,0),0), INDEX($V$1004:$AE$1004,1,MATCH(COLUMNS($V$1006:Z1006),$V$1006:$AE$1006,0)))),"Fix")))</f>
        <v>0</v>
      </c>
      <c r="G58" s="4">
        <f>IF(OR(INDEX($P$2:$P$1001,MATCH(ROWS($O$2:O58),$O$2:$O$1001,0),1)&gt;=100000,INDEX($V$1005:$AE$1005,1,MATCH(COLUMNS($V$1006:AA1006),$V$1006:$AE$1006,0))&gt;=100000), " ",IF(INDEX($V$2:$AE$1001,MATCH(ROWS($O$2:O58),$O$2:$O$1001,0),MATCH(COLUMNS($V$1006:AA1006),$V$1006:$AE$1006,0)), HYPERLINK("#",""), HYPERLINK(CONCATENATE("#Metadata!", ADDRESS(INDEX($Q$2:$Q$1001,MATCH(ROWS($O$2:O58),$O$2:$O$1001,0),0), INDEX($V$1004:$AE$1004,1,MATCH(COLUMNS($V$1006:AA1006),$V$1006:$AE$1006,0)))),"Fix")))</f>
        <v>0</v>
      </c>
      <c r="H58" s="4">
        <f>IF(OR(INDEX($P$2:$P$1001,MATCH(ROWS($O$2:O58),$O$2:$O$1001,0),1)&gt;=100000,INDEX($V$1005:$AE$1005,1,MATCH(COLUMNS($V$1006:AB1006),$V$1006:$AE$1006,0))&gt;=100000), " ",IF(INDEX($V$2:$AE$1001,MATCH(ROWS($O$2:O58),$O$2:$O$1001,0),MATCH(COLUMNS($V$1006:AB1006),$V$1006:$AE$1006,0)), HYPERLINK("#",""), HYPERLINK(CONCATENATE("#Metadata!", ADDRESS(INDEX($Q$2:$Q$1001,MATCH(ROWS($O$2:O58),$O$2:$O$1001,0),0), INDEX($V$1004:$AE$1004,1,MATCH(COLUMNS($V$1006:AB1006),$V$1006:$AE$1006,0)))),"Fix")))</f>
        <v>0</v>
      </c>
      <c r="I58" s="4">
        <f>IF(OR(INDEX($P$2:$P$1001,MATCH(ROWS($O$2:O58),$O$2:$O$1001,0),1)&gt;=100000,INDEX($V$1005:$AE$1005,1,MATCH(COLUMNS($V$1006:AC1006),$V$1006:$AE$1006,0))&gt;=100000), " ",IF(INDEX($V$2:$AE$1001,MATCH(ROWS($O$2:O58),$O$2:$O$1001,0),MATCH(COLUMNS($V$1006:AC1006),$V$1006:$AE$1006,0)), HYPERLINK("#",""), HYPERLINK(CONCATENATE("#Metadata!", ADDRESS(INDEX($Q$2:$Q$1001,MATCH(ROWS($O$2:O58),$O$2:$O$1001,0),0), INDEX($V$1004:$AE$1004,1,MATCH(COLUMNS($V$1006:AC1006),$V$1006:$AE$1006,0)))),"Fix")))</f>
        <v>0</v>
      </c>
      <c r="J58" s="4">
        <f>IF(OR(INDEX($P$2:$P$1001,MATCH(ROWS($O$2:O58),$O$2:$O$1001,0),1)&gt;=100000,INDEX($V$1005:$AE$1005,1,MATCH(COLUMNS($V$1006:AD1006),$V$1006:$AE$1006,0))&gt;=100000), " ",IF(INDEX($V$2:$AE$1001,MATCH(ROWS($O$2:O58),$O$2:$O$1001,0),MATCH(COLUMNS($V$1006:AD1006),$V$1006:$AE$1006,0)), HYPERLINK("#",""), HYPERLINK(CONCATENATE("#Metadata!", ADDRESS(INDEX($Q$2:$Q$1001,MATCH(ROWS($O$2:O58),$O$2:$O$1001,0),0), INDEX($V$1004:$AE$1004,1,MATCH(COLUMNS($V$1006:AD1006),$V$1006:$AE$1006,0)))),"Fix")))</f>
        <v>0</v>
      </c>
      <c r="K58" s="4">
        <f>IF(OR(INDEX($P$2:$P$1001,MATCH(ROWS($O$2:O58),$O$2:$O$1001,0),1)&gt;=100000,INDEX($V$1005:$AE$1005,1,MATCH(COLUMNS($V$1006:AE1006),$V$1006:$AE$1006,0))&gt;=100000), " ",IF(INDEX($V$2:$AE$1001,MATCH(ROWS($O$2:O58),$O$2:$O$1001,0),MATCH(COLUMNS($V$1006:AE1006),$V$1006:$AE$1006,0)), HYPERLINK("#",""), HYPERLINK(CONCATENATE("#Metadata!", ADDRESS(INDEX($Q$2:$Q$1001,MATCH(ROWS($O$2:O58),$O$2:$O$1001,0),0), INDEX($V$1004:$AE$1004,1,MATCH(COLUMNS($V$1006:AE1006),$V$1006:$AE$1006,0)))),"Fix")))</f>
        <v>0</v>
      </c>
      <c r="O58">
        <v>0</v>
      </c>
      <c r="P58">
        <v>0</v>
      </c>
      <c r="Q58">
        <v>0</v>
      </c>
      <c r="R58">
        <f>IF(S58,TRUE,AND(V58:AE58))</f>
        <v>0</v>
      </c>
      <c r="S58">
        <f>COUNTBLANK(Metadata!B58:K58)=COLUMNS(Metadata!B58:K58)</f>
        <v>0</v>
      </c>
      <c r="T58">
        <v>0</v>
      </c>
      <c r="V58">
        <f>AND(IF(Metadata!B58="",FALSE,TRUE),COUNTIF(Metadata!B:B, Metadata!B58) = 1,NOT(ISERROR(SUMPRODUCT(SEARCH(MID(Metadata!B58,ROW(INDIRECT("1:"&amp;LEN(Metadata!B58))), 1),"0123456789abcdefghijklmnopqrstuvwxyzABCDEFGHIJKLMNOPQRSTUVWXYZ.")))))</f>
        <v>0</v>
      </c>
      <c r="W58">
        <f>AND(IF(Metadata!C58="",FALSE,TRUE),exact(Metadata!C58,"urban biome"))</f>
        <v>0</v>
      </c>
      <c r="X58">
        <f>AND(IF(Metadata!D58="",FALSE,TRUE),exact(Metadata!D58,"animal-associated habitat"))</f>
        <v>0</v>
      </c>
      <c r="Y58">
        <f>OR(AND(IF(Metadata!E58="",FALSE,TRUE),OR(exact(Metadata!E58,"not applicable"),exact(Metadata!E58,"missing: not collected"),exact(Metadata!E58,"missing: not provided"),exact(Metadata!E58,"missing: restricted access"))),AND(IF(Metadata!E58="",FALSE,ISNUMBER(VALUE(Metadata!E58))),Metadata!E58&gt;0))</f>
        <v>0</v>
      </c>
      <c r="Z58">
        <f>AND(IF(Metadata!F58="",FALSE,TRUE),exact(Metadata!F58,"weeks"))</f>
        <v>0</v>
      </c>
      <c r="AA58">
        <f>AND(IF(Metadata!G58="",FALSE,TRUE),exact(Metadata!G58,"mouse"))</f>
        <v>0</v>
      </c>
      <c r="AB58">
        <f>AND(IF(Metadata!H58="",FALSE,TRUE),exact(Metadata!H58,"Mus musculus"))</f>
        <v>0</v>
      </c>
      <c r="AC58">
        <f>AND(IF(Metadata!I58="",FALSE,TRUE),exact(Metadata!I58,"10090"))</f>
        <v>0</v>
      </c>
      <c r="AD58">
        <f>OR(AND(IF(Metadata!J58="",FALSE,TRUE),OR(exact(Metadata!J58,"not applicable"),exact(Metadata!J58,"missing: not collected"),exact(Metadata!J58,"missing: not provided"),exact(Metadata!J58,"missing: restricted access"))),AND(IF(Metadata!J58="",FALSE,ISNUMBER(VALUE(Metadata!J58))),Metadata!J58&gt;0))</f>
        <v>0</v>
      </c>
      <c r="AE58">
        <f>AND(IF(Metadata!K58="",FALSE,TRUE),exact(Metadata!K58,"g"))</f>
        <v>0</v>
      </c>
    </row>
    <row r="59" spans="1:31">
      <c r="A59" s="5">
        <f>IF(B59=" "," ",HYPERLINK(CONCATENATE("#metadata!",ADDRESS(INDEX($Q$2:$Q$1001,MATCH(ROWS($O$2:O59),$O$2:$O$1001,0),0),1)),INDEX($T$2:$T$1001,MATCH(ROWS($O$2:O59),$O$2:$O$1001,0),0)))</f>
        <v>0</v>
      </c>
      <c r="B59" s="4">
        <f>IF(OR(INDEX($P$2:$P$1001,MATCH(ROWS($O$2:O59),$O$2:$O$1001,0),1)&gt;=100000,INDEX($V$1005:$AE$1005,1,MATCH(COLUMNS($V$1006:V1006),$V$1006:$AE$1006,0))&gt;=100000), " ",IF(INDEX($V$2:$AE$1001,MATCH(ROWS($O$2:O59),$O$2:$O$1001,0),MATCH(COLUMNS($V$1006:V1006),$V$1006:$AE$1006,0)), HYPERLINK("#",""), HYPERLINK(CONCATENATE("#Metadata!", ADDRESS(INDEX($Q$2:$Q$1001,MATCH(ROWS($O$2:O59),$O$2:$O$1001,0),0), INDEX($V$1004:$AE$1004,1,MATCH(COLUMNS($V$1006:V1006),$V$1006:$AE$1006,0)))),"Fix")))</f>
        <v>0</v>
      </c>
      <c r="C59" s="4">
        <f>IF(OR(INDEX($P$2:$P$1001,MATCH(ROWS($O$2:O59),$O$2:$O$1001,0),1)&gt;=100000,INDEX($V$1005:$AE$1005,1,MATCH(COLUMNS($V$1006:W1006),$V$1006:$AE$1006,0))&gt;=100000), " ",IF(INDEX($V$2:$AE$1001,MATCH(ROWS($O$2:O59),$O$2:$O$1001,0),MATCH(COLUMNS($V$1006:W1006),$V$1006:$AE$1006,0)), HYPERLINK("#",""), HYPERLINK(CONCATENATE("#Metadata!", ADDRESS(INDEX($Q$2:$Q$1001,MATCH(ROWS($O$2:O59),$O$2:$O$1001,0),0), INDEX($V$1004:$AE$1004,1,MATCH(COLUMNS($V$1006:W1006),$V$1006:$AE$1006,0)))),"Fix")))</f>
        <v>0</v>
      </c>
      <c r="D59" s="4">
        <f>IF(OR(INDEX($P$2:$P$1001,MATCH(ROWS($O$2:O59),$O$2:$O$1001,0),1)&gt;=100000,INDEX($V$1005:$AE$1005,1,MATCH(COLUMNS($V$1006:X1006),$V$1006:$AE$1006,0))&gt;=100000), " ",IF(INDEX($V$2:$AE$1001,MATCH(ROWS($O$2:O59),$O$2:$O$1001,0),MATCH(COLUMNS($V$1006:X1006),$V$1006:$AE$1006,0)), HYPERLINK("#",""), HYPERLINK(CONCATENATE("#Metadata!", ADDRESS(INDEX($Q$2:$Q$1001,MATCH(ROWS($O$2:O59),$O$2:$O$1001,0),0), INDEX($V$1004:$AE$1004,1,MATCH(COLUMNS($V$1006:X1006),$V$1006:$AE$1006,0)))),"Fix")))</f>
        <v>0</v>
      </c>
      <c r="E59" s="4">
        <f>IF(OR(INDEX($P$2:$P$1001,MATCH(ROWS($O$2:O59),$O$2:$O$1001,0),1)&gt;=100000,INDEX($V$1005:$AE$1005,1,MATCH(COLUMNS($V$1006:Y1006),$V$1006:$AE$1006,0))&gt;=100000), " ",IF(INDEX($V$2:$AE$1001,MATCH(ROWS($O$2:O59),$O$2:$O$1001,0),MATCH(COLUMNS($V$1006:Y1006),$V$1006:$AE$1006,0)), HYPERLINK("#",""), HYPERLINK(CONCATENATE("#Metadata!", ADDRESS(INDEX($Q$2:$Q$1001,MATCH(ROWS($O$2:O59),$O$2:$O$1001,0),0), INDEX($V$1004:$AE$1004,1,MATCH(COLUMNS($V$1006:Y1006),$V$1006:$AE$1006,0)))),"Fix")))</f>
        <v>0</v>
      </c>
      <c r="F59" s="4">
        <f>IF(OR(INDEX($P$2:$P$1001,MATCH(ROWS($O$2:O59),$O$2:$O$1001,0),1)&gt;=100000,INDEX($V$1005:$AE$1005,1,MATCH(COLUMNS($V$1006:Z1006),$V$1006:$AE$1006,0))&gt;=100000), " ",IF(INDEX($V$2:$AE$1001,MATCH(ROWS($O$2:O59),$O$2:$O$1001,0),MATCH(COLUMNS($V$1006:Z1006),$V$1006:$AE$1006,0)), HYPERLINK("#",""), HYPERLINK(CONCATENATE("#Metadata!", ADDRESS(INDEX($Q$2:$Q$1001,MATCH(ROWS($O$2:O59),$O$2:$O$1001,0),0), INDEX($V$1004:$AE$1004,1,MATCH(COLUMNS($V$1006:Z1006),$V$1006:$AE$1006,0)))),"Fix")))</f>
        <v>0</v>
      </c>
      <c r="G59" s="4">
        <f>IF(OR(INDEX($P$2:$P$1001,MATCH(ROWS($O$2:O59),$O$2:$O$1001,0),1)&gt;=100000,INDEX($V$1005:$AE$1005,1,MATCH(COLUMNS($V$1006:AA1006),$V$1006:$AE$1006,0))&gt;=100000), " ",IF(INDEX($V$2:$AE$1001,MATCH(ROWS($O$2:O59),$O$2:$O$1001,0),MATCH(COLUMNS($V$1006:AA1006),$V$1006:$AE$1006,0)), HYPERLINK("#",""), HYPERLINK(CONCATENATE("#Metadata!", ADDRESS(INDEX($Q$2:$Q$1001,MATCH(ROWS($O$2:O59),$O$2:$O$1001,0),0), INDEX($V$1004:$AE$1004,1,MATCH(COLUMNS($V$1006:AA1006),$V$1006:$AE$1006,0)))),"Fix")))</f>
        <v>0</v>
      </c>
      <c r="H59" s="4">
        <f>IF(OR(INDEX($P$2:$P$1001,MATCH(ROWS($O$2:O59),$O$2:$O$1001,0),1)&gt;=100000,INDEX($V$1005:$AE$1005,1,MATCH(COLUMNS($V$1006:AB1006),$V$1006:$AE$1006,0))&gt;=100000), " ",IF(INDEX($V$2:$AE$1001,MATCH(ROWS($O$2:O59),$O$2:$O$1001,0),MATCH(COLUMNS($V$1006:AB1006),$V$1006:$AE$1006,0)), HYPERLINK("#",""), HYPERLINK(CONCATENATE("#Metadata!", ADDRESS(INDEX($Q$2:$Q$1001,MATCH(ROWS($O$2:O59),$O$2:$O$1001,0),0), INDEX($V$1004:$AE$1004,1,MATCH(COLUMNS($V$1006:AB1006),$V$1006:$AE$1006,0)))),"Fix")))</f>
        <v>0</v>
      </c>
      <c r="I59" s="4">
        <f>IF(OR(INDEX($P$2:$P$1001,MATCH(ROWS($O$2:O59),$O$2:$O$1001,0),1)&gt;=100000,INDEX($V$1005:$AE$1005,1,MATCH(COLUMNS($V$1006:AC1006),$V$1006:$AE$1006,0))&gt;=100000), " ",IF(INDEX($V$2:$AE$1001,MATCH(ROWS($O$2:O59),$O$2:$O$1001,0),MATCH(COLUMNS($V$1006:AC1006),$V$1006:$AE$1006,0)), HYPERLINK("#",""), HYPERLINK(CONCATENATE("#Metadata!", ADDRESS(INDEX($Q$2:$Q$1001,MATCH(ROWS($O$2:O59),$O$2:$O$1001,0),0), INDEX($V$1004:$AE$1004,1,MATCH(COLUMNS($V$1006:AC1006),$V$1006:$AE$1006,0)))),"Fix")))</f>
        <v>0</v>
      </c>
      <c r="J59" s="4">
        <f>IF(OR(INDEX($P$2:$P$1001,MATCH(ROWS($O$2:O59),$O$2:$O$1001,0),1)&gt;=100000,INDEX($V$1005:$AE$1005,1,MATCH(COLUMNS($V$1006:AD1006),$V$1006:$AE$1006,0))&gt;=100000), " ",IF(INDEX($V$2:$AE$1001,MATCH(ROWS($O$2:O59),$O$2:$O$1001,0),MATCH(COLUMNS($V$1006:AD1006),$V$1006:$AE$1006,0)), HYPERLINK("#",""), HYPERLINK(CONCATENATE("#Metadata!", ADDRESS(INDEX($Q$2:$Q$1001,MATCH(ROWS($O$2:O59),$O$2:$O$1001,0),0), INDEX($V$1004:$AE$1004,1,MATCH(COLUMNS($V$1006:AD1006),$V$1006:$AE$1006,0)))),"Fix")))</f>
        <v>0</v>
      </c>
      <c r="K59" s="4">
        <f>IF(OR(INDEX($P$2:$P$1001,MATCH(ROWS($O$2:O59),$O$2:$O$1001,0),1)&gt;=100000,INDEX($V$1005:$AE$1005,1,MATCH(COLUMNS($V$1006:AE1006),$V$1006:$AE$1006,0))&gt;=100000), " ",IF(INDEX($V$2:$AE$1001,MATCH(ROWS($O$2:O59),$O$2:$O$1001,0),MATCH(COLUMNS($V$1006:AE1006),$V$1006:$AE$1006,0)), HYPERLINK("#",""), HYPERLINK(CONCATENATE("#Metadata!", ADDRESS(INDEX($Q$2:$Q$1001,MATCH(ROWS($O$2:O59),$O$2:$O$1001,0),0), INDEX($V$1004:$AE$1004,1,MATCH(COLUMNS($V$1006:AE1006),$V$1006:$AE$1006,0)))),"Fix")))</f>
        <v>0</v>
      </c>
      <c r="O59">
        <v>0</v>
      </c>
      <c r="P59">
        <v>0</v>
      </c>
      <c r="Q59">
        <v>0</v>
      </c>
      <c r="R59">
        <f>IF(S59,TRUE,AND(V59:AE59))</f>
        <v>0</v>
      </c>
      <c r="S59">
        <f>COUNTBLANK(Metadata!B59:K59)=COLUMNS(Metadata!B59:K59)</f>
        <v>0</v>
      </c>
      <c r="T59">
        <v>0</v>
      </c>
      <c r="V59">
        <f>AND(IF(Metadata!B59="",FALSE,TRUE),COUNTIF(Metadata!B:B, Metadata!B59) = 1,NOT(ISERROR(SUMPRODUCT(SEARCH(MID(Metadata!B59,ROW(INDIRECT("1:"&amp;LEN(Metadata!B59))), 1),"0123456789abcdefghijklmnopqrstuvwxyzABCDEFGHIJKLMNOPQRSTUVWXYZ.")))))</f>
        <v>0</v>
      </c>
      <c r="W59">
        <f>AND(IF(Metadata!C59="",FALSE,TRUE),exact(Metadata!C59,"urban biome"))</f>
        <v>0</v>
      </c>
      <c r="X59">
        <f>AND(IF(Metadata!D59="",FALSE,TRUE),exact(Metadata!D59,"animal-associated habitat"))</f>
        <v>0</v>
      </c>
      <c r="Y59">
        <f>OR(AND(IF(Metadata!E59="",FALSE,TRUE),OR(exact(Metadata!E59,"not applicable"),exact(Metadata!E59,"missing: not collected"),exact(Metadata!E59,"missing: not provided"),exact(Metadata!E59,"missing: restricted access"))),AND(IF(Metadata!E59="",FALSE,ISNUMBER(VALUE(Metadata!E59))),Metadata!E59&gt;0))</f>
        <v>0</v>
      </c>
      <c r="Z59">
        <f>AND(IF(Metadata!F59="",FALSE,TRUE),exact(Metadata!F59,"weeks"))</f>
        <v>0</v>
      </c>
      <c r="AA59">
        <f>AND(IF(Metadata!G59="",FALSE,TRUE),exact(Metadata!G59,"mouse"))</f>
        <v>0</v>
      </c>
      <c r="AB59">
        <f>AND(IF(Metadata!H59="",FALSE,TRUE),exact(Metadata!H59,"Mus musculus"))</f>
        <v>0</v>
      </c>
      <c r="AC59">
        <f>AND(IF(Metadata!I59="",FALSE,TRUE),exact(Metadata!I59,"10090"))</f>
        <v>0</v>
      </c>
      <c r="AD59">
        <f>OR(AND(IF(Metadata!J59="",FALSE,TRUE),OR(exact(Metadata!J59,"not applicable"),exact(Metadata!J59,"missing: not collected"),exact(Metadata!J59,"missing: not provided"),exact(Metadata!J59,"missing: restricted access"))),AND(IF(Metadata!J59="",FALSE,ISNUMBER(VALUE(Metadata!J59))),Metadata!J59&gt;0))</f>
        <v>0</v>
      </c>
      <c r="AE59">
        <f>AND(IF(Metadata!K59="",FALSE,TRUE),exact(Metadata!K59,"g"))</f>
        <v>0</v>
      </c>
    </row>
    <row r="60" spans="1:31">
      <c r="A60" s="5">
        <f>IF(B60=" "," ",HYPERLINK(CONCATENATE("#metadata!",ADDRESS(INDEX($Q$2:$Q$1001,MATCH(ROWS($O$2:O60),$O$2:$O$1001,0),0),1)),INDEX($T$2:$T$1001,MATCH(ROWS($O$2:O60),$O$2:$O$1001,0),0)))</f>
        <v>0</v>
      </c>
      <c r="B60" s="4">
        <f>IF(OR(INDEX($P$2:$P$1001,MATCH(ROWS($O$2:O60),$O$2:$O$1001,0),1)&gt;=100000,INDEX($V$1005:$AE$1005,1,MATCH(COLUMNS($V$1006:V1006),$V$1006:$AE$1006,0))&gt;=100000), " ",IF(INDEX($V$2:$AE$1001,MATCH(ROWS($O$2:O60),$O$2:$O$1001,0),MATCH(COLUMNS($V$1006:V1006),$V$1006:$AE$1006,0)), HYPERLINK("#",""), HYPERLINK(CONCATENATE("#Metadata!", ADDRESS(INDEX($Q$2:$Q$1001,MATCH(ROWS($O$2:O60),$O$2:$O$1001,0),0), INDEX($V$1004:$AE$1004,1,MATCH(COLUMNS($V$1006:V1006),$V$1006:$AE$1006,0)))),"Fix")))</f>
        <v>0</v>
      </c>
      <c r="C60" s="4">
        <f>IF(OR(INDEX($P$2:$P$1001,MATCH(ROWS($O$2:O60),$O$2:$O$1001,0),1)&gt;=100000,INDEX($V$1005:$AE$1005,1,MATCH(COLUMNS($V$1006:W1006),$V$1006:$AE$1006,0))&gt;=100000), " ",IF(INDEX($V$2:$AE$1001,MATCH(ROWS($O$2:O60),$O$2:$O$1001,0),MATCH(COLUMNS($V$1006:W1006),$V$1006:$AE$1006,0)), HYPERLINK("#",""), HYPERLINK(CONCATENATE("#Metadata!", ADDRESS(INDEX($Q$2:$Q$1001,MATCH(ROWS($O$2:O60),$O$2:$O$1001,0),0), INDEX($V$1004:$AE$1004,1,MATCH(COLUMNS($V$1006:W1006),$V$1006:$AE$1006,0)))),"Fix")))</f>
        <v>0</v>
      </c>
      <c r="D60" s="4">
        <f>IF(OR(INDEX($P$2:$P$1001,MATCH(ROWS($O$2:O60),$O$2:$O$1001,0),1)&gt;=100000,INDEX($V$1005:$AE$1005,1,MATCH(COLUMNS($V$1006:X1006),$V$1006:$AE$1006,0))&gt;=100000), " ",IF(INDEX($V$2:$AE$1001,MATCH(ROWS($O$2:O60),$O$2:$O$1001,0),MATCH(COLUMNS($V$1006:X1006),$V$1006:$AE$1006,0)), HYPERLINK("#",""), HYPERLINK(CONCATENATE("#Metadata!", ADDRESS(INDEX($Q$2:$Q$1001,MATCH(ROWS($O$2:O60),$O$2:$O$1001,0),0), INDEX($V$1004:$AE$1004,1,MATCH(COLUMNS($V$1006:X1006),$V$1006:$AE$1006,0)))),"Fix")))</f>
        <v>0</v>
      </c>
      <c r="E60" s="4">
        <f>IF(OR(INDEX($P$2:$P$1001,MATCH(ROWS($O$2:O60),$O$2:$O$1001,0),1)&gt;=100000,INDEX($V$1005:$AE$1005,1,MATCH(COLUMNS($V$1006:Y1006),$V$1006:$AE$1006,0))&gt;=100000), " ",IF(INDEX($V$2:$AE$1001,MATCH(ROWS($O$2:O60),$O$2:$O$1001,0),MATCH(COLUMNS($V$1006:Y1006),$V$1006:$AE$1006,0)), HYPERLINK("#",""), HYPERLINK(CONCATENATE("#Metadata!", ADDRESS(INDEX($Q$2:$Q$1001,MATCH(ROWS($O$2:O60),$O$2:$O$1001,0),0), INDEX($V$1004:$AE$1004,1,MATCH(COLUMNS($V$1006:Y1006),$V$1006:$AE$1006,0)))),"Fix")))</f>
        <v>0</v>
      </c>
      <c r="F60" s="4">
        <f>IF(OR(INDEX($P$2:$P$1001,MATCH(ROWS($O$2:O60),$O$2:$O$1001,0),1)&gt;=100000,INDEX($V$1005:$AE$1005,1,MATCH(COLUMNS($V$1006:Z1006),$V$1006:$AE$1006,0))&gt;=100000), " ",IF(INDEX($V$2:$AE$1001,MATCH(ROWS($O$2:O60),$O$2:$O$1001,0),MATCH(COLUMNS($V$1006:Z1006),$V$1006:$AE$1006,0)), HYPERLINK("#",""), HYPERLINK(CONCATENATE("#Metadata!", ADDRESS(INDEX($Q$2:$Q$1001,MATCH(ROWS($O$2:O60),$O$2:$O$1001,0),0), INDEX($V$1004:$AE$1004,1,MATCH(COLUMNS($V$1006:Z1006),$V$1006:$AE$1006,0)))),"Fix")))</f>
        <v>0</v>
      </c>
      <c r="G60" s="4">
        <f>IF(OR(INDEX($P$2:$P$1001,MATCH(ROWS($O$2:O60),$O$2:$O$1001,0),1)&gt;=100000,INDEX($V$1005:$AE$1005,1,MATCH(COLUMNS($V$1006:AA1006),$V$1006:$AE$1006,0))&gt;=100000), " ",IF(INDEX($V$2:$AE$1001,MATCH(ROWS($O$2:O60),$O$2:$O$1001,0),MATCH(COLUMNS($V$1006:AA1006),$V$1006:$AE$1006,0)), HYPERLINK("#",""), HYPERLINK(CONCATENATE("#Metadata!", ADDRESS(INDEX($Q$2:$Q$1001,MATCH(ROWS($O$2:O60),$O$2:$O$1001,0),0), INDEX($V$1004:$AE$1004,1,MATCH(COLUMNS($V$1006:AA1006),$V$1006:$AE$1006,0)))),"Fix")))</f>
        <v>0</v>
      </c>
      <c r="H60" s="4">
        <f>IF(OR(INDEX($P$2:$P$1001,MATCH(ROWS($O$2:O60),$O$2:$O$1001,0),1)&gt;=100000,INDEX($V$1005:$AE$1005,1,MATCH(COLUMNS($V$1006:AB1006),$V$1006:$AE$1006,0))&gt;=100000), " ",IF(INDEX($V$2:$AE$1001,MATCH(ROWS($O$2:O60),$O$2:$O$1001,0),MATCH(COLUMNS($V$1006:AB1006),$V$1006:$AE$1006,0)), HYPERLINK("#",""), HYPERLINK(CONCATENATE("#Metadata!", ADDRESS(INDEX($Q$2:$Q$1001,MATCH(ROWS($O$2:O60),$O$2:$O$1001,0),0), INDEX($V$1004:$AE$1004,1,MATCH(COLUMNS($V$1006:AB1006),$V$1006:$AE$1006,0)))),"Fix")))</f>
        <v>0</v>
      </c>
      <c r="I60" s="4">
        <f>IF(OR(INDEX($P$2:$P$1001,MATCH(ROWS($O$2:O60),$O$2:$O$1001,0),1)&gt;=100000,INDEX($V$1005:$AE$1005,1,MATCH(COLUMNS($V$1006:AC1006),$V$1006:$AE$1006,0))&gt;=100000), " ",IF(INDEX($V$2:$AE$1001,MATCH(ROWS($O$2:O60),$O$2:$O$1001,0),MATCH(COLUMNS($V$1006:AC1006),$V$1006:$AE$1006,0)), HYPERLINK("#",""), HYPERLINK(CONCATENATE("#Metadata!", ADDRESS(INDEX($Q$2:$Q$1001,MATCH(ROWS($O$2:O60),$O$2:$O$1001,0),0), INDEX($V$1004:$AE$1004,1,MATCH(COLUMNS($V$1006:AC1006),$V$1006:$AE$1006,0)))),"Fix")))</f>
        <v>0</v>
      </c>
      <c r="J60" s="4">
        <f>IF(OR(INDEX($P$2:$P$1001,MATCH(ROWS($O$2:O60),$O$2:$O$1001,0),1)&gt;=100000,INDEX($V$1005:$AE$1005,1,MATCH(COLUMNS($V$1006:AD1006),$V$1006:$AE$1006,0))&gt;=100000), " ",IF(INDEX($V$2:$AE$1001,MATCH(ROWS($O$2:O60),$O$2:$O$1001,0),MATCH(COLUMNS($V$1006:AD1006),$V$1006:$AE$1006,0)), HYPERLINK("#",""), HYPERLINK(CONCATENATE("#Metadata!", ADDRESS(INDEX($Q$2:$Q$1001,MATCH(ROWS($O$2:O60),$O$2:$O$1001,0),0), INDEX($V$1004:$AE$1004,1,MATCH(COLUMNS($V$1006:AD1006),$V$1006:$AE$1006,0)))),"Fix")))</f>
        <v>0</v>
      </c>
      <c r="K60" s="4">
        <f>IF(OR(INDEX($P$2:$P$1001,MATCH(ROWS($O$2:O60),$O$2:$O$1001,0),1)&gt;=100000,INDEX($V$1005:$AE$1005,1,MATCH(COLUMNS($V$1006:AE1006),$V$1006:$AE$1006,0))&gt;=100000), " ",IF(INDEX($V$2:$AE$1001,MATCH(ROWS($O$2:O60),$O$2:$O$1001,0),MATCH(COLUMNS($V$1006:AE1006),$V$1006:$AE$1006,0)), HYPERLINK("#",""), HYPERLINK(CONCATENATE("#Metadata!", ADDRESS(INDEX($Q$2:$Q$1001,MATCH(ROWS($O$2:O60),$O$2:$O$1001,0),0), INDEX($V$1004:$AE$1004,1,MATCH(COLUMNS($V$1006:AE1006),$V$1006:$AE$1006,0)))),"Fix")))</f>
        <v>0</v>
      </c>
      <c r="O60">
        <v>0</v>
      </c>
      <c r="P60">
        <v>0</v>
      </c>
      <c r="Q60">
        <v>0</v>
      </c>
      <c r="R60">
        <f>IF(S60,TRUE,AND(V60:AE60))</f>
        <v>0</v>
      </c>
      <c r="S60">
        <f>COUNTBLANK(Metadata!B60:K60)=COLUMNS(Metadata!B60:K60)</f>
        <v>0</v>
      </c>
      <c r="T60">
        <v>0</v>
      </c>
      <c r="V60">
        <f>AND(IF(Metadata!B60="",FALSE,TRUE),COUNTIF(Metadata!B:B, Metadata!B60) = 1,NOT(ISERROR(SUMPRODUCT(SEARCH(MID(Metadata!B60,ROW(INDIRECT("1:"&amp;LEN(Metadata!B60))), 1),"0123456789abcdefghijklmnopqrstuvwxyzABCDEFGHIJKLMNOPQRSTUVWXYZ.")))))</f>
        <v>0</v>
      </c>
      <c r="W60">
        <f>AND(IF(Metadata!C60="",FALSE,TRUE),exact(Metadata!C60,"urban biome"))</f>
        <v>0</v>
      </c>
      <c r="X60">
        <f>AND(IF(Metadata!D60="",FALSE,TRUE),exact(Metadata!D60,"animal-associated habitat"))</f>
        <v>0</v>
      </c>
      <c r="Y60">
        <f>OR(AND(IF(Metadata!E60="",FALSE,TRUE),OR(exact(Metadata!E60,"not applicable"),exact(Metadata!E60,"missing: not collected"),exact(Metadata!E60,"missing: not provided"),exact(Metadata!E60,"missing: restricted access"))),AND(IF(Metadata!E60="",FALSE,ISNUMBER(VALUE(Metadata!E60))),Metadata!E60&gt;0))</f>
        <v>0</v>
      </c>
      <c r="Z60">
        <f>AND(IF(Metadata!F60="",FALSE,TRUE),exact(Metadata!F60,"weeks"))</f>
        <v>0</v>
      </c>
      <c r="AA60">
        <f>AND(IF(Metadata!G60="",FALSE,TRUE),exact(Metadata!G60,"mouse"))</f>
        <v>0</v>
      </c>
      <c r="AB60">
        <f>AND(IF(Metadata!H60="",FALSE,TRUE),exact(Metadata!H60,"Mus musculus"))</f>
        <v>0</v>
      </c>
      <c r="AC60">
        <f>AND(IF(Metadata!I60="",FALSE,TRUE),exact(Metadata!I60,"10090"))</f>
        <v>0</v>
      </c>
      <c r="AD60">
        <f>OR(AND(IF(Metadata!J60="",FALSE,TRUE),OR(exact(Metadata!J60,"not applicable"),exact(Metadata!J60,"missing: not collected"),exact(Metadata!J60,"missing: not provided"),exact(Metadata!J60,"missing: restricted access"))),AND(IF(Metadata!J60="",FALSE,ISNUMBER(VALUE(Metadata!J60))),Metadata!J60&gt;0))</f>
        <v>0</v>
      </c>
      <c r="AE60">
        <f>AND(IF(Metadata!K60="",FALSE,TRUE),exact(Metadata!K60,"g"))</f>
        <v>0</v>
      </c>
    </row>
    <row r="61" spans="1:31">
      <c r="A61" s="5">
        <f>IF(B61=" "," ",HYPERLINK(CONCATENATE("#metadata!",ADDRESS(INDEX($Q$2:$Q$1001,MATCH(ROWS($O$2:O61),$O$2:$O$1001,0),0),1)),INDEX($T$2:$T$1001,MATCH(ROWS($O$2:O61),$O$2:$O$1001,0),0)))</f>
        <v>0</v>
      </c>
      <c r="B61" s="4">
        <f>IF(OR(INDEX($P$2:$P$1001,MATCH(ROWS($O$2:O61),$O$2:$O$1001,0),1)&gt;=100000,INDEX($V$1005:$AE$1005,1,MATCH(COLUMNS($V$1006:V1006),$V$1006:$AE$1006,0))&gt;=100000), " ",IF(INDEX($V$2:$AE$1001,MATCH(ROWS($O$2:O61),$O$2:$O$1001,0),MATCH(COLUMNS($V$1006:V1006),$V$1006:$AE$1006,0)), HYPERLINK("#",""), HYPERLINK(CONCATENATE("#Metadata!", ADDRESS(INDEX($Q$2:$Q$1001,MATCH(ROWS($O$2:O61),$O$2:$O$1001,0),0), INDEX($V$1004:$AE$1004,1,MATCH(COLUMNS($V$1006:V1006),$V$1006:$AE$1006,0)))),"Fix")))</f>
        <v>0</v>
      </c>
      <c r="C61" s="4">
        <f>IF(OR(INDEX($P$2:$P$1001,MATCH(ROWS($O$2:O61),$O$2:$O$1001,0),1)&gt;=100000,INDEX($V$1005:$AE$1005,1,MATCH(COLUMNS($V$1006:W1006),$V$1006:$AE$1006,0))&gt;=100000), " ",IF(INDEX($V$2:$AE$1001,MATCH(ROWS($O$2:O61),$O$2:$O$1001,0),MATCH(COLUMNS($V$1006:W1006),$V$1006:$AE$1006,0)), HYPERLINK("#",""), HYPERLINK(CONCATENATE("#Metadata!", ADDRESS(INDEX($Q$2:$Q$1001,MATCH(ROWS($O$2:O61),$O$2:$O$1001,0),0), INDEX($V$1004:$AE$1004,1,MATCH(COLUMNS($V$1006:W1006),$V$1006:$AE$1006,0)))),"Fix")))</f>
        <v>0</v>
      </c>
      <c r="D61" s="4">
        <f>IF(OR(INDEX($P$2:$P$1001,MATCH(ROWS($O$2:O61),$O$2:$O$1001,0),1)&gt;=100000,INDEX($V$1005:$AE$1005,1,MATCH(COLUMNS($V$1006:X1006),$V$1006:$AE$1006,0))&gt;=100000), " ",IF(INDEX($V$2:$AE$1001,MATCH(ROWS($O$2:O61),$O$2:$O$1001,0),MATCH(COLUMNS($V$1006:X1006),$V$1006:$AE$1006,0)), HYPERLINK("#",""), HYPERLINK(CONCATENATE("#Metadata!", ADDRESS(INDEX($Q$2:$Q$1001,MATCH(ROWS($O$2:O61),$O$2:$O$1001,0),0), INDEX($V$1004:$AE$1004,1,MATCH(COLUMNS($V$1006:X1006),$V$1006:$AE$1006,0)))),"Fix")))</f>
        <v>0</v>
      </c>
      <c r="E61" s="4">
        <f>IF(OR(INDEX($P$2:$P$1001,MATCH(ROWS($O$2:O61),$O$2:$O$1001,0),1)&gt;=100000,INDEX($V$1005:$AE$1005,1,MATCH(COLUMNS($V$1006:Y1006),$V$1006:$AE$1006,0))&gt;=100000), " ",IF(INDEX($V$2:$AE$1001,MATCH(ROWS($O$2:O61),$O$2:$O$1001,0),MATCH(COLUMNS($V$1006:Y1006),$V$1006:$AE$1006,0)), HYPERLINK("#",""), HYPERLINK(CONCATENATE("#Metadata!", ADDRESS(INDEX($Q$2:$Q$1001,MATCH(ROWS($O$2:O61),$O$2:$O$1001,0),0), INDEX($V$1004:$AE$1004,1,MATCH(COLUMNS($V$1006:Y1006),$V$1006:$AE$1006,0)))),"Fix")))</f>
        <v>0</v>
      </c>
      <c r="F61" s="4">
        <f>IF(OR(INDEX($P$2:$P$1001,MATCH(ROWS($O$2:O61),$O$2:$O$1001,0),1)&gt;=100000,INDEX($V$1005:$AE$1005,1,MATCH(COLUMNS($V$1006:Z1006),$V$1006:$AE$1006,0))&gt;=100000), " ",IF(INDEX($V$2:$AE$1001,MATCH(ROWS($O$2:O61),$O$2:$O$1001,0),MATCH(COLUMNS($V$1006:Z1006),$V$1006:$AE$1006,0)), HYPERLINK("#",""), HYPERLINK(CONCATENATE("#Metadata!", ADDRESS(INDEX($Q$2:$Q$1001,MATCH(ROWS($O$2:O61),$O$2:$O$1001,0),0), INDEX($V$1004:$AE$1004,1,MATCH(COLUMNS($V$1006:Z1006),$V$1006:$AE$1006,0)))),"Fix")))</f>
        <v>0</v>
      </c>
      <c r="G61" s="4">
        <f>IF(OR(INDEX($P$2:$P$1001,MATCH(ROWS($O$2:O61),$O$2:$O$1001,0),1)&gt;=100000,INDEX($V$1005:$AE$1005,1,MATCH(COLUMNS($V$1006:AA1006),$V$1006:$AE$1006,0))&gt;=100000), " ",IF(INDEX($V$2:$AE$1001,MATCH(ROWS($O$2:O61),$O$2:$O$1001,0),MATCH(COLUMNS($V$1006:AA1006),$V$1006:$AE$1006,0)), HYPERLINK("#",""), HYPERLINK(CONCATENATE("#Metadata!", ADDRESS(INDEX($Q$2:$Q$1001,MATCH(ROWS($O$2:O61),$O$2:$O$1001,0),0), INDEX($V$1004:$AE$1004,1,MATCH(COLUMNS($V$1006:AA1006),$V$1006:$AE$1006,0)))),"Fix")))</f>
        <v>0</v>
      </c>
      <c r="H61" s="4">
        <f>IF(OR(INDEX($P$2:$P$1001,MATCH(ROWS($O$2:O61),$O$2:$O$1001,0),1)&gt;=100000,INDEX($V$1005:$AE$1005,1,MATCH(COLUMNS($V$1006:AB1006),$V$1006:$AE$1006,0))&gt;=100000), " ",IF(INDEX($V$2:$AE$1001,MATCH(ROWS($O$2:O61),$O$2:$O$1001,0),MATCH(COLUMNS($V$1006:AB1006),$V$1006:$AE$1006,0)), HYPERLINK("#",""), HYPERLINK(CONCATENATE("#Metadata!", ADDRESS(INDEX($Q$2:$Q$1001,MATCH(ROWS($O$2:O61),$O$2:$O$1001,0),0), INDEX($V$1004:$AE$1004,1,MATCH(COLUMNS($V$1006:AB1006),$V$1006:$AE$1006,0)))),"Fix")))</f>
        <v>0</v>
      </c>
      <c r="I61" s="4">
        <f>IF(OR(INDEX($P$2:$P$1001,MATCH(ROWS($O$2:O61),$O$2:$O$1001,0),1)&gt;=100000,INDEX($V$1005:$AE$1005,1,MATCH(COLUMNS($V$1006:AC1006),$V$1006:$AE$1006,0))&gt;=100000), " ",IF(INDEX($V$2:$AE$1001,MATCH(ROWS($O$2:O61),$O$2:$O$1001,0),MATCH(COLUMNS($V$1006:AC1006),$V$1006:$AE$1006,0)), HYPERLINK("#",""), HYPERLINK(CONCATENATE("#Metadata!", ADDRESS(INDEX($Q$2:$Q$1001,MATCH(ROWS($O$2:O61),$O$2:$O$1001,0),0), INDEX($V$1004:$AE$1004,1,MATCH(COLUMNS($V$1006:AC1006),$V$1006:$AE$1006,0)))),"Fix")))</f>
        <v>0</v>
      </c>
      <c r="J61" s="4">
        <f>IF(OR(INDEX($P$2:$P$1001,MATCH(ROWS($O$2:O61),$O$2:$O$1001,0),1)&gt;=100000,INDEX($V$1005:$AE$1005,1,MATCH(COLUMNS($V$1006:AD1006),$V$1006:$AE$1006,0))&gt;=100000), " ",IF(INDEX($V$2:$AE$1001,MATCH(ROWS($O$2:O61),$O$2:$O$1001,0),MATCH(COLUMNS($V$1006:AD1006),$V$1006:$AE$1006,0)), HYPERLINK("#",""), HYPERLINK(CONCATENATE("#Metadata!", ADDRESS(INDEX($Q$2:$Q$1001,MATCH(ROWS($O$2:O61),$O$2:$O$1001,0),0), INDEX($V$1004:$AE$1004,1,MATCH(COLUMNS($V$1006:AD1006),$V$1006:$AE$1006,0)))),"Fix")))</f>
        <v>0</v>
      </c>
      <c r="K61" s="4">
        <f>IF(OR(INDEX($P$2:$P$1001,MATCH(ROWS($O$2:O61),$O$2:$O$1001,0),1)&gt;=100000,INDEX($V$1005:$AE$1005,1,MATCH(COLUMNS($V$1006:AE1006),$V$1006:$AE$1006,0))&gt;=100000), " ",IF(INDEX($V$2:$AE$1001,MATCH(ROWS($O$2:O61),$O$2:$O$1001,0),MATCH(COLUMNS($V$1006:AE1006),$V$1006:$AE$1006,0)), HYPERLINK("#",""), HYPERLINK(CONCATENATE("#Metadata!", ADDRESS(INDEX($Q$2:$Q$1001,MATCH(ROWS($O$2:O61),$O$2:$O$1001,0),0), INDEX($V$1004:$AE$1004,1,MATCH(COLUMNS($V$1006:AE1006),$V$1006:$AE$1006,0)))),"Fix")))</f>
        <v>0</v>
      </c>
      <c r="O61">
        <v>0</v>
      </c>
      <c r="P61">
        <v>0</v>
      </c>
      <c r="Q61">
        <v>0</v>
      </c>
      <c r="R61">
        <f>IF(S61,TRUE,AND(V61:AE61))</f>
        <v>0</v>
      </c>
      <c r="S61">
        <f>COUNTBLANK(Metadata!B61:K61)=COLUMNS(Metadata!B61:K61)</f>
        <v>0</v>
      </c>
      <c r="T61">
        <v>0</v>
      </c>
      <c r="V61">
        <f>AND(IF(Metadata!B61="",FALSE,TRUE),COUNTIF(Metadata!B:B, Metadata!B61) = 1,NOT(ISERROR(SUMPRODUCT(SEARCH(MID(Metadata!B61,ROW(INDIRECT("1:"&amp;LEN(Metadata!B61))), 1),"0123456789abcdefghijklmnopqrstuvwxyzABCDEFGHIJKLMNOPQRSTUVWXYZ.")))))</f>
        <v>0</v>
      </c>
      <c r="W61">
        <f>AND(IF(Metadata!C61="",FALSE,TRUE),exact(Metadata!C61,"urban biome"))</f>
        <v>0</v>
      </c>
      <c r="X61">
        <f>AND(IF(Metadata!D61="",FALSE,TRUE),exact(Metadata!D61,"animal-associated habitat"))</f>
        <v>0</v>
      </c>
      <c r="Y61">
        <f>OR(AND(IF(Metadata!E61="",FALSE,TRUE),OR(exact(Metadata!E61,"not applicable"),exact(Metadata!E61,"missing: not collected"),exact(Metadata!E61,"missing: not provided"),exact(Metadata!E61,"missing: restricted access"))),AND(IF(Metadata!E61="",FALSE,ISNUMBER(VALUE(Metadata!E61))),Metadata!E61&gt;0))</f>
        <v>0</v>
      </c>
      <c r="Z61">
        <f>AND(IF(Metadata!F61="",FALSE,TRUE),exact(Metadata!F61,"weeks"))</f>
        <v>0</v>
      </c>
      <c r="AA61">
        <f>AND(IF(Metadata!G61="",FALSE,TRUE),exact(Metadata!G61,"mouse"))</f>
        <v>0</v>
      </c>
      <c r="AB61">
        <f>AND(IF(Metadata!H61="",FALSE,TRUE),exact(Metadata!H61,"Mus musculus"))</f>
        <v>0</v>
      </c>
      <c r="AC61">
        <f>AND(IF(Metadata!I61="",FALSE,TRUE),exact(Metadata!I61,"10090"))</f>
        <v>0</v>
      </c>
      <c r="AD61">
        <f>OR(AND(IF(Metadata!J61="",FALSE,TRUE),OR(exact(Metadata!J61,"not applicable"),exact(Metadata!J61,"missing: not collected"),exact(Metadata!J61,"missing: not provided"),exact(Metadata!J61,"missing: restricted access"))),AND(IF(Metadata!J61="",FALSE,ISNUMBER(VALUE(Metadata!J61))),Metadata!J61&gt;0))</f>
        <v>0</v>
      </c>
      <c r="AE61">
        <f>AND(IF(Metadata!K61="",FALSE,TRUE),exact(Metadata!K61,"g"))</f>
        <v>0</v>
      </c>
    </row>
    <row r="62" spans="1:31">
      <c r="A62" s="5">
        <f>IF(B62=" "," ",HYPERLINK(CONCATENATE("#metadata!",ADDRESS(INDEX($Q$2:$Q$1001,MATCH(ROWS($O$2:O62),$O$2:$O$1001,0),0),1)),INDEX($T$2:$T$1001,MATCH(ROWS($O$2:O62),$O$2:$O$1001,0),0)))</f>
        <v>0</v>
      </c>
      <c r="B62" s="4">
        <f>IF(OR(INDEX($P$2:$P$1001,MATCH(ROWS($O$2:O62),$O$2:$O$1001,0),1)&gt;=100000,INDEX($V$1005:$AE$1005,1,MATCH(COLUMNS($V$1006:V1006),$V$1006:$AE$1006,0))&gt;=100000), " ",IF(INDEX($V$2:$AE$1001,MATCH(ROWS($O$2:O62),$O$2:$O$1001,0),MATCH(COLUMNS($V$1006:V1006),$V$1006:$AE$1006,0)), HYPERLINK("#",""), HYPERLINK(CONCATENATE("#Metadata!", ADDRESS(INDEX($Q$2:$Q$1001,MATCH(ROWS($O$2:O62),$O$2:$O$1001,0),0), INDEX($V$1004:$AE$1004,1,MATCH(COLUMNS($V$1006:V1006),$V$1006:$AE$1006,0)))),"Fix")))</f>
        <v>0</v>
      </c>
      <c r="C62" s="4">
        <f>IF(OR(INDEX($P$2:$P$1001,MATCH(ROWS($O$2:O62),$O$2:$O$1001,0),1)&gt;=100000,INDEX($V$1005:$AE$1005,1,MATCH(COLUMNS($V$1006:W1006),$V$1006:$AE$1006,0))&gt;=100000), " ",IF(INDEX($V$2:$AE$1001,MATCH(ROWS($O$2:O62),$O$2:$O$1001,0),MATCH(COLUMNS($V$1006:W1006),$V$1006:$AE$1006,0)), HYPERLINK("#",""), HYPERLINK(CONCATENATE("#Metadata!", ADDRESS(INDEX($Q$2:$Q$1001,MATCH(ROWS($O$2:O62),$O$2:$O$1001,0),0), INDEX($V$1004:$AE$1004,1,MATCH(COLUMNS($V$1006:W1006),$V$1006:$AE$1006,0)))),"Fix")))</f>
        <v>0</v>
      </c>
      <c r="D62" s="4">
        <f>IF(OR(INDEX($P$2:$P$1001,MATCH(ROWS($O$2:O62),$O$2:$O$1001,0),1)&gt;=100000,INDEX($V$1005:$AE$1005,1,MATCH(COLUMNS($V$1006:X1006),$V$1006:$AE$1006,0))&gt;=100000), " ",IF(INDEX($V$2:$AE$1001,MATCH(ROWS($O$2:O62),$O$2:$O$1001,0),MATCH(COLUMNS($V$1006:X1006),$V$1006:$AE$1006,0)), HYPERLINK("#",""), HYPERLINK(CONCATENATE("#Metadata!", ADDRESS(INDEX($Q$2:$Q$1001,MATCH(ROWS($O$2:O62),$O$2:$O$1001,0),0), INDEX($V$1004:$AE$1004,1,MATCH(COLUMNS($V$1006:X1006),$V$1006:$AE$1006,0)))),"Fix")))</f>
        <v>0</v>
      </c>
      <c r="E62" s="4">
        <f>IF(OR(INDEX($P$2:$P$1001,MATCH(ROWS($O$2:O62),$O$2:$O$1001,0),1)&gt;=100000,INDEX($V$1005:$AE$1005,1,MATCH(COLUMNS($V$1006:Y1006),$V$1006:$AE$1006,0))&gt;=100000), " ",IF(INDEX($V$2:$AE$1001,MATCH(ROWS($O$2:O62),$O$2:$O$1001,0),MATCH(COLUMNS($V$1006:Y1006),$V$1006:$AE$1006,0)), HYPERLINK("#",""), HYPERLINK(CONCATENATE("#Metadata!", ADDRESS(INDEX($Q$2:$Q$1001,MATCH(ROWS($O$2:O62),$O$2:$O$1001,0),0), INDEX($V$1004:$AE$1004,1,MATCH(COLUMNS($V$1006:Y1006),$V$1006:$AE$1006,0)))),"Fix")))</f>
        <v>0</v>
      </c>
      <c r="F62" s="4">
        <f>IF(OR(INDEX($P$2:$P$1001,MATCH(ROWS($O$2:O62),$O$2:$O$1001,0),1)&gt;=100000,INDEX($V$1005:$AE$1005,1,MATCH(COLUMNS($V$1006:Z1006),$V$1006:$AE$1006,0))&gt;=100000), " ",IF(INDEX($V$2:$AE$1001,MATCH(ROWS($O$2:O62),$O$2:$O$1001,0),MATCH(COLUMNS($V$1006:Z1006),$V$1006:$AE$1006,0)), HYPERLINK("#",""), HYPERLINK(CONCATENATE("#Metadata!", ADDRESS(INDEX($Q$2:$Q$1001,MATCH(ROWS($O$2:O62),$O$2:$O$1001,0),0), INDEX($V$1004:$AE$1004,1,MATCH(COLUMNS($V$1006:Z1006),$V$1006:$AE$1006,0)))),"Fix")))</f>
        <v>0</v>
      </c>
      <c r="G62" s="4">
        <f>IF(OR(INDEX($P$2:$P$1001,MATCH(ROWS($O$2:O62),$O$2:$O$1001,0),1)&gt;=100000,INDEX($V$1005:$AE$1005,1,MATCH(COLUMNS($V$1006:AA1006),$V$1006:$AE$1006,0))&gt;=100000), " ",IF(INDEX($V$2:$AE$1001,MATCH(ROWS($O$2:O62),$O$2:$O$1001,0),MATCH(COLUMNS($V$1006:AA1006),$V$1006:$AE$1006,0)), HYPERLINK("#",""), HYPERLINK(CONCATENATE("#Metadata!", ADDRESS(INDEX($Q$2:$Q$1001,MATCH(ROWS($O$2:O62),$O$2:$O$1001,0),0), INDEX($V$1004:$AE$1004,1,MATCH(COLUMNS($V$1006:AA1006),$V$1006:$AE$1006,0)))),"Fix")))</f>
        <v>0</v>
      </c>
      <c r="H62" s="4">
        <f>IF(OR(INDEX($P$2:$P$1001,MATCH(ROWS($O$2:O62),$O$2:$O$1001,0),1)&gt;=100000,INDEX($V$1005:$AE$1005,1,MATCH(COLUMNS($V$1006:AB1006),$V$1006:$AE$1006,0))&gt;=100000), " ",IF(INDEX($V$2:$AE$1001,MATCH(ROWS($O$2:O62),$O$2:$O$1001,0),MATCH(COLUMNS($V$1006:AB1006),$V$1006:$AE$1006,0)), HYPERLINK("#",""), HYPERLINK(CONCATENATE("#Metadata!", ADDRESS(INDEX($Q$2:$Q$1001,MATCH(ROWS($O$2:O62),$O$2:$O$1001,0),0), INDEX($V$1004:$AE$1004,1,MATCH(COLUMNS($V$1006:AB1006),$V$1006:$AE$1006,0)))),"Fix")))</f>
        <v>0</v>
      </c>
      <c r="I62" s="4">
        <f>IF(OR(INDEX($P$2:$P$1001,MATCH(ROWS($O$2:O62),$O$2:$O$1001,0),1)&gt;=100000,INDEX($V$1005:$AE$1005,1,MATCH(COLUMNS($V$1006:AC1006),$V$1006:$AE$1006,0))&gt;=100000), " ",IF(INDEX($V$2:$AE$1001,MATCH(ROWS($O$2:O62),$O$2:$O$1001,0),MATCH(COLUMNS($V$1006:AC1006),$V$1006:$AE$1006,0)), HYPERLINK("#",""), HYPERLINK(CONCATENATE("#Metadata!", ADDRESS(INDEX($Q$2:$Q$1001,MATCH(ROWS($O$2:O62),$O$2:$O$1001,0),0), INDEX($V$1004:$AE$1004,1,MATCH(COLUMNS($V$1006:AC1006),$V$1006:$AE$1006,0)))),"Fix")))</f>
        <v>0</v>
      </c>
      <c r="J62" s="4">
        <f>IF(OR(INDEX($P$2:$P$1001,MATCH(ROWS($O$2:O62),$O$2:$O$1001,0),1)&gt;=100000,INDEX($V$1005:$AE$1005,1,MATCH(COLUMNS($V$1006:AD1006),$V$1006:$AE$1006,0))&gt;=100000), " ",IF(INDEX($V$2:$AE$1001,MATCH(ROWS($O$2:O62),$O$2:$O$1001,0),MATCH(COLUMNS($V$1006:AD1006),$V$1006:$AE$1006,0)), HYPERLINK("#",""), HYPERLINK(CONCATENATE("#Metadata!", ADDRESS(INDEX($Q$2:$Q$1001,MATCH(ROWS($O$2:O62),$O$2:$O$1001,0),0), INDEX($V$1004:$AE$1004,1,MATCH(COLUMNS($V$1006:AD1006),$V$1006:$AE$1006,0)))),"Fix")))</f>
        <v>0</v>
      </c>
      <c r="K62" s="4">
        <f>IF(OR(INDEX($P$2:$P$1001,MATCH(ROWS($O$2:O62),$O$2:$O$1001,0),1)&gt;=100000,INDEX($V$1005:$AE$1005,1,MATCH(COLUMNS($V$1006:AE1006),$V$1006:$AE$1006,0))&gt;=100000), " ",IF(INDEX($V$2:$AE$1001,MATCH(ROWS($O$2:O62),$O$2:$O$1001,0),MATCH(COLUMNS($V$1006:AE1006),$V$1006:$AE$1006,0)), HYPERLINK("#",""), HYPERLINK(CONCATENATE("#Metadata!", ADDRESS(INDEX($Q$2:$Q$1001,MATCH(ROWS($O$2:O62),$O$2:$O$1001,0),0), INDEX($V$1004:$AE$1004,1,MATCH(COLUMNS($V$1006:AE1006),$V$1006:$AE$1006,0)))),"Fix")))</f>
        <v>0</v>
      </c>
      <c r="O62">
        <v>0</v>
      </c>
      <c r="P62">
        <v>0</v>
      </c>
      <c r="Q62">
        <v>0</v>
      </c>
      <c r="R62">
        <f>IF(S62,TRUE,AND(V62:AE62))</f>
        <v>0</v>
      </c>
      <c r="S62">
        <f>COUNTBLANK(Metadata!B62:K62)=COLUMNS(Metadata!B62:K62)</f>
        <v>0</v>
      </c>
      <c r="T62">
        <v>0</v>
      </c>
      <c r="V62">
        <f>AND(IF(Metadata!B62="",FALSE,TRUE),COUNTIF(Metadata!B:B, Metadata!B62) = 1,NOT(ISERROR(SUMPRODUCT(SEARCH(MID(Metadata!B62,ROW(INDIRECT("1:"&amp;LEN(Metadata!B62))), 1),"0123456789abcdefghijklmnopqrstuvwxyzABCDEFGHIJKLMNOPQRSTUVWXYZ.")))))</f>
        <v>0</v>
      </c>
      <c r="W62">
        <f>AND(IF(Metadata!C62="",FALSE,TRUE),exact(Metadata!C62,"urban biome"))</f>
        <v>0</v>
      </c>
      <c r="X62">
        <f>AND(IF(Metadata!D62="",FALSE,TRUE),exact(Metadata!D62,"animal-associated habitat"))</f>
        <v>0</v>
      </c>
      <c r="Y62">
        <f>OR(AND(IF(Metadata!E62="",FALSE,TRUE),OR(exact(Metadata!E62,"not applicable"),exact(Metadata!E62,"missing: not collected"),exact(Metadata!E62,"missing: not provided"),exact(Metadata!E62,"missing: restricted access"))),AND(IF(Metadata!E62="",FALSE,ISNUMBER(VALUE(Metadata!E62))),Metadata!E62&gt;0))</f>
        <v>0</v>
      </c>
      <c r="Z62">
        <f>AND(IF(Metadata!F62="",FALSE,TRUE),exact(Metadata!F62,"weeks"))</f>
        <v>0</v>
      </c>
      <c r="AA62">
        <f>AND(IF(Metadata!G62="",FALSE,TRUE),exact(Metadata!G62,"mouse"))</f>
        <v>0</v>
      </c>
      <c r="AB62">
        <f>AND(IF(Metadata!H62="",FALSE,TRUE),exact(Metadata!H62,"Mus musculus"))</f>
        <v>0</v>
      </c>
      <c r="AC62">
        <f>AND(IF(Metadata!I62="",FALSE,TRUE),exact(Metadata!I62,"10090"))</f>
        <v>0</v>
      </c>
      <c r="AD62">
        <f>OR(AND(IF(Metadata!J62="",FALSE,TRUE),OR(exact(Metadata!J62,"not applicable"),exact(Metadata!J62,"missing: not collected"),exact(Metadata!J62,"missing: not provided"),exact(Metadata!J62,"missing: restricted access"))),AND(IF(Metadata!J62="",FALSE,ISNUMBER(VALUE(Metadata!J62))),Metadata!J62&gt;0))</f>
        <v>0</v>
      </c>
      <c r="AE62">
        <f>AND(IF(Metadata!K62="",FALSE,TRUE),exact(Metadata!K62,"g"))</f>
        <v>0</v>
      </c>
    </row>
    <row r="63" spans="1:31">
      <c r="A63" s="5">
        <f>IF(B63=" "," ",HYPERLINK(CONCATENATE("#metadata!",ADDRESS(INDEX($Q$2:$Q$1001,MATCH(ROWS($O$2:O63),$O$2:$O$1001,0),0),1)),INDEX($T$2:$T$1001,MATCH(ROWS($O$2:O63),$O$2:$O$1001,0),0)))</f>
        <v>0</v>
      </c>
      <c r="B63" s="4">
        <f>IF(OR(INDEX($P$2:$P$1001,MATCH(ROWS($O$2:O63),$O$2:$O$1001,0),1)&gt;=100000,INDEX($V$1005:$AE$1005,1,MATCH(COLUMNS($V$1006:V1006),$V$1006:$AE$1006,0))&gt;=100000), " ",IF(INDEX($V$2:$AE$1001,MATCH(ROWS($O$2:O63),$O$2:$O$1001,0),MATCH(COLUMNS($V$1006:V1006),$V$1006:$AE$1006,0)), HYPERLINK("#",""), HYPERLINK(CONCATENATE("#Metadata!", ADDRESS(INDEX($Q$2:$Q$1001,MATCH(ROWS($O$2:O63),$O$2:$O$1001,0),0), INDEX($V$1004:$AE$1004,1,MATCH(COLUMNS($V$1006:V1006),$V$1006:$AE$1006,0)))),"Fix")))</f>
        <v>0</v>
      </c>
      <c r="C63" s="4">
        <f>IF(OR(INDEX($P$2:$P$1001,MATCH(ROWS($O$2:O63),$O$2:$O$1001,0),1)&gt;=100000,INDEX($V$1005:$AE$1005,1,MATCH(COLUMNS($V$1006:W1006),$V$1006:$AE$1006,0))&gt;=100000), " ",IF(INDEX($V$2:$AE$1001,MATCH(ROWS($O$2:O63),$O$2:$O$1001,0),MATCH(COLUMNS($V$1006:W1006),$V$1006:$AE$1006,0)), HYPERLINK("#",""), HYPERLINK(CONCATENATE("#Metadata!", ADDRESS(INDEX($Q$2:$Q$1001,MATCH(ROWS($O$2:O63),$O$2:$O$1001,0),0), INDEX($V$1004:$AE$1004,1,MATCH(COLUMNS($V$1006:W1006),$V$1006:$AE$1006,0)))),"Fix")))</f>
        <v>0</v>
      </c>
      <c r="D63" s="4">
        <f>IF(OR(INDEX($P$2:$P$1001,MATCH(ROWS($O$2:O63),$O$2:$O$1001,0),1)&gt;=100000,INDEX($V$1005:$AE$1005,1,MATCH(COLUMNS($V$1006:X1006),$V$1006:$AE$1006,0))&gt;=100000), " ",IF(INDEX($V$2:$AE$1001,MATCH(ROWS($O$2:O63),$O$2:$O$1001,0),MATCH(COLUMNS($V$1006:X1006),$V$1006:$AE$1006,0)), HYPERLINK("#",""), HYPERLINK(CONCATENATE("#Metadata!", ADDRESS(INDEX($Q$2:$Q$1001,MATCH(ROWS($O$2:O63),$O$2:$O$1001,0),0), INDEX($V$1004:$AE$1004,1,MATCH(COLUMNS($V$1006:X1006),$V$1006:$AE$1006,0)))),"Fix")))</f>
        <v>0</v>
      </c>
      <c r="E63" s="4">
        <f>IF(OR(INDEX($P$2:$P$1001,MATCH(ROWS($O$2:O63),$O$2:$O$1001,0),1)&gt;=100000,INDEX($V$1005:$AE$1005,1,MATCH(COLUMNS($V$1006:Y1006),$V$1006:$AE$1006,0))&gt;=100000), " ",IF(INDEX($V$2:$AE$1001,MATCH(ROWS($O$2:O63),$O$2:$O$1001,0),MATCH(COLUMNS($V$1006:Y1006),$V$1006:$AE$1006,0)), HYPERLINK("#",""), HYPERLINK(CONCATENATE("#Metadata!", ADDRESS(INDEX($Q$2:$Q$1001,MATCH(ROWS($O$2:O63),$O$2:$O$1001,0),0), INDEX($V$1004:$AE$1004,1,MATCH(COLUMNS($V$1006:Y1006),$V$1006:$AE$1006,0)))),"Fix")))</f>
        <v>0</v>
      </c>
      <c r="F63" s="4">
        <f>IF(OR(INDEX($P$2:$P$1001,MATCH(ROWS($O$2:O63),$O$2:$O$1001,0),1)&gt;=100000,INDEX($V$1005:$AE$1005,1,MATCH(COLUMNS($V$1006:Z1006),$V$1006:$AE$1006,0))&gt;=100000), " ",IF(INDEX($V$2:$AE$1001,MATCH(ROWS($O$2:O63),$O$2:$O$1001,0),MATCH(COLUMNS($V$1006:Z1006),$V$1006:$AE$1006,0)), HYPERLINK("#",""), HYPERLINK(CONCATENATE("#Metadata!", ADDRESS(INDEX($Q$2:$Q$1001,MATCH(ROWS($O$2:O63),$O$2:$O$1001,0),0), INDEX($V$1004:$AE$1004,1,MATCH(COLUMNS($V$1006:Z1006),$V$1006:$AE$1006,0)))),"Fix")))</f>
        <v>0</v>
      </c>
      <c r="G63" s="4">
        <f>IF(OR(INDEX($P$2:$P$1001,MATCH(ROWS($O$2:O63),$O$2:$O$1001,0),1)&gt;=100000,INDEX($V$1005:$AE$1005,1,MATCH(COLUMNS($V$1006:AA1006),$V$1006:$AE$1006,0))&gt;=100000), " ",IF(INDEX($V$2:$AE$1001,MATCH(ROWS($O$2:O63),$O$2:$O$1001,0),MATCH(COLUMNS($V$1006:AA1006),$V$1006:$AE$1006,0)), HYPERLINK("#",""), HYPERLINK(CONCATENATE("#Metadata!", ADDRESS(INDEX($Q$2:$Q$1001,MATCH(ROWS($O$2:O63),$O$2:$O$1001,0),0), INDEX($V$1004:$AE$1004,1,MATCH(COLUMNS($V$1006:AA1006),$V$1006:$AE$1006,0)))),"Fix")))</f>
        <v>0</v>
      </c>
      <c r="H63" s="4">
        <f>IF(OR(INDEX($P$2:$P$1001,MATCH(ROWS($O$2:O63),$O$2:$O$1001,0),1)&gt;=100000,INDEX($V$1005:$AE$1005,1,MATCH(COLUMNS($V$1006:AB1006),$V$1006:$AE$1006,0))&gt;=100000), " ",IF(INDEX($V$2:$AE$1001,MATCH(ROWS($O$2:O63),$O$2:$O$1001,0),MATCH(COLUMNS($V$1006:AB1006),$V$1006:$AE$1006,0)), HYPERLINK("#",""), HYPERLINK(CONCATENATE("#Metadata!", ADDRESS(INDEX($Q$2:$Q$1001,MATCH(ROWS($O$2:O63),$O$2:$O$1001,0),0), INDEX($V$1004:$AE$1004,1,MATCH(COLUMNS($V$1006:AB1006),$V$1006:$AE$1006,0)))),"Fix")))</f>
        <v>0</v>
      </c>
      <c r="I63" s="4">
        <f>IF(OR(INDEX($P$2:$P$1001,MATCH(ROWS($O$2:O63),$O$2:$O$1001,0),1)&gt;=100000,INDEX($V$1005:$AE$1005,1,MATCH(COLUMNS($V$1006:AC1006),$V$1006:$AE$1006,0))&gt;=100000), " ",IF(INDEX($V$2:$AE$1001,MATCH(ROWS($O$2:O63),$O$2:$O$1001,0),MATCH(COLUMNS($V$1006:AC1006),$V$1006:$AE$1006,0)), HYPERLINK("#",""), HYPERLINK(CONCATENATE("#Metadata!", ADDRESS(INDEX($Q$2:$Q$1001,MATCH(ROWS($O$2:O63),$O$2:$O$1001,0),0), INDEX($V$1004:$AE$1004,1,MATCH(COLUMNS($V$1006:AC1006),$V$1006:$AE$1006,0)))),"Fix")))</f>
        <v>0</v>
      </c>
      <c r="J63" s="4">
        <f>IF(OR(INDEX($P$2:$P$1001,MATCH(ROWS($O$2:O63),$O$2:$O$1001,0),1)&gt;=100000,INDEX($V$1005:$AE$1005,1,MATCH(COLUMNS($V$1006:AD1006),$V$1006:$AE$1006,0))&gt;=100000), " ",IF(INDEX($V$2:$AE$1001,MATCH(ROWS($O$2:O63),$O$2:$O$1001,0),MATCH(COLUMNS($V$1006:AD1006),$V$1006:$AE$1006,0)), HYPERLINK("#",""), HYPERLINK(CONCATENATE("#Metadata!", ADDRESS(INDEX($Q$2:$Q$1001,MATCH(ROWS($O$2:O63),$O$2:$O$1001,0),0), INDEX($V$1004:$AE$1004,1,MATCH(COLUMNS($V$1006:AD1006),$V$1006:$AE$1006,0)))),"Fix")))</f>
        <v>0</v>
      </c>
      <c r="K63" s="4">
        <f>IF(OR(INDEX($P$2:$P$1001,MATCH(ROWS($O$2:O63),$O$2:$O$1001,0),1)&gt;=100000,INDEX($V$1005:$AE$1005,1,MATCH(COLUMNS($V$1006:AE1006),$V$1006:$AE$1006,0))&gt;=100000), " ",IF(INDEX($V$2:$AE$1001,MATCH(ROWS($O$2:O63),$O$2:$O$1001,0),MATCH(COLUMNS($V$1006:AE1006),$V$1006:$AE$1006,0)), HYPERLINK("#",""), HYPERLINK(CONCATENATE("#Metadata!", ADDRESS(INDEX($Q$2:$Q$1001,MATCH(ROWS($O$2:O63),$O$2:$O$1001,0),0), INDEX($V$1004:$AE$1004,1,MATCH(COLUMNS($V$1006:AE1006),$V$1006:$AE$1006,0)))),"Fix")))</f>
        <v>0</v>
      </c>
      <c r="O63">
        <v>0</v>
      </c>
      <c r="P63">
        <v>0</v>
      </c>
      <c r="Q63">
        <v>0</v>
      </c>
      <c r="R63">
        <f>IF(S63,TRUE,AND(V63:AE63))</f>
        <v>0</v>
      </c>
      <c r="S63">
        <f>COUNTBLANK(Metadata!B63:K63)=COLUMNS(Metadata!B63:K63)</f>
        <v>0</v>
      </c>
      <c r="T63">
        <v>0</v>
      </c>
      <c r="V63">
        <f>AND(IF(Metadata!B63="",FALSE,TRUE),COUNTIF(Metadata!B:B, Metadata!B63) = 1,NOT(ISERROR(SUMPRODUCT(SEARCH(MID(Metadata!B63,ROW(INDIRECT("1:"&amp;LEN(Metadata!B63))), 1),"0123456789abcdefghijklmnopqrstuvwxyzABCDEFGHIJKLMNOPQRSTUVWXYZ.")))))</f>
        <v>0</v>
      </c>
      <c r="W63">
        <f>AND(IF(Metadata!C63="",FALSE,TRUE),exact(Metadata!C63,"urban biome"))</f>
        <v>0</v>
      </c>
      <c r="X63">
        <f>AND(IF(Metadata!D63="",FALSE,TRUE),exact(Metadata!D63,"animal-associated habitat"))</f>
        <v>0</v>
      </c>
      <c r="Y63">
        <f>OR(AND(IF(Metadata!E63="",FALSE,TRUE),OR(exact(Metadata!E63,"not applicable"),exact(Metadata!E63,"missing: not collected"),exact(Metadata!E63,"missing: not provided"),exact(Metadata!E63,"missing: restricted access"))),AND(IF(Metadata!E63="",FALSE,ISNUMBER(VALUE(Metadata!E63))),Metadata!E63&gt;0))</f>
        <v>0</v>
      </c>
      <c r="Z63">
        <f>AND(IF(Metadata!F63="",FALSE,TRUE),exact(Metadata!F63,"weeks"))</f>
        <v>0</v>
      </c>
      <c r="AA63">
        <f>AND(IF(Metadata!G63="",FALSE,TRUE),exact(Metadata!G63,"mouse"))</f>
        <v>0</v>
      </c>
      <c r="AB63">
        <f>AND(IF(Metadata!H63="",FALSE,TRUE),exact(Metadata!H63,"Mus musculus"))</f>
        <v>0</v>
      </c>
      <c r="AC63">
        <f>AND(IF(Metadata!I63="",FALSE,TRUE),exact(Metadata!I63,"10090"))</f>
        <v>0</v>
      </c>
      <c r="AD63">
        <f>OR(AND(IF(Metadata!J63="",FALSE,TRUE),OR(exact(Metadata!J63,"not applicable"),exact(Metadata!J63,"missing: not collected"),exact(Metadata!J63,"missing: not provided"),exact(Metadata!J63,"missing: restricted access"))),AND(IF(Metadata!J63="",FALSE,ISNUMBER(VALUE(Metadata!J63))),Metadata!J63&gt;0))</f>
        <v>0</v>
      </c>
      <c r="AE63">
        <f>AND(IF(Metadata!K63="",FALSE,TRUE),exact(Metadata!K63,"g"))</f>
        <v>0</v>
      </c>
    </row>
    <row r="64" spans="1:31">
      <c r="A64" s="5">
        <f>IF(B64=" "," ",HYPERLINK(CONCATENATE("#metadata!",ADDRESS(INDEX($Q$2:$Q$1001,MATCH(ROWS($O$2:O64),$O$2:$O$1001,0),0),1)),INDEX($T$2:$T$1001,MATCH(ROWS($O$2:O64),$O$2:$O$1001,0),0)))</f>
        <v>0</v>
      </c>
      <c r="B64" s="4">
        <f>IF(OR(INDEX($P$2:$P$1001,MATCH(ROWS($O$2:O64),$O$2:$O$1001,0),1)&gt;=100000,INDEX($V$1005:$AE$1005,1,MATCH(COLUMNS($V$1006:V1006),$V$1006:$AE$1006,0))&gt;=100000), " ",IF(INDEX($V$2:$AE$1001,MATCH(ROWS($O$2:O64),$O$2:$O$1001,0),MATCH(COLUMNS($V$1006:V1006),$V$1006:$AE$1006,0)), HYPERLINK("#",""), HYPERLINK(CONCATENATE("#Metadata!", ADDRESS(INDEX($Q$2:$Q$1001,MATCH(ROWS($O$2:O64),$O$2:$O$1001,0),0), INDEX($V$1004:$AE$1004,1,MATCH(COLUMNS($V$1006:V1006),$V$1006:$AE$1006,0)))),"Fix")))</f>
        <v>0</v>
      </c>
      <c r="C64" s="4">
        <f>IF(OR(INDEX($P$2:$P$1001,MATCH(ROWS($O$2:O64),$O$2:$O$1001,0),1)&gt;=100000,INDEX($V$1005:$AE$1005,1,MATCH(COLUMNS($V$1006:W1006),$V$1006:$AE$1006,0))&gt;=100000), " ",IF(INDEX($V$2:$AE$1001,MATCH(ROWS($O$2:O64),$O$2:$O$1001,0),MATCH(COLUMNS($V$1006:W1006),$V$1006:$AE$1006,0)), HYPERLINK("#",""), HYPERLINK(CONCATENATE("#Metadata!", ADDRESS(INDEX($Q$2:$Q$1001,MATCH(ROWS($O$2:O64),$O$2:$O$1001,0),0), INDEX($V$1004:$AE$1004,1,MATCH(COLUMNS($V$1006:W1006),$V$1006:$AE$1006,0)))),"Fix")))</f>
        <v>0</v>
      </c>
      <c r="D64" s="4">
        <f>IF(OR(INDEX($P$2:$P$1001,MATCH(ROWS($O$2:O64),$O$2:$O$1001,0),1)&gt;=100000,INDEX($V$1005:$AE$1005,1,MATCH(COLUMNS($V$1006:X1006),$V$1006:$AE$1006,0))&gt;=100000), " ",IF(INDEX($V$2:$AE$1001,MATCH(ROWS($O$2:O64),$O$2:$O$1001,0),MATCH(COLUMNS($V$1006:X1006),$V$1006:$AE$1006,0)), HYPERLINK("#",""), HYPERLINK(CONCATENATE("#Metadata!", ADDRESS(INDEX($Q$2:$Q$1001,MATCH(ROWS($O$2:O64),$O$2:$O$1001,0),0), INDEX($V$1004:$AE$1004,1,MATCH(COLUMNS($V$1006:X1006),$V$1006:$AE$1006,0)))),"Fix")))</f>
        <v>0</v>
      </c>
      <c r="E64" s="4">
        <f>IF(OR(INDEX($P$2:$P$1001,MATCH(ROWS($O$2:O64),$O$2:$O$1001,0),1)&gt;=100000,INDEX($V$1005:$AE$1005,1,MATCH(COLUMNS($V$1006:Y1006),$V$1006:$AE$1006,0))&gt;=100000), " ",IF(INDEX($V$2:$AE$1001,MATCH(ROWS($O$2:O64),$O$2:$O$1001,0),MATCH(COLUMNS($V$1006:Y1006),$V$1006:$AE$1006,0)), HYPERLINK("#",""), HYPERLINK(CONCATENATE("#Metadata!", ADDRESS(INDEX($Q$2:$Q$1001,MATCH(ROWS($O$2:O64),$O$2:$O$1001,0),0), INDEX($V$1004:$AE$1004,1,MATCH(COLUMNS($V$1006:Y1006),$V$1006:$AE$1006,0)))),"Fix")))</f>
        <v>0</v>
      </c>
      <c r="F64" s="4">
        <f>IF(OR(INDEX($P$2:$P$1001,MATCH(ROWS($O$2:O64),$O$2:$O$1001,0),1)&gt;=100000,INDEX($V$1005:$AE$1005,1,MATCH(COLUMNS($V$1006:Z1006),$V$1006:$AE$1006,0))&gt;=100000), " ",IF(INDEX($V$2:$AE$1001,MATCH(ROWS($O$2:O64),$O$2:$O$1001,0),MATCH(COLUMNS($V$1006:Z1006),$V$1006:$AE$1006,0)), HYPERLINK("#",""), HYPERLINK(CONCATENATE("#Metadata!", ADDRESS(INDEX($Q$2:$Q$1001,MATCH(ROWS($O$2:O64),$O$2:$O$1001,0),0), INDEX($V$1004:$AE$1004,1,MATCH(COLUMNS($V$1006:Z1006),$V$1006:$AE$1006,0)))),"Fix")))</f>
        <v>0</v>
      </c>
      <c r="G64" s="4">
        <f>IF(OR(INDEX($P$2:$P$1001,MATCH(ROWS($O$2:O64),$O$2:$O$1001,0),1)&gt;=100000,INDEX($V$1005:$AE$1005,1,MATCH(COLUMNS($V$1006:AA1006),$V$1006:$AE$1006,0))&gt;=100000), " ",IF(INDEX($V$2:$AE$1001,MATCH(ROWS($O$2:O64),$O$2:$O$1001,0),MATCH(COLUMNS($V$1006:AA1006),$V$1006:$AE$1006,0)), HYPERLINK("#",""), HYPERLINK(CONCATENATE("#Metadata!", ADDRESS(INDEX($Q$2:$Q$1001,MATCH(ROWS($O$2:O64),$O$2:$O$1001,0),0), INDEX($V$1004:$AE$1004,1,MATCH(COLUMNS($V$1006:AA1006),$V$1006:$AE$1006,0)))),"Fix")))</f>
        <v>0</v>
      </c>
      <c r="H64" s="4">
        <f>IF(OR(INDEX($P$2:$P$1001,MATCH(ROWS($O$2:O64),$O$2:$O$1001,0),1)&gt;=100000,INDEX($V$1005:$AE$1005,1,MATCH(COLUMNS($V$1006:AB1006),$V$1006:$AE$1006,0))&gt;=100000), " ",IF(INDEX($V$2:$AE$1001,MATCH(ROWS($O$2:O64),$O$2:$O$1001,0),MATCH(COLUMNS($V$1006:AB1006),$V$1006:$AE$1006,0)), HYPERLINK("#",""), HYPERLINK(CONCATENATE("#Metadata!", ADDRESS(INDEX($Q$2:$Q$1001,MATCH(ROWS($O$2:O64),$O$2:$O$1001,0),0), INDEX($V$1004:$AE$1004,1,MATCH(COLUMNS($V$1006:AB1006),$V$1006:$AE$1006,0)))),"Fix")))</f>
        <v>0</v>
      </c>
      <c r="I64" s="4">
        <f>IF(OR(INDEX($P$2:$P$1001,MATCH(ROWS($O$2:O64),$O$2:$O$1001,0),1)&gt;=100000,INDEX($V$1005:$AE$1005,1,MATCH(COLUMNS($V$1006:AC1006),$V$1006:$AE$1006,0))&gt;=100000), " ",IF(INDEX($V$2:$AE$1001,MATCH(ROWS($O$2:O64),$O$2:$O$1001,0),MATCH(COLUMNS($V$1006:AC1006),$V$1006:$AE$1006,0)), HYPERLINK("#",""), HYPERLINK(CONCATENATE("#Metadata!", ADDRESS(INDEX($Q$2:$Q$1001,MATCH(ROWS($O$2:O64),$O$2:$O$1001,0),0), INDEX($V$1004:$AE$1004,1,MATCH(COLUMNS($V$1006:AC1006),$V$1006:$AE$1006,0)))),"Fix")))</f>
        <v>0</v>
      </c>
      <c r="J64" s="4">
        <f>IF(OR(INDEX($P$2:$P$1001,MATCH(ROWS($O$2:O64),$O$2:$O$1001,0),1)&gt;=100000,INDEX($V$1005:$AE$1005,1,MATCH(COLUMNS($V$1006:AD1006),$V$1006:$AE$1006,0))&gt;=100000), " ",IF(INDEX($V$2:$AE$1001,MATCH(ROWS($O$2:O64),$O$2:$O$1001,0),MATCH(COLUMNS($V$1006:AD1006),$V$1006:$AE$1006,0)), HYPERLINK("#",""), HYPERLINK(CONCATENATE("#Metadata!", ADDRESS(INDEX($Q$2:$Q$1001,MATCH(ROWS($O$2:O64),$O$2:$O$1001,0),0), INDEX($V$1004:$AE$1004,1,MATCH(COLUMNS($V$1006:AD1006),$V$1006:$AE$1006,0)))),"Fix")))</f>
        <v>0</v>
      </c>
      <c r="K64" s="4">
        <f>IF(OR(INDEX($P$2:$P$1001,MATCH(ROWS($O$2:O64),$O$2:$O$1001,0),1)&gt;=100000,INDEX($V$1005:$AE$1005,1,MATCH(COLUMNS($V$1006:AE1006),$V$1006:$AE$1006,0))&gt;=100000), " ",IF(INDEX($V$2:$AE$1001,MATCH(ROWS($O$2:O64),$O$2:$O$1001,0),MATCH(COLUMNS($V$1006:AE1006),$V$1006:$AE$1006,0)), HYPERLINK("#",""), HYPERLINK(CONCATENATE("#Metadata!", ADDRESS(INDEX($Q$2:$Q$1001,MATCH(ROWS($O$2:O64),$O$2:$O$1001,0),0), INDEX($V$1004:$AE$1004,1,MATCH(COLUMNS($V$1006:AE1006),$V$1006:$AE$1006,0)))),"Fix")))</f>
        <v>0</v>
      </c>
      <c r="O64">
        <v>0</v>
      </c>
      <c r="P64">
        <v>0</v>
      </c>
      <c r="Q64">
        <v>0</v>
      </c>
      <c r="R64">
        <f>IF(S64,TRUE,AND(V64:AE64))</f>
        <v>0</v>
      </c>
      <c r="S64">
        <f>COUNTBLANK(Metadata!B64:K64)=COLUMNS(Metadata!B64:K64)</f>
        <v>0</v>
      </c>
      <c r="T64">
        <v>0</v>
      </c>
      <c r="V64">
        <f>AND(IF(Metadata!B64="",FALSE,TRUE),COUNTIF(Metadata!B:B, Metadata!B64) = 1,NOT(ISERROR(SUMPRODUCT(SEARCH(MID(Metadata!B64,ROW(INDIRECT("1:"&amp;LEN(Metadata!B64))), 1),"0123456789abcdefghijklmnopqrstuvwxyzABCDEFGHIJKLMNOPQRSTUVWXYZ.")))))</f>
        <v>0</v>
      </c>
      <c r="W64">
        <f>AND(IF(Metadata!C64="",FALSE,TRUE),exact(Metadata!C64,"urban biome"))</f>
        <v>0</v>
      </c>
      <c r="X64">
        <f>AND(IF(Metadata!D64="",FALSE,TRUE),exact(Metadata!D64,"animal-associated habitat"))</f>
        <v>0</v>
      </c>
      <c r="Y64">
        <f>OR(AND(IF(Metadata!E64="",FALSE,TRUE),OR(exact(Metadata!E64,"not applicable"),exact(Metadata!E64,"missing: not collected"),exact(Metadata!E64,"missing: not provided"),exact(Metadata!E64,"missing: restricted access"))),AND(IF(Metadata!E64="",FALSE,ISNUMBER(VALUE(Metadata!E64))),Metadata!E64&gt;0))</f>
        <v>0</v>
      </c>
      <c r="Z64">
        <f>AND(IF(Metadata!F64="",FALSE,TRUE),exact(Metadata!F64,"weeks"))</f>
        <v>0</v>
      </c>
      <c r="AA64">
        <f>AND(IF(Metadata!G64="",FALSE,TRUE),exact(Metadata!G64,"mouse"))</f>
        <v>0</v>
      </c>
      <c r="AB64">
        <f>AND(IF(Metadata!H64="",FALSE,TRUE),exact(Metadata!H64,"Mus musculus"))</f>
        <v>0</v>
      </c>
      <c r="AC64">
        <f>AND(IF(Metadata!I64="",FALSE,TRUE),exact(Metadata!I64,"10090"))</f>
        <v>0</v>
      </c>
      <c r="AD64">
        <f>OR(AND(IF(Metadata!J64="",FALSE,TRUE),OR(exact(Metadata!J64,"not applicable"),exact(Metadata!J64,"missing: not collected"),exact(Metadata!J64,"missing: not provided"),exact(Metadata!J64,"missing: restricted access"))),AND(IF(Metadata!J64="",FALSE,ISNUMBER(VALUE(Metadata!J64))),Metadata!J64&gt;0))</f>
        <v>0</v>
      </c>
      <c r="AE64">
        <f>AND(IF(Metadata!K64="",FALSE,TRUE),exact(Metadata!K64,"g"))</f>
        <v>0</v>
      </c>
    </row>
    <row r="65" spans="1:31">
      <c r="A65" s="5">
        <f>IF(B65=" "," ",HYPERLINK(CONCATENATE("#metadata!",ADDRESS(INDEX($Q$2:$Q$1001,MATCH(ROWS($O$2:O65),$O$2:$O$1001,0),0),1)),INDEX($T$2:$T$1001,MATCH(ROWS($O$2:O65),$O$2:$O$1001,0),0)))</f>
        <v>0</v>
      </c>
      <c r="B65" s="4">
        <f>IF(OR(INDEX($P$2:$P$1001,MATCH(ROWS($O$2:O65),$O$2:$O$1001,0),1)&gt;=100000,INDEX($V$1005:$AE$1005,1,MATCH(COLUMNS($V$1006:V1006),$V$1006:$AE$1006,0))&gt;=100000), " ",IF(INDEX($V$2:$AE$1001,MATCH(ROWS($O$2:O65),$O$2:$O$1001,0),MATCH(COLUMNS($V$1006:V1006),$V$1006:$AE$1006,0)), HYPERLINK("#",""), HYPERLINK(CONCATENATE("#Metadata!", ADDRESS(INDEX($Q$2:$Q$1001,MATCH(ROWS($O$2:O65),$O$2:$O$1001,0),0), INDEX($V$1004:$AE$1004,1,MATCH(COLUMNS($V$1006:V1006),$V$1006:$AE$1006,0)))),"Fix")))</f>
        <v>0</v>
      </c>
      <c r="C65" s="4">
        <f>IF(OR(INDEX($P$2:$P$1001,MATCH(ROWS($O$2:O65),$O$2:$O$1001,0),1)&gt;=100000,INDEX($V$1005:$AE$1005,1,MATCH(COLUMNS($V$1006:W1006),$V$1006:$AE$1006,0))&gt;=100000), " ",IF(INDEX($V$2:$AE$1001,MATCH(ROWS($O$2:O65),$O$2:$O$1001,0),MATCH(COLUMNS($V$1006:W1006),$V$1006:$AE$1006,0)), HYPERLINK("#",""), HYPERLINK(CONCATENATE("#Metadata!", ADDRESS(INDEX($Q$2:$Q$1001,MATCH(ROWS($O$2:O65),$O$2:$O$1001,0),0), INDEX($V$1004:$AE$1004,1,MATCH(COLUMNS($V$1006:W1006),$V$1006:$AE$1006,0)))),"Fix")))</f>
        <v>0</v>
      </c>
      <c r="D65" s="4">
        <f>IF(OR(INDEX($P$2:$P$1001,MATCH(ROWS($O$2:O65),$O$2:$O$1001,0),1)&gt;=100000,INDEX($V$1005:$AE$1005,1,MATCH(COLUMNS($V$1006:X1006),$V$1006:$AE$1006,0))&gt;=100000), " ",IF(INDEX($V$2:$AE$1001,MATCH(ROWS($O$2:O65),$O$2:$O$1001,0),MATCH(COLUMNS($V$1006:X1006),$V$1006:$AE$1006,0)), HYPERLINK("#",""), HYPERLINK(CONCATENATE("#Metadata!", ADDRESS(INDEX($Q$2:$Q$1001,MATCH(ROWS($O$2:O65),$O$2:$O$1001,0),0), INDEX($V$1004:$AE$1004,1,MATCH(COLUMNS($V$1006:X1006),$V$1006:$AE$1006,0)))),"Fix")))</f>
        <v>0</v>
      </c>
      <c r="E65" s="4">
        <f>IF(OR(INDEX($P$2:$P$1001,MATCH(ROWS($O$2:O65),$O$2:$O$1001,0),1)&gt;=100000,INDEX($V$1005:$AE$1005,1,MATCH(COLUMNS($V$1006:Y1006),$V$1006:$AE$1006,0))&gt;=100000), " ",IF(INDEX($V$2:$AE$1001,MATCH(ROWS($O$2:O65),$O$2:$O$1001,0),MATCH(COLUMNS($V$1006:Y1006),$V$1006:$AE$1006,0)), HYPERLINK("#",""), HYPERLINK(CONCATENATE("#Metadata!", ADDRESS(INDEX($Q$2:$Q$1001,MATCH(ROWS($O$2:O65),$O$2:$O$1001,0),0), INDEX($V$1004:$AE$1004,1,MATCH(COLUMNS($V$1006:Y1006),$V$1006:$AE$1006,0)))),"Fix")))</f>
        <v>0</v>
      </c>
      <c r="F65" s="4">
        <f>IF(OR(INDEX($P$2:$P$1001,MATCH(ROWS($O$2:O65),$O$2:$O$1001,0),1)&gt;=100000,INDEX($V$1005:$AE$1005,1,MATCH(COLUMNS($V$1006:Z1006),$V$1006:$AE$1006,0))&gt;=100000), " ",IF(INDEX($V$2:$AE$1001,MATCH(ROWS($O$2:O65),$O$2:$O$1001,0),MATCH(COLUMNS($V$1006:Z1006),$V$1006:$AE$1006,0)), HYPERLINK("#",""), HYPERLINK(CONCATENATE("#Metadata!", ADDRESS(INDEX($Q$2:$Q$1001,MATCH(ROWS($O$2:O65),$O$2:$O$1001,0),0), INDEX($V$1004:$AE$1004,1,MATCH(COLUMNS($V$1006:Z1006),$V$1006:$AE$1006,0)))),"Fix")))</f>
        <v>0</v>
      </c>
      <c r="G65" s="4">
        <f>IF(OR(INDEX($P$2:$P$1001,MATCH(ROWS($O$2:O65),$O$2:$O$1001,0),1)&gt;=100000,INDEX($V$1005:$AE$1005,1,MATCH(COLUMNS($V$1006:AA1006),$V$1006:$AE$1006,0))&gt;=100000), " ",IF(INDEX($V$2:$AE$1001,MATCH(ROWS($O$2:O65),$O$2:$O$1001,0),MATCH(COLUMNS($V$1006:AA1006),$V$1006:$AE$1006,0)), HYPERLINK("#",""), HYPERLINK(CONCATENATE("#Metadata!", ADDRESS(INDEX($Q$2:$Q$1001,MATCH(ROWS($O$2:O65),$O$2:$O$1001,0),0), INDEX($V$1004:$AE$1004,1,MATCH(COLUMNS($V$1006:AA1006),$V$1006:$AE$1006,0)))),"Fix")))</f>
        <v>0</v>
      </c>
      <c r="H65" s="4">
        <f>IF(OR(INDEX($P$2:$P$1001,MATCH(ROWS($O$2:O65),$O$2:$O$1001,0),1)&gt;=100000,INDEX($V$1005:$AE$1005,1,MATCH(COLUMNS($V$1006:AB1006),$V$1006:$AE$1006,0))&gt;=100000), " ",IF(INDEX($V$2:$AE$1001,MATCH(ROWS($O$2:O65),$O$2:$O$1001,0),MATCH(COLUMNS($V$1006:AB1006),$V$1006:$AE$1006,0)), HYPERLINK("#",""), HYPERLINK(CONCATENATE("#Metadata!", ADDRESS(INDEX($Q$2:$Q$1001,MATCH(ROWS($O$2:O65),$O$2:$O$1001,0),0), INDEX($V$1004:$AE$1004,1,MATCH(COLUMNS($V$1006:AB1006),$V$1006:$AE$1006,0)))),"Fix")))</f>
        <v>0</v>
      </c>
      <c r="I65" s="4">
        <f>IF(OR(INDEX($P$2:$P$1001,MATCH(ROWS($O$2:O65),$O$2:$O$1001,0),1)&gt;=100000,INDEX($V$1005:$AE$1005,1,MATCH(COLUMNS($V$1006:AC1006),$V$1006:$AE$1006,0))&gt;=100000), " ",IF(INDEX($V$2:$AE$1001,MATCH(ROWS($O$2:O65),$O$2:$O$1001,0),MATCH(COLUMNS($V$1006:AC1006),$V$1006:$AE$1006,0)), HYPERLINK("#",""), HYPERLINK(CONCATENATE("#Metadata!", ADDRESS(INDEX($Q$2:$Q$1001,MATCH(ROWS($O$2:O65),$O$2:$O$1001,0),0), INDEX($V$1004:$AE$1004,1,MATCH(COLUMNS($V$1006:AC1006),$V$1006:$AE$1006,0)))),"Fix")))</f>
        <v>0</v>
      </c>
      <c r="J65" s="4">
        <f>IF(OR(INDEX($P$2:$P$1001,MATCH(ROWS($O$2:O65),$O$2:$O$1001,0),1)&gt;=100000,INDEX($V$1005:$AE$1005,1,MATCH(COLUMNS($V$1006:AD1006),$V$1006:$AE$1006,0))&gt;=100000), " ",IF(INDEX($V$2:$AE$1001,MATCH(ROWS($O$2:O65),$O$2:$O$1001,0),MATCH(COLUMNS($V$1006:AD1006),$V$1006:$AE$1006,0)), HYPERLINK("#",""), HYPERLINK(CONCATENATE("#Metadata!", ADDRESS(INDEX($Q$2:$Q$1001,MATCH(ROWS($O$2:O65),$O$2:$O$1001,0),0), INDEX($V$1004:$AE$1004,1,MATCH(COLUMNS($V$1006:AD1006),$V$1006:$AE$1006,0)))),"Fix")))</f>
        <v>0</v>
      </c>
      <c r="K65" s="4">
        <f>IF(OR(INDEX($P$2:$P$1001,MATCH(ROWS($O$2:O65),$O$2:$O$1001,0),1)&gt;=100000,INDEX($V$1005:$AE$1005,1,MATCH(COLUMNS($V$1006:AE1006),$V$1006:$AE$1006,0))&gt;=100000), " ",IF(INDEX($V$2:$AE$1001,MATCH(ROWS($O$2:O65),$O$2:$O$1001,0),MATCH(COLUMNS($V$1006:AE1006),$V$1006:$AE$1006,0)), HYPERLINK("#",""), HYPERLINK(CONCATENATE("#Metadata!", ADDRESS(INDEX($Q$2:$Q$1001,MATCH(ROWS($O$2:O65),$O$2:$O$1001,0),0), INDEX($V$1004:$AE$1004,1,MATCH(COLUMNS($V$1006:AE1006),$V$1006:$AE$1006,0)))),"Fix")))</f>
        <v>0</v>
      </c>
      <c r="O65">
        <v>0</v>
      </c>
      <c r="P65">
        <v>0</v>
      </c>
      <c r="Q65">
        <v>0</v>
      </c>
      <c r="R65">
        <f>IF(S65,TRUE,AND(V65:AE65))</f>
        <v>0</v>
      </c>
      <c r="S65">
        <f>COUNTBLANK(Metadata!B65:K65)=COLUMNS(Metadata!B65:K65)</f>
        <v>0</v>
      </c>
      <c r="T65">
        <v>0</v>
      </c>
      <c r="V65">
        <f>AND(IF(Metadata!B65="",FALSE,TRUE),COUNTIF(Metadata!B:B, Metadata!B65) = 1,NOT(ISERROR(SUMPRODUCT(SEARCH(MID(Metadata!B65,ROW(INDIRECT("1:"&amp;LEN(Metadata!B65))), 1),"0123456789abcdefghijklmnopqrstuvwxyzABCDEFGHIJKLMNOPQRSTUVWXYZ.")))))</f>
        <v>0</v>
      </c>
      <c r="W65">
        <f>AND(IF(Metadata!C65="",FALSE,TRUE),exact(Metadata!C65,"urban biome"))</f>
        <v>0</v>
      </c>
      <c r="X65">
        <f>AND(IF(Metadata!D65="",FALSE,TRUE),exact(Metadata!D65,"animal-associated habitat"))</f>
        <v>0</v>
      </c>
      <c r="Y65">
        <f>OR(AND(IF(Metadata!E65="",FALSE,TRUE),OR(exact(Metadata!E65,"not applicable"),exact(Metadata!E65,"missing: not collected"),exact(Metadata!E65,"missing: not provided"),exact(Metadata!E65,"missing: restricted access"))),AND(IF(Metadata!E65="",FALSE,ISNUMBER(VALUE(Metadata!E65))),Metadata!E65&gt;0))</f>
        <v>0</v>
      </c>
      <c r="Z65">
        <f>AND(IF(Metadata!F65="",FALSE,TRUE),exact(Metadata!F65,"weeks"))</f>
        <v>0</v>
      </c>
      <c r="AA65">
        <f>AND(IF(Metadata!G65="",FALSE,TRUE),exact(Metadata!G65,"mouse"))</f>
        <v>0</v>
      </c>
      <c r="AB65">
        <f>AND(IF(Metadata!H65="",FALSE,TRUE),exact(Metadata!H65,"Mus musculus"))</f>
        <v>0</v>
      </c>
      <c r="AC65">
        <f>AND(IF(Metadata!I65="",FALSE,TRUE),exact(Metadata!I65,"10090"))</f>
        <v>0</v>
      </c>
      <c r="AD65">
        <f>OR(AND(IF(Metadata!J65="",FALSE,TRUE),OR(exact(Metadata!J65,"not applicable"),exact(Metadata!J65,"missing: not collected"),exact(Metadata!J65,"missing: not provided"),exact(Metadata!J65,"missing: restricted access"))),AND(IF(Metadata!J65="",FALSE,ISNUMBER(VALUE(Metadata!J65))),Metadata!J65&gt;0))</f>
        <v>0</v>
      </c>
      <c r="AE65">
        <f>AND(IF(Metadata!K65="",FALSE,TRUE),exact(Metadata!K65,"g"))</f>
        <v>0</v>
      </c>
    </row>
    <row r="66" spans="1:31">
      <c r="A66" s="5">
        <f>IF(B66=" "," ",HYPERLINK(CONCATENATE("#metadata!",ADDRESS(INDEX($Q$2:$Q$1001,MATCH(ROWS($O$2:O66),$O$2:$O$1001,0),0),1)),INDEX($T$2:$T$1001,MATCH(ROWS($O$2:O66),$O$2:$O$1001,0),0)))</f>
        <v>0</v>
      </c>
      <c r="B66" s="4">
        <f>IF(OR(INDEX($P$2:$P$1001,MATCH(ROWS($O$2:O66),$O$2:$O$1001,0),1)&gt;=100000,INDEX($V$1005:$AE$1005,1,MATCH(COLUMNS($V$1006:V1006),$V$1006:$AE$1006,0))&gt;=100000), " ",IF(INDEX($V$2:$AE$1001,MATCH(ROWS($O$2:O66),$O$2:$O$1001,0),MATCH(COLUMNS($V$1006:V1006),$V$1006:$AE$1006,0)), HYPERLINK("#",""), HYPERLINK(CONCATENATE("#Metadata!", ADDRESS(INDEX($Q$2:$Q$1001,MATCH(ROWS($O$2:O66),$O$2:$O$1001,0),0), INDEX($V$1004:$AE$1004,1,MATCH(COLUMNS($V$1006:V1006),$V$1006:$AE$1006,0)))),"Fix")))</f>
        <v>0</v>
      </c>
      <c r="C66" s="4">
        <f>IF(OR(INDEX($P$2:$P$1001,MATCH(ROWS($O$2:O66),$O$2:$O$1001,0),1)&gt;=100000,INDEX($V$1005:$AE$1005,1,MATCH(COLUMNS($V$1006:W1006),$V$1006:$AE$1006,0))&gt;=100000), " ",IF(INDEX($V$2:$AE$1001,MATCH(ROWS($O$2:O66),$O$2:$O$1001,0),MATCH(COLUMNS($V$1006:W1006),$V$1006:$AE$1006,0)), HYPERLINK("#",""), HYPERLINK(CONCATENATE("#Metadata!", ADDRESS(INDEX($Q$2:$Q$1001,MATCH(ROWS($O$2:O66),$O$2:$O$1001,0),0), INDEX($V$1004:$AE$1004,1,MATCH(COLUMNS($V$1006:W1006),$V$1006:$AE$1006,0)))),"Fix")))</f>
        <v>0</v>
      </c>
      <c r="D66" s="4">
        <f>IF(OR(INDEX($P$2:$P$1001,MATCH(ROWS($O$2:O66),$O$2:$O$1001,0),1)&gt;=100000,INDEX($V$1005:$AE$1005,1,MATCH(COLUMNS($V$1006:X1006),$V$1006:$AE$1006,0))&gt;=100000), " ",IF(INDEX($V$2:$AE$1001,MATCH(ROWS($O$2:O66),$O$2:$O$1001,0),MATCH(COLUMNS($V$1006:X1006),$V$1006:$AE$1006,0)), HYPERLINK("#",""), HYPERLINK(CONCATENATE("#Metadata!", ADDRESS(INDEX($Q$2:$Q$1001,MATCH(ROWS($O$2:O66),$O$2:$O$1001,0),0), INDEX($V$1004:$AE$1004,1,MATCH(COLUMNS($V$1006:X1006),$V$1006:$AE$1006,0)))),"Fix")))</f>
        <v>0</v>
      </c>
      <c r="E66" s="4">
        <f>IF(OR(INDEX($P$2:$P$1001,MATCH(ROWS($O$2:O66),$O$2:$O$1001,0),1)&gt;=100000,INDEX($V$1005:$AE$1005,1,MATCH(COLUMNS($V$1006:Y1006),$V$1006:$AE$1006,0))&gt;=100000), " ",IF(INDEX($V$2:$AE$1001,MATCH(ROWS($O$2:O66),$O$2:$O$1001,0),MATCH(COLUMNS($V$1006:Y1006),$V$1006:$AE$1006,0)), HYPERLINK("#",""), HYPERLINK(CONCATENATE("#Metadata!", ADDRESS(INDEX($Q$2:$Q$1001,MATCH(ROWS($O$2:O66),$O$2:$O$1001,0),0), INDEX($V$1004:$AE$1004,1,MATCH(COLUMNS($V$1006:Y1006),$V$1006:$AE$1006,0)))),"Fix")))</f>
        <v>0</v>
      </c>
      <c r="F66" s="4">
        <f>IF(OR(INDEX($P$2:$P$1001,MATCH(ROWS($O$2:O66),$O$2:$O$1001,0),1)&gt;=100000,INDEX($V$1005:$AE$1005,1,MATCH(COLUMNS($V$1006:Z1006),$V$1006:$AE$1006,0))&gt;=100000), " ",IF(INDEX($V$2:$AE$1001,MATCH(ROWS($O$2:O66),$O$2:$O$1001,0),MATCH(COLUMNS($V$1006:Z1006),$V$1006:$AE$1006,0)), HYPERLINK("#",""), HYPERLINK(CONCATENATE("#Metadata!", ADDRESS(INDEX($Q$2:$Q$1001,MATCH(ROWS($O$2:O66),$O$2:$O$1001,0),0), INDEX($V$1004:$AE$1004,1,MATCH(COLUMNS($V$1006:Z1006),$V$1006:$AE$1006,0)))),"Fix")))</f>
        <v>0</v>
      </c>
      <c r="G66" s="4">
        <f>IF(OR(INDEX($P$2:$P$1001,MATCH(ROWS($O$2:O66),$O$2:$O$1001,0),1)&gt;=100000,INDEX($V$1005:$AE$1005,1,MATCH(COLUMNS($V$1006:AA1006),$V$1006:$AE$1006,0))&gt;=100000), " ",IF(INDEX($V$2:$AE$1001,MATCH(ROWS($O$2:O66),$O$2:$O$1001,0),MATCH(COLUMNS($V$1006:AA1006),$V$1006:$AE$1006,0)), HYPERLINK("#",""), HYPERLINK(CONCATENATE("#Metadata!", ADDRESS(INDEX($Q$2:$Q$1001,MATCH(ROWS($O$2:O66),$O$2:$O$1001,0),0), INDEX($V$1004:$AE$1004,1,MATCH(COLUMNS($V$1006:AA1006),$V$1006:$AE$1006,0)))),"Fix")))</f>
        <v>0</v>
      </c>
      <c r="H66" s="4">
        <f>IF(OR(INDEX($P$2:$P$1001,MATCH(ROWS($O$2:O66),$O$2:$O$1001,0),1)&gt;=100000,INDEX($V$1005:$AE$1005,1,MATCH(COLUMNS($V$1006:AB1006),$V$1006:$AE$1006,0))&gt;=100000), " ",IF(INDEX($V$2:$AE$1001,MATCH(ROWS($O$2:O66),$O$2:$O$1001,0),MATCH(COLUMNS($V$1006:AB1006),$V$1006:$AE$1006,0)), HYPERLINK("#",""), HYPERLINK(CONCATENATE("#Metadata!", ADDRESS(INDEX($Q$2:$Q$1001,MATCH(ROWS($O$2:O66),$O$2:$O$1001,0),0), INDEX($V$1004:$AE$1004,1,MATCH(COLUMNS($V$1006:AB1006),$V$1006:$AE$1006,0)))),"Fix")))</f>
        <v>0</v>
      </c>
      <c r="I66" s="4">
        <f>IF(OR(INDEX($P$2:$P$1001,MATCH(ROWS($O$2:O66),$O$2:$O$1001,0),1)&gt;=100000,INDEX($V$1005:$AE$1005,1,MATCH(COLUMNS($V$1006:AC1006),$V$1006:$AE$1006,0))&gt;=100000), " ",IF(INDEX($V$2:$AE$1001,MATCH(ROWS($O$2:O66),$O$2:$O$1001,0),MATCH(COLUMNS($V$1006:AC1006),$V$1006:$AE$1006,0)), HYPERLINK("#",""), HYPERLINK(CONCATENATE("#Metadata!", ADDRESS(INDEX($Q$2:$Q$1001,MATCH(ROWS($O$2:O66),$O$2:$O$1001,0),0), INDEX($V$1004:$AE$1004,1,MATCH(COLUMNS($V$1006:AC1006),$V$1006:$AE$1006,0)))),"Fix")))</f>
        <v>0</v>
      </c>
      <c r="J66" s="4">
        <f>IF(OR(INDEX($P$2:$P$1001,MATCH(ROWS($O$2:O66),$O$2:$O$1001,0),1)&gt;=100000,INDEX($V$1005:$AE$1005,1,MATCH(COLUMNS($V$1006:AD1006),$V$1006:$AE$1006,0))&gt;=100000), " ",IF(INDEX($V$2:$AE$1001,MATCH(ROWS($O$2:O66),$O$2:$O$1001,0),MATCH(COLUMNS($V$1006:AD1006),$V$1006:$AE$1006,0)), HYPERLINK("#",""), HYPERLINK(CONCATENATE("#Metadata!", ADDRESS(INDEX($Q$2:$Q$1001,MATCH(ROWS($O$2:O66),$O$2:$O$1001,0),0), INDEX($V$1004:$AE$1004,1,MATCH(COLUMNS($V$1006:AD1006),$V$1006:$AE$1006,0)))),"Fix")))</f>
        <v>0</v>
      </c>
      <c r="K66" s="4">
        <f>IF(OR(INDEX($P$2:$P$1001,MATCH(ROWS($O$2:O66),$O$2:$O$1001,0),1)&gt;=100000,INDEX($V$1005:$AE$1005,1,MATCH(COLUMNS($V$1006:AE1006),$V$1006:$AE$1006,0))&gt;=100000), " ",IF(INDEX($V$2:$AE$1001,MATCH(ROWS($O$2:O66),$O$2:$O$1001,0),MATCH(COLUMNS($V$1006:AE1006),$V$1006:$AE$1006,0)), HYPERLINK("#",""), HYPERLINK(CONCATENATE("#Metadata!", ADDRESS(INDEX($Q$2:$Q$1001,MATCH(ROWS($O$2:O66),$O$2:$O$1001,0),0), INDEX($V$1004:$AE$1004,1,MATCH(COLUMNS($V$1006:AE1006),$V$1006:$AE$1006,0)))),"Fix")))</f>
        <v>0</v>
      </c>
      <c r="O66">
        <v>0</v>
      </c>
      <c r="P66">
        <v>0</v>
      </c>
      <c r="Q66">
        <v>0</v>
      </c>
      <c r="R66">
        <f>IF(S66,TRUE,AND(V66:AE66))</f>
        <v>0</v>
      </c>
      <c r="S66">
        <f>COUNTBLANK(Metadata!B66:K66)=COLUMNS(Metadata!B66:K66)</f>
        <v>0</v>
      </c>
      <c r="T66">
        <v>0</v>
      </c>
      <c r="V66">
        <f>AND(IF(Metadata!B66="",FALSE,TRUE),COUNTIF(Metadata!B:B, Metadata!B66) = 1,NOT(ISERROR(SUMPRODUCT(SEARCH(MID(Metadata!B66,ROW(INDIRECT("1:"&amp;LEN(Metadata!B66))), 1),"0123456789abcdefghijklmnopqrstuvwxyzABCDEFGHIJKLMNOPQRSTUVWXYZ.")))))</f>
        <v>0</v>
      </c>
      <c r="W66">
        <f>AND(IF(Metadata!C66="",FALSE,TRUE),exact(Metadata!C66,"urban biome"))</f>
        <v>0</v>
      </c>
      <c r="X66">
        <f>AND(IF(Metadata!D66="",FALSE,TRUE),exact(Metadata!D66,"animal-associated habitat"))</f>
        <v>0</v>
      </c>
      <c r="Y66">
        <f>OR(AND(IF(Metadata!E66="",FALSE,TRUE),OR(exact(Metadata!E66,"not applicable"),exact(Metadata!E66,"missing: not collected"),exact(Metadata!E66,"missing: not provided"),exact(Metadata!E66,"missing: restricted access"))),AND(IF(Metadata!E66="",FALSE,ISNUMBER(VALUE(Metadata!E66))),Metadata!E66&gt;0))</f>
        <v>0</v>
      </c>
      <c r="Z66">
        <f>AND(IF(Metadata!F66="",FALSE,TRUE),exact(Metadata!F66,"weeks"))</f>
        <v>0</v>
      </c>
      <c r="AA66">
        <f>AND(IF(Metadata!G66="",FALSE,TRUE),exact(Metadata!G66,"mouse"))</f>
        <v>0</v>
      </c>
      <c r="AB66">
        <f>AND(IF(Metadata!H66="",FALSE,TRUE),exact(Metadata!H66,"Mus musculus"))</f>
        <v>0</v>
      </c>
      <c r="AC66">
        <f>AND(IF(Metadata!I66="",FALSE,TRUE),exact(Metadata!I66,"10090"))</f>
        <v>0</v>
      </c>
      <c r="AD66">
        <f>OR(AND(IF(Metadata!J66="",FALSE,TRUE),OR(exact(Metadata!J66,"not applicable"),exact(Metadata!J66,"missing: not collected"),exact(Metadata!J66,"missing: not provided"),exact(Metadata!J66,"missing: restricted access"))),AND(IF(Metadata!J66="",FALSE,ISNUMBER(VALUE(Metadata!J66))),Metadata!J66&gt;0))</f>
        <v>0</v>
      </c>
      <c r="AE66">
        <f>AND(IF(Metadata!K66="",FALSE,TRUE),exact(Metadata!K66,"g"))</f>
        <v>0</v>
      </c>
    </row>
    <row r="67" spans="1:31">
      <c r="A67" s="5">
        <f>IF(B67=" "," ",HYPERLINK(CONCATENATE("#metadata!",ADDRESS(INDEX($Q$2:$Q$1001,MATCH(ROWS($O$2:O67),$O$2:$O$1001,0),0),1)),INDEX($T$2:$T$1001,MATCH(ROWS($O$2:O67),$O$2:$O$1001,0),0)))</f>
        <v>0</v>
      </c>
      <c r="B67" s="4">
        <f>IF(OR(INDEX($P$2:$P$1001,MATCH(ROWS($O$2:O67),$O$2:$O$1001,0),1)&gt;=100000,INDEX($V$1005:$AE$1005,1,MATCH(COLUMNS($V$1006:V1006),$V$1006:$AE$1006,0))&gt;=100000), " ",IF(INDEX($V$2:$AE$1001,MATCH(ROWS($O$2:O67),$O$2:$O$1001,0),MATCH(COLUMNS($V$1006:V1006),$V$1006:$AE$1006,0)), HYPERLINK("#",""), HYPERLINK(CONCATENATE("#Metadata!", ADDRESS(INDEX($Q$2:$Q$1001,MATCH(ROWS($O$2:O67),$O$2:$O$1001,0),0), INDEX($V$1004:$AE$1004,1,MATCH(COLUMNS($V$1006:V1006),$V$1006:$AE$1006,0)))),"Fix")))</f>
        <v>0</v>
      </c>
      <c r="C67" s="4">
        <f>IF(OR(INDEX($P$2:$P$1001,MATCH(ROWS($O$2:O67),$O$2:$O$1001,0),1)&gt;=100000,INDEX($V$1005:$AE$1005,1,MATCH(COLUMNS($V$1006:W1006),$V$1006:$AE$1006,0))&gt;=100000), " ",IF(INDEX($V$2:$AE$1001,MATCH(ROWS($O$2:O67),$O$2:$O$1001,0),MATCH(COLUMNS($V$1006:W1006),$V$1006:$AE$1006,0)), HYPERLINK("#",""), HYPERLINK(CONCATENATE("#Metadata!", ADDRESS(INDEX($Q$2:$Q$1001,MATCH(ROWS($O$2:O67),$O$2:$O$1001,0),0), INDEX($V$1004:$AE$1004,1,MATCH(COLUMNS($V$1006:W1006),$V$1006:$AE$1006,0)))),"Fix")))</f>
        <v>0</v>
      </c>
      <c r="D67" s="4">
        <f>IF(OR(INDEX($P$2:$P$1001,MATCH(ROWS($O$2:O67),$O$2:$O$1001,0),1)&gt;=100000,INDEX($V$1005:$AE$1005,1,MATCH(COLUMNS($V$1006:X1006),$V$1006:$AE$1006,0))&gt;=100000), " ",IF(INDEX($V$2:$AE$1001,MATCH(ROWS($O$2:O67),$O$2:$O$1001,0),MATCH(COLUMNS($V$1006:X1006),$V$1006:$AE$1006,0)), HYPERLINK("#",""), HYPERLINK(CONCATENATE("#Metadata!", ADDRESS(INDEX($Q$2:$Q$1001,MATCH(ROWS($O$2:O67),$O$2:$O$1001,0),0), INDEX($V$1004:$AE$1004,1,MATCH(COLUMNS($V$1006:X1006),$V$1006:$AE$1006,0)))),"Fix")))</f>
        <v>0</v>
      </c>
      <c r="E67" s="4">
        <f>IF(OR(INDEX($P$2:$P$1001,MATCH(ROWS($O$2:O67),$O$2:$O$1001,0),1)&gt;=100000,INDEX($V$1005:$AE$1005,1,MATCH(COLUMNS($V$1006:Y1006),$V$1006:$AE$1006,0))&gt;=100000), " ",IF(INDEX($V$2:$AE$1001,MATCH(ROWS($O$2:O67),$O$2:$O$1001,0),MATCH(COLUMNS($V$1006:Y1006),$V$1006:$AE$1006,0)), HYPERLINK("#",""), HYPERLINK(CONCATENATE("#Metadata!", ADDRESS(INDEX($Q$2:$Q$1001,MATCH(ROWS($O$2:O67),$O$2:$O$1001,0),0), INDEX($V$1004:$AE$1004,1,MATCH(COLUMNS($V$1006:Y1006),$V$1006:$AE$1006,0)))),"Fix")))</f>
        <v>0</v>
      </c>
      <c r="F67" s="4">
        <f>IF(OR(INDEX($P$2:$P$1001,MATCH(ROWS($O$2:O67),$O$2:$O$1001,0),1)&gt;=100000,INDEX($V$1005:$AE$1005,1,MATCH(COLUMNS($V$1006:Z1006),$V$1006:$AE$1006,0))&gt;=100000), " ",IF(INDEX($V$2:$AE$1001,MATCH(ROWS($O$2:O67),$O$2:$O$1001,0),MATCH(COLUMNS($V$1006:Z1006),$V$1006:$AE$1006,0)), HYPERLINK("#",""), HYPERLINK(CONCATENATE("#Metadata!", ADDRESS(INDEX($Q$2:$Q$1001,MATCH(ROWS($O$2:O67),$O$2:$O$1001,0),0), INDEX($V$1004:$AE$1004,1,MATCH(COLUMNS($V$1006:Z1006),$V$1006:$AE$1006,0)))),"Fix")))</f>
        <v>0</v>
      </c>
      <c r="G67" s="4">
        <f>IF(OR(INDEX($P$2:$P$1001,MATCH(ROWS($O$2:O67),$O$2:$O$1001,0),1)&gt;=100000,INDEX($V$1005:$AE$1005,1,MATCH(COLUMNS($V$1006:AA1006),$V$1006:$AE$1006,0))&gt;=100000), " ",IF(INDEX($V$2:$AE$1001,MATCH(ROWS($O$2:O67),$O$2:$O$1001,0),MATCH(COLUMNS($V$1006:AA1006),$V$1006:$AE$1006,0)), HYPERLINK("#",""), HYPERLINK(CONCATENATE("#Metadata!", ADDRESS(INDEX($Q$2:$Q$1001,MATCH(ROWS($O$2:O67),$O$2:$O$1001,0),0), INDEX($V$1004:$AE$1004,1,MATCH(COLUMNS($V$1006:AA1006),$V$1006:$AE$1006,0)))),"Fix")))</f>
        <v>0</v>
      </c>
      <c r="H67" s="4">
        <f>IF(OR(INDEX($P$2:$P$1001,MATCH(ROWS($O$2:O67),$O$2:$O$1001,0),1)&gt;=100000,INDEX($V$1005:$AE$1005,1,MATCH(COLUMNS($V$1006:AB1006),$V$1006:$AE$1006,0))&gt;=100000), " ",IF(INDEX($V$2:$AE$1001,MATCH(ROWS($O$2:O67),$O$2:$O$1001,0),MATCH(COLUMNS($V$1006:AB1006),$V$1006:$AE$1006,0)), HYPERLINK("#",""), HYPERLINK(CONCATENATE("#Metadata!", ADDRESS(INDEX($Q$2:$Q$1001,MATCH(ROWS($O$2:O67),$O$2:$O$1001,0),0), INDEX($V$1004:$AE$1004,1,MATCH(COLUMNS($V$1006:AB1006),$V$1006:$AE$1006,0)))),"Fix")))</f>
        <v>0</v>
      </c>
      <c r="I67" s="4">
        <f>IF(OR(INDEX($P$2:$P$1001,MATCH(ROWS($O$2:O67),$O$2:$O$1001,0),1)&gt;=100000,INDEX($V$1005:$AE$1005,1,MATCH(COLUMNS($V$1006:AC1006),$V$1006:$AE$1006,0))&gt;=100000), " ",IF(INDEX($V$2:$AE$1001,MATCH(ROWS($O$2:O67),$O$2:$O$1001,0),MATCH(COLUMNS($V$1006:AC1006),$V$1006:$AE$1006,0)), HYPERLINK("#",""), HYPERLINK(CONCATENATE("#Metadata!", ADDRESS(INDEX($Q$2:$Q$1001,MATCH(ROWS($O$2:O67),$O$2:$O$1001,0),0), INDEX($V$1004:$AE$1004,1,MATCH(COLUMNS($V$1006:AC1006),$V$1006:$AE$1006,0)))),"Fix")))</f>
        <v>0</v>
      </c>
      <c r="J67" s="4">
        <f>IF(OR(INDEX($P$2:$P$1001,MATCH(ROWS($O$2:O67),$O$2:$O$1001,0),1)&gt;=100000,INDEX($V$1005:$AE$1005,1,MATCH(COLUMNS($V$1006:AD1006),$V$1006:$AE$1006,0))&gt;=100000), " ",IF(INDEX($V$2:$AE$1001,MATCH(ROWS($O$2:O67),$O$2:$O$1001,0),MATCH(COLUMNS($V$1006:AD1006),$V$1006:$AE$1006,0)), HYPERLINK("#",""), HYPERLINK(CONCATENATE("#Metadata!", ADDRESS(INDEX($Q$2:$Q$1001,MATCH(ROWS($O$2:O67),$O$2:$O$1001,0),0), INDEX($V$1004:$AE$1004,1,MATCH(COLUMNS($V$1006:AD1006),$V$1006:$AE$1006,0)))),"Fix")))</f>
        <v>0</v>
      </c>
      <c r="K67" s="4">
        <f>IF(OR(INDEX($P$2:$P$1001,MATCH(ROWS($O$2:O67),$O$2:$O$1001,0),1)&gt;=100000,INDEX($V$1005:$AE$1005,1,MATCH(COLUMNS($V$1006:AE1006),$V$1006:$AE$1006,0))&gt;=100000), " ",IF(INDEX($V$2:$AE$1001,MATCH(ROWS($O$2:O67),$O$2:$O$1001,0),MATCH(COLUMNS($V$1006:AE1006),$V$1006:$AE$1006,0)), HYPERLINK("#",""), HYPERLINK(CONCATENATE("#Metadata!", ADDRESS(INDEX($Q$2:$Q$1001,MATCH(ROWS($O$2:O67),$O$2:$O$1001,0),0), INDEX($V$1004:$AE$1004,1,MATCH(COLUMNS($V$1006:AE1006),$V$1006:$AE$1006,0)))),"Fix")))</f>
        <v>0</v>
      </c>
      <c r="O67">
        <v>0</v>
      </c>
      <c r="P67">
        <v>0</v>
      </c>
      <c r="Q67">
        <v>0</v>
      </c>
      <c r="R67">
        <f>IF(S67,TRUE,AND(V67:AE67))</f>
        <v>0</v>
      </c>
      <c r="S67">
        <f>COUNTBLANK(Metadata!B67:K67)=COLUMNS(Metadata!B67:K67)</f>
        <v>0</v>
      </c>
      <c r="T67">
        <v>0</v>
      </c>
      <c r="V67">
        <f>AND(IF(Metadata!B67="",FALSE,TRUE),COUNTIF(Metadata!B:B, Metadata!B67) = 1,NOT(ISERROR(SUMPRODUCT(SEARCH(MID(Metadata!B67,ROW(INDIRECT("1:"&amp;LEN(Metadata!B67))), 1),"0123456789abcdefghijklmnopqrstuvwxyzABCDEFGHIJKLMNOPQRSTUVWXYZ.")))))</f>
        <v>0</v>
      </c>
      <c r="W67">
        <f>AND(IF(Metadata!C67="",FALSE,TRUE),exact(Metadata!C67,"urban biome"))</f>
        <v>0</v>
      </c>
      <c r="X67">
        <f>AND(IF(Metadata!D67="",FALSE,TRUE),exact(Metadata!D67,"animal-associated habitat"))</f>
        <v>0</v>
      </c>
      <c r="Y67">
        <f>OR(AND(IF(Metadata!E67="",FALSE,TRUE),OR(exact(Metadata!E67,"not applicable"),exact(Metadata!E67,"missing: not collected"),exact(Metadata!E67,"missing: not provided"),exact(Metadata!E67,"missing: restricted access"))),AND(IF(Metadata!E67="",FALSE,ISNUMBER(VALUE(Metadata!E67))),Metadata!E67&gt;0))</f>
        <v>0</v>
      </c>
      <c r="Z67">
        <f>AND(IF(Metadata!F67="",FALSE,TRUE),exact(Metadata!F67,"weeks"))</f>
        <v>0</v>
      </c>
      <c r="AA67">
        <f>AND(IF(Metadata!G67="",FALSE,TRUE),exact(Metadata!G67,"mouse"))</f>
        <v>0</v>
      </c>
      <c r="AB67">
        <f>AND(IF(Metadata!H67="",FALSE,TRUE),exact(Metadata!H67,"Mus musculus"))</f>
        <v>0</v>
      </c>
      <c r="AC67">
        <f>AND(IF(Metadata!I67="",FALSE,TRUE),exact(Metadata!I67,"10090"))</f>
        <v>0</v>
      </c>
      <c r="AD67">
        <f>OR(AND(IF(Metadata!J67="",FALSE,TRUE),OR(exact(Metadata!J67,"not applicable"),exact(Metadata!J67,"missing: not collected"),exact(Metadata!J67,"missing: not provided"),exact(Metadata!J67,"missing: restricted access"))),AND(IF(Metadata!J67="",FALSE,ISNUMBER(VALUE(Metadata!J67))),Metadata!J67&gt;0))</f>
        <v>0</v>
      </c>
      <c r="AE67">
        <f>AND(IF(Metadata!K67="",FALSE,TRUE),exact(Metadata!K67,"g"))</f>
        <v>0</v>
      </c>
    </row>
    <row r="68" spans="1:31">
      <c r="A68" s="5">
        <f>IF(B68=" "," ",HYPERLINK(CONCATENATE("#metadata!",ADDRESS(INDEX($Q$2:$Q$1001,MATCH(ROWS($O$2:O68),$O$2:$O$1001,0),0),1)),INDEX($T$2:$T$1001,MATCH(ROWS($O$2:O68),$O$2:$O$1001,0),0)))</f>
        <v>0</v>
      </c>
      <c r="B68" s="4">
        <f>IF(OR(INDEX($P$2:$P$1001,MATCH(ROWS($O$2:O68),$O$2:$O$1001,0),1)&gt;=100000,INDEX($V$1005:$AE$1005,1,MATCH(COLUMNS($V$1006:V1006),$V$1006:$AE$1006,0))&gt;=100000), " ",IF(INDEX($V$2:$AE$1001,MATCH(ROWS($O$2:O68),$O$2:$O$1001,0),MATCH(COLUMNS($V$1006:V1006),$V$1006:$AE$1006,0)), HYPERLINK("#",""), HYPERLINK(CONCATENATE("#Metadata!", ADDRESS(INDEX($Q$2:$Q$1001,MATCH(ROWS($O$2:O68),$O$2:$O$1001,0),0), INDEX($V$1004:$AE$1004,1,MATCH(COLUMNS($V$1006:V1006),$V$1006:$AE$1006,0)))),"Fix")))</f>
        <v>0</v>
      </c>
      <c r="C68" s="4">
        <f>IF(OR(INDEX($P$2:$P$1001,MATCH(ROWS($O$2:O68),$O$2:$O$1001,0),1)&gt;=100000,INDEX($V$1005:$AE$1005,1,MATCH(COLUMNS($V$1006:W1006),$V$1006:$AE$1006,0))&gt;=100000), " ",IF(INDEX($V$2:$AE$1001,MATCH(ROWS($O$2:O68),$O$2:$O$1001,0),MATCH(COLUMNS($V$1006:W1006),$V$1006:$AE$1006,0)), HYPERLINK("#",""), HYPERLINK(CONCATENATE("#Metadata!", ADDRESS(INDEX($Q$2:$Q$1001,MATCH(ROWS($O$2:O68),$O$2:$O$1001,0),0), INDEX($V$1004:$AE$1004,1,MATCH(COLUMNS($V$1006:W1006),$V$1006:$AE$1006,0)))),"Fix")))</f>
        <v>0</v>
      </c>
      <c r="D68" s="4">
        <f>IF(OR(INDEX($P$2:$P$1001,MATCH(ROWS($O$2:O68),$O$2:$O$1001,0),1)&gt;=100000,INDEX($V$1005:$AE$1005,1,MATCH(COLUMNS($V$1006:X1006),$V$1006:$AE$1006,0))&gt;=100000), " ",IF(INDEX($V$2:$AE$1001,MATCH(ROWS($O$2:O68),$O$2:$O$1001,0),MATCH(COLUMNS($V$1006:X1006),$V$1006:$AE$1006,0)), HYPERLINK("#",""), HYPERLINK(CONCATENATE("#Metadata!", ADDRESS(INDEX($Q$2:$Q$1001,MATCH(ROWS($O$2:O68),$O$2:$O$1001,0),0), INDEX($V$1004:$AE$1004,1,MATCH(COLUMNS($V$1006:X1006),$V$1006:$AE$1006,0)))),"Fix")))</f>
        <v>0</v>
      </c>
      <c r="E68" s="4">
        <f>IF(OR(INDEX($P$2:$P$1001,MATCH(ROWS($O$2:O68),$O$2:$O$1001,0),1)&gt;=100000,INDEX($V$1005:$AE$1005,1,MATCH(COLUMNS($V$1006:Y1006),$V$1006:$AE$1006,0))&gt;=100000), " ",IF(INDEX($V$2:$AE$1001,MATCH(ROWS($O$2:O68),$O$2:$O$1001,0),MATCH(COLUMNS($V$1006:Y1006),$V$1006:$AE$1006,0)), HYPERLINK("#",""), HYPERLINK(CONCATENATE("#Metadata!", ADDRESS(INDEX($Q$2:$Q$1001,MATCH(ROWS($O$2:O68),$O$2:$O$1001,0),0), INDEX($V$1004:$AE$1004,1,MATCH(COLUMNS($V$1006:Y1006),$V$1006:$AE$1006,0)))),"Fix")))</f>
        <v>0</v>
      </c>
      <c r="F68" s="4">
        <f>IF(OR(INDEX($P$2:$P$1001,MATCH(ROWS($O$2:O68),$O$2:$O$1001,0),1)&gt;=100000,INDEX($V$1005:$AE$1005,1,MATCH(COLUMNS($V$1006:Z1006),$V$1006:$AE$1006,0))&gt;=100000), " ",IF(INDEX($V$2:$AE$1001,MATCH(ROWS($O$2:O68),$O$2:$O$1001,0),MATCH(COLUMNS($V$1006:Z1006),$V$1006:$AE$1006,0)), HYPERLINK("#",""), HYPERLINK(CONCATENATE("#Metadata!", ADDRESS(INDEX($Q$2:$Q$1001,MATCH(ROWS($O$2:O68),$O$2:$O$1001,0),0), INDEX($V$1004:$AE$1004,1,MATCH(COLUMNS($V$1006:Z1006),$V$1006:$AE$1006,0)))),"Fix")))</f>
        <v>0</v>
      </c>
      <c r="G68" s="4">
        <f>IF(OR(INDEX($P$2:$P$1001,MATCH(ROWS($O$2:O68),$O$2:$O$1001,0),1)&gt;=100000,INDEX($V$1005:$AE$1005,1,MATCH(COLUMNS($V$1006:AA1006),$V$1006:$AE$1006,0))&gt;=100000), " ",IF(INDEX($V$2:$AE$1001,MATCH(ROWS($O$2:O68),$O$2:$O$1001,0),MATCH(COLUMNS($V$1006:AA1006),$V$1006:$AE$1006,0)), HYPERLINK("#",""), HYPERLINK(CONCATENATE("#Metadata!", ADDRESS(INDEX($Q$2:$Q$1001,MATCH(ROWS($O$2:O68),$O$2:$O$1001,0),0), INDEX($V$1004:$AE$1004,1,MATCH(COLUMNS($V$1006:AA1006),$V$1006:$AE$1006,0)))),"Fix")))</f>
        <v>0</v>
      </c>
      <c r="H68" s="4">
        <f>IF(OR(INDEX($P$2:$P$1001,MATCH(ROWS($O$2:O68),$O$2:$O$1001,0),1)&gt;=100000,INDEX($V$1005:$AE$1005,1,MATCH(COLUMNS($V$1006:AB1006),$V$1006:$AE$1006,0))&gt;=100000), " ",IF(INDEX($V$2:$AE$1001,MATCH(ROWS($O$2:O68),$O$2:$O$1001,0),MATCH(COLUMNS($V$1006:AB1006),$V$1006:$AE$1006,0)), HYPERLINK("#",""), HYPERLINK(CONCATENATE("#Metadata!", ADDRESS(INDEX($Q$2:$Q$1001,MATCH(ROWS($O$2:O68),$O$2:$O$1001,0),0), INDEX($V$1004:$AE$1004,1,MATCH(COLUMNS($V$1006:AB1006),$V$1006:$AE$1006,0)))),"Fix")))</f>
        <v>0</v>
      </c>
      <c r="I68" s="4">
        <f>IF(OR(INDEX($P$2:$P$1001,MATCH(ROWS($O$2:O68),$O$2:$O$1001,0),1)&gt;=100000,INDEX($V$1005:$AE$1005,1,MATCH(COLUMNS($V$1006:AC1006),$V$1006:$AE$1006,0))&gt;=100000), " ",IF(INDEX($V$2:$AE$1001,MATCH(ROWS($O$2:O68),$O$2:$O$1001,0),MATCH(COLUMNS($V$1006:AC1006),$V$1006:$AE$1006,0)), HYPERLINK("#",""), HYPERLINK(CONCATENATE("#Metadata!", ADDRESS(INDEX($Q$2:$Q$1001,MATCH(ROWS($O$2:O68),$O$2:$O$1001,0),0), INDEX($V$1004:$AE$1004,1,MATCH(COLUMNS($V$1006:AC1006),$V$1006:$AE$1006,0)))),"Fix")))</f>
        <v>0</v>
      </c>
      <c r="J68" s="4">
        <f>IF(OR(INDEX($P$2:$P$1001,MATCH(ROWS($O$2:O68),$O$2:$O$1001,0),1)&gt;=100000,INDEX($V$1005:$AE$1005,1,MATCH(COLUMNS($V$1006:AD1006),$V$1006:$AE$1006,0))&gt;=100000), " ",IF(INDEX($V$2:$AE$1001,MATCH(ROWS($O$2:O68),$O$2:$O$1001,0),MATCH(COLUMNS($V$1006:AD1006),$V$1006:$AE$1006,0)), HYPERLINK("#",""), HYPERLINK(CONCATENATE("#Metadata!", ADDRESS(INDEX($Q$2:$Q$1001,MATCH(ROWS($O$2:O68),$O$2:$O$1001,0),0), INDEX($V$1004:$AE$1004,1,MATCH(COLUMNS($V$1006:AD1006),$V$1006:$AE$1006,0)))),"Fix")))</f>
        <v>0</v>
      </c>
      <c r="K68" s="4">
        <f>IF(OR(INDEX($P$2:$P$1001,MATCH(ROWS($O$2:O68),$O$2:$O$1001,0),1)&gt;=100000,INDEX($V$1005:$AE$1005,1,MATCH(COLUMNS($V$1006:AE1006),$V$1006:$AE$1006,0))&gt;=100000), " ",IF(INDEX($V$2:$AE$1001,MATCH(ROWS($O$2:O68),$O$2:$O$1001,0),MATCH(COLUMNS($V$1006:AE1006),$V$1006:$AE$1006,0)), HYPERLINK("#",""), HYPERLINK(CONCATENATE("#Metadata!", ADDRESS(INDEX($Q$2:$Q$1001,MATCH(ROWS($O$2:O68),$O$2:$O$1001,0),0), INDEX($V$1004:$AE$1004,1,MATCH(COLUMNS($V$1006:AE1006),$V$1006:$AE$1006,0)))),"Fix")))</f>
        <v>0</v>
      </c>
      <c r="O68">
        <v>0</v>
      </c>
      <c r="P68">
        <v>0</v>
      </c>
      <c r="Q68">
        <v>0</v>
      </c>
      <c r="R68">
        <f>IF(S68,TRUE,AND(V68:AE68))</f>
        <v>0</v>
      </c>
      <c r="S68">
        <f>COUNTBLANK(Metadata!B68:K68)=COLUMNS(Metadata!B68:K68)</f>
        <v>0</v>
      </c>
      <c r="T68">
        <v>0</v>
      </c>
      <c r="V68">
        <f>AND(IF(Metadata!B68="",FALSE,TRUE),COUNTIF(Metadata!B:B, Metadata!B68) = 1,NOT(ISERROR(SUMPRODUCT(SEARCH(MID(Metadata!B68,ROW(INDIRECT("1:"&amp;LEN(Metadata!B68))), 1),"0123456789abcdefghijklmnopqrstuvwxyzABCDEFGHIJKLMNOPQRSTUVWXYZ.")))))</f>
        <v>0</v>
      </c>
      <c r="W68">
        <f>AND(IF(Metadata!C68="",FALSE,TRUE),exact(Metadata!C68,"urban biome"))</f>
        <v>0</v>
      </c>
      <c r="X68">
        <f>AND(IF(Metadata!D68="",FALSE,TRUE),exact(Metadata!D68,"animal-associated habitat"))</f>
        <v>0</v>
      </c>
      <c r="Y68">
        <f>OR(AND(IF(Metadata!E68="",FALSE,TRUE),OR(exact(Metadata!E68,"not applicable"),exact(Metadata!E68,"missing: not collected"),exact(Metadata!E68,"missing: not provided"),exact(Metadata!E68,"missing: restricted access"))),AND(IF(Metadata!E68="",FALSE,ISNUMBER(VALUE(Metadata!E68))),Metadata!E68&gt;0))</f>
        <v>0</v>
      </c>
      <c r="Z68">
        <f>AND(IF(Metadata!F68="",FALSE,TRUE),exact(Metadata!F68,"weeks"))</f>
        <v>0</v>
      </c>
      <c r="AA68">
        <f>AND(IF(Metadata!G68="",FALSE,TRUE),exact(Metadata!G68,"mouse"))</f>
        <v>0</v>
      </c>
      <c r="AB68">
        <f>AND(IF(Metadata!H68="",FALSE,TRUE),exact(Metadata!H68,"Mus musculus"))</f>
        <v>0</v>
      </c>
      <c r="AC68">
        <f>AND(IF(Metadata!I68="",FALSE,TRUE),exact(Metadata!I68,"10090"))</f>
        <v>0</v>
      </c>
      <c r="AD68">
        <f>OR(AND(IF(Metadata!J68="",FALSE,TRUE),OR(exact(Metadata!J68,"not applicable"),exact(Metadata!J68,"missing: not collected"),exact(Metadata!J68,"missing: not provided"),exact(Metadata!J68,"missing: restricted access"))),AND(IF(Metadata!J68="",FALSE,ISNUMBER(VALUE(Metadata!J68))),Metadata!J68&gt;0))</f>
        <v>0</v>
      </c>
      <c r="AE68">
        <f>AND(IF(Metadata!K68="",FALSE,TRUE),exact(Metadata!K68,"g"))</f>
        <v>0</v>
      </c>
    </row>
    <row r="69" spans="1:31">
      <c r="A69" s="5">
        <f>IF(B69=" "," ",HYPERLINK(CONCATENATE("#metadata!",ADDRESS(INDEX($Q$2:$Q$1001,MATCH(ROWS($O$2:O69),$O$2:$O$1001,0),0),1)),INDEX($T$2:$T$1001,MATCH(ROWS($O$2:O69),$O$2:$O$1001,0),0)))</f>
        <v>0</v>
      </c>
      <c r="B69" s="4">
        <f>IF(OR(INDEX($P$2:$P$1001,MATCH(ROWS($O$2:O69),$O$2:$O$1001,0),1)&gt;=100000,INDEX($V$1005:$AE$1005,1,MATCH(COLUMNS($V$1006:V1006),$V$1006:$AE$1006,0))&gt;=100000), " ",IF(INDEX($V$2:$AE$1001,MATCH(ROWS($O$2:O69),$O$2:$O$1001,0),MATCH(COLUMNS($V$1006:V1006),$V$1006:$AE$1006,0)), HYPERLINK("#",""), HYPERLINK(CONCATENATE("#Metadata!", ADDRESS(INDEX($Q$2:$Q$1001,MATCH(ROWS($O$2:O69),$O$2:$O$1001,0),0), INDEX($V$1004:$AE$1004,1,MATCH(COLUMNS($V$1006:V1006),$V$1006:$AE$1006,0)))),"Fix")))</f>
        <v>0</v>
      </c>
      <c r="C69" s="4">
        <f>IF(OR(INDEX($P$2:$P$1001,MATCH(ROWS($O$2:O69),$O$2:$O$1001,0),1)&gt;=100000,INDEX($V$1005:$AE$1005,1,MATCH(COLUMNS($V$1006:W1006),$V$1006:$AE$1006,0))&gt;=100000), " ",IF(INDEX($V$2:$AE$1001,MATCH(ROWS($O$2:O69),$O$2:$O$1001,0),MATCH(COLUMNS($V$1006:W1006),$V$1006:$AE$1006,0)), HYPERLINK("#",""), HYPERLINK(CONCATENATE("#Metadata!", ADDRESS(INDEX($Q$2:$Q$1001,MATCH(ROWS($O$2:O69),$O$2:$O$1001,0),0), INDEX($V$1004:$AE$1004,1,MATCH(COLUMNS($V$1006:W1006),$V$1006:$AE$1006,0)))),"Fix")))</f>
        <v>0</v>
      </c>
      <c r="D69" s="4">
        <f>IF(OR(INDEX($P$2:$P$1001,MATCH(ROWS($O$2:O69),$O$2:$O$1001,0),1)&gt;=100000,INDEX($V$1005:$AE$1005,1,MATCH(COLUMNS($V$1006:X1006),$V$1006:$AE$1006,0))&gt;=100000), " ",IF(INDEX($V$2:$AE$1001,MATCH(ROWS($O$2:O69),$O$2:$O$1001,0),MATCH(COLUMNS($V$1006:X1006),$V$1006:$AE$1006,0)), HYPERLINK("#",""), HYPERLINK(CONCATENATE("#Metadata!", ADDRESS(INDEX($Q$2:$Q$1001,MATCH(ROWS($O$2:O69),$O$2:$O$1001,0),0), INDEX($V$1004:$AE$1004,1,MATCH(COLUMNS($V$1006:X1006),$V$1006:$AE$1006,0)))),"Fix")))</f>
        <v>0</v>
      </c>
      <c r="E69" s="4">
        <f>IF(OR(INDEX($P$2:$P$1001,MATCH(ROWS($O$2:O69),$O$2:$O$1001,0),1)&gt;=100000,INDEX($V$1005:$AE$1005,1,MATCH(COLUMNS($V$1006:Y1006),$V$1006:$AE$1006,0))&gt;=100000), " ",IF(INDEX($V$2:$AE$1001,MATCH(ROWS($O$2:O69),$O$2:$O$1001,0),MATCH(COLUMNS($V$1006:Y1006),$V$1006:$AE$1006,0)), HYPERLINK("#",""), HYPERLINK(CONCATENATE("#Metadata!", ADDRESS(INDEX($Q$2:$Q$1001,MATCH(ROWS($O$2:O69),$O$2:$O$1001,0),0), INDEX($V$1004:$AE$1004,1,MATCH(COLUMNS($V$1006:Y1006),$V$1006:$AE$1006,0)))),"Fix")))</f>
        <v>0</v>
      </c>
      <c r="F69" s="4">
        <f>IF(OR(INDEX($P$2:$P$1001,MATCH(ROWS($O$2:O69),$O$2:$O$1001,0),1)&gt;=100000,INDEX($V$1005:$AE$1005,1,MATCH(COLUMNS($V$1006:Z1006),$V$1006:$AE$1006,0))&gt;=100000), " ",IF(INDEX($V$2:$AE$1001,MATCH(ROWS($O$2:O69),$O$2:$O$1001,0),MATCH(COLUMNS($V$1006:Z1006),$V$1006:$AE$1006,0)), HYPERLINK("#",""), HYPERLINK(CONCATENATE("#Metadata!", ADDRESS(INDEX($Q$2:$Q$1001,MATCH(ROWS($O$2:O69),$O$2:$O$1001,0),0), INDEX($V$1004:$AE$1004,1,MATCH(COLUMNS($V$1006:Z1006),$V$1006:$AE$1006,0)))),"Fix")))</f>
        <v>0</v>
      </c>
      <c r="G69" s="4">
        <f>IF(OR(INDEX($P$2:$P$1001,MATCH(ROWS($O$2:O69),$O$2:$O$1001,0),1)&gt;=100000,INDEX($V$1005:$AE$1005,1,MATCH(COLUMNS($V$1006:AA1006),$V$1006:$AE$1006,0))&gt;=100000), " ",IF(INDEX($V$2:$AE$1001,MATCH(ROWS($O$2:O69),$O$2:$O$1001,0),MATCH(COLUMNS($V$1006:AA1006),$V$1006:$AE$1006,0)), HYPERLINK("#",""), HYPERLINK(CONCATENATE("#Metadata!", ADDRESS(INDEX($Q$2:$Q$1001,MATCH(ROWS($O$2:O69),$O$2:$O$1001,0),0), INDEX($V$1004:$AE$1004,1,MATCH(COLUMNS($V$1006:AA1006),$V$1006:$AE$1006,0)))),"Fix")))</f>
        <v>0</v>
      </c>
      <c r="H69" s="4">
        <f>IF(OR(INDEX($P$2:$P$1001,MATCH(ROWS($O$2:O69),$O$2:$O$1001,0),1)&gt;=100000,INDEX($V$1005:$AE$1005,1,MATCH(COLUMNS($V$1006:AB1006),$V$1006:$AE$1006,0))&gt;=100000), " ",IF(INDEX($V$2:$AE$1001,MATCH(ROWS($O$2:O69),$O$2:$O$1001,0),MATCH(COLUMNS($V$1006:AB1006),$V$1006:$AE$1006,0)), HYPERLINK("#",""), HYPERLINK(CONCATENATE("#Metadata!", ADDRESS(INDEX($Q$2:$Q$1001,MATCH(ROWS($O$2:O69),$O$2:$O$1001,0),0), INDEX($V$1004:$AE$1004,1,MATCH(COLUMNS($V$1006:AB1006),$V$1006:$AE$1006,0)))),"Fix")))</f>
        <v>0</v>
      </c>
      <c r="I69" s="4">
        <f>IF(OR(INDEX($P$2:$P$1001,MATCH(ROWS($O$2:O69),$O$2:$O$1001,0),1)&gt;=100000,INDEX($V$1005:$AE$1005,1,MATCH(COLUMNS($V$1006:AC1006),$V$1006:$AE$1006,0))&gt;=100000), " ",IF(INDEX($V$2:$AE$1001,MATCH(ROWS($O$2:O69),$O$2:$O$1001,0),MATCH(COLUMNS($V$1006:AC1006),$V$1006:$AE$1006,0)), HYPERLINK("#",""), HYPERLINK(CONCATENATE("#Metadata!", ADDRESS(INDEX($Q$2:$Q$1001,MATCH(ROWS($O$2:O69),$O$2:$O$1001,0),0), INDEX($V$1004:$AE$1004,1,MATCH(COLUMNS($V$1006:AC1006),$V$1006:$AE$1006,0)))),"Fix")))</f>
        <v>0</v>
      </c>
      <c r="J69" s="4">
        <f>IF(OR(INDEX($P$2:$P$1001,MATCH(ROWS($O$2:O69),$O$2:$O$1001,0),1)&gt;=100000,INDEX($V$1005:$AE$1005,1,MATCH(COLUMNS($V$1006:AD1006),$V$1006:$AE$1006,0))&gt;=100000), " ",IF(INDEX($V$2:$AE$1001,MATCH(ROWS($O$2:O69),$O$2:$O$1001,0),MATCH(COLUMNS($V$1006:AD1006),$V$1006:$AE$1006,0)), HYPERLINK("#",""), HYPERLINK(CONCATENATE("#Metadata!", ADDRESS(INDEX($Q$2:$Q$1001,MATCH(ROWS($O$2:O69),$O$2:$O$1001,0),0), INDEX($V$1004:$AE$1004,1,MATCH(COLUMNS($V$1006:AD1006),$V$1006:$AE$1006,0)))),"Fix")))</f>
        <v>0</v>
      </c>
      <c r="K69" s="4">
        <f>IF(OR(INDEX($P$2:$P$1001,MATCH(ROWS($O$2:O69),$O$2:$O$1001,0),1)&gt;=100000,INDEX($V$1005:$AE$1005,1,MATCH(COLUMNS($V$1006:AE1006),$V$1006:$AE$1006,0))&gt;=100000), " ",IF(INDEX($V$2:$AE$1001,MATCH(ROWS($O$2:O69),$O$2:$O$1001,0),MATCH(COLUMNS($V$1006:AE1006),$V$1006:$AE$1006,0)), HYPERLINK("#",""), HYPERLINK(CONCATENATE("#Metadata!", ADDRESS(INDEX($Q$2:$Q$1001,MATCH(ROWS($O$2:O69),$O$2:$O$1001,0),0), INDEX($V$1004:$AE$1004,1,MATCH(COLUMNS($V$1006:AE1006),$V$1006:$AE$1006,0)))),"Fix")))</f>
        <v>0</v>
      </c>
      <c r="O69">
        <v>0</v>
      </c>
      <c r="P69">
        <v>0</v>
      </c>
      <c r="Q69">
        <v>0</v>
      </c>
      <c r="R69">
        <f>IF(S69,TRUE,AND(V69:AE69))</f>
        <v>0</v>
      </c>
      <c r="S69">
        <f>COUNTBLANK(Metadata!B69:K69)=COLUMNS(Metadata!B69:K69)</f>
        <v>0</v>
      </c>
      <c r="T69">
        <v>0</v>
      </c>
      <c r="V69">
        <f>AND(IF(Metadata!B69="",FALSE,TRUE),COUNTIF(Metadata!B:B, Metadata!B69) = 1,NOT(ISERROR(SUMPRODUCT(SEARCH(MID(Metadata!B69,ROW(INDIRECT("1:"&amp;LEN(Metadata!B69))), 1),"0123456789abcdefghijklmnopqrstuvwxyzABCDEFGHIJKLMNOPQRSTUVWXYZ.")))))</f>
        <v>0</v>
      </c>
      <c r="W69">
        <f>AND(IF(Metadata!C69="",FALSE,TRUE),exact(Metadata!C69,"urban biome"))</f>
        <v>0</v>
      </c>
      <c r="X69">
        <f>AND(IF(Metadata!D69="",FALSE,TRUE),exact(Metadata!D69,"animal-associated habitat"))</f>
        <v>0</v>
      </c>
      <c r="Y69">
        <f>OR(AND(IF(Metadata!E69="",FALSE,TRUE),OR(exact(Metadata!E69,"not applicable"),exact(Metadata!E69,"missing: not collected"),exact(Metadata!E69,"missing: not provided"),exact(Metadata!E69,"missing: restricted access"))),AND(IF(Metadata!E69="",FALSE,ISNUMBER(VALUE(Metadata!E69))),Metadata!E69&gt;0))</f>
        <v>0</v>
      </c>
      <c r="Z69">
        <f>AND(IF(Metadata!F69="",FALSE,TRUE),exact(Metadata!F69,"weeks"))</f>
        <v>0</v>
      </c>
      <c r="AA69">
        <f>AND(IF(Metadata!G69="",FALSE,TRUE),exact(Metadata!G69,"mouse"))</f>
        <v>0</v>
      </c>
      <c r="AB69">
        <f>AND(IF(Metadata!H69="",FALSE,TRUE),exact(Metadata!H69,"Mus musculus"))</f>
        <v>0</v>
      </c>
      <c r="AC69">
        <f>AND(IF(Metadata!I69="",FALSE,TRUE),exact(Metadata!I69,"10090"))</f>
        <v>0</v>
      </c>
      <c r="AD69">
        <f>OR(AND(IF(Metadata!J69="",FALSE,TRUE),OR(exact(Metadata!J69,"not applicable"),exact(Metadata!J69,"missing: not collected"),exact(Metadata!J69,"missing: not provided"),exact(Metadata!J69,"missing: restricted access"))),AND(IF(Metadata!J69="",FALSE,ISNUMBER(VALUE(Metadata!J69))),Metadata!J69&gt;0))</f>
        <v>0</v>
      </c>
      <c r="AE69">
        <f>AND(IF(Metadata!K69="",FALSE,TRUE),exact(Metadata!K69,"g"))</f>
        <v>0</v>
      </c>
    </row>
    <row r="70" spans="1:31">
      <c r="A70" s="5">
        <f>IF(B70=" "," ",HYPERLINK(CONCATENATE("#metadata!",ADDRESS(INDEX($Q$2:$Q$1001,MATCH(ROWS($O$2:O70),$O$2:$O$1001,0),0),1)),INDEX($T$2:$T$1001,MATCH(ROWS($O$2:O70),$O$2:$O$1001,0),0)))</f>
        <v>0</v>
      </c>
      <c r="B70" s="4">
        <f>IF(OR(INDEX($P$2:$P$1001,MATCH(ROWS($O$2:O70),$O$2:$O$1001,0),1)&gt;=100000,INDEX($V$1005:$AE$1005,1,MATCH(COLUMNS($V$1006:V1006),$V$1006:$AE$1006,0))&gt;=100000), " ",IF(INDEX($V$2:$AE$1001,MATCH(ROWS($O$2:O70),$O$2:$O$1001,0),MATCH(COLUMNS($V$1006:V1006),$V$1006:$AE$1006,0)), HYPERLINK("#",""), HYPERLINK(CONCATENATE("#Metadata!", ADDRESS(INDEX($Q$2:$Q$1001,MATCH(ROWS($O$2:O70),$O$2:$O$1001,0),0), INDEX($V$1004:$AE$1004,1,MATCH(COLUMNS($V$1006:V1006),$V$1006:$AE$1006,0)))),"Fix")))</f>
        <v>0</v>
      </c>
      <c r="C70" s="4">
        <f>IF(OR(INDEX($P$2:$P$1001,MATCH(ROWS($O$2:O70),$O$2:$O$1001,0),1)&gt;=100000,INDEX($V$1005:$AE$1005,1,MATCH(COLUMNS($V$1006:W1006),$V$1006:$AE$1006,0))&gt;=100000), " ",IF(INDEX($V$2:$AE$1001,MATCH(ROWS($O$2:O70),$O$2:$O$1001,0),MATCH(COLUMNS($V$1006:W1006),$V$1006:$AE$1006,0)), HYPERLINK("#",""), HYPERLINK(CONCATENATE("#Metadata!", ADDRESS(INDEX($Q$2:$Q$1001,MATCH(ROWS($O$2:O70),$O$2:$O$1001,0),0), INDEX($V$1004:$AE$1004,1,MATCH(COLUMNS($V$1006:W1006),$V$1006:$AE$1006,0)))),"Fix")))</f>
        <v>0</v>
      </c>
      <c r="D70" s="4">
        <f>IF(OR(INDEX($P$2:$P$1001,MATCH(ROWS($O$2:O70),$O$2:$O$1001,0),1)&gt;=100000,INDEX($V$1005:$AE$1005,1,MATCH(COLUMNS($V$1006:X1006),$V$1006:$AE$1006,0))&gt;=100000), " ",IF(INDEX($V$2:$AE$1001,MATCH(ROWS($O$2:O70),$O$2:$O$1001,0),MATCH(COLUMNS($V$1006:X1006),$V$1006:$AE$1006,0)), HYPERLINK("#",""), HYPERLINK(CONCATENATE("#Metadata!", ADDRESS(INDEX($Q$2:$Q$1001,MATCH(ROWS($O$2:O70),$O$2:$O$1001,0),0), INDEX($V$1004:$AE$1004,1,MATCH(COLUMNS($V$1006:X1006),$V$1006:$AE$1006,0)))),"Fix")))</f>
        <v>0</v>
      </c>
      <c r="E70" s="4">
        <f>IF(OR(INDEX($P$2:$P$1001,MATCH(ROWS($O$2:O70),$O$2:$O$1001,0),1)&gt;=100000,INDEX($V$1005:$AE$1005,1,MATCH(COLUMNS($V$1006:Y1006),$V$1006:$AE$1006,0))&gt;=100000), " ",IF(INDEX($V$2:$AE$1001,MATCH(ROWS($O$2:O70),$O$2:$O$1001,0),MATCH(COLUMNS($V$1006:Y1006),$V$1006:$AE$1006,0)), HYPERLINK("#",""), HYPERLINK(CONCATENATE("#Metadata!", ADDRESS(INDEX($Q$2:$Q$1001,MATCH(ROWS($O$2:O70),$O$2:$O$1001,0),0), INDEX($V$1004:$AE$1004,1,MATCH(COLUMNS($V$1006:Y1006),$V$1006:$AE$1006,0)))),"Fix")))</f>
        <v>0</v>
      </c>
      <c r="F70" s="4">
        <f>IF(OR(INDEX($P$2:$P$1001,MATCH(ROWS($O$2:O70),$O$2:$O$1001,0),1)&gt;=100000,INDEX($V$1005:$AE$1005,1,MATCH(COLUMNS($V$1006:Z1006),$V$1006:$AE$1006,0))&gt;=100000), " ",IF(INDEX($V$2:$AE$1001,MATCH(ROWS($O$2:O70),$O$2:$O$1001,0),MATCH(COLUMNS($V$1006:Z1006),$V$1006:$AE$1006,0)), HYPERLINK("#",""), HYPERLINK(CONCATENATE("#Metadata!", ADDRESS(INDEX($Q$2:$Q$1001,MATCH(ROWS($O$2:O70),$O$2:$O$1001,0),0), INDEX($V$1004:$AE$1004,1,MATCH(COLUMNS($V$1006:Z1006),$V$1006:$AE$1006,0)))),"Fix")))</f>
        <v>0</v>
      </c>
      <c r="G70" s="4">
        <f>IF(OR(INDEX($P$2:$P$1001,MATCH(ROWS($O$2:O70),$O$2:$O$1001,0),1)&gt;=100000,INDEX($V$1005:$AE$1005,1,MATCH(COLUMNS($V$1006:AA1006),$V$1006:$AE$1006,0))&gt;=100000), " ",IF(INDEX($V$2:$AE$1001,MATCH(ROWS($O$2:O70),$O$2:$O$1001,0),MATCH(COLUMNS($V$1006:AA1006),$V$1006:$AE$1006,0)), HYPERLINK("#",""), HYPERLINK(CONCATENATE("#Metadata!", ADDRESS(INDEX($Q$2:$Q$1001,MATCH(ROWS($O$2:O70),$O$2:$O$1001,0),0), INDEX($V$1004:$AE$1004,1,MATCH(COLUMNS($V$1006:AA1006),$V$1006:$AE$1006,0)))),"Fix")))</f>
        <v>0</v>
      </c>
      <c r="H70" s="4">
        <f>IF(OR(INDEX($P$2:$P$1001,MATCH(ROWS($O$2:O70),$O$2:$O$1001,0),1)&gt;=100000,INDEX($V$1005:$AE$1005,1,MATCH(COLUMNS($V$1006:AB1006),$V$1006:$AE$1006,0))&gt;=100000), " ",IF(INDEX($V$2:$AE$1001,MATCH(ROWS($O$2:O70),$O$2:$O$1001,0),MATCH(COLUMNS($V$1006:AB1006),$V$1006:$AE$1006,0)), HYPERLINK("#",""), HYPERLINK(CONCATENATE("#Metadata!", ADDRESS(INDEX($Q$2:$Q$1001,MATCH(ROWS($O$2:O70),$O$2:$O$1001,0),0), INDEX($V$1004:$AE$1004,1,MATCH(COLUMNS($V$1006:AB1006),$V$1006:$AE$1006,0)))),"Fix")))</f>
        <v>0</v>
      </c>
      <c r="I70" s="4">
        <f>IF(OR(INDEX($P$2:$P$1001,MATCH(ROWS($O$2:O70),$O$2:$O$1001,0),1)&gt;=100000,INDEX($V$1005:$AE$1005,1,MATCH(COLUMNS($V$1006:AC1006),$V$1006:$AE$1006,0))&gt;=100000), " ",IF(INDEX($V$2:$AE$1001,MATCH(ROWS($O$2:O70),$O$2:$O$1001,0),MATCH(COLUMNS($V$1006:AC1006),$V$1006:$AE$1006,0)), HYPERLINK("#",""), HYPERLINK(CONCATENATE("#Metadata!", ADDRESS(INDEX($Q$2:$Q$1001,MATCH(ROWS($O$2:O70),$O$2:$O$1001,0),0), INDEX($V$1004:$AE$1004,1,MATCH(COLUMNS($V$1006:AC1006),$V$1006:$AE$1006,0)))),"Fix")))</f>
        <v>0</v>
      </c>
      <c r="J70" s="4">
        <f>IF(OR(INDEX($P$2:$P$1001,MATCH(ROWS($O$2:O70),$O$2:$O$1001,0),1)&gt;=100000,INDEX($V$1005:$AE$1005,1,MATCH(COLUMNS($V$1006:AD1006),$V$1006:$AE$1006,0))&gt;=100000), " ",IF(INDEX($V$2:$AE$1001,MATCH(ROWS($O$2:O70),$O$2:$O$1001,0),MATCH(COLUMNS($V$1006:AD1006),$V$1006:$AE$1006,0)), HYPERLINK("#",""), HYPERLINK(CONCATENATE("#Metadata!", ADDRESS(INDEX($Q$2:$Q$1001,MATCH(ROWS($O$2:O70),$O$2:$O$1001,0),0), INDEX($V$1004:$AE$1004,1,MATCH(COLUMNS($V$1006:AD1006),$V$1006:$AE$1006,0)))),"Fix")))</f>
        <v>0</v>
      </c>
      <c r="K70" s="4">
        <f>IF(OR(INDEX($P$2:$P$1001,MATCH(ROWS($O$2:O70),$O$2:$O$1001,0),1)&gt;=100000,INDEX($V$1005:$AE$1005,1,MATCH(COLUMNS($V$1006:AE1006),$V$1006:$AE$1006,0))&gt;=100000), " ",IF(INDEX($V$2:$AE$1001,MATCH(ROWS($O$2:O70),$O$2:$O$1001,0),MATCH(COLUMNS($V$1006:AE1006),$V$1006:$AE$1006,0)), HYPERLINK("#",""), HYPERLINK(CONCATENATE("#Metadata!", ADDRESS(INDEX($Q$2:$Q$1001,MATCH(ROWS($O$2:O70),$O$2:$O$1001,0),0), INDEX($V$1004:$AE$1004,1,MATCH(COLUMNS($V$1006:AE1006),$V$1006:$AE$1006,0)))),"Fix")))</f>
        <v>0</v>
      </c>
      <c r="O70">
        <v>0</v>
      </c>
      <c r="P70">
        <v>0</v>
      </c>
      <c r="Q70">
        <v>0</v>
      </c>
      <c r="R70">
        <f>IF(S70,TRUE,AND(V70:AE70))</f>
        <v>0</v>
      </c>
      <c r="S70">
        <f>COUNTBLANK(Metadata!B70:K70)=COLUMNS(Metadata!B70:K70)</f>
        <v>0</v>
      </c>
      <c r="T70">
        <v>0</v>
      </c>
      <c r="V70">
        <f>AND(IF(Metadata!B70="",FALSE,TRUE),COUNTIF(Metadata!B:B, Metadata!B70) = 1,NOT(ISERROR(SUMPRODUCT(SEARCH(MID(Metadata!B70,ROW(INDIRECT("1:"&amp;LEN(Metadata!B70))), 1),"0123456789abcdefghijklmnopqrstuvwxyzABCDEFGHIJKLMNOPQRSTUVWXYZ.")))))</f>
        <v>0</v>
      </c>
      <c r="W70">
        <f>AND(IF(Metadata!C70="",FALSE,TRUE),exact(Metadata!C70,"urban biome"))</f>
        <v>0</v>
      </c>
      <c r="X70">
        <f>AND(IF(Metadata!D70="",FALSE,TRUE),exact(Metadata!D70,"animal-associated habitat"))</f>
        <v>0</v>
      </c>
      <c r="Y70">
        <f>OR(AND(IF(Metadata!E70="",FALSE,TRUE),OR(exact(Metadata!E70,"not applicable"),exact(Metadata!E70,"missing: not collected"),exact(Metadata!E70,"missing: not provided"),exact(Metadata!E70,"missing: restricted access"))),AND(IF(Metadata!E70="",FALSE,ISNUMBER(VALUE(Metadata!E70))),Metadata!E70&gt;0))</f>
        <v>0</v>
      </c>
      <c r="Z70">
        <f>AND(IF(Metadata!F70="",FALSE,TRUE),exact(Metadata!F70,"weeks"))</f>
        <v>0</v>
      </c>
      <c r="AA70">
        <f>AND(IF(Metadata!G70="",FALSE,TRUE),exact(Metadata!G70,"mouse"))</f>
        <v>0</v>
      </c>
      <c r="AB70">
        <f>AND(IF(Metadata!H70="",FALSE,TRUE),exact(Metadata!H70,"Mus musculus"))</f>
        <v>0</v>
      </c>
      <c r="AC70">
        <f>AND(IF(Metadata!I70="",FALSE,TRUE),exact(Metadata!I70,"10090"))</f>
        <v>0</v>
      </c>
      <c r="AD70">
        <f>OR(AND(IF(Metadata!J70="",FALSE,TRUE),OR(exact(Metadata!J70,"not applicable"),exact(Metadata!J70,"missing: not collected"),exact(Metadata!J70,"missing: not provided"),exact(Metadata!J70,"missing: restricted access"))),AND(IF(Metadata!J70="",FALSE,ISNUMBER(VALUE(Metadata!J70))),Metadata!J70&gt;0))</f>
        <v>0</v>
      </c>
      <c r="AE70">
        <f>AND(IF(Metadata!K70="",FALSE,TRUE),exact(Metadata!K70,"g"))</f>
        <v>0</v>
      </c>
    </row>
    <row r="71" spans="1:31">
      <c r="A71" s="5">
        <f>IF(B71=" "," ",HYPERLINK(CONCATENATE("#metadata!",ADDRESS(INDEX($Q$2:$Q$1001,MATCH(ROWS($O$2:O71),$O$2:$O$1001,0),0),1)),INDEX($T$2:$T$1001,MATCH(ROWS($O$2:O71),$O$2:$O$1001,0),0)))</f>
        <v>0</v>
      </c>
      <c r="B71" s="4">
        <f>IF(OR(INDEX($P$2:$P$1001,MATCH(ROWS($O$2:O71),$O$2:$O$1001,0),1)&gt;=100000,INDEX($V$1005:$AE$1005,1,MATCH(COLUMNS($V$1006:V1006),$V$1006:$AE$1006,0))&gt;=100000), " ",IF(INDEX($V$2:$AE$1001,MATCH(ROWS($O$2:O71),$O$2:$O$1001,0),MATCH(COLUMNS($V$1006:V1006),$V$1006:$AE$1006,0)), HYPERLINK("#",""), HYPERLINK(CONCATENATE("#Metadata!", ADDRESS(INDEX($Q$2:$Q$1001,MATCH(ROWS($O$2:O71),$O$2:$O$1001,0),0), INDEX($V$1004:$AE$1004,1,MATCH(COLUMNS($V$1006:V1006),$V$1006:$AE$1006,0)))),"Fix")))</f>
        <v>0</v>
      </c>
      <c r="C71" s="4">
        <f>IF(OR(INDEX($P$2:$P$1001,MATCH(ROWS($O$2:O71),$O$2:$O$1001,0),1)&gt;=100000,INDEX($V$1005:$AE$1005,1,MATCH(COLUMNS($V$1006:W1006),$V$1006:$AE$1006,0))&gt;=100000), " ",IF(INDEX($V$2:$AE$1001,MATCH(ROWS($O$2:O71),$O$2:$O$1001,0),MATCH(COLUMNS($V$1006:W1006),$V$1006:$AE$1006,0)), HYPERLINK("#",""), HYPERLINK(CONCATENATE("#Metadata!", ADDRESS(INDEX($Q$2:$Q$1001,MATCH(ROWS($O$2:O71),$O$2:$O$1001,0),0), INDEX($V$1004:$AE$1004,1,MATCH(COLUMNS($V$1006:W1006),$V$1006:$AE$1006,0)))),"Fix")))</f>
        <v>0</v>
      </c>
      <c r="D71" s="4">
        <f>IF(OR(INDEX($P$2:$P$1001,MATCH(ROWS($O$2:O71),$O$2:$O$1001,0),1)&gt;=100000,INDEX($V$1005:$AE$1005,1,MATCH(COLUMNS($V$1006:X1006),$V$1006:$AE$1006,0))&gt;=100000), " ",IF(INDEX($V$2:$AE$1001,MATCH(ROWS($O$2:O71),$O$2:$O$1001,0),MATCH(COLUMNS($V$1006:X1006),$V$1006:$AE$1006,0)), HYPERLINK("#",""), HYPERLINK(CONCATENATE("#Metadata!", ADDRESS(INDEX($Q$2:$Q$1001,MATCH(ROWS($O$2:O71),$O$2:$O$1001,0),0), INDEX($V$1004:$AE$1004,1,MATCH(COLUMNS($V$1006:X1006),$V$1006:$AE$1006,0)))),"Fix")))</f>
        <v>0</v>
      </c>
      <c r="E71" s="4">
        <f>IF(OR(INDEX($P$2:$P$1001,MATCH(ROWS($O$2:O71),$O$2:$O$1001,0),1)&gt;=100000,INDEX($V$1005:$AE$1005,1,MATCH(COLUMNS($V$1006:Y1006),$V$1006:$AE$1006,0))&gt;=100000), " ",IF(INDEX($V$2:$AE$1001,MATCH(ROWS($O$2:O71),$O$2:$O$1001,0),MATCH(COLUMNS($V$1006:Y1006),$V$1006:$AE$1006,0)), HYPERLINK("#",""), HYPERLINK(CONCATENATE("#Metadata!", ADDRESS(INDEX($Q$2:$Q$1001,MATCH(ROWS($O$2:O71),$O$2:$O$1001,0),0), INDEX($V$1004:$AE$1004,1,MATCH(COLUMNS($V$1006:Y1006),$V$1006:$AE$1006,0)))),"Fix")))</f>
        <v>0</v>
      </c>
      <c r="F71" s="4">
        <f>IF(OR(INDEX($P$2:$P$1001,MATCH(ROWS($O$2:O71),$O$2:$O$1001,0),1)&gt;=100000,INDEX($V$1005:$AE$1005,1,MATCH(COLUMNS($V$1006:Z1006),$V$1006:$AE$1006,0))&gt;=100000), " ",IF(INDEX($V$2:$AE$1001,MATCH(ROWS($O$2:O71),$O$2:$O$1001,0),MATCH(COLUMNS($V$1006:Z1006),$V$1006:$AE$1006,0)), HYPERLINK("#",""), HYPERLINK(CONCATENATE("#Metadata!", ADDRESS(INDEX($Q$2:$Q$1001,MATCH(ROWS($O$2:O71),$O$2:$O$1001,0),0), INDEX($V$1004:$AE$1004,1,MATCH(COLUMNS($V$1006:Z1006),$V$1006:$AE$1006,0)))),"Fix")))</f>
        <v>0</v>
      </c>
      <c r="G71" s="4">
        <f>IF(OR(INDEX($P$2:$P$1001,MATCH(ROWS($O$2:O71),$O$2:$O$1001,0),1)&gt;=100000,INDEX($V$1005:$AE$1005,1,MATCH(COLUMNS($V$1006:AA1006),$V$1006:$AE$1006,0))&gt;=100000), " ",IF(INDEX($V$2:$AE$1001,MATCH(ROWS($O$2:O71),$O$2:$O$1001,0),MATCH(COLUMNS($V$1006:AA1006),$V$1006:$AE$1006,0)), HYPERLINK("#",""), HYPERLINK(CONCATENATE("#Metadata!", ADDRESS(INDEX($Q$2:$Q$1001,MATCH(ROWS($O$2:O71),$O$2:$O$1001,0),0), INDEX($V$1004:$AE$1004,1,MATCH(COLUMNS($V$1006:AA1006),$V$1006:$AE$1006,0)))),"Fix")))</f>
        <v>0</v>
      </c>
      <c r="H71" s="4">
        <f>IF(OR(INDEX($P$2:$P$1001,MATCH(ROWS($O$2:O71),$O$2:$O$1001,0),1)&gt;=100000,INDEX($V$1005:$AE$1005,1,MATCH(COLUMNS($V$1006:AB1006),$V$1006:$AE$1006,0))&gt;=100000), " ",IF(INDEX($V$2:$AE$1001,MATCH(ROWS($O$2:O71),$O$2:$O$1001,0),MATCH(COLUMNS($V$1006:AB1006),$V$1006:$AE$1006,0)), HYPERLINK("#",""), HYPERLINK(CONCATENATE("#Metadata!", ADDRESS(INDEX($Q$2:$Q$1001,MATCH(ROWS($O$2:O71),$O$2:$O$1001,0),0), INDEX($V$1004:$AE$1004,1,MATCH(COLUMNS($V$1006:AB1006),$V$1006:$AE$1006,0)))),"Fix")))</f>
        <v>0</v>
      </c>
      <c r="I71" s="4">
        <f>IF(OR(INDEX($P$2:$P$1001,MATCH(ROWS($O$2:O71),$O$2:$O$1001,0),1)&gt;=100000,INDEX($V$1005:$AE$1005,1,MATCH(COLUMNS($V$1006:AC1006),$V$1006:$AE$1006,0))&gt;=100000), " ",IF(INDEX($V$2:$AE$1001,MATCH(ROWS($O$2:O71),$O$2:$O$1001,0),MATCH(COLUMNS($V$1006:AC1006),$V$1006:$AE$1006,0)), HYPERLINK("#",""), HYPERLINK(CONCATENATE("#Metadata!", ADDRESS(INDEX($Q$2:$Q$1001,MATCH(ROWS($O$2:O71),$O$2:$O$1001,0),0), INDEX($V$1004:$AE$1004,1,MATCH(COLUMNS($V$1006:AC1006),$V$1006:$AE$1006,0)))),"Fix")))</f>
        <v>0</v>
      </c>
      <c r="J71" s="4">
        <f>IF(OR(INDEX($P$2:$P$1001,MATCH(ROWS($O$2:O71),$O$2:$O$1001,0),1)&gt;=100000,INDEX($V$1005:$AE$1005,1,MATCH(COLUMNS($V$1006:AD1006),$V$1006:$AE$1006,0))&gt;=100000), " ",IF(INDEX($V$2:$AE$1001,MATCH(ROWS($O$2:O71),$O$2:$O$1001,0),MATCH(COLUMNS($V$1006:AD1006),$V$1006:$AE$1006,0)), HYPERLINK("#",""), HYPERLINK(CONCATENATE("#Metadata!", ADDRESS(INDEX($Q$2:$Q$1001,MATCH(ROWS($O$2:O71),$O$2:$O$1001,0),0), INDEX($V$1004:$AE$1004,1,MATCH(COLUMNS($V$1006:AD1006),$V$1006:$AE$1006,0)))),"Fix")))</f>
        <v>0</v>
      </c>
      <c r="K71" s="4">
        <f>IF(OR(INDEX($P$2:$P$1001,MATCH(ROWS($O$2:O71),$O$2:$O$1001,0),1)&gt;=100000,INDEX($V$1005:$AE$1005,1,MATCH(COLUMNS($V$1006:AE1006),$V$1006:$AE$1006,0))&gt;=100000), " ",IF(INDEX($V$2:$AE$1001,MATCH(ROWS($O$2:O71),$O$2:$O$1001,0),MATCH(COLUMNS($V$1006:AE1006),$V$1006:$AE$1006,0)), HYPERLINK("#",""), HYPERLINK(CONCATENATE("#Metadata!", ADDRESS(INDEX($Q$2:$Q$1001,MATCH(ROWS($O$2:O71),$O$2:$O$1001,0),0), INDEX($V$1004:$AE$1004,1,MATCH(COLUMNS($V$1006:AE1006),$V$1006:$AE$1006,0)))),"Fix")))</f>
        <v>0</v>
      </c>
      <c r="O71">
        <v>0</v>
      </c>
      <c r="P71">
        <v>0</v>
      </c>
      <c r="Q71">
        <v>0</v>
      </c>
      <c r="R71">
        <f>IF(S71,TRUE,AND(V71:AE71))</f>
        <v>0</v>
      </c>
      <c r="S71">
        <f>COUNTBLANK(Metadata!B71:K71)=COLUMNS(Metadata!B71:K71)</f>
        <v>0</v>
      </c>
      <c r="T71">
        <v>0</v>
      </c>
      <c r="V71">
        <f>AND(IF(Metadata!B71="",FALSE,TRUE),COUNTIF(Metadata!B:B, Metadata!B71) = 1,NOT(ISERROR(SUMPRODUCT(SEARCH(MID(Metadata!B71,ROW(INDIRECT("1:"&amp;LEN(Metadata!B71))), 1),"0123456789abcdefghijklmnopqrstuvwxyzABCDEFGHIJKLMNOPQRSTUVWXYZ.")))))</f>
        <v>0</v>
      </c>
      <c r="W71">
        <f>AND(IF(Metadata!C71="",FALSE,TRUE),exact(Metadata!C71,"urban biome"))</f>
        <v>0</v>
      </c>
      <c r="X71">
        <f>AND(IF(Metadata!D71="",FALSE,TRUE),exact(Metadata!D71,"animal-associated habitat"))</f>
        <v>0</v>
      </c>
      <c r="Y71">
        <f>OR(AND(IF(Metadata!E71="",FALSE,TRUE),OR(exact(Metadata!E71,"not applicable"),exact(Metadata!E71,"missing: not collected"),exact(Metadata!E71,"missing: not provided"),exact(Metadata!E71,"missing: restricted access"))),AND(IF(Metadata!E71="",FALSE,ISNUMBER(VALUE(Metadata!E71))),Metadata!E71&gt;0))</f>
        <v>0</v>
      </c>
      <c r="Z71">
        <f>AND(IF(Metadata!F71="",FALSE,TRUE),exact(Metadata!F71,"weeks"))</f>
        <v>0</v>
      </c>
      <c r="AA71">
        <f>AND(IF(Metadata!G71="",FALSE,TRUE),exact(Metadata!G71,"mouse"))</f>
        <v>0</v>
      </c>
      <c r="AB71">
        <f>AND(IF(Metadata!H71="",FALSE,TRUE),exact(Metadata!H71,"Mus musculus"))</f>
        <v>0</v>
      </c>
      <c r="AC71">
        <f>AND(IF(Metadata!I71="",FALSE,TRUE),exact(Metadata!I71,"10090"))</f>
        <v>0</v>
      </c>
      <c r="AD71">
        <f>OR(AND(IF(Metadata!J71="",FALSE,TRUE),OR(exact(Metadata!J71,"not applicable"),exact(Metadata!J71,"missing: not collected"),exact(Metadata!J71,"missing: not provided"),exact(Metadata!J71,"missing: restricted access"))),AND(IF(Metadata!J71="",FALSE,ISNUMBER(VALUE(Metadata!J71))),Metadata!J71&gt;0))</f>
        <v>0</v>
      </c>
      <c r="AE71">
        <f>AND(IF(Metadata!K71="",FALSE,TRUE),exact(Metadata!K71,"g"))</f>
        <v>0</v>
      </c>
    </row>
    <row r="72" spans="1:31">
      <c r="A72" s="5">
        <f>IF(B72=" "," ",HYPERLINK(CONCATENATE("#metadata!",ADDRESS(INDEX($Q$2:$Q$1001,MATCH(ROWS($O$2:O72),$O$2:$O$1001,0),0),1)),INDEX($T$2:$T$1001,MATCH(ROWS($O$2:O72),$O$2:$O$1001,0),0)))</f>
        <v>0</v>
      </c>
      <c r="B72" s="4">
        <f>IF(OR(INDEX($P$2:$P$1001,MATCH(ROWS($O$2:O72),$O$2:$O$1001,0),1)&gt;=100000,INDEX($V$1005:$AE$1005,1,MATCH(COLUMNS($V$1006:V1006),$V$1006:$AE$1006,0))&gt;=100000), " ",IF(INDEX($V$2:$AE$1001,MATCH(ROWS($O$2:O72),$O$2:$O$1001,0),MATCH(COLUMNS($V$1006:V1006),$V$1006:$AE$1006,0)), HYPERLINK("#",""), HYPERLINK(CONCATENATE("#Metadata!", ADDRESS(INDEX($Q$2:$Q$1001,MATCH(ROWS($O$2:O72),$O$2:$O$1001,0),0), INDEX($V$1004:$AE$1004,1,MATCH(COLUMNS($V$1006:V1006),$V$1006:$AE$1006,0)))),"Fix")))</f>
        <v>0</v>
      </c>
      <c r="C72" s="4">
        <f>IF(OR(INDEX($P$2:$P$1001,MATCH(ROWS($O$2:O72),$O$2:$O$1001,0),1)&gt;=100000,INDEX($V$1005:$AE$1005,1,MATCH(COLUMNS($V$1006:W1006),$V$1006:$AE$1006,0))&gt;=100000), " ",IF(INDEX($V$2:$AE$1001,MATCH(ROWS($O$2:O72),$O$2:$O$1001,0),MATCH(COLUMNS($V$1006:W1006),$V$1006:$AE$1006,0)), HYPERLINK("#",""), HYPERLINK(CONCATENATE("#Metadata!", ADDRESS(INDEX($Q$2:$Q$1001,MATCH(ROWS($O$2:O72),$O$2:$O$1001,0),0), INDEX($V$1004:$AE$1004,1,MATCH(COLUMNS($V$1006:W1006),$V$1006:$AE$1006,0)))),"Fix")))</f>
        <v>0</v>
      </c>
      <c r="D72" s="4">
        <f>IF(OR(INDEX($P$2:$P$1001,MATCH(ROWS($O$2:O72),$O$2:$O$1001,0),1)&gt;=100000,INDEX($V$1005:$AE$1005,1,MATCH(COLUMNS($V$1006:X1006),$V$1006:$AE$1006,0))&gt;=100000), " ",IF(INDEX($V$2:$AE$1001,MATCH(ROWS($O$2:O72),$O$2:$O$1001,0),MATCH(COLUMNS($V$1006:X1006),$V$1006:$AE$1006,0)), HYPERLINK("#",""), HYPERLINK(CONCATENATE("#Metadata!", ADDRESS(INDEX($Q$2:$Q$1001,MATCH(ROWS($O$2:O72),$O$2:$O$1001,0),0), INDEX($V$1004:$AE$1004,1,MATCH(COLUMNS($V$1006:X1006),$V$1006:$AE$1006,0)))),"Fix")))</f>
        <v>0</v>
      </c>
      <c r="E72" s="4">
        <f>IF(OR(INDEX($P$2:$P$1001,MATCH(ROWS($O$2:O72),$O$2:$O$1001,0),1)&gt;=100000,INDEX($V$1005:$AE$1005,1,MATCH(COLUMNS($V$1006:Y1006),$V$1006:$AE$1006,0))&gt;=100000), " ",IF(INDEX($V$2:$AE$1001,MATCH(ROWS($O$2:O72),$O$2:$O$1001,0),MATCH(COLUMNS($V$1006:Y1006),$V$1006:$AE$1006,0)), HYPERLINK("#",""), HYPERLINK(CONCATENATE("#Metadata!", ADDRESS(INDEX($Q$2:$Q$1001,MATCH(ROWS($O$2:O72),$O$2:$O$1001,0),0), INDEX($V$1004:$AE$1004,1,MATCH(COLUMNS($V$1006:Y1006),$V$1006:$AE$1006,0)))),"Fix")))</f>
        <v>0</v>
      </c>
      <c r="F72" s="4">
        <f>IF(OR(INDEX($P$2:$P$1001,MATCH(ROWS($O$2:O72),$O$2:$O$1001,0),1)&gt;=100000,INDEX($V$1005:$AE$1005,1,MATCH(COLUMNS($V$1006:Z1006),$V$1006:$AE$1006,0))&gt;=100000), " ",IF(INDEX($V$2:$AE$1001,MATCH(ROWS($O$2:O72),$O$2:$O$1001,0),MATCH(COLUMNS($V$1006:Z1006),$V$1006:$AE$1006,0)), HYPERLINK("#",""), HYPERLINK(CONCATENATE("#Metadata!", ADDRESS(INDEX($Q$2:$Q$1001,MATCH(ROWS($O$2:O72),$O$2:$O$1001,0),0), INDEX($V$1004:$AE$1004,1,MATCH(COLUMNS($V$1006:Z1006),$V$1006:$AE$1006,0)))),"Fix")))</f>
        <v>0</v>
      </c>
      <c r="G72" s="4">
        <f>IF(OR(INDEX($P$2:$P$1001,MATCH(ROWS($O$2:O72),$O$2:$O$1001,0),1)&gt;=100000,INDEX($V$1005:$AE$1005,1,MATCH(COLUMNS($V$1006:AA1006),$V$1006:$AE$1006,0))&gt;=100000), " ",IF(INDEX($V$2:$AE$1001,MATCH(ROWS($O$2:O72),$O$2:$O$1001,0),MATCH(COLUMNS($V$1006:AA1006),$V$1006:$AE$1006,0)), HYPERLINK("#",""), HYPERLINK(CONCATENATE("#Metadata!", ADDRESS(INDEX($Q$2:$Q$1001,MATCH(ROWS($O$2:O72),$O$2:$O$1001,0),0), INDEX($V$1004:$AE$1004,1,MATCH(COLUMNS($V$1006:AA1006),$V$1006:$AE$1006,0)))),"Fix")))</f>
        <v>0</v>
      </c>
      <c r="H72" s="4">
        <f>IF(OR(INDEX($P$2:$P$1001,MATCH(ROWS($O$2:O72),$O$2:$O$1001,0),1)&gt;=100000,INDEX($V$1005:$AE$1005,1,MATCH(COLUMNS($V$1006:AB1006),$V$1006:$AE$1006,0))&gt;=100000), " ",IF(INDEX($V$2:$AE$1001,MATCH(ROWS($O$2:O72),$O$2:$O$1001,0),MATCH(COLUMNS($V$1006:AB1006),$V$1006:$AE$1006,0)), HYPERLINK("#",""), HYPERLINK(CONCATENATE("#Metadata!", ADDRESS(INDEX($Q$2:$Q$1001,MATCH(ROWS($O$2:O72),$O$2:$O$1001,0),0), INDEX($V$1004:$AE$1004,1,MATCH(COLUMNS($V$1006:AB1006),$V$1006:$AE$1006,0)))),"Fix")))</f>
        <v>0</v>
      </c>
      <c r="I72" s="4">
        <f>IF(OR(INDEX($P$2:$P$1001,MATCH(ROWS($O$2:O72),$O$2:$O$1001,0),1)&gt;=100000,INDEX($V$1005:$AE$1005,1,MATCH(COLUMNS($V$1006:AC1006),$V$1006:$AE$1006,0))&gt;=100000), " ",IF(INDEX($V$2:$AE$1001,MATCH(ROWS($O$2:O72),$O$2:$O$1001,0),MATCH(COLUMNS($V$1006:AC1006),$V$1006:$AE$1006,0)), HYPERLINK("#",""), HYPERLINK(CONCATENATE("#Metadata!", ADDRESS(INDEX($Q$2:$Q$1001,MATCH(ROWS($O$2:O72),$O$2:$O$1001,0),0), INDEX($V$1004:$AE$1004,1,MATCH(COLUMNS($V$1006:AC1006),$V$1006:$AE$1006,0)))),"Fix")))</f>
        <v>0</v>
      </c>
      <c r="J72" s="4">
        <f>IF(OR(INDEX($P$2:$P$1001,MATCH(ROWS($O$2:O72),$O$2:$O$1001,0),1)&gt;=100000,INDEX($V$1005:$AE$1005,1,MATCH(COLUMNS($V$1006:AD1006),$V$1006:$AE$1006,0))&gt;=100000), " ",IF(INDEX($V$2:$AE$1001,MATCH(ROWS($O$2:O72),$O$2:$O$1001,0),MATCH(COLUMNS($V$1006:AD1006),$V$1006:$AE$1006,0)), HYPERLINK("#",""), HYPERLINK(CONCATENATE("#Metadata!", ADDRESS(INDEX($Q$2:$Q$1001,MATCH(ROWS($O$2:O72),$O$2:$O$1001,0),0), INDEX($V$1004:$AE$1004,1,MATCH(COLUMNS($V$1006:AD1006),$V$1006:$AE$1006,0)))),"Fix")))</f>
        <v>0</v>
      </c>
      <c r="K72" s="4">
        <f>IF(OR(INDEX($P$2:$P$1001,MATCH(ROWS($O$2:O72),$O$2:$O$1001,0),1)&gt;=100000,INDEX($V$1005:$AE$1005,1,MATCH(COLUMNS($V$1006:AE1006),$V$1006:$AE$1006,0))&gt;=100000), " ",IF(INDEX($V$2:$AE$1001,MATCH(ROWS($O$2:O72),$O$2:$O$1001,0),MATCH(COLUMNS($V$1006:AE1006),$V$1006:$AE$1006,0)), HYPERLINK("#",""), HYPERLINK(CONCATENATE("#Metadata!", ADDRESS(INDEX($Q$2:$Q$1001,MATCH(ROWS($O$2:O72),$O$2:$O$1001,0),0), INDEX($V$1004:$AE$1004,1,MATCH(COLUMNS($V$1006:AE1006),$V$1006:$AE$1006,0)))),"Fix")))</f>
        <v>0</v>
      </c>
      <c r="O72">
        <v>0</v>
      </c>
      <c r="P72">
        <v>0</v>
      </c>
      <c r="Q72">
        <v>0</v>
      </c>
      <c r="R72">
        <f>IF(S72,TRUE,AND(V72:AE72))</f>
        <v>0</v>
      </c>
      <c r="S72">
        <f>COUNTBLANK(Metadata!B72:K72)=COLUMNS(Metadata!B72:K72)</f>
        <v>0</v>
      </c>
      <c r="T72">
        <v>0</v>
      </c>
      <c r="V72">
        <f>AND(IF(Metadata!B72="",FALSE,TRUE),COUNTIF(Metadata!B:B, Metadata!B72) = 1,NOT(ISERROR(SUMPRODUCT(SEARCH(MID(Metadata!B72,ROW(INDIRECT("1:"&amp;LEN(Metadata!B72))), 1),"0123456789abcdefghijklmnopqrstuvwxyzABCDEFGHIJKLMNOPQRSTUVWXYZ.")))))</f>
        <v>0</v>
      </c>
      <c r="W72">
        <f>AND(IF(Metadata!C72="",FALSE,TRUE),exact(Metadata!C72,"urban biome"))</f>
        <v>0</v>
      </c>
      <c r="X72">
        <f>AND(IF(Metadata!D72="",FALSE,TRUE),exact(Metadata!D72,"animal-associated habitat"))</f>
        <v>0</v>
      </c>
      <c r="Y72">
        <f>OR(AND(IF(Metadata!E72="",FALSE,TRUE),OR(exact(Metadata!E72,"not applicable"),exact(Metadata!E72,"missing: not collected"),exact(Metadata!E72,"missing: not provided"),exact(Metadata!E72,"missing: restricted access"))),AND(IF(Metadata!E72="",FALSE,ISNUMBER(VALUE(Metadata!E72))),Metadata!E72&gt;0))</f>
        <v>0</v>
      </c>
      <c r="Z72">
        <f>AND(IF(Metadata!F72="",FALSE,TRUE),exact(Metadata!F72,"weeks"))</f>
        <v>0</v>
      </c>
      <c r="AA72">
        <f>AND(IF(Metadata!G72="",FALSE,TRUE),exact(Metadata!G72,"mouse"))</f>
        <v>0</v>
      </c>
      <c r="AB72">
        <f>AND(IF(Metadata!H72="",FALSE,TRUE),exact(Metadata!H72,"Mus musculus"))</f>
        <v>0</v>
      </c>
      <c r="AC72">
        <f>AND(IF(Metadata!I72="",FALSE,TRUE),exact(Metadata!I72,"10090"))</f>
        <v>0</v>
      </c>
      <c r="AD72">
        <f>OR(AND(IF(Metadata!J72="",FALSE,TRUE),OR(exact(Metadata!J72,"not applicable"),exact(Metadata!J72,"missing: not collected"),exact(Metadata!J72,"missing: not provided"),exact(Metadata!J72,"missing: restricted access"))),AND(IF(Metadata!J72="",FALSE,ISNUMBER(VALUE(Metadata!J72))),Metadata!J72&gt;0))</f>
        <v>0</v>
      </c>
      <c r="AE72">
        <f>AND(IF(Metadata!K72="",FALSE,TRUE),exact(Metadata!K72,"g"))</f>
        <v>0</v>
      </c>
    </row>
    <row r="73" spans="1:31">
      <c r="A73" s="5">
        <f>IF(B73=" "," ",HYPERLINK(CONCATENATE("#metadata!",ADDRESS(INDEX($Q$2:$Q$1001,MATCH(ROWS($O$2:O73),$O$2:$O$1001,0),0),1)),INDEX($T$2:$T$1001,MATCH(ROWS($O$2:O73),$O$2:$O$1001,0),0)))</f>
        <v>0</v>
      </c>
      <c r="B73" s="4">
        <f>IF(OR(INDEX($P$2:$P$1001,MATCH(ROWS($O$2:O73),$O$2:$O$1001,0),1)&gt;=100000,INDEX($V$1005:$AE$1005,1,MATCH(COLUMNS($V$1006:V1006),$V$1006:$AE$1006,0))&gt;=100000), " ",IF(INDEX($V$2:$AE$1001,MATCH(ROWS($O$2:O73),$O$2:$O$1001,0),MATCH(COLUMNS($V$1006:V1006),$V$1006:$AE$1006,0)), HYPERLINK("#",""), HYPERLINK(CONCATENATE("#Metadata!", ADDRESS(INDEX($Q$2:$Q$1001,MATCH(ROWS($O$2:O73),$O$2:$O$1001,0),0), INDEX($V$1004:$AE$1004,1,MATCH(COLUMNS($V$1006:V1006),$V$1006:$AE$1006,0)))),"Fix")))</f>
        <v>0</v>
      </c>
      <c r="C73" s="4">
        <f>IF(OR(INDEX($P$2:$P$1001,MATCH(ROWS($O$2:O73),$O$2:$O$1001,0),1)&gt;=100000,INDEX($V$1005:$AE$1005,1,MATCH(COLUMNS($V$1006:W1006),$V$1006:$AE$1006,0))&gt;=100000), " ",IF(INDEX($V$2:$AE$1001,MATCH(ROWS($O$2:O73),$O$2:$O$1001,0),MATCH(COLUMNS($V$1006:W1006),$V$1006:$AE$1006,0)), HYPERLINK("#",""), HYPERLINK(CONCATENATE("#Metadata!", ADDRESS(INDEX($Q$2:$Q$1001,MATCH(ROWS($O$2:O73),$O$2:$O$1001,0),0), INDEX($V$1004:$AE$1004,1,MATCH(COLUMNS($V$1006:W1006),$V$1006:$AE$1006,0)))),"Fix")))</f>
        <v>0</v>
      </c>
      <c r="D73" s="4">
        <f>IF(OR(INDEX($P$2:$P$1001,MATCH(ROWS($O$2:O73),$O$2:$O$1001,0),1)&gt;=100000,INDEX($V$1005:$AE$1005,1,MATCH(COLUMNS($V$1006:X1006),$V$1006:$AE$1006,0))&gt;=100000), " ",IF(INDEX($V$2:$AE$1001,MATCH(ROWS($O$2:O73),$O$2:$O$1001,0),MATCH(COLUMNS($V$1006:X1006),$V$1006:$AE$1006,0)), HYPERLINK("#",""), HYPERLINK(CONCATENATE("#Metadata!", ADDRESS(INDEX($Q$2:$Q$1001,MATCH(ROWS($O$2:O73),$O$2:$O$1001,0),0), INDEX($V$1004:$AE$1004,1,MATCH(COLUMNS($V$1006:X1006),$V$1006:$AE$1006,0)))),"Fix")))</f>
        <v>0</v>
      </c>
      <c r="E73" s="4">
        <f>IF(OR(INDEX($P$2:$P$1001,MATCH(ROWS($O$2:O73),$O$2:$O$1001,0),1)&gt;=100000,INDEX($V$1005:$AE$1005,1,MATCH(COLUMNS($V$1006:Y1006),$V$1006:$AE$1006,0))&gt;=100000), " ",IF(INDEX($V$2:$AE$1001,MATCH(ROWS($O$2:O73),$O$2:$O$1001,0),MATCH(COLUMNS($V$1006:Y1006),$V$1006:$AE$1006,0)), HYPERLINK("#",""), HYPERLINK(CONCATENATE("#Metadata!", ADDRESS(INDEX($Q$2:$Q$1001,MATCH(ROWS($O$2:O73),$O$2:$O$1001,0),0), INDEX($V$1004:$AE$1004,1,MATCH(COLUMNS($V$1006:Y1006),$V$1006:$AE$1006,0)))),"Fix")))</f>
        <v>0</v>
      </c>
      <c r="F73" s="4">
        <f>IF(OR(INDEX($P$2:$P$1001,MATCH(ROWS($O$2:O73),$O$2:$O$1001,0),1)&gt;=100000,INDEX($V$1005:$AE$1005,1,MATCH(COLUMNS($V$1006:Z1006),$V$1006:$AE$1006,0))&gt;=100000), " ",IF(INDEX($V$2:$AE$1001,MATCH(ROWS($O$2:O73),$O$2:$O$1001,0),MATCH(COLUMNS($V$1006:Z1006),$V$1006:$AE$1006,0)), HYPERLINK("#",""), HYPERLINK(CONCATENATE("#Metadata!", ADDRESS(INDEX($Q$2:$Q$1001,MATCH(ROWS($O$2:O73),$O$2:$O$1001,0),0), INDEX($V$1004:$AE$1004,1,MATCH(COLUMNS($V$1006:Z1006),$V$1006:$AE$1006,0)))),"Fix")))</f>
        <v>0</v>
      </c>
      <c r="G73" s="4">
        <f>IF(OR(INDEX($P$2:$P$1001,MATCH(ROWS($O$2:O73),$O$2:$O$1001,0),1)&gt;=100000,INDEX($V$1005:$AE$1005,1,MATCH(COLUMNS($V$1006:AA1006),$V$1006:$AE$1006,0))&gt;=100000), " ",IF(INDEX($V$2:$AE$1001,MATCH(ROWS($O$2:O73),$O$2:$O$1001,0),MATCH(COLUMNS($V$1006:AA1006),$V$1006:$AE$1006,0)), HYPERLINK("#",""), HYPERLINK(CONCATENATE("#Metadata!", ADDRESS(INDEX($Q$2:$Q$1001,MATCH(ROWS($O$2:O73),$O$2:$O$1001,0),0), INDEX($V$1004:$AE$1004,1,MATCH(COLUMNS($V$1006:AA1006),$V$1006:$AE$1006,0)))),"Fix")))</f>
        <v>0</v>
      </c>
      <c r="H73" s="4">
        <f>IF(OR(INDEX($P$2:$P$1001,MATCH(ROWS($O$2:O73),$O$2:$O$1001,0),1)&gt;=100000,INDEX($V$1005:$AE$1005,1,MATCH(COLUMNS($V$1006:AB1006),$V$1006:$AE$1006,0))&gt;=100000), " ",IF(INDEX($V$2:$AE$1001,MATCH(ROWS($O$2:O73),$O$2:$O$1001,0),MATCH(COLUMNS($V$1006:AB1006),$V$1006:$AE$1006,0)), HYPERLINK("#",""), HYPERLINK(CONCATENATE("#Metadata!", ADDRESS(INDEX($Q$2:$Q$1001,MATCH(ROWS($O$2:O73),$O$2:$O$1001,0),0), INDEX($V$1004:$AE$1004,1,MATCH(COLUMNS($V$1006:AB1006),$V$1006:$AE$1006,0)))),"Fix")))</f>
        <v>0</v>
      </c>
      <c r="I73" s="4">
        <f>IF(OR(INDEX($P$2:$P$1001,MATCH(ROWS($O$2:O73),$O$2:$O$1001,0),1)&gt;=100000,INDEX($V$1005:$AE$1005,1,MATCH(COLUMNS($V$1006:AC1006),$V$1006:$AE$1006,0))&gt;=100000), " ",IF(INDEX($V$2:$AE$1001,MATCH(ROWS($O$2:O73),$O$2:$O$1001,0),MATCH(COLUMNS($V$1006:AC1006),$V$1006:$AE$1006,0)), HYPERLINK("#",""), HYPERLINK(CONCATENATE("#Metadata!", ADDRESS(INDEX($Q$2:$Q$1001,MATCH(ROWS($O$2:O73),$O$2:$O$1001,0),0), INDEX($V$1004:$AE$1004,1,MATCH(COLUMNS($V$1006:AC1006),$V$1006:$AE$1006,0)))),"Fix")))</f>
        <v>0</v>
      </c>
      <c r="J73" s="4">
        <f>IF(OR(INDEX($P$2:$P$1001,MATCH(ROWS($O$2:O73),$O$2:$O$1001,0),1)&gt;=100000,INDEX($V$1005:$AE$1005,1,MATCH(COLUMNS($V$1006:AD1006),$V$1006:$AE$1006,0))&gt;=100000), " ",IF(INDEX($V$2:$AE$1001,MATCH(ROWS($O$2:O73),$O$2:$O$1001,0),MATCH(COLUMNS($V$1006:AD1006),$V$1006:$AE$1006,0)), HYPERLINK("#",""), HYPERLINK(CONCATENATE("#Metadata!", ADDRESS(INDEX($Q$2:$Q$1001,MATCH(ROWS($O$2:O73),$O$2:$O$1001,0),0), INDEX($V$1004:$AE$1004,1,MATCH(COLUMNS($V$1006:AD1006),$V$1006:$AE$1006,0)))),"Fix")))</f>
        <v>0</v>
      </c>
      <c r="K73" s="4">
        <f>IF(OR(INDEX($P$2:$P$1001,MATCH(ROWS($O$2:O73),$O$2:$O$1001,0),1)&gt;=100000,INDEX($V$1005:$AE$1005,1,MATCH(COLUMNS($V$1006:AE1006),$V$1006:$AE$1006,0))&gt;=100000), " ",IF(INDEX($V$2:$AE$1001,MATCH(ROWS($O$2:O73),$O$2:$O$1001,0),MATCH(COLUMNS($V$1006:AE1006),$V$1006:$AE$1006,0)), HYPERLINK("#",""), HYPERLINK(CONCATENATE("#Metadata!", ADDRESS(INDEX($Q$2:$Q$1001,MATCH(ROWS($O$2:O73),$O$2:$O$1001,0),0), INDEX($V$1004:$AE$1004,1,MATCH(COLUMNS($V$1006:AE1006),$V$1006:$AE$1006,0)))),"Fix")))</f>
        <v>0</v>
      </c>
      <c r="O73">
        <v>0</v>
      </c>
      <c r="P73">
        <v>0</v>
      </c>
      <c r="Q73">
        <v>0</v>
      </c>
      <c r="R73">
        <f>IF(S73,TRUE,AND(V73:AE73))</f>
        <v>0</v>
      </c>
      <c r="S73">
        <f>COUNTBLANK(Metadata!B73:K73)=COLUMNS(Metadata!B73:K73)</f>
        <v>0</v>
      </c>
      <c r="T73">
        <v>0</v>
      </c>
      <c r="V73">
        <f>AND(IF(Metadata!B73="",FALSE,TRUE),COUNTIF(Metadata!B:B, Metadata!B73) = 1,NOT(ISERROR(SUMPRODUCT(SEARCH(MID(Metadata!B73,ROW(INDIRECT("1:"&amp;LEN(Metadata!B73))), 1),"0123456789abcdefghijklmnopqrstuvwxyzABCDEFGHIJKLMNOPQRSTUVWXYZ.")))))</f>
        <v>0</v>
      </c>
      <c r="W73">
        <f>AND(IF(Metadata!C73="",FALSE,TRUE),exact(Metadata!C73,"urban biome"))</f>
        <v>0</v>
      </c>
      <c r="X73">
        <f>AND(IF(Metadata!D73="",FALSE,TRUE),exact(Metadata!D73,"animal-associated habitat"))</f>
        <v>0</v>
      </c>
      <c r="Y73">
        <f>OR(AND(IF(Metadata!E73="",FALSE,TRUE),OR(exact(Metadata!E73,"not applicable"),exact(Metadata!E73,"missing: not collected"),exact(Metadata!E73,"missing: not provided"),exact(Metadata!E73,"missing: restricted access"))),AND(IF(Metadata!E73="",FALSE,ISNUMBER(VALUE(Metadata!E73))),Metadata!E73&gt;0))</f>
        <v>0</v>
      </c>
      <c r="Z73">
        <f>AND(IF(Metadata!F73="",FALSE,TRUE),exact(Metadata!F73,"weeks"))</f>
        <v>0</v>
      </c>
      <c r="AA73">
        <f>AND(IF(Metadata!G73="",FALSE,TRUE),exact(Metadata!G73,"mouse"))</f>
        <v>0</v>
      </c>
      <c r="AB73">
        <f>AND(IF(Metadata!H73="",FALSE,TRUE),exact(Metadata!H73,"Mus musculus"))</f>
        <v>0</v>
      </c>
      <c r="AC73">
        <f>AND(IF(Metadata!I73="",FALSE,TRUE),exact(Metadata!I73,"10090"))</f>
        <v>0</v>
      </c>
      <c r="AD73">
        <f>OR(AND(IF(Metadata!J73="",FALSE,TRUE),OR(exact(Metadata!J73,"not applicable"),exact(Metadata!J73,"missing: not collected"),exact(Metadata!J73,"missing: not provided"),exact(Metadata!J73,"missing: restricted access"))),AND(IF(Metadata!J73="",FALSE,ISNUMBER(VALUE(Metadata!J73))),Metadata!J73&gt;0))</f>
        <v>0</v>
      </c>
      <c r="AE73">
        <f>AND(IF(Metadata!K73="",FALSE,TRUE),exact(Metadata!K73,"g"))</f>
        <v>0</v>
      </c>
    </row>
    <row r="74" spans="1:31">
      <c r="A74" s="5">
        <f>IF(B74=" "," ",HYPERLINK(CONCATENATE("#metadata!",ADDRESS(INDEX($Q$2:$Q$1001,MATCH(ROWS($O$2:O74),$O$2:$O$1001,0),0),1)),INDEX($T$2:$T$1001,MATCH(ROWS($O$2:O74),$O$2:$O$1001,0),0)))</f>
        <v>0</v>
      </c>
      <c r="B74" s="4">
        <f>IF(OR(INDEX($P$2:$P$1001,MATCH(ROWS($O$2:O74),$O$2:$O$1001,0),1)&gt;=100000,INDEX($V$1005:$AE$1005,1,MATCH(COLUMNS($V$1006:V1006),$V$1006:$AE$1006,0))&gt;=100000), " ",IF(INDEX($V$2:$AE$1001,MATCH(ROWS($O$2:O74),$O$2:$O$1001,0),MATCH(COLUMNS($V$1006:V1006),$V$1006:$AE$1006,0)), HYPERLINK("#",""), HYPERLINK(CONCATENATE("#Metadata!", ADDRESS(INDEX($Q$2:$Q$1001,MATCH(ROWS($O$2:O74),$O$2:$O$1001,0),0), INDEX($V$1004:$AE$1004,1,MATCH(COLUMNS($V$1006:V1006),$V$1006:$AE$1006,0)))),"Fix")))</f>
        <v>0</v>
      </c>
      <c r="C74" s="4">
        <f>IF(OR(INDEX($P$2:$P$1001,MATCH(ROWS($O$2:O74),$O$2:$O$1001,0),1)&gt;=100000,INDEX($V$1005:$AE$1005,1,MATCH(COLUMNS($V$1006:W1006),$V$1006:$AE$1006,0))&gt;=100000), " ",IF(INDEX($V$2:$AE$1001,MATCH(ROWS($O$2:O74),$O$2:$O$1001,0),MATCH(COLUMNS($V$1006:W1006),$V$1006:$AE$1006,0)), HYPERLINK("#",""), HYPERLINK(CONCATENATE("#Metadata!", ADDRESS(INDEX($Q$2:$Q$1001,MATCH(ROWS($O$2:O74),$O$2:$O$1001,0),0), INDEX($V$1004:$AE$1004,1,MATCH(COLUMNS($V$1006:W1006),$V$1006:$AE$1006,0)))),"Fix")))</f>
        <v>0</v>
      </c>
      <c r="D74" s="4">
        <f>IF(OR(INDEX($P$2:$P$1001,MATCH(ROWS($O$2:O74),$O$2:$O$1001,0),1)&gt;=100000,INDEX($V$1005:$AE$1005,1,MATCH(COLUMNS($V$1006:X1006),$V$1006:$AE$1006,0))&gt;=100000), " ",IF(INDEX($V$2:$AE$1001,MATCH(ROWS($O$2:O74),$O$2:$O$1001,0),MATCH(COLUMNS($V$1006:X1006),$V$1006:$AE$1006,0)), HYPERLINK("#",""), HYPERLINK(CONCATENATE("#Metadata!", ADDRESS(INDEX($Q$2:$Q$1001,MATCH(ROWS($O$2:O74),$O$2:$O$1001,0),0), INDEX($V$1004:$AE$1004,1,MATCH(COLUMNS($V$1006:X1006),$V$1006:$AE$1006,0)))),"Fix")))</f>
        <v>0</v>
      </c>
      <c r="E74" s="4">
        <f>IF(OR(INDEX($P$2:$P$1001,MATCH(ROWS($O$2:O74),$O$2:$O$1001,0),1)&gt;=100000,INDEX($V$1005:$AE$1005,1,MATCH(COLUMNS($V$1006:Y1006),$V$1006:$AE$1006,0))&gt;=100000), " ",IF(INDEX($V$2:$AE$1001,MATCH(ROWS($O$2:O74),$O$2:$O$1001,0),MATCH(COLUMNS($V$1006:Y1006),$V$1006:$AE$1006,0)), HYPERLINK("#",""), HYPERLINK(CONCATENATE("#Metadata!", ADDRESS(INDEX($Q$2:$Q$1001,MATCH(ROWS($O$2:O74),$O$2:$O$1001,0),0), INDEX($V$1004:$AE$1004,1,MATCH(COLUMNS($V$1006:Y1006),$V$1006:$AE$1006,0)))),"Fix")))</f>
        <v>0</v>
      </c>
      <c r="F74" s="4">
        <f>IF(OR(INDEX($P$2:$P$1001,MATCH(ROWS($O$2:O74),$O$2:$O$1001,0),1)&gt;=100000,INDEX($V$1005:$AE$1005,1,MATCH(COLUMNS($V$1006:Z1006),$V$1006:$AE$1006,0))&gt;=100000), " ",IF(INDEX($V$2:$AE$1001,MATCH(ROWS($O$2:O74),$O$2:$O$1001,0),MATCH(COLUMNS($V$1006:Z1006),$V$1006:$AE$1006,0)), HYPERLINK("#",""), HYPERLINK(CONCATENATE("#Metadata!", ADDRESS(INDEX($Q$2:$Q$1001,MATCH(ROWS($O$2:O74),$O$2:$O$1001,0),0), INDEX($V$1004:$AE$1004,1,MATCH(COLUMNS($V$1006:Z1006),$V$1006:$AE$1006,0)))),"Fix")))</f>
        <v>0</v>
      </c>
      <c r="G74" s="4">
        <f>IF(OR(INDEX($P$2:$P$1001,MATCH(ROWS($O$2:O74),$O$2:$O$1001,0),1)&gt;=100000,INDEX($V$1005:$AE$1005,1,MATCH(COLUMNS($V$1006:AA1006),$V$1006:$AE$1006,0))&gt;=100000), " ",IF(INDEX($V$2:$AE$1001,MATCH(ROWS($O$2:O74),$O$2:$O$1001,0),MATCH(COLUMNS($V$1006:AA1006),$V$1006:$AE$1006,0)), HYPERLINK("#",""), HYPERLINK(CONCATENATE("#Metadata!", ADDRESS(INDEX($Q$2:$Q$1001,MATCH(ROWS($O$2:O74),$O$2:$O$1001,0),0), INDEX($V$1004:$AE$1004,1,MATCH(COLUMNS($V$1006:AA1006),$V$1006:$AE$1006,0)))),"Fix")))</f>
        <v>0</v>
      </c>
      <c r="H74" s="4">
        <f>IF(OR(INDEX($P$2:$P$1001,MATCH(ROWS($O$2:O74),$O$2:$O$1001,0),1)&gt;=100000,INDEX($V$1005:$AE$1005,1,MATCH(COLUMNS($V$1006:AB1006),$V$1006:$AE$1006,0))&gt;=100000), " ",IF(INDEX($V$2:$AE$1001,MATCH(ROWS($O$2:O74),$O$2:$O$1001,0),MATCH(COLUMNS($V$1006:AB1006),$V$1006:$AE$1006,0)), HYPERLINK("#",""), HYPERLINK(CONCATENATE("#Metadata!", ADDRESS(INDEX($Q$2:$Q$1001,MATCH(ROWS($O$2:O74),$O$2:$O$1001,0),0), INDEX($V$1004:$AE$1004,1,MATCH(COLUMNS($V$1006:AB1006),$V$1006:$AE$1006,0)))),"Fix")))</f>
        <v>0</v>
      </c>
      <c r="I74" s="4">
        <f>IF(OR(INDEX($P$2:$P$1001,MATCH(ROWS($O$2:O74),$O$2:$O$1001,0),1)&gt;=100000,INDEX($V$1005:$AE$1005,1,MATCH(COLUMNS($V$1006:AC1006),$V$1006:$AE$1006,0))&gt;=100000), " ",IF(INDEX($V$2:$AE$1001,MATCH(ROWS($O$2:O74),$O$2:$O$1001,0),MATCH(COLUMNS($V$1006:AC1006),$V$1006:$AE$1006,0)), HYPERLINK("#",""), HYPERLINK(CONCATENATE("#Metadata!", ADDRESS(INDEX($Q$2:$Q$1001,MATCH(ROWS($O$2:O74),$O$2:$O$1001,0),0), INDEX($V$1004:$AE$1004,1,MATCH(COLUMNS($V$1006:AC1006),$V$1006:$AE$1006,0)))),"Fix")))</f>
        <v>0</v>
      </c>
      <c r="J74" s="4">
        <f>IF(OR(INDEX($P$2:$P$1001,MATCH(ROWS($O$2:O74),$O$2:$O$1001,0),1)&gt;=100000,INDEX($V$1005:$AE$1005,1,MATCH(COLUMNS($V$1006:AD1006),$V$1006:$AE$1006,0))&gt;=100000), " ",IF(INDEX($V$2:$AE$1001,MATCH(ROWS($O$2:O74),$O$2:$O$1001,0),MATCH(COLUMNS($V$1006:AD1006),$V$1006:$AE$1006,0)), HYPERLINK("#",""), HYPERLINK(CONCATENATE("#Metadata!", ADDRESS(INDEX($Q$2:$Q$1001,MATCH(ROWS($O$2:O74),$O$2:$O$1001,0),0), INDEX($V$1004:$AE$1004,1,MATCH(COLUMNS($V$1006:AD1006),$V$1006:$AE$1006,0)))),"Fix")))</f>
        <v>0</v>
      </c>
      <c r="K74" s="4">
        <f>IF(OR(INDEX($P$2:$P$1001,MATCH(ROWS($O$2:O74),$O$2:$O$1001,0),1)&gt;=100000,INDEX($V$1005:$AE$1005,1,MATCH(COLUMNS($V$1006:AE1006),$V$1006:$AE$1006,0))&gt;=100000), " ",IF(INDEX($V$2:$AE$1001,MATCH(ROWS($O$2:O74),$O$2:$O$1001,0),MATCH(COLUMNS($V$1006:AE1006),$V$1006:$AE$1006,0)), HYPERLINK("#",""), HYPERLINK(CONCATENATE("#Metadata!", ADDRESS(INDEX($Q$2:$Q$1001,MATCH(ROWS($O$2:O74),$O$2:$O$1001,0),0), INDEX($V$1004:$AE$1004,1,MATCH(COLUMNS($V$1006:AE1006),$V$1006:$AE$1006,0)))),"Fix")))</f>
        <v>0</v>
      </c>
      <c r="O74">
        <v>0</v>
      </c>
      <c r="P74">
        <v>0</v>
      </c>
      <c r="Q74">
        <v>0</v>
      </c>
      <c r="R74">
        <f>IF(S74,TRUE,AND(V74:AE74))</f>
        <v>0</v>
      </c>
      <c r="S74">
        <f>COUNTBLANK(Metadata!B74:K74)=COLUMNS(Metadata!B74:K74)</f>
        <v>0</v>
      </c>
      <c r="T74">
        <v>0</v>
      </c>
      <c r="V74">
        <f>AND(IF(Metadata!B74="",FALSE,TRUE),COUNTIF(Metadata!B:B, Metadata!B74) = 1,NOT(ISERROR(SUMPRODUCT(SEARCH(MID(Metadata!B74,ROW(INDIRECT("1:"&amp;LEN(Metadata!B74))), 1),"0123456789abcdefghijklmnopqrstuvwxyzABCDEFGHIJKLMNOPQRSTUVWXYZ.")))))</f>
        <v>0</v>
      </c>
      <c r="W74">
        <f>AND(IF(Metadata!C74="",FALSE,TRUE),exact(Metadata!C74,"urban biome"))</f>
        <v>0</v>
      </c>
      <c r="X74">
        <f>AND(IF(Metadata!D74="",FALSE,TRUE),exact(Metadata!D74,"animal-associated habitat"))</f>
        <v>0</v>
      </c>
      <c r="Y74">
        <f>OR(AND(IF(Metadata!E74="",FALSE,TRUE),OR(exact(Metadata!E74,"not applicable"),exact(Metadata!E74,"missing: not collected"),exact(Metadata!E74,"missing: not provided"),exact(Metadata!E74,"missing: restricted access"))),AND(IF(Metadata!E74="",FALSE,ISNUMBER(VALUE(Metadata!E74))),Metadata!E74&gt;0))</f>
        <v>0</v>
      </c>
      <c r="Z74">
        <f>AND(IF(Metadata!F74="",FALSE,TRUE),exact(Metadata!F74,"weeks"))</f>
        <v>0</v>
      </c>
      <c r="AA74">
        <f>AND(IF(Metadata!G74="",FALSE,TRUE),exact(Metadata!G74,"mouse"))</f>
        <v>0</v>
      </c>
      <c r="AB74">
        <f>AND(IF(Metadata!H74="",FALSE,TRUE),exact(Metadata!H74,"Mus musculus"))</f>
        <v>0</v>
      </c>
      <c r="AC74">
        <f>AND(IF(Metadata!I74="",FALSE,TRUE),exact(Metadata!I74,"10090"))</f>
        <v>0</v>
      </c>
      <c r="AD74">
        <f>OR(AND(IF(Metadata!J74="",FALSE,TRUE),OR(exact(Metadata!J74,"not applicable"),exact(Metadata!J74,"missing: not collected"),exact(Metadata!J74,"missing: not provided"),exact(Metadata!J74,"missing: restricted access"))),AND(IF(Metadata!J74="",FALSE,ISNUMBER(VALUE(Metadata!J74))),Metadata!J74&gt;0))</f>
        <v>0</v>
      </c>
      <c r="AE74">
        <f>AND(IF(Metadata!K74="",FALSE,TRUE),exact(Metadata!K74,"g"))</f>
        <v>0</v>
      </c>
    </row>
    <row r="75" spans="1:31">
      <c r="A75" s="5">
        <f>IF(B75=" "," ",HYPERLINK(CONCATENATE("#metadata!",ADDRESS(INDEX($Q$2:$Q$1001,MATCH(ROWS($O$2:O75),$O$2:$O$1001,0),0),1)),INDEX($T$2:$T$1001,MATCH(ROWS($O$2:O75),$O$2:$O$1001,0),0)))</f>
        <v>0</v>
      </c>
      <c r="B75" s="4">
        <f>IF(OR(INDEX($P$2:$P$1001,MATCH(ROWS($O$2:O75),$O$2:$O$1001,0),1)&gt;=100000,INDEX($V$1005:$AE$1005,1,MATCH(COLUMNS($V$1006:V1006),$V$1006:$AE$1006,0))&gt;=100000), " ",IF(INDEX($V$2:$AE$1001,MATCH(ROWS($O$2:O75),$O$2:$O$1001,0),MATCH(COLUMNS($V$1006:V1006),$V$1006:$AE$1006,0)), HYPERLINK("#",""), HYPERLINK(CONCATENATE("#Metadata!", ADDRESS(INDEX($Q$2:$Q$1001,MATCH(ROWS($O$2:O75),$O$2:$O$1001,0),0), INDEX($V$1004:$AE$1004,1,MATCH(COLUMNS($V$1006:V1006),$V$1006:$AE$1006,0)))),"Fix")))</f>
        <v>0</v>
      </c>
      <c r="C75" s="4">
        <f>IF(OR(INDEX($P$2:$P$1001,MATCH(ROWS($O$2:O75),$O$2:$O$1001,0),1)&gt;=100000,INDEX($V$1005:$AE$1005,1,MATCH(COLUMNS($V$1006:W1006),$V$1006:$AE$1006,0))&gt;=100000), " ",IF(INDEX($V$2:$AE$1001,MATCH(ROWS($O$2:O75),$O$2:$O$1001,0),MATCH(COLUMNS($V$1006:W1006),$V$1006:$AE$1006,0)), HYPERLINK("#",""), HYPERLINK(CONCATENATE("#Metadata!", ADDRESS(INDEX($Q$2:$Q$1001,MATCH(ROWS($O$2:O75),$O$2:$O$1001,0),0), INDEX($V$1004:$AE$1004,1,MATCH(COLUMNS($V$1006:W1006),$V$1006:$AE$1006,0)))),"Fix")))</f>
        <v>0</v>
      </c>
      <c r="D75" s="4">
        <f>IF(OR(INDEX($P$2:$P$1001,MATCH(ROWS($O$2:O75),$O$2:$O$1001,0),1)&gt;=100000,INDEX($V$1005:$AE$1005,1,MATCH(COLUMNS($V$1006:X1006),$V$1006:$AE$1006,0))&gt;=100000), " ",IF(INDEX($V$2:$AE$1001,MATCH(ROWS($O$2:O75),$O$2:$O$1001,0),MATCH(COLUMNS($V$1006:X1006),$V$1006:$AE$1006,0)), HYPERLINK("#",""), HYPERLINK(CONCATENATE("#Metadata!", ADDRESS(INDEX($Q$2:$Q$1001,MATCH(ROWS($O$2:O75),$O$2:$O$1001,0),0), INDEX($V$1004:$AE$1004,1,MATCH(COLUMNS($V$1006:X1006),$V$1006:$AE$1006,0)))),"Fix")))</f>
        <v>0</v>
      </c>
      <c r="E75" s="4">
        <f>IF(OR(INDEX($P$2:$P$1001,MATCH(ROWS($O$2:O75),$O$2:$O$1001,0),1)&gt;=100000,INDEX($V$1005:$AE$1005,1,MATCH(COLUMNS($V$1006:Y1006),$V$1006:$AE$1006,0))&gt;=100000), " ",IF(INDEX($V$2:$AE$1001,MATCH(ROWS($O$2:O75),$O$2:$O$1001,0),MATCH(COLUMNS($V$1006:Y1006),$V$1006:$AE$1006,0)), HYPERLINK("#",""), HYPERLINK(CONCATENATE("#Metadata!", ADDRESS(INDEX($Q$2:$Q$1001,MATCH(ROWS($O$2:O75),$O$2:$O$1001,0),0), INDEX($V$1004:$AE$1004,1,MATCH(COLUMNS($V$1006:Y1006),$V$1006:$AE$1006,0)))),"Fix")))</f>
        <v>0</v>
      </c>
      <c r="F75" s="4">
        <f>IF(OR(INDEX($P$2:$P$1001,MATCH(ROWS($O$2:O75),$O$2:$O$1001,0),1)&gt;=100000,INDEX($V$1005:$AE$1005,1,MATCH(COLUMNS($V$1006:Z1006),$V$1006:$AE$1006,0))&gt;=100000), " ",IF(INDEX($V$2:$AE$1001,MATCH(ROWS($O$2:O75),$O$2:$O$1001,0),MATCH(COLUMNS($V$1006:Z1006),$V$1006:$AE$1006,0)), HYPERLINK("#",""), HYPERLINK(CONCATENATE("#Metadata!", ADDRESS(INDEX($Q$2:$Q$1001,MATCH(ROWS($O$2:O75),$O$2:$O$1001,0),0), INDEX($V$1004:$AE$1004,1,MATCH(COLUMNS($V$1006:Z1006),$V$1006:$AE$1006,0)))),"Fix")))</f>
        <v>0</v>
      </c>
      <c r="G75" s="4">
        <f>IF(OR(INDEX($P$2:$P$1001,MATCH(ROWS($O$2:O75),$O$2:$O$1001,0),1)&gt;=100000,INDEX($V$1005:$AE$1005,1,MATCH(COLUMNS($V$1006:AA1006),$V$1006:$AE$1006,0))&gt;=100000), " ",IF(INDEX($V$2:$AE$1001,MATCH(ROWS($O$2:O75),$O$2:$O$1001,0),MATCH(COLUMNS($V$1006:AA1006),$V$1006:$AE$1006,0)), HYPERLINK("#",""), HYPERLINK(CONCATENATE("#Metadata!", ADDRESS(INDEX($Q$2:$Q$1001,MATCH(ROWS($O$2:O75),$O$2:$O$1001,0),0), INDEX($V$1004:$AE$1004,1,MATCH(COLUMNS($V$1006:AA1006),$V$1006:$AE$1006,0)))),"Fix")))</f>
        <v>0</v>
      </c>
      <c r="H75" s="4">
        <f>IF(OR(INDEX($P$2:$P$1001,MATCH(ROWS($O$2:O75),$O$2:$O$1001,0),1)&gt;=100000,INDEX($V$1005:$AE$1005,1,MATCH(COLUMNS($V$1006:AB1006),$V$1006:$AE$1006,0))&gt;=100000), " ",IF(INDEX($V$2:$AE$1001,MATCH(ROWS($O$2:O75),$O$2:$O$1001,0),MATCH(COLUMNS($V$1006:AB1006),$V$1006:$AE$1006,0)), HYPERLINK("#",""), HYPERLINK(CONCATENATE("#Metadata!", ADDRESS(INDEX($Q$2:$Q$1001,MATCH(ROWS($O$2:O75),$O$2:$O$1001,0),0), INDEX($V$1004:$AE$1004,1,MATCH(COLUMNS($V$1006:AB1006),$V$1006:$AE$1006,0)))),"Fix")))</f>
        <v>0</v>
      </c>
      <c r="I75" s="4">
        <f>IF(OR(INDEX($P$2:$P$1001,MATCH(ROWS($O$2:O75),$O$2:$O$1001,0),1)&gt;=100000,INDEX($V$1005:$AE$1005,1,MATCH(COLUMNS($V$1006:AC1006),$V$1006:$AE$1006,0))&gt;=100000), " ",IF(INDEX($V$2:$AE$1001,MATCH(ROWS($O$2:O75),$O$2:$O$1001,0),MATCH(COLUMNS($V$1006:AC1006),$V$1006:$AE$1006,0)), HYPERLINK("#",""), HYPERLINK(CONCATENATE("#Metadata!", ADDRESS(INDEX($Q$2:$Q$1001,MATCH(ROWS($O$2:O75),$O$2:$O$1001,0),0), INDEX($V$1004:$AE$1004,1,MATCH(COLUMNS($V$1006:AC1006),$V$1006:$AE$1006,0)))),"Fix")))</f>
        <v>0</v>
      </c>
      <c r="J75" s="4">
        <f>IF(OR(INDEX($P$2:$P$1001,MATCH(ROWS($O$2:O75),$O$2:$O$1001,0),1)&gt;=100000,INDEX($V$1005:$AE$1005,1,MATCH(COLUMNS($V$1006:AD1006),$V$1006:$AE$1006,0))&gt;=100000), " ",IF(INDEX($V$2:$AE$1001,MATCH(ROWS($O$2:O75),$O$2:$O$1001,0),MATCH(COLUMNS($V$1006:AD1006),$V$1006:$AE$1006,0)), HYPERLINK("#",""), HYPERLINK(CONCATENATE("#Metadata!", ADDRESS(INDEX($Q$2:$Q$1001,MATCH(ROWS($O$2:O75),$O$2:$O$1001,0),0), INDEX($V$1004:$AE$1004,1,MATCH(COLUMNS($V$1006:AD1006),$V$1006:$AE$1006,0)))),"Fix")))</f>
        <v>0</v>
      </c>
      <c r="K75" s="4">
        <f>IF(OR(INDEX($P$2:$P$1001,MATCH(ROWS($O$2:O75),$O$2:$O$1001,0),1)&gt;=100000,INDEX($V$1005:$AE$1005,1,MATCH(COLUMNS($V$1006:AE1006),$V$1006:$AE$1006,0))&gt;=100000), " ",IF(INDEX($V$2:$AE$1001,MATCH(ROWS($O$2:O75),$O$2:$O$1001,0),MATCH(COLUMNS($V$1006:AE1006),$V$1006:$AE$1006,0)), HYPERLINK("#",""), HYPERLINK(CONCATENATE("#Metadata!", ADDRESS(INDEX($Q$2:$Q$1001,MATCH(ROWS($O$2:O75),$O$2:$O$1001,0),0), INDEX($V$1004:$AE$1004,1,MATCH(COLUMNS($V$1006:AE1006),$V$1006:$AE$1006,0)))),"Fix")))</f>
        <v>0</v>
      </c>
      <c r="O75">
        <v>0</v>
      </c>
      <c r="P75">
        <v>0</v>
      </c>
      <c r="Q75">
        <v>0</v>
      </c>
      <c r="R75">
        <f>IF(S75,TRUE,AND(V75:AE75))</f>
        <v>0</v>
      </c>
      <c r="S75">
        <f>COUNTBLANK(Metadata!B75:K75)=COLUMNS(Metadata!B75:K75)</f>
        <v>0</v>
      </c>
      <c r="T75">
        <v>0</v>
      </c>
      <c r="V75">
        <f>AND(IF(Metadata!B75="",FALSE,TRUE),COUNTIF(Metadata!B:B, Metadata!B75) = 1,NOT(ISERROR(SUMPRODUCT(SEARCH(MID(Metadata!B75,ROW(INDIRECT("1:"&amp;LEN(Metadata!B75))), 1),"0123456789abcdefghijklmnopqrstuvwxyzABCDEFGHIJKLMNOPQRSTUVWXYZ.")))))</f>
        <v>0</v>
      </c>
      <c r="W75">
        <f>AND(IF(Metadata!C75="",FALSE,TRUE),exact(Metadata!C75,"urban biome"))</f>
        <v>0</v>
      </c>
      <c r="X75">
        <f>AND(IF(Metadata!D75="",FALSE,TRUE),exact(Metadata!D75,"animal-associated habitat"))</f>
        <v>0</v>
      </c>
      <c r="Y75">
        <f>OR(AND(IF(Metadata!E75="",FALSE,TRUE),OR(exact(Metadata!E75,"not applicable"),exact(Metadata!E75,"missing: not collected"),exact(Metadata!E75,"missing: not provided"),exact(Metadata!E75,"missing: restricted access"))),AND(IF(Metadata!E75="",FALSE,ISNUMBER(VALUE(Metadata!E75))),Metadata!E75&gt;0))</f>
        <v>0</v>
      </c>
      <c r="Z75">
        <f>AND(IF(Metadata!F75="",FALSE,TRUE),exact(Metadata!F75,"weeks"))</f>
        <v>0</v>
      </c>
      <c r="AA75">
        <f>AND(IF(Metadata!G75="",FALSE,TRUE),exact(Metadata!G75,"mouse"))</f>
        <v>0</v>
      </c>
      <c r="AB75">
        <f>AND(IF(Metadata!H75="",FALSE,TRUE),exact(Metadata!H75,"Mus musculus"))</f>
        <v>0</v>
      </c>
      <c r="AC75">
        <f>AND(IF(Metadata!I75="",FALSE,TRUE),exact(Metadata!I75,"10090"))</f>
        <v>0</v>
      </c>
      <c r="AD75">
        <f>OR(AND(IF(Metadata!J75="",FALSE,TRUE),OR(exact(Metadata!J75,"not applicable"),exact(Metadata!J75,"missing: not collected"),exact(Metadata!J75,"missing: not provided"),exact(Metadata!J75,"missing: restricted access"))),AND(IF(Metadata!J75="",FALSE,ISNUMBER(VALUE(Metadata!J75))),Metadata!J75&gt;0))</f>
        <v>0</v>
      </c>
      <c r="AE75">
        <f>AND(IF(Metadata!K75="",FALSE,TRUE),exact(Metadata!K75,"g"))</f>
        <v>0</v>
      </c>
    </row>
    <row r="76" spans="1:31">
      <c r="A76" s="5">
        <f>IF(B76=" "," ",HYPERLINK(CONCATENATE("#metadata!",ADDRESS(INDEX($Q$2:$Q$1001,MATCH(ROWS($O$2:O76),$O$2:$O$1001,0),0),1)),INDEX($T$2:$T$1001,MATCH(ROWS($O$2:O76),$O$2:$O$1001,0),0)))</f>
        <v>0</v>
      </c>
      <c r="B76" s="4">
        <f>IF(OR(INDEX($P$2:$P$1001,MATCH(ROWS($O$2:O76),$O$2:$O$1001,0),1)&gt;=100000,INDEX($V$1005:$AE$1005,1,MATCH(COLUMNS($V$1006:V1006),$V$1006:$AE$1006,0))&gt;=100000), " ",IF(INDEX($V$2:$AE$1001,MATCH(ROWS($O$2:O76),$O$2:$O$1001,0),MATCH(COLUMNS($V$1006:V1006),$V$1006:$AE$1006,0)), HYPERLINK("#",""), HYPERLINK(CONCATENATE("#Metadata!", ADDRESS(INDEX($Q$2:$Q$1001,MATCH(ROWS($O$2:O76),$O$2:$O$1001,0),0), INDEX($V$1004:$AE$1004,1,MATCH(COLUMNS($V$1006:V1006),$V$1006:$AE$1006,0)))),"Fix")))</f>
        <v>0</v>
      </c>
      <c r="C76" s="4">
        <f>IF(OR(INDEX($P$2:$P$1001,MATCH(ROWS($O$2:O76),$O$2:$O$1001,0),1)&gt;=100000,INDEX($V$1005:$AE$1005,1,MATCH(COLUMNS($V$1006:W1006),$V$1006:$AE$1006,0))&gt;=100000), " ",IF(INDEX($V$2:$AE$1001,MATCH(ROWS($O$2:O76),$O$2:$O$1001,0),MATCH(COLUMNS($V$1006:W1006),$V$1006:$AE$1006,0)), HYPERLINK("#",""), HYPERLINK(CONCATENATE("#Metadata!", ADDRESS(INDEX($Q$2:$Q$1001,MATCH(ROWS($O$2:O76),$O$2:$O$1001,0),0), INDEX($V$1004:$AE$1004,1,MATCH(COLUMNS($V$1006:W1006),$V$1006:$AE$1006,0)))),"Fix")))</f>
        <v>0</v>
      </c>
      <c r="D76" s="4">
        <f>IF(OR(INDEX($P$2:$P$1001,MATCH(ROWS($O$2:O76),$O$2:$O$1001,0),1)&gt;=100000,INDEX($V$1005:$AE$1005,1,MATCH(COLUMNS($V$1006:X1006),$V$1006:$AE$1006,0))&gt;=100000), " ",IF(INDEX($V$2:$AE$1001,MATCH(ROWS($O$2:O76),$O$2:$O$1001,0),MATCH(COLUMNS($V$1006:X1006),$V$1006:$AE$1006,0)), HYPERLINK("#",""), HYPERLINK(CONCATENATE("#Metadata!", ADDRESS(INDEX($Q$2:$Q$1001,MATCH(ROWS($O$2:O76),$O$2:$O$1001,0),0), INDEX($V$1004:$AE$1004,1,MATCH(COLUMNS($V$1006:X1006),$V$1006:$AE$1006,0)))),"Fix")))</f>
        <v>0</v>
      </c>
      <c r="E76" s="4">
        <f>IF(OR(INDEX($P$2:$P$1001,MATCH(ROWS($O$2:O76),$O$2:$O$1001,0),1)&gt;=100000,INDEX($V$1005:$AE$1005,1,MATCH(COLUMNS($V$1006:Y1006),$V$1006:$AE$1006,0))&gt;=100000), " ",IF(INDEX($V$2:$AE$1001,MATCH(ROWS($O$2:O76),$O$2:$O$1001,0),MATCH(COLUMNS($V$1006:Y1006),$V$1006:$AE$1006,0)), HYPERLINK("#",""), HYPERLINK(CONCATENATE("#Metadata!", ADDRESS(INDEX($Q$2:$Q$1001,MATCH(ROWS($O$2:O76),$O$2:$O$1001,0),0), INDEX($V$1004:$AE$1004,1,MATCH(COLUMNS($V$1006:Y1006),$V$1006:$AE$1006,0)))),"Fix")))</f>
        <v>0</v>
      </c>
      <c r="F76" s="4">
        <f>IF(OR(INDEX($P$2:$P$1001,MATCH(ROWS($O$2:O76),$O$2:$O$1001,0),1)&gt;=100000,INDEX($V$1005:$AE$1005,1,MATCH(COLUMNS($V$1006:Z1006),$V$1006:$AE$1006,0))&gt;=100000), " ",IF(INDEX($V$2:$AE$1001,MATCH(ROWS($O$2:O76),$O$2:$O$1001,0),MATCH(COLUMNS($V$1006:Z1006),$V$1006:$AE$1006,0)), HYPERLINK("#",""), HYPERLINK(CONCATENATE("#Metadata!", ADDRESS(INDEX($Q$2:$Q$1001,MATCH(ROWS($O$2:O76),$O$2:$O$1001,0),0), INDEX($V$1004:$AE$1004,1,MATCH(COLUMNS($V$1006:Z1006),$V$1006:$AE$1006,0)))),"Fix")))</f>
        <v>0</v>
      </c>
      <c r="G76" s="4">
        <f>IF(OR(INDEX($P$2:$P$1001,MATCH(ROWS($O$2:O76),$O$2:$O$1001,0),1)&gt;=100000,INDEX($V$1005:$AE$1005,1,MATCH(COLUMNS($V$1006:AA1006),$V$1006:$AE$1006,0))&gt;=100000), " ",IF(INDEX($V$2:$AE$1001,MATCH(ROWS($O$2:O76),$O$2:$O$1001,0),MATCH(COLUMNS($V$1006:AA1006),$V$1006:$AE$1006,0)), HYPERLINK("#",""), HYPERLINK(CONCATENATE("#Metadata!", ADDRESS(INDEX($Q$2:$Q$1001,MATCH(ROWS($O$2:O76),$O$2:$O$1001,0),0), INDEX($V$1004:$AE$1004,1,MATCH(COLUMNS($V$1006:AA1006),$V$1006:$AE$1006,0)))),"Fix")))</f>
        <v>0</v>
      </c>
      <c r="H76" s="4">
        <f>IF(OR(INDEX($P$2:$P$1001,MATCH(ROWS($O$2:O76),$O$2:$O$1001,0),1)&gt;=100000,INDEX($V$1005:$AE$1005,1,MATCH(COLUMNS($V$1006:AB1006),$V$1006:$AE$1006,0))&gt;=100000), " ",IF(INDEX($V$2:$AE$1001,MATCH(ROWS($O$2:O76),$O$2:$O$1001,0),MATCH(COLUMNS($V$1006:AB1006),$V$1006:$AE$1006,0)), HYPERLINK("#",""), HYPERLINK(CONCATENATE("#Metadata!", ADDRESS(INDEX($Q$2:$Q$1001,MATCH(ROWS($O$2:O76),$O$2:$O$1001,0),0), INDEX($V$1004:$AE$1004,1,MATCH(COLUMNS($V$1006:AB1006),$V$1006:$AE$1006,0)))),"Fix")))</f>
        <v>0</v>
      </c>
      <c r="I76" s="4">
        <f>IF(OR(INDEX($P$2:$P$1001,MATCH(ROWS($O$2:O76),$O$2:$O$1001,0),1)&gt;=100000,INDEX($V$1005:$AE$1005,1,MATCH(COLUMNS($V$1006:AC1006),$V$1006:$AE$1006,0))&gt;=100000), " ",IF(INDEX($V$2:$AE$1001,MATCH(ROWS($O$2:O76),$O$2:$O$1001,0),MATCH(COLUMNS($V$1006:AC1006),$V$1006:$AE$1006,0)), HYPERLINK("#",""), HYPERLINK(CONCATENATE("#Metadata!", ADDRESS(INDEX($Q$2:$Q$1001,MATCH(ROWS($O$2:O76),$O$2:$O$1001,0),0), INDEX($V$1004:$AE$1004,1,MATCH(COLUMNS($V$1006:AC1006),$V$1006:$AE$1006,0)))),"Fix")))</f>
        <v>0</v>
      </c>
      <c r="J76" s="4">
        <f>IF(OR(INDEX($P$2:$P$1001,MATCH(ROWS($O$2:O76),$O$2:$O$1001,0),1)&gt;=100000,INDEX($V$1005:$AE$1005,1,MATCH(COLUMNS($V$1006:AD1006),$V$1006:$AE$1006,0))&gt;=100000), " ",IF(INDEX($V$2:$AE$1001,MATCH(ROWS($O$2:O76),$O$2:$O$1001,0),MATCH(COLUMNS($V$1006:AD1006),$V$1006:$AE$1006,0)), HYPERLINK("#",""), HYPERLINK(CONCATENATE("#Metadata!", ADDRESS(INDEX($Q$2:$Q$1001,MATCH(ROWS($O$2:O76),$O$2:$O$1001,0),0), INDEX($V$1004:$AE$1004,1,MATCH(COLUMNS($V$1006:AD1006),$V$1006:$AE$1006,0)))),"Fix")))</f>
        <v>0</v>
      </c>
      <c r="K76" s="4">
        <f>IF(OR(INDEX($P$2:$P$1001,MATCH(ROWS($O$2:O76),$O$2:$O$1001,0),1)&gt;=100000,INDEX($V$1005:$AE$1005,1,MATCH(COLUMNS($V$1006:AE1006),$V$1006:$AE$1006,0))&gt;=100000), " ",IF(INDEX($V$2:$AE$1001,MATCH(ROWS($O$2:O76),$O$2:$O$1001,0),MATCH(COLUMNS($V$1006:AE1006),$V$1006:$AE$1006,0)), HYPERLINK("#",""), HYPERLINK(CONCATENATE("#Metadata!", ADDRESS(INDEX($Q$2:$Q$1001,MATCH(ROWS($O$2:O76),$O$2:$O$1001,0),0), INDEX($V$1004:$AE$1004,1,MATCH(COLUMNS($V$1006:AE1006),$V$1006:$AE$1006,0)))),"Fix")))</f>
        <v>0</v>
      </c>
      <c r="O76">
        <v>0</v>
      </c>
      <c r="P76">
        <v>0</v>
      </c>
      <c r="Q76">
        <v>0</v>
      </c>
      <c r="R76">
        <f>IF(S76,TRUE,AND(V76:AE76))</f>
        <v>0</v>
      </c>
      <c r="S76">
        <f>COUNTBLANK(Metadata!B76:K76)=COLUMNS(Metadata!B76:K76)</f>
        <v>0</v>
      </c>
      <c r="T76">
        <v>0</v>
      </c>
      <c r="V76">
        <f>AND(IF(Metadata!B76="",FALSE,TRUE),COUNTIF(Metadata!B:B, Metadata!B76) = 1,NOT(ISERROR(SUMPRODUCT(SEARCH(MID(Metadata!B76,ROW(INDIRECT("1:"&amp;LEN(Metadata!B76))), 1),"0123456789abcdefghijklmnopqrstuvwxyzABCDEFGHIJKLMNOPQRSTUVWXYZ.")))))</f>
        <v>0</v>
      </c>
      <c r="W76">
        <f>AND(IF(Metadata!C76="",FALSE,TRUE),exact(Metadata!C76,"urban biome"))</f>
        <v>0</v>
      </c>
      <c r="X76">
        <f>AND(IF(Metadata!D76="",FALSE,TRUE),exact(Metadata!D76,"animal-associated habitat"))</f>
        <v>0</v>
      </c>
      <c r="Y76">
        <f>OR(AND(IF(Metadata!E76="",FALSE,TRUE),OR(exact(Metadata!E76,"not applicable"),exact(Metadata!E76,"missing: not collected"),exact(Metadata!E76,"missing: not provided"),exact(Metadata!E76,"missing: restricted access"))),AND(IF(Metadata!E76="",FALSE,ISNUMBER(VALUE(Metadata!E76))),Metadata!E76&gt;0))</f>
        <v>0</v>
      </c>
      <c r="Z76">
        <f>AND(IF(Metadata!F76="",FALSE,TRUE),exact(Metadata!F76,"weeks"))</f>
        <v>0</v>
      </c>
      <c r="AA76">
        <f>AND(IF(Metadata!G76="",FALSE,TRUE),exact(Metadata!G76,"mouse"))</f>
        <v>0</v>
      </c>
      <c r="AB76">
        <f>AND(IF(Metadata!H76="",FALSE,TRUE),exact(Metadata!H76,"Mus musculus"))</f>
        <v>0</v>
      </c>
      <c r="AC76">
        <f>AND(IF(Metadata!I76="",FALSE,TRUE),exact(Metadata!I76,"10090"))</f>
        <v>0</v>
      </c>
      <c r="AD76">
        <f>OR(AND(IF(Metadata!J76="",FALSE,TRUE),OR(exact(Metadata!J76,"not applicable"),exact(Metadata!J76,"missing: not collected"),exact(Metadata!J76,"missing: not provided"),exact(Metadata!J76,"missing: restricted access"))),AND(IF(Metadata!J76="",FALSE,ISNUMBER(VALUE(Metadata!J76))),Metadata!J76&gt;0))</f>
        <v>0</v>
      </c>
      <c r="AE76">
        <f>AND(IF(Metadata!K76="",FALSE,TRUE),exact(Metadata!K76,"g"))</f>
        <v>0</v>
      </c>
    </row>
    <row r="77" spans="1:31">
      <c r="A77" s="5">
        <f>IF(B77=" "," ",HYPERLINK(CONCATENATE("#metadata!",ADDRESS(INDEX($Q$2:$Q$1001,MATCH(ROWS($O$2:O77),$O$2:$O$1001,0),0),1)),INDEX($T$2:$T$1001,MATCH(ROWS($O$2:O77),$O$2:$O$1001,0),0)))</f>
        <v>0</v>
      </c>
      <c r="B77" s="4">
        <f>IF(OR(INDEX($P$2:$P$1001,MATCH(ROWS($O$2:O77),$O$2:$O$1001,0),1)&gt;=100000,INDEX($V$1005:$AE$1005,1,MATCH(COLUMNS($V$1006:V1006),$V$1006:$AE$1006,0))&gt;=100000), " ",IF(INDEX($V$2:$AE$1001,MATCH(ROWS($O$2:O77),$O$2:$O$1001,0),MATCH(COLUMNS($V$1006:V1006),$V$1006:$AE$1006,0)), HYPERLINK("#",""), HYPERLINK(CONCATENATE("#Metadata!", ADDRESS(INDEX($Q$2:$Q$1001,MATCH(ROWS($O$2:O77),$O$2:$O$1001,0),0), INDEX($V$1004:$AE$1004,1,MATCH(COLUMNS($V$1006:V1006),$V$1006:$AE$1006,0)))),"Fix")))</f>
        <v>0</v>
      </c>
      <c r="C77" s="4">
        <f>IF(OR(INDEX($P$2:$P$1001,MATCH(ROWS($O$2:O77),$O$2:$O$1001,0),1)&gt;=100000,INDEX($V$1005:$AE$1005,1,MATCH(COLUMNS($V$1006:W1006),$V$1006:$AE$1006,0))&gt;=100000), " ",IF(INDEX($V$2:$AE$1001,MATCH(ROWS($O$2:O77),$O$2:$O$1001,0),MATCH(COLUMNS($V$1006:W1006),$V$1006:$AE$1006,0)), HYPERLINK("#",""), HYPERLINK(CONCATENATE("#Metadata!", ADDRESS(INDEX($Q$2:$Q$1001,MATCH(ROWS($O$2:O77),$O$2:$O$1001,0),0), INDEX($V$1004:$AE$1004,1,MATCH(COLUMNS($V$1006:W1006),$V$1006:$AE$1006,0)))),"Fix")))</f>
        <v>0</v>
      </c>
      <c r="D77" s="4">
        <f>IF(OR(INDEX($P$2:$P$1001,MATCH(ROWS($O$2:O77),$O$2:$O$1001,0),1)&gt;=100000,INDEX($V$1005:$AE$1005,1,MATCH(COLUMNS($V$1006:X1006),$V$1006:$AE$1006,0))&gt;=100000), " ",IF(INDEX($V$2:$AE$1001,MATCH(ROWS($O$2:O77),$O$2:$O$1001,0),MATCH(COLUMNS($V$1006:X1006),$V$1006:$AE$1006,0)), HYPERLINK("#",""), HYPERLINK(CONCATENATE("#Metadata!", ADDRESS(INDEX($Q$2:$Q$1001,MATCH(ROWS($O$2:O77),$O$2:$O$1001,0),0), INDEX($V$1004:$AE$1004,1,MATCH(COLUMNS($V$1006:X1006),$V$1006:$AE$1006,0)))),"Fix")))</f>
        <v>0</v>
      </c>
      <c r="E77" s="4">
        <f>IF(OR(INDEX($P$2:$P$1001,MATCH(ROWS($O$2:O77),$O$2:$O$1001,0),1)&gt;=100000,INDEX($V$1005:$AE$1005,1,MATCH(COLUMNS($V$1006:Y1006),$V$1006:$AE$1006,0))&gt;=100000), " ",IF(INDEX($V$2:$AE$1001,MATCH(ROWS($O$2:O77),$O$2:$O$1001,0),MATCH(COLUMNS($V$1006:Y1006),$V$1006:$AE$1006,0)), HYPERLINK("#",""), HYPERLINK(CONCATENATE("#Metadata!", ADDRESS(INDEX($Q$2:$Q$1001,MATCH(ROWS($O$2:O77),$O$2:$O$1001,0),0), INDEX($V$1004:$AE$1004,1,MATCH(COLUMNS($V$1006:Y1006),$V$1006:$AE$1006,0)))),"Fix")))</f>
        <v>0</v>
      </c>
      <c r="F77" s="4">
        <f>IF(OR(INDEX($P$2:$P$1001,MATCH(ROWS($O$2:O77),$O$2:$O$1001,0),1)&gt;=100000,INDEX($V$1005:$AE$1005,1,MATCH(COLUMNS($V$1006:Z1006),$V$1006:$AE$1006,0))&gt;=100000), " ",IF(INDEX($V$2:$AE$1001,MATCH(ROWS($O$2:O77),$O$2:$O$1001,0),MATCH(COLUMNS($V$1006:Z1006),$V$1006:$AE$1006,0)), HYPERLINK("#",""), HYPERLINK(CONCATENATE("#Metadata!", ADDRESS(INDEX($Q$2:$Q$1001,MATCH(ROWS($O$2:O77),$O$2:$O$1001,0),0), INDEX($V$1004:$AE$1004,1,MATCH(COLUMNS($V$1006:Z1006),$V$1006:$AE$1006,0)))),"Fix")))</f>
        <v>0</v>
      </c>
      <c r="G77" s="4">
        <f>IF(OR(INDEX($P$2:$P$1001,MATCH(ROWS($O$2:O77),$O$2:$O$1001,0),1)&gt;=100000,INDEX($V$1005:$AE$1005,1,MATCH(COLUMNS($V$1006:AA1006),$V$1006:$AE$1006,0))&gt;=100000), " ",IF(INDEX($V$2:$AE$1001,MATCH(ROWS($O$2:O77),$O$2:$O$1001,0),MATCH(COLUMNS($V$1006:AA1006),$V$1006:$AE$1006,0)), HYPERLINK("#",""), HYPERLINK(CONCATENATE("#Metadata!", ADDRESS(INDEX($Q$2:$Q$1001,MATCH(ROWS($O$2:O77),$O$2:$O$1001,0),0), INDEX($V$1004:$AE$1004,1,MATCH(COLUMNS($V$1006:AA1006),$V$1006:$AE$1006,0)))),"Fix")))</f>
        <v>0</v>
      </c>
      <c r="H77" s="4">
        <f>IF(OR(INDEX($P$2:$P$1001,MATCH(ROWS($O$2:O77),$O$2:$O$1001,0),1)&gt;=100000,INDEX($V$1005:$AE$1005,1,MATCH(COLUMNS($V$1006:AB1006),$V$1006:$AE$1006,0))&gt;=100000), " ",IF(INDEX($V$2:$AE$1001,MATCH(ROWS($O$2:O77),$O$2:$O$1001,0),MATCH(COLUMNS($V$1006:AB1006),$V$1006:$AE$1006,0)), HYPERLINK("#",""), HYPERLINK(CONCATENATE("#Metadata!", ADDRESS(INDEX($Q$2:$Q$1001,MATCH(ROWS($O$2:O77),$O$2:$O$1001,0),0), INDEX($V$1004:$AE$1004,1,MATCH(COLUMNS($V$1006:AB1006),$V$1006:$AE$1006,0)))),"Fix")))</f>
        <v>0</v>
      </c>
      <c r="I77" s="4">
        <f>IF(OR(INDEX($P$2:$P$1001,MATCH(ROWS($O$2:O77),$O$2:$O$1001,0),1)&gt;=100000,INDEX($V$1005:$AE$1005,1,MATCH(COLUMNS($V$1006:AC1006),$V$1006:$AE$1006,0))&gt;=100000), " ",IF(INDEX($V$2:$AE$1001,MATCH(ROWS($O$2:O77),$O$2:$O$1001,0),MATCH(COLUMNS($V$1006:AC1006),$V$1006:$AE$1006,0)), HYPERLINK("#",""), HYPERLINK(CONCATENATE("#Metadata!", ADDRESS(INDEX($Q$2:$Q$1001,MATCH(ROWS($O$2:O77),$O$2:$O$1001,0),0), INDEX($V$1004:$AE$1004,1,MATCH(COLUMNS($V$1006:AC1006),$V$1006:$AE$1006,0)))),"Fix")))</f>
        <v>0</v>
      </c>
      <c r="J77" s="4">
        <f>IF(OR(INDEX($P$2:$P$1001,MATCH(ROWS($O$2:O77),$O$2:$O$1001,0),1)&gt;=100000,INDEX($V$1005:$AE$1005,1,MATCH(COLUMNS($V$1006:AD1006),$V$1006:$AE$1006,0))&gt;=100000), " ",IF(INDEX($V$2:$AE$1001,MATCH(ROWS($O$2:O77),$O$2:$O$1001,0),MATCH(COLUMNS($V$1006:AD1006),$V$1006:$AE$1006,0)), HYPERLINK("#",""), HYPERLINK(CONCATENATE("#Metadata!", ADDRESS(INDEX($Q$2:$Q$1001,MATCH(ROWS($O$2:O77),$O$2:$O$1001,0),0), INDEX($V$1004:$AE$1004,1,MATCH(COLUMNS($V$1006:AD1006),$V$1006:$AE$1006,0)))),"Fix")))</f>
        <v>0</v>
      </c>
      <c r="K77" s="4">
        <f>IF(OR(INDEX($P$2:$P$1001,MATCH(ROWS($O$2:O77),$O$2:$O$1001,0),1)&gt;=100000,INDEX($V$1005:$AE$1005,1,MATCH(COLUMNS($V$1006:AE1006),$V$1006:$AE$1006,0))&gt;=100000), " ",IF(INDEX($V$2:$AE$1001,MATCH(ROWS($O$2:O77),$O$2:$O$1001,0),MATCH(COLUMNS($V$1006:AE1006),$V$1006:$AE$1006,0)), HYPERLINK("#",""), HYPERLINK(CONCATENATE("#Metadata!", ADDRESS(INDEX($Q$2:$Q$1001,MATCH(ROWS($O$2:O77),$O$2:$O$1001,0),0), INDEX($V$1004:$AE$1004,1,MATCH(COLUMNS($V$1006:AE1006),$V$1006:$AE$1006,0)))),"Fix")))</f>
        <v>0</v>
      </c>
      <c r="O77">
        <v>0</v>
      </c>
      <c r="P77">
        <v>0</v>
      </c>
      <c r="Q77">
        <v>0</v>
      </c>
      <c r="R77">
        <f>IF(S77,TRUE,AND(V77:AE77))</f>
        <v>0</v>
      </c>
      <c r="S77">
        <f>COUNTBLANK(Metadata!B77:K77)=COLUMNS(Metadata!B77:K77)</f>
        <v>0</v>
      </c>
      <c r="T77">
        <v>0</v>
      </c>
      <c r="V77">
        <f>AND(IF(Metadata!B77="",FALSE,TRUE),COUNTIF(Metadata!B:B, Metadata!B77) = 1,NOT(ISERROR(SUMPRODUCT(SEARCH(MID(Metadata!B77,ROW(INDIRECT("1:"&amp;LEN(Metadata!B77))), 1),"0123456789abcdefghijklmnopqrstuvwxyzABCDEFGHIJKLMNOPQRSTUVWXYZ.")))))</f>
        <v>0</v>
      </c>
      <c r="W77">
        <f>AND(IF(Metadata!C77="",FALSE,TRUE),exact(Metadata!C77,"urban biome"))</f>
        <v>0</v>
      </c>
      <c r="X77">
        <f>AND(IF(Metadata!D77="",FALSE,TRUE),exact(Metadata!D77,"animal-associated habitat"))</f>
        <v>0</v>
      </c>
      <c r="Y77">
        <f>OR(AND(IF(Metadata!E77="",FALSE,TRUE),OR(exact(Metadata!E77,"not applicable"),exact(Metadata!E77,"missing: not collected"),exact(Metadata!E77,"missing: not provided"),exact(Metadata!E77,"missing: restricted access"))),AND(IF(Metadata!E77="",FALSE,ISNUMBER(VALUE(Metadata!E77))),Metadata!E77&gt;0))</f>
        <v>0</v>
      </c>
      <c r="Z77">
        <f>AND(IF(Metadata!F77="",FALSE,TRUE),exact(Metadata!F77,"weeks"))</f>
        <v>0</v>
      </c>
      <c r="AA77">
        <f>AND(IF(Metadata!G77="",FALSE,TRUE),exact(Metadata!G77,"mouse"))</f>
        <v>0</v>
      </c>
      <c r="AB77">
        <f>AND(IF(Metadata!H77="",FALSE,TRUE),exact(Metadata!H77,"Mus musculus"))</f>
        <v>0</v>
      </c>
      <c r="AC77">
        <f>AND(IF(Metadata!I77="",FALSE,TRUE),exact(Metadata!I77,"10090"))</f>
        <v>0</v>
      </c>
      <c r="AD77">
        <f>OR(AND(IF(Metadata!J77="",FALSE,TRUE),OR(exact(Metadata!J77,"not applicable"),exact(Metadata!J77,"missing: not collected"),exact(Metadata!J77,"missing: not provided"),exact(Metadata!J77,"missing: restricted access"))),AND(IF(Metadata!J77="",FALSE,ISNUMBER(VALUE(Metadata!J77))),Metadata!J77&gt;0))</f>
        <v>0</v>
      </c>
      <c r="AE77">
        <f>AND(IF(Metadata!K77="",FALSE,TRUE),exact(Metadata!K77,"g"))</f>
        <v>0</v>
      </c>
    </row>
    <row r="78" spans="1:31">
      <c r="A78" s="5">
        <f>IF(B78=" "," ",HYPERLINK(CONCATENATE("#metadata!",ADDRESS(INDEX($Q$2:$Q$1001,MATCH(ROWS($O$2:O78),$O$2:$O$1001,0),0),1)),INDEX($T$2:$T$1001,MATCH(ROWS($O$2:O78),$O$2:$O$1001,0),0)))</f>
        <v>0</v>
      </c>
      <c r="B78" s="4">
        <f>IF(OR(INDEX($P$2:$P$1001,MATCH(ROWS($O$2:O78),$O$2:$O$1001,0),1)&gt;=100000,INDEX($V$1005:$AE$1005,1,MATCH(COLUMNS($V$1006:V1006),$V$1006:$AE$1006,0))&gt;=100000), " ",IF(INDEX($V$2:$AE$1001,MATCH(ROWS($O$2:O78),$O$2:$O$1001,0),MATCH(COLUMNS($V$1006:V1006),$V$1006:$AE$1006,0)), HYPERLINK("#",""), HYPERLINK(CONCATENATE("#Metadata!", ADDRESS(INDEX($Q$2:$Q$1001,MATCH(ROWS($O$2:O78),$O$2:$O$1001,0),0), INDEX($V$1004:$AE$1004,1,MATCH(COLUMNS($V$1006:V1006),$V$1006:$AE$1006,0)))),"Fix")))</f>
        <v>0</v>
      </c>
      <c r="C78" s="4">
        <f>IF(OR(INDEX($P$2:$P$1001,MATCH(ROWS($O$2:O78),$O$2:$O$1001,0),1)&gt;=100000,INDEX($V$1005:$AE$1005,1,MATCH(COLUMNS($V$1006:W1006),$V$1006:$AE$1006,0))&gt;=100000), " ",IF(INDEX($V$2:$AE$1001,MATCH(ROWS($O$2:O78),$O$2:$O$1001,0),MATCH(COLUMNS($V$1006:W1006),$V$1006:$AE$1006,0)), HYPERLINK("#",""), HYPERLINK(CONCATENATE("#Metadata!", ADDRESS(INDEX($Q$2:$Q$1001,MATCH(ROWS($O$2:O78),$O$2:$O$1001,0),0), INDEX($V$1004:$AE$1004,1,MATCH(COLUMNS($V$1006:W1006),$V$1006:$AE$1006,0)))),"Fix")))</f>
        <v>0</v>
      </c>
      <c r="D78" s="4">
        <f>IF(OR(INDEX($P$2:$P$1001,MATCH(ROWS($O$2:O78),$O$2:$O$1001,0),1)&gt;=100000,INDEX($V$1005:$AE$1005,1,MATCH(COLUMNS($V$1006:X1006),$V$1006:$AE$1006,0))&gt;=100000), " ",IF(INDEX($V$2:$AE$1001,MATCH(ROWS($O$2:O78),$O$2:$O$1001,0),MATCH(COLUMNS($V$1006:X1006),$V$1006:$AE$1006,0)), HYPERLINK("#",""), HYPERLINK(CONCATENATE("#Metadata!", ADDRESS(INDEX($Q$2:$Q$1001,MATCH(ROWS($O$2:O78),$O$2:$O$1001,0),0), INDEX($V$1004:$AE$1004,1,MATCH(COLUMNS($V$1006:X1006),$V$1006:$AE$1006,0)))),"Fix")))</f>
        <v>0</v>
      </c>
      <c r="E78" s="4">
        <f>IF(OR(INDEX($P$2:$P$1001,MATCH(ROWS($O$2:O78),$O$2:$O$1001,0),1)&gt;=100000,INDEX($V$1005:$AE$1005,1,MATCH(COLUMNS($V$1006:Y1006),$V$1006:$AE$1006,0))&gt;=100000), " ",IF(INDEX($V$2:$AE$1001,MATCH(ROWS($O$2:O78),$O$2:$O$1001,0),MATCH(COLUMNS($V$1006:Y1006),$V$1006:$AE$1006,0)), HYPERLINK("#",""), HYPERLINK(CONCATENATE("#Metadata!", ADDRESS(INDEX($Q$2:$Q$1001,MATCH(ROWS($O$2:O78),$O$2:$O$1001,0),0), INDEX($V$1004:$AE$1004,1,MATCH(COLUMNS($V$1006:Y1006),$V$1006:$AE$1006,0)))),"Fix")))</f>
        <v>0</v>
      </c>
      <c r="F78" s="4">
        <f>IF(OR(INDEX($P$2:$P$1001,MATCH(ROWS($O$2:O78),$O$2:$O$1001,0),1)&gt;=100000,INDEX($V$1005:$AE$1005,1,MATCH(COLUMNS($V$1006:Z1006),$V$1006:$AE$1006,0))&gt;=100000), " ",IF(INDEX($V$2:$AE$1001,MATCH(ROWS($O$2:O78),$O$2:$O$1001,0),MATCH(COLUMNS($V$1006:Z1006),$V$1006:$AE$1006,0)), HYPERLINK("#",""), HYPERLINK(CONCATENATE("#Metadata!", ADDRESS(INDEX($Q$2:$Q$1001,MATCH(ROWS($O$2:O78),$O$2:$O$1001,0),0), INDEX($V$1004:$AE$1004,1,MATCH(COLUMNS($V$1006:Z1006),$V$1006:$AE$1006,0)))),"Fix")))</f>
        <v>0</v>
      </c>
      <c r="G78" s="4">
        <f>IF(OR(INDEX($P$2:$P$1001,MATCH(ROWS($O$2:O78),$O$2:$O$1001,0),1)&gt;=100000,INDEX($V$1005:$AE$1005,1,MATCH(COLUMNS($V$1006:AA1006),$V$1006:$AE$1006,0))&gt;=100000), " ",IF(INDEX($V$2:$AE$1001,MATCH(ROWS($O$2:O78),$O$2:$O$1001,0),MATCH(COLUMNS($V$1006:AA1006),$V$1006:$AE$1006,0)), HYPERLINK("#",""), HYPERLINK(CONCATENATE("#Metadata!", ADDRESS(INDEX($Q$2:$Q$1001,MATCH(ROWS($O$2:O78),$O$2:$O$1001,0),0), INDEX($V$1004:$AE$1004,1,MATCH(COLUMNS($V$1006:AA1006),$V$1006:$AE$1006,0)))),"Fix")))</f>
        <v>0</v>
      </c>
      <c r="H78" s="4">
        <f>IF(OR(INDEX($P$2:$P$1001,MATCH(ROWS($O$2:O78),$O$2:$O$1001,0),1)&gt;=100000,INDEX($V$1005:$AE$1005,1,MATCH(COLUMNS($V$1006:AB1006),$V$1006:$AE$1006,0))&gt;=100000), " ",IF(INDEX($V$2:$AE$1001,MATCH(ROWS($O$2:O78),$O$2:$O$1001,0),MATCH(COLUMNS($V$1006:AB1006),$V$1006:$AE$1006,0)), HYPERLINK("#",""), HYPERLINK(CONCATENATE("#Metadata!", ADDRESS(INDEX($Q$2:$Q$1001,MATCH(ROWS($O$2:O78),$O$2:$O$1001,0),0), INDEX($V$1004:$AE$1004,1,MATCH(COLUMNS($V$1006:AB1006),$V$1006:$AE$1006,0)))),"Fix")))</f>
        <v>0</v>
      </c>
      <c r="I78" s="4">
        <f>IF(OR(INDEX($P$2:$P$1001,MATCH(ROWS($O$2:O78),$O$2:$O$1001,0),1)&gt;=100000,INDEX($V$1005:$AE$1005,1,MATCH(COLUMNS($V$1006:AC1006),$V$1006:$AE$1006,0))&gt;=100000), " ",IF(INDEX($V$2:$AE$1001,MATCH(ROWS($O$2:O78),$O$2:$O$1001,0),MATCH(COLUMNS($V$1006:AC1006),$V$1006:$AE$1006,0)), HYPERLINK("#",""), HYPERLINK(CONCATENATE("#Metadata!", ADDRESS(INDEX($Q$2:$Q$1001,MATCH(ROWS($O$2:O78),$O$2:$O$1001,0),0), INDEX($V$1004:$AE$1004,1,MATCH(COLUMNS($V$1006:AC1006),$V$1006:$AE$1006,0)))),"Fix")))</f>
        <v>0</v>
      </c>
      <c r="J78" s="4">
        <f>IF(OR(INDEX($P$2:$P$1001,MATCH(ROWS($O$2:O78),$O$2:$O$1001,0),1)&gt;=100000,INDEX($V$1005:$AE$1005,1,MATCH(COLUMNS($V$1006:AD1006),$V$1006:$AE$1006,0))&gt;=100000), " ",IF(INDEX($V$2:$AE$1001,MATCH(ROWS($O$2:O78),$O$2:$O$1001,0),MATCH(COLUMNS($V$1006:AD1006),$V$1006:$AE$1006,0)), HYPERLINK("#",""), HYPERLINK(CONCATENATE("#Metadata!", ADDRESS(INDEX($Q$2:$Q$1001,MATCH(ROWS($O$2:O78),$O$2:$O$1001,0),0), INDEX($V$1004:$AE$1004,1,MATCH(COLUMNS($V$1006:AD1006),$V$1006:$AE$1006,0)))),"Fix")))</f>
        <v>0</v>
      </c>
      <c r="K78" s="4">
        <f>IF(OR(INDEX($P$2:$P$1001,MATCH(ROWS($O$2:O78),$O$2:$O$1001,0),1)&gt;=100000,INDEX($V$1005:$AE$1005,1,MATCH(COLUMNS($V$1006:AE1006),$V$1006:$AE$1006,0))&gt;=100000), " ",IF(INDEX($V$2:$AE$1001,MATCH(ROWS($O$2:O78),$O$2:$O$1001,0),MATCH(COLUMNS($V$1006:AE1006),$V$1006:$AE$1006,0)), HYPERLINK("#",""), HYPERLINK(CONCATENATE("#Metadata!", ADDRESS(INDEX($Q$2:$Q$1001,MATCH(ROWS($O$2:O78),$O$2:$O$1001,0),0), INDEX($V$1004:$AE$1004,1,MATCH(COLUMNS($V$1006:AE1006),$V$1006:$AE$1006,0)))),"Fix")))</f>
        <v>0</v>
      </c>
      <c r="O78">
        <v>0</v>
      </c>
      <c r="P78">
        <v>0</v>
      </c>
      <c r="Q78">
        <v>0</v>
      </c>
      <c r="R78">
        <f>IF(S78,TRUE,AND(V78:AE78))</f>
        <v>0</v>
      </c>
      <c r="S78">
        <f>COUNTBLANK(Metadata!B78:K78)=COLUMNS(Metadata!B78:K78)</f>
        <v>0</v>
      </c>
      <c r="T78">
        <v>0</v>
      </c>
      <c r="V78">
        <f>AND(IF(Metadata!B78="",FALSE,TRUE),COUNTIF(Metadata!B:B, Metadata!B78) = 1,NOT(ISERROR(SUMPRODUCT(SEARCH(MID(Metadata!B78,ROW(INDIRECT("1:"&amp;LEN(Metadata!B78))), 1),"0123456789abcdefghijklmnopqrstuvwxyzABCDEFGHIJKLMNOPQRSTUVWXYZ.")))))</f>
        <v>0</v>
      </c>
      <c r="W78">
        <f>AND(IF(Metadata!C78="",FALSE,TRUE),exact(Metadata!C78,"urban biome"))</f>
        <v>0</v>
      </c>
      <c r="X78">
        <f>AND(IF(Metadata!D78="",FALSE,TRUE),exact(Metadata!D78,"animal-associated habitat"))</f>
        <v>0</v>
      </c>
      <c r="Y78">
        <f>OR(AND(IF(Metadata!E78="",FALSE,TRUE),OR(exact(Metadata!E78,"not applicable"),exact(Metadata!E78,"missing: not collected"),exact(Metadata!E78,"missing: not provided"),exact(Metadata!E78,"missing: restricted access"))),AND(IF(Metadata!E78="",FALSE,ISNUMBER(VALUE(Metadata!E78))),Metadata!E78&gt;0))</f>
        <v>0</v>
      </c>
      <c r="Z78">
        <f>AND(IF(Metadata!F78="",FALSE,TRUE),exact(Metadata!F78,"weeks"))</f>
        <v>0</v>
      </c>
      <c r="AA78">
        <f>AND(IF(Metadata!G78="",FALSE,TRUE),exact(Metadata!G78,"mouse"))</f>
        <v>0</v>
      </c>
      <c r="AB78">
        <f>AND(IF(Metadata!H78="",FALSE,TRUE),exact(Metadata!H78,"Mus musculus"))</f>
        <v>0</v>
      </c>
      <c r="AC78">
        <f>AND(IF(Metadata!I78="",FALSE,TRUE),exact(Metadata!I78,"10090"))</f>
        <v>0</v>
      </c>
      <c r="AD78">
        <f>OR(AND(IF(Metadata!J78="",FALSE,TRUE),OR(exact(Metadata!J78,"not applicable"),exact(Metadata!J78,"missing: not collected"),exact(Metadata!J78,"missing: not provided"),exact(Metadata!J78,"missing: restricted access"))),AND(IF(Metadata!J78="",FALSE,ISNUMBER(VALUE(Metadata!J78))),Metadata!J78&gt;0))</f>
        <v>0</v>
      </c>
      <c r="AE78">
        <f>AND(IF(Metadata!K78="",FALSE,TRUE),exact(Metadata!K78,"g"))</f>
        <v>0</v>
      </c>
    </row>
    <row r="79" spans="1:31">
      <c r="A79" s="5">
        <f>IF(B79=" "," ",HYPERLINK(CONCATENATE("#metadata!",ADDRESS(INDEX($Q$2:$Q$1001,MATCH(ROWS($O$2:O79),$O$2:$O$1001,0),0),1)),INDEX($T$2:$T$1001,MATCH(ROWS($O$2:O79),$O$2:$O$1001,0),0)))</f>
        <v>0</v>
      </c>
      <c r="B79" s="4">
        <f>IF(OR(INDEX($P$2:$P$1001,MATCH(ROWS($O$2:O79),$O$2:$O$1001,0),1)&gt;=100000,INDEX($V$1005:$AE$1005,1,MATCH(COLUMNS($V$1006:V1006),$V$1006:$AE$1006,0))&gt;=100000), " ",IF(INDEX($V$2:$AE$1001,MATCH(ROWS($O$2:O79),$O$2:$O$1001,0),MATCH(COLUMNS($V$1006:V1006),$V$1006:$AE$1006,0)), HYPERLINK("#",""), HYPERLINK(CONCATENATE("#Metadata!", ADDRESS(INDEX($Q$2:$Q$1001,MATCH(ROWS($O$2:O79),$O$2:$O$1001,0),0), INDEX($V$1004:$AE$1004,1,MATCH(COLUMNS($V$1006:V1006),$V$1006:$AE$1006,0)))),"Fix")))</f>
        <v>0</v>
      </c>
      <c r="C79" s="4">
        <f>IF(OR(INDEX($P$2:$P$1001,MATCH(ROWS($O$2:O79),$O$2:$O$1001,0),1)&gt;=100000,INDEX($V$1005:$AE$1005,1,MATCH(COLUMNS($V$1006:W1006),$V$1006:$AE$1006,0))&gt;=100000), " ",IF(INDEX($V$2:$AE$1001,MATCH(ROWS($O$2:O79),$O$2:$O$1001,0),MATCH(COLUMNS($V$1006:W1006),$V$1006:$AE$1006,0)), HYPERLINK("#",""), HYPERLINK(CONCATENATE("#Metadata!", ADDRESS(INDEX($Q$2:$Q$1001,MATCH(ROWS($O$2:O79),$O$2:$O$1001,0),0), INDEX($V$1004:$AE$1004,1,MATCH(COLUMNS($V$1006:W1006),$V$1006:$AE$1006,0)))),"Fix")))</f>
        <v>0</v>
      </c>
      <c r="D79" s="4">
        <f>IF(OR(INDEX($P$2:$P$1001,MATCH(ROWS($O$2:O79),$O$2:$O$1001,0),1)&gt;=100000,INDEX($V$1005:$AE$1005,1,MATCH(COLUMNS($V$1006:X1006),$V$1006:$AE$1006,0))&gt;=100000), " ",IF(INDEX($V$2:$AE$1001,MATCH(ROWS($O$2:O79),$O$2:$O$1001,0),MATCH(COLUMNS($V$1006:X1006),$V$1006:$AE$1006,0)), HYPERLINK("#",""), HYPERLINK(CONCATENATE("#Metadata!", ADDRESS(INDEX($Q$2:$Q$1001,MATCH(ROWS($O$2:O79),$O$2:$O$1001,0),0), INDEX($V$1004:$AE$1004,1,MATCH(COLUMNS($V$1006:X1006),$V$1006:$AE$1006,0)))),"Fix")))</f>
        <v>0</v>
      </c>
      <c r="E79" s="4">
        <f>IF(OR(INDEX($P$2:$P$1001,MATCH(ROWS($O$2:O79),$O$2:$O$1001,0),1)&gt;=100000,INDEX($V$1005:$AE$1005,1,MATCH(COLUMNS($V$1006:Y1006),$V$1006:$AE$1006,0))&gt;=100000), " ",IF(INDEX($V$2:$AE$1001,MATCH(ROWS($O$2:O79),$O$2:$O$1001,0),MATCH(COLUMNS($V$1006:Y1006),$V$1006:$AE$1006,0)), HYPERLINK("#",""), HYPERLINK(CONCATENATE("#Metadata!", ADDRESS(INDEX($Q$2:$Q$1001,MATCH(ROWS($O$2:O79),$O$2:$O$1001,0),0), INDEX($V$1004:$AE$1004,1,MATCH(COLUMNS($V$1006:Y1006),$V$1006:$AE$1006,0)))),"Fix")))</f>
        <v>0</v>
      </c>
      <c r="F79" s="4">
        <f>IF(OR(INDEX($P$2:$P$1001,MATCH(ROWS($O$2:O79),$O$2:$O$1001,0),1)&gt;=100000,INDEX($V$1005:$AE$1005,1,MATCH(COLUMNS($V$1006:Z1006),$V$1006:$AE$1006,0))&gt;=100000), " ",IF(INDEX($V$2:$AE$1001,MATCH(ROWS($O$2:O79),$O$2:$O$1001,0),MATCH(COLUMNS($V$1006:Z1006),$V$1006:$AE$1006,0)), HYPERLINK("#",""), HYPERLINK(CONCATENATE("#Metadata!", ADDRESS(INDEX($Q$2:$Q$1001,MATCH(ROWS($O$2:O79),$O$2:$O$1001,0),0), INDEX($V$1004:$AE$1004,1,MATCH(COLUMNS($V$1006:Z1006),$V$1006:$AE$1006,0)))),"Fix")))</f>
        <v>0</v>
      </c>
      <c r="G79" s="4">
        <f>IF(OR(INDEX($P$2:$P$1001,MATCH(ROWS($O$2:O79),$O$2:$O$1001,0),1)&gt;=100000,INDEX($V$1005:$AE$1005,1,MATCH(COLUMNS($V$1006:AA1006),$V$1006:$AE$1006,0))&gt;=100000), " ",IF(INDEX($V$2:$AE$1001,MATCH(ROWS($O$2:O79),$O$2:$O$1001,0),MATCH(COLUMNS($V$1006:AA1006),$V$1006:$AE$1006,0)), HYPERLINK("#",""), HYPERLINK(CONCATENATE("#Metadata!", ADDRESS(INDEX($Q$2:$Q$1001,MATCH(ROWS($O$2:O79),$O$2:$O$1001,0),0), INDEX($V$1004:$AE$1004,1,MATCH(COLUMNS($V$1006:AA1006),$V$1006:$AE$1006,0)))),"Fix")))</f>
        <v>0</v>
      </c>
      <c r="H79" s="4">
        <f>IF(OR(INDEX($P$2:$P$1001,MATCH(ROWS($O$2:O79),$O$2:$O$1001,0),1)&gt;=100000,INDEX($V$1005:$AE$1005,1,MATCH(COLUMNS($V$1006:AB1006),$V$1006:$AE$1006,0))&gt;=100000), " ",IF(INDEX($V$2:$AE$1001,MATCH(ROWS($O$2:O79),$O$2:$O$1001,0),MATCH(COLUMNS($V$1006:AB1006),$V$1006:$AE$1006,0)), HYPERLINK("#",""), HYPERLINK(CONCATENATE("#Metadata!", ADDRESS(INDEX($Q$2:$Q$1001,MATCH(ROWS($O$2:O79),$O$2:$O$1001,0),0), INDEX($V$1004:$AE$1004,1,MATCH(COLUMNS($V$1006:AB1006),$V$1006:$AE$1006,0)))),"Fix")))</f>
        <v>0</v>
      </c>
      <c r="I79" s="4">
        <f>IF(OR(INDEX($P$2:$P$1001,MATCH(ROWS($O$2:O79),$O$2:$O$1001,0),1)&gt;=100000,INDEX($V$1005:$AE$1005,1,MATCH(COLUMNS($V$1006:AC1006),$V$1006:$AE$1006,0))&gt;=100000), " ",IF(INDEX($V$2:$AE$1001,MATCH(ROWS($O$2:O79),$O$2:$O$1001,0),MATCH(COLUMNS($V$1006:AC1006),$V$1006:$AE$1006,0)), HYPERLINK("#",""), HYPERLINK(CONCATENATE("#Metadata!", ADDRESS(INDEX($Q$2:$Q$1001,MATCH(ROWS($O$2:O79),$O$2:$O$1001,0),0), INDEX($V$1004:$AE$1004,1,MATCH(COLUMNS($V$1006:AC1006),$V$1006:$AE$1006,0)))),"Fix")))</f>
        <v>0</v>
      </c>
      <c r="J79" s="4">
        <f>IF(OR(INDEX($P$2:$P$1001,MATCH(ROWS($O$2:O79),$O$2:$O$1001,0),1)&gt;=100000,INDEX($V$1005:$AE$1005,1,MATCH(COLUMNS($V$1006:AD1006),$V$1006:$AE$1006,0))&gt;=100000), " ",IF(INDEX($V$2:$AE$1001,MATCH(ROWS($O$2:O79),$O$2:$O$1001,0),MATCH(COLUMNS($V$1006:AD1006),$V$1006:$AE$1006,0)), HYPERLINK("#",""), HYPERLINK(CONCATENATE("#Metadata!", ADDRESS(INDEX($Q$2:$Q$1001,MATCH(ROWS($O$2:O79),$O$2:$O$1001,0),0), INDEX($V$1004:$AE$1004,1,MATCH(COLUMNS($V$1006:AD1006),$V$1006:$AE$1006,0)))),"Fix")))</f>
        <v>0</v>
      </c>
      <c r="K79" s="4">
        <f>IF(OR(INDEX($P$2:$P$1001,MATCH(ROWS($O$2:O79),$O$2:$O$1001,0),1)&gt;=100000,INDEX($V$1005:$AE$1005,1,MATCH(COLUMNS($V$1006:AE1006),$V$1006:$AE$1006,0))&gt;=100000), " ",IF(INDEX($V$2:$AE$1001,MATCH(ROWS($O$2:O79),$O$2:$O$1001,0),MATCH(COLUMNS($V$1006:AE1006),$V$1006:$AE$1006,0)), HYPERLINK("#",""), HYPERLINK(CONCATENATE("#Metadata!", ADDRESS(INDEX($Q$2:$Q$1001,MATCH(ROWS($O$2:O79),$O$2:$O$1001,0),0), INDEX($V$1004:$AE$1004,1,MATCH(COLUMNS($V$1006:AE1006),$V$1006:$AE$1006,0)))),"Fix")))</f>
        <v>0</v>
      </c>
      <c r="O79">
        <v>0</v>
      </c>
      <c r="P79">
        <v>0</v>
      </c>
      <c r="Q79">
        <v>0</v>
      </c>
      <c r="R79">
        <f>IF(S79,TRUE,AND(V79:AE79))</f>
        <v>0</v>
      </c>
      <c r="S79">
        <f>COUNTBLANK(Metadata!B79:K79)=COLUMNS(Metadata!B79:K79)</f>
        <v>0</v>
      </c>
      <c r="T79">
        <v>0</v>
      </c>
      <c r="V79">
        <f>AND(IF(Metadata!B79="",FALSE,TRUE),COUNTIF(Metadata!B:B, Metadata!B79) = 1,NOT(ISERROR(SUMPRODUCT(SEARCH(MID(Metadata!B79,ROW(INDIRECT("1:"&amp;LEN(Metadata!B79))), 1),"0123456789abcdefghijklmnopqrstuvwxyzABCDEFGHIJKLMNOPQRSTUVWXYZ.")))))</f>
        <v>0</v>
      </c>
      <c r="W79">
        <f>AND(IF(Metadata!C79="",FALSE,TRUE),exact(Metadata!C79,"urban biome"))</f>
        <v>0</v>
      </c>
      <c r="X79">
        <f>AND(IF(Metadata!D79="",FALSE,TRUE),exact(Metadata!D79,"animal-associated habitat"))</f>
        <v>0</v>
      </c>
      <c r="Y79">
        <f>OR(AND(IF(Metadata!E79="",FALSE,TRUE),OR(exact(Metadata!E79,"not applicable"),exact(Metadata!E79,"missing: not collected"),exact(Metadata!E79,"missing: not provided"),exact(Metadata!E79,"missing: restricted access"))),AND(IF(Metadata!E79="",FALSE,ISNUMBER(VALUE(Metadata!E79))),Metadata!E79&gt;0))</f>
        <v>0</v>
      </c>
      <c r="Z79">
        <f>AND(IF(Metadata!F79="",FALSE,TRUE),exact(Metadata!F79,"weeks"))</f>
        <v>0</v>
      </c>
      <c r="AA79">
        <f>AND(IF(Metadata!G79="",FALSE,TRUE),exact(Metadata!G79,"mouse"))</f>
        <v>0</v>
      </c>
      <c r="AB79">
        <f>AND(IF(Metadata!H79="",FALSE,TRUE),exact(Metadata!H79,"Mus musculus"))</f>
        <v>0</v>
      </c>
      <c r="AC79">
        <f>AND(IF(Metadata!I79="",FALSE,TRUE),exact(Metadata!I79,"10090"))</f>
        <v>0</v>
      </c>
      <c r="AD79">
        <f>OR(AND(IF(Metadata!J79="",FALSE,TRUE),OR(exact(Metadata!J79,"not applicable"),exact(Metadata!J79,"missing: not collected"),exact(Metadata!J79,"missing: not provided"),exact(Metadata!J79,"missing: restricted access"))),AND(IF(Metadata!J79="",FALSE,ISNUMBER(VALUE(Metadata!J79))),Metadata!J79&gt;0))</f>
        <v>0</v>
      </c>
      <c r="AE79">
        <f>AND(IF(Metadata!K79="",FALSE,TRUE),exact(Metadata!K79,"g"))</f>
        <v>0</v>
      </c>
    </row>
    <row r="80" spans="1:31">
      <c r="A80" s="5">
        <f>IF(B80=" "," ",HYPERLINK(CONCATENATE("#metadata!",ADDRESS(INDEX($Q$2:$Q$1001,MATCH(ROWS($O$2:O80),$O$2:$O$1001,0),0),1)),INDEX($T$2:$T$1001,MATCH(ROWS($O$2:O80),$O$2:$O$1001,0),0)))</f>
        <v>0</v>
      </c>
      <c r="B80" s="4">
        <f>IF(OR(INDEX($P$2:$P$1001,MATCH(ROWS($O$2:O80),$O$2:$O$1001,0),1)&gt;=100000,INDEX($V$1005:$AE$1005,1,MATCH(COLUMNS($V$1006:V1006),$V$1006:$AE$1006,0))&gt;=100000), " ",IF(INDEX($V$2:$AE$1001,MATCH(ROWS($O$2:O80),$O$2:$O$1001,0),MATCH(COLUMNS($V$1006:V1006),$V$1006:$AE$1006,0)), HYPERLINK("#",""), HYPERLINK(CONCATENATE("#Metadata!", ADDRESS(INDEX($Q$2:$Q$1001,MATCH(ROWS($O$2:O80),$O$2:$O$1001,0),0), INDEX($V$1004:$AE$1004,1,MATCH(COLUMNS($V$1006:V1006),$V$1006:$AE$1006,0)))),"Fix")))</f>
        <v>0</v>
      </c>
      <c r="C80" s="4">
        <f>IF(OR(INDEX($P$2:$P$1001,MATCH(ROWS($O$2:O80),$O$2:$O$1001,0),1)&gt;=100000,INDEX($V$1005:$AE$1005,1,MATCH(COLUMNS($V$1006:W1006),$V$1006:$AE$1006,0))&gt;=100000), " ",IF(INDEX($V$2:$AE$1001,MATCH(ROWS($O$2:O80),$O$2:$O$1001,0),MATCH(COLUMNS($V$1006:W1006),$V$1006:$AE$1006,0)), HYPERLINK("#",""), HYPERLINK(CONCATENATE("#Metadata!", ADDRESS(INDEX($Q$2:$Q$1001,MATCH(ROWS($O$2:O80),$O$2:$O$1001,0),0), INDEX($V$1004:$AE$1004,1,MATCH(COLUMNS($V$1006:W1006),$V$1006:$AE$1006,0)))),"Fix")))</f>
        <v>0</v>
      </c>
      <c r="D80" s="4">
        <f>IF(OR(INDEX($P$2:$P$1001,MATCH(ROWS($O$2:O80),$O$2:$O$1001,0),1)&gt;=100000,INDEX($V$1005:$AE$1005,1,MATCH(COLUMNS($V$1006:X1006),$V$1006:$AE$1006,0))&gt;=100000), " ",IF(INDEX($V$2:$AE$1001,MATCH(ROWS($O$2:O80),$O$2:$O$1001,0),MATCH(COLUMNS($V$1006:X1006),$V$1006:$AE$1006,0)), HYPERLINK("#",""), HYPERLINK(CONCATENATE("#Metadata!", ADDRESS(INDEX($Q$2:$Q$1001,MATCH(ROWS($O$2:O80),$O$2:$O$1001,0),0), INDEX($V$1004:$AE$1004,1,MATCH(COLUMNS($V$1006:X1006),$V$1006:$AE$1006,0)))),"Fix")))</f>
        <v>0</v>
      </c>
      <c r="E80" s="4">
        <f>IF(OR(INDEX($P$2:$P$1001,MATCH(ROWS($O$2:O80),$O$2:$O$1001,0),1)&gt;=100000,INDEX($V$1005:$AE$1005,1,MATCH(COLUMNS($V$1006:Y1006),$V$1006:$AE$1006,0))&gt;=100000), " ",IF(INDEX($V$2:$AE$1001,MATCH(ROWS($O$2:O80),$O$2:$O$1001,0),MATCH(COLUMNS($V$1006:Y1006),$V$1006:$AE$1006,0)), HYPERLINK("#",""), HYPERLINK(CONCATENATE("#Metadata!", ADDRESS(INDEX($Q$2:$Q$1001,MATCH(ROWS($O$2:O80),$O$2:$O$1001,0),0), INDEX($V$1004:$AE$1004,1,MATCH(COLUMNS($V$1006:Y1006),$V$1006:$AE$1006,0)))),"Fix")))</f>
        <v>0</v>
      </c>
      <c r="F80" s="4">
        <f>IF(OR(INDEX($P$2:$P$1001,MATCH(ROWS($O$2:O80),$O$2:$O$1001,0),1)&gt;=100000,INDEX($V$1005:$AE$1005,1,MATCH(COLUMNS($V$1006:Z1006),$V$1006:$AE$1006,0))&gt;=100000), " ",IF(INDEX($V$2:$AE$1001,MATCH(ROWS($O$2:O80),$O$2:$O$1001,0),MATCH(COLUMNS($V$1006:Z1006),$V$1006:$AE$1006,0)), HYPERLINK("#",""), HYPERLINK(CONCATENATE("#Metadata!", ADDRESS(INDEX($Q$2:$Q$1001,MATCH(ROWS($O$2:O80),$O$2:$O$1001,0),0), INDEX($V$1004:$AE$1004,1,MATCH(COLUMNS($V$1006:Z1006),$V$1006:$AE$1006,0)))),"Fix")))</f>
        <v>0</v>
      </c>
      <c r="G80" s="4">
        <f>IF(OR(INDEX($P$2:$P$1001,MATCH(ROWS($O$2:O80),$O$2:$O$1001,0),1)&gt;=100000,INDEX($V$1005:$AE$1005,1,MATCH(COLUMNS($V$1006:AA1006),$V$1006:$AE$1006,0))&gt;=100000), " ",IF(INDEX($V$2:$AE$1001,MATCH(ROWS($O$2:O80),$O$2:$O$1001,0),MATCH(COLUMNS($V$1006:AA1006),$V$1006:$AE$1006,0)), HYPERLINK("#",""), HYPERLINK(CONCATENATE("#Metadata!", ADDRESS(INDEX($Q$2:$Q$1001,MATCH(ROWS($O$2:O80),$O$2:$O$1001,0),0), INDEX($V$1004:$AE$1004,1,MATCH(COLUMNS($V$1006:AA1006),$V$1006:$AE$1006,0)))),"Fix")))</f>
        <v>0</v>
      </c>
      <c r="H80" s="4">
        <f>IF(OR(INDEX($P$2:$P$1001,MATCH(ROWS($O$2:O80),$O$2:$O$1001,0),1)&gt;=100000,INDEX($V$1005:$AE$1005,1,MATCH(COLUMNS($V$1006:AB1006),$V$1006:$AE$1006,0))&gt;=100000), " ",IF(INDEX($V$2:$AE$1001,MATCH(ROWS($O$2:O80),$O$2:$O$1001,0),MATCH(COLUMNS($V$1006:AB1006),$V$1006:$AE$1006,0)), HYPERLINK("#",""), HYPERLINK(CONCATENATE("#Metadata!", ADDRESS(INDEX($Q$2:$Q$1001,MATCH(ROWS($O$2:O80),$O$2:$O$1001,0),0), INDEX($V$1004:$AE$1004,1,MATCH(COLUMNS($V$1006:AB1006),$V$1006:$AE$1006,0)))),"Fix")))</f>
        <v>0</v>
      </c>
      <c r="I80" s="4">
        <f>IF(OR(INDEX($P$2:$P$1001,MATCH(ROWS($O$2:O80),$O$2:$O$1001,0),1)&gt;=100000,INDEX($V$1005:$AE$1005,1,MATCH(COLUMNS($V$1006:AC1006),$V$1006:$AE$1006,0))&gt;=100000), " ",IF(INDEX($V$2:$AE$1001,MATCH(ROWS($O$2:O80),$O$2:$O$1001,0),MATCH(COLUMNS($V$1006:AC1006),$V$1006:$AE$1006,0)), HYPERLINK("#",""), HYPERLINK(CONCATENATE("#Metadata!", ADDRESS(INDEX($Q$2:$Q$1001,MATCH(ROWS($O$2:O80),$O$2:$O$1001,0),0), INDEX($V$1004:$AE$1004,1,MATCH(COLUMNS($V$1006:AC1006),$V$1006:$AE$1006,0)))),"Fix")))</f>
        <v>0</v>
      </c>
      <c r="J80" s="4">
        <f>IF(OR(INDEX($P$2:$P$1001,MATCH(ROWS($O$2:O80),$O$2:$O$1001,0),1)&gt;=100000,INDEX($V$1005:$AE$1005,1,MATCH(COLUMNS($V$1006:AD1006),$V$1006:$AE$1006,0))&gt;=100000), " ",IF(INDEX($V$2:$AE$1001,MATCH(ROWS($O$2:O80),$O$2:$O$1001,0),MATCH(COLUMNS($V$1006:AD1006),$V$1006:$AE$1006,0)), HYPERLINK("#",""), HYPERLINK(CONCATENATE("#Metadata!", ADDRESS(INDEX($Q$2:$Q$1001,MATCH(ROWS($O$2:O80),$O$2:$O$1001,0),0), INDEX($V$1004:$AE$1004,1,MATCH(COLUMNS($V$1006:AD1006),$V$1006:$AE$1006,0)))),"Fix")))</f>
        <v>0</v>
      </c>
      <c r="K80" s="4">
        <f>IF(OR(INDEX($P$2:$P$1001,MATCH(ROWS($O$2:O80),$O$2:$O$1001,0),1)&gt;=100000,INDEX($V$1005:$AE$1005,1,MATCH(COLUMNS($V$1006:AE1006),$V$1006:$AE$1006,0))&gt;=100000), " ",IF(INDEX($V$2:$AE$1001,MATCH(ROWS($O$2:O80),$O$2:$O$1001,0),MATCH(COLUMNS($V$1006:AE1006),$V$1006:$AE$1006,0)), HYPERLINK("#",""), HYPERLINK(CONCATENATE("#Metadata!", ADDRESS(INDEX($Q$2:$Q$1001,MATCH(ROWS($O$2:O80),$O$2:$O$1001,0),0), INDEX($V$1004:$AE$1004,1,MATCH(COLUMNS($V$1006:AE1006),$V$1006:$AE$1006,0)))),"Fix")))</f>
        <v>0</v>
      </c>
      <c r="O80">
        <v>0</v>
      </c>
      <c r="P80">
        <v>0</v>
      </c>
      <c r="Q80">
        <v>0</v>
      </c>
      <c r="R80">
        <f>IF(S80,TRUE,AND(V80:AE80))</f>
        <v>0</v>
      </c>
      <c r="S80">
        <f>COUNTBLANK(Metadata!B80:K80)=COLUMNS(Metadata!B80:K80)</f>
        <v>0</v>
      </c>
      <c r="T80">
        <v>0</v>
      </c>
      <c r="V80">
        <f>AND(IF(Metadata!B80="",FALSE,TRUE),COUNTIF(Metadata!B:B, Metadata!B80) = 1,NOT(ISERROR(SUMPRODUCT(SEARCH(MID(Metadata!B80,ROW(INDIRECT("1:"&amp;LEN(Metadata!B80))), 1),"0123456789abcdefghijklmnopqrstuvwxyzABCDEFGHIJKLMNOPQRSTUVWXYZ.")))))</f>
        <v>0</v>
      </c>
      <c r="W80">
        <f>AND(IF(Metadata!C80="",FALSE,TRUE),exact(Metadata!C80,"urban biome"))</f>
        <v>0</v>
      </c>
      <c r="X80">
        <f>AND(IF(Metadata!D80="",FALSE,TRUE),exact(Metadata!D80,"animal-associated habitat"))</f>
        <v>0</v>
      </c>
      <c r="Y80">
        <f>OR(AND(IF(Metadata!E80="",FALSE,TRUE),OR(exact(Metadata!E80,"not applicable"),exact(Metadata!E80,"missing: not collected"),exact(Metadata!E80,"missing: not provided"),exact(Metadata!E80,"missing: restricted access"))),AND(IF(Metadata!E80="",FALSE,ISNUMBER(VALUE(Metadata!E80))),Metadata!E80&gt;0))</f>
        <v>0</v>
      </c>
      <c r="Z80">
        <f>AND(IF(Metadata!F80="",FALSE,TRUE),exact(Metadata!F80,"weeks"))</f>
        <v>0</v>
      </c>
      <c r="AA80">
        <f>AND(IF(Metadata!G80="",FALSE,TRUE),exact(Metadata!G80,"mouse"))</f>
        <v>0</v>
      </c>
      <c r="AB80">
        <f>AND(IF(Metadata!H80="",FALSE,TRUE),exact(Metadata!H80,"Mus musculus"))</f>
        <v>0</v>
      </c>
      <c r="AC80">
        <f>AND(IF(Metadata!I80="",FALSE,TRUE),exact(Metadata!I80,"10090"))</f>
        <v>0</v>
      </c>
      <c r="AD80">
        <f>OR(AND(IF(Metadata!J80="",FALSE,TRUE),OR(exact(Metadata!J80,"not applicable"),exact(Metadata!J80,"missing: not collected"),exact(Metadata!J80,"missing: not provided"),exact(Metadata!J80,"missing: restricted access"))),AND(IF(Metadata!J80="",FALSE,ISNUMBER(VALUE(Metadata!J80))),Metadata!J80&gt;0))</f>
        <v>0</v>
      </c>
      <c r="AE80">
        <f>AND(IF(Metadata!K80="",FALSE,TRUE),exact(Metadata!K80,"g"))</f>
        <v>0</v>
      </c>
    </row>
    <row r="81" spans="1:31">
      <c r="A81" s="5">
        <f>IF(B81=" "," ",HYPERLINK(CONCATENATE("#metadata!",ADDRESS(INDEX($Q$2:$Q$1001,MATCH(ROWS($O$2:O81),$O$2:$O$1001,0),0),1)),INDEX($T$2:$T$1001,MATCH(ROWS($O$2:O81),$O$2:$O$1001,0),0)))</f>
        <v>0</v>
      </c>
      <c r="B81" s="4">
        <f>IF(OR(INDEX($P$2:$P$1001,MATCH(ROWS($O$2:O81),$O$2:$O$1001,0),1)&gt;=100000,INDEX($V$1005:$AE$1005,1,MATCH(COLUMNS($V$1006:V1006),$V$1006:$AE$1006,0))&gt;=100000), " ",IF(INDEX($V$2:$AE$1001,MATCH(ROWS($O$2:O81),$O$2:$O$1001,0),MATCH(COLUMNS($V$1006:V1006),$V$1006:$AE$1006,0)), HYPERLINK("#",""), HYPERLINK(CONCATENATE("#Metadata!", ADDRESS(INDEX($Q$2:$Q$1001,MATCH(ROWS($O$2:O81),$O$2:$O$1001,0),0), INDEX($V$1004:$AE$1004,1,MATCH(COLUMNS($V$1006:V1006),$V$1006:$AE$1006,0)))),"Fix")))</f>
        <v>0</v>
      </c>
      <c r="C81" s="4">
        <f>IF(OR(INDEX($P$2:$P$1001,MATCH(ROWS($O$2:O81),$O$2:$O$1001,0),1)&gt;=100000,INDEX($V$1005:$AE$1005,1,MATCH(COLUMNS($V$1006:W1006),$V$1006:$AE$1006,0))&gt;=100000), " ",IF(INDEX($V$2:$AE$1001,MATCH(ROWS($O$2:O81),$O$2:$O$1001,0),MATCH(COLUMNS($V$1006:W1006),$V$1006:$AE$1006,0)), HYPERLINK("#",""), HYPERLINK(CONCATENATE("#Metadata!", ADDRESS(INDEX($Q$2:$Q$1001,MATCH(ROWS($O$2:O81),$O$2:$O$1001,0),0), INDEX($V$1004:$AE$1004,1,MATCH(COLUMNS($V$1006:W1006),$V$1006:$AE$1006,0)))),"Fix")))</f>
        <v>0</v>
      </c>
      <c r="D81" s="4">
        <f>IF(OR(INDEX($P$2:$P$1001,MATCH(ROWS($O$2:O81),$O$2:$O$1001,0),1)&gt;=100000,INDEX($V$1005:$AE$1005,1,MATCH(COLUMNS($V$1006:X1006),$V$1006:$AE$1006,0))&gt;=100000), " ",IF(INDEX($V$2:$AE$1001,MATCH(ROWS($O$2:O81),$O$2:$O$1001,0),MATCH(COLUMNS($V$1006:X1006),$V$1006:$AE$1006,0)), HYPERLINK("#",""), HYPERLINK(CONCATENATE("#Metadata!", ADDRESS(INDEX($Q$2:$Q$1001,MATCH(ROWS($O$2:O81),$O$2:$O$1001,0),0), INDEX($V$1004:$AE$1004,1,MATCH(COLUMNS($V$1006:X1006),$V$1006:$AE$1006,0)))),"Fix")))</f>
        <v>0</v>
      </c>
      <c r="E81" s="4">
        <f>IF(OR(INDEX($P$2:$P$1001,MATCH(ROWS($O$2:O81),$O$2:$O$1001,0),1)&gt;=100000,INDEX($V$1005:$AE$1005,1,MATCH(COLUMNS($V$1006:Y1006),$V$1006:$AE$1006,0))&gt;=100000), " ",IF(INDEX($V$2:$AE$1001,MATCH(ROWS($O$2:O81),$O$2:$O$1001,0),MATCH(COLUMNS($V$1006:Y1006),$V$1006:$AE$1006,0)), HYPERLINK("#",""), HYPERLINK(CONCATENATE("#Metadata!", ADDRESS(INDEX($Q$2:$Q$1001,MATCH(ROWS($O$2:O81),$O$2:$O$1001,0),0), INDEX($V$1004:$AE$1004,1,MATCH(COLUMNS($V$1006:Y1006),$V$1006:$AE$1006,0)))),"Fix")))</f>
        <v>0</v>
      </c>
      <c r="F81" s="4">
        <f>IF(OR(INDEX($P$2:$P$1001,MATCH(ROWS($O$2:O81),$O$2:$O$1001,0),1)&gt;=100000,INDEX($V$1005:$AE$1005,1,MATCH(COLUMNS($V$1006:Z1006),$V$1006:$AE$1006,0))&gt;=100000), " ",IF(INDEX($V$2:$AE$1001,MATCH(ROWS($O$2:O81),$O$2:$O$1001,0),MATCH(COLUMNS($V$1006:Z1006),$V$1006:$AE$1006,0)), HYPERLINK("#",""), HYPERLINK(CONCATENATE("#Metadata!", ADDRESS(INDEX($Q$2:$Q$1001,MATCH(ROWS($O$2:O81),$O$2:$O$1001,0),0), INDEX($V$1004:$AE$1004,1,MATCH(COLUMNS($V$1006:Z1006),$V$1006:$AE$1006,0)))),"Fix")))</f>
        <v>0</v>
      </c>
      <c r="G81" s="4">
        <f>IF(OR(INDEX($P$2:$P$1001,MATCH(ROWS($O$2:O81),$O$2:$O$1001,0),1)&gt;=100000,INDEX($V$1005:$AE$1005,1,MATCH(COLUMNS($V$1006:AA1006),$V$1006:$AE$1006,0))&gt;=100000), " ",IF(INDEX($V$2:$AE$1001,MATCH(ROWS($O$2:O81),$O$2:$O$1001,0),MATCH(COLUMNS($V$1006:AA1006),$V$1006:$AE$1006,0)), HYPERLINK("#",""), HYPERLINK(CONCATENATE("#Metadata!", ADDRESS(INDEX($Q$2:$Q$1001,MATCH(ROWS($O$2:O81),$O$2:$O$1001,0),0), INDEX($V$1004:$AE$1004,1,MATCH(COLUMNS($V$1006:AA1006),$V$1006:$AE$1006,0)))),"Fix")))</f>
        <v>0</v>
      </c>
      <c r="H81" s="4">
        <f>IF(OR(INDEX($P$2:$P$1001,MATCH(ROWS($O$2:O81),$O$2:$O$1001,0),1)&gt;=100000,INDEX($V$1005:$AE$1005,1,MATCH(COLUMNS($V$1006:AB1006),$V$1006:$AE$1006,0))&gt;=100000), " ",IF(INDEX($V$2:$AE$1001,MATCH(ROWS($O$2:O81),$O$2:$O$1001,0),MATCH(COLUMNS($V$1006:AB1006),$V$1006:$AE$1006,0)), HYPERLINK("#",""), HYPERLINK(CONCATENATE("#Metadata!", ADDRESS(INDEX($Q$2:$Q$1001,MATCH(ROWS($O$2:O81),$O$2:$O$1001,0),0), INDEX($V$1004:$AE$1004,1,MATCH(COLUMNS($V$1006:AB1006),$V$1006:$AE$1006,0)))),"Fix")))</f>
        <v>0</v>
      </c>
      <c r="I81" s="4">
        <f>IF(OR(INDEX($P$2:$P$1001,MATCH(ROWS($O$2:O81),$O$2:$O$1001,0),1)&gt;=100000,INDEX($V$1005:$AE$1005,1,MATCH(COLUMNS($V$1006:AC1006),$V$1006:$AE$1006,0))&gt;=100000), " ",IF(INDEX($V$2:$AE$1001,MATCH(ROWS($O$2:O81),$O$2:$O$1001,0),MATCH(COLUMNS($V$1006:AC1006),$V$1006:$AE$1006,0)), HYPERLINK("#",""), HYPERLINK(CONCATENATE("#Metadata!", ADDRESS(INDEX($Q$2:$Q$1001,MATCH(ROWS($O$2:O81),$O$2:$O$1001,0),0), INDEX($V$1004:$AE$1004,1,MATCH(COLUMNS($V$1006:AC1006),$V$1006:$AE$1006,0)))),"Fix")))</f>
        <v>0</v>
      </c>
      <c r="J81" s="4">
        <f>IF(OR(INDEX($P$2:$P$1001,MATCH(ROWS($O$2:O81),$O$2:$O$1001,0),1)&gt;=100000,INDEX($V$1005:$AE$1005,1,MATCH(COLUMNS($V$1006:AD1006),$V$1006:$AE$1006,0))&gt;=100000), " ",IF(INDEX($V$2:$AE$1001,MATCH(ROWS($O$2:O81),$O$2:$O$1001,0),MATCH(COLUMNS($V$1006:AD1006),$V$1006:$AE$1006,0)), HYPERLINK("#",""), HYPERLINK(CONCATENATE("#Metadata!", ADDRESS(INDEX($Q$2:$Q$1001,MATCH(ROWS($O$2:O81),$O$2:$O$1001,0),0), INDEX($V$1004:$AE$1004,1,MATCH(COLUMNS($V$1006:AD1006),$V$1006:$AE$1006,0)))),"Fix")))</f>
        <v>0</v>
      </c>
      <c r="K81" s="4">
        <f>IF(OR(INDEX($P$2:$P$1001,MATCH(ROWS($O$2:O81),$O$2:$O$1001,0),1)&gt;=100000,INDEX($V$1005:$AE$1005,1,MATCH(COLUMNS($V$1006:AE1006),$V$1006:$AE$1006,0))&gt;=100000), " ",IF(INDEX($V$2:$AE$1001,MATCH(ROWS($O$2:O81),$O$2:$O$1001,0),MATCH(COLUMNS($V$1006:AE1006),$V$1006:$AE$1006,0)), HYPERLINK("#",""), HYPERLINK(CONCATENATE("#Metadata!", ADDRESS(INDEX($Q$2:$Q$1001,MATCH(ROWS($O$2:O81),$O$2:$O$1001,0),0), INDEX($V$1004:$AE$1004,1,MATCH(COLUMNS($V$1006:AE1006),$V$1006:$AE$1006,0)))),"Fix")))</f>
        <v>0</v>
      </c>
      <c r="O81">
        <v>0</v>
      </c>
      <c r="P81">
        <v>0</v>
      </c>
      <c r="Q81">
        <v>0</v>
      </c>
      <c r="R81">
        <f>IF(S81,TRUE,AND(V81:AE81))</f>
        <v>0</v>
      </c>
      <c r="S81">
        <f>COUNTBLANK(Metadata!B81:K81)=COLUMNS(Metadata!B81:K81)</f>
        <v>0</v>
      </c>
      <c r="T81">
        <v>0</v>
      </c>
      <c r="V81">
        <f>AND(IF(Metadata!B81="",FALSE,TRUE),COUNTIF(Metadata!B:B, Metadata!B81) = 1,NOT(ISERROR(SUMPRODUCT(SEARCH(MID(Metadata!B81,ROW(INDIRECT("1:"&amp;LEN(Metadata!B81))), 1),"0123456789abcdefghijklmnopqrstuvwxyzABCDEFGHIJKLMNOPQRSTUVWXYZ.")))))</f>
        <v>0</v>
      </c>
      <c r="W81">
        <f>AND(IF(Metadata!C81="",FALSE,TRUE),exact(Metadata!C81,"urban biome"))</f>
        <v>0</v>
      </c>
      <c r="X81">
        <f>AND(IF(Metadata!D81="",FALSE,TRUE),exact(Metadata!D81,"animal-associated habitat"))</f>
        <v>0</v>
      </c>
      <c r="Y81">
        <f>OR(AND(IF(Metadata!E81="",FALSE,TRUE),OR(exact(Metadata!E81,"not applicable"),exact(Metadata!E81,"missing: not collected"),exact(Metadata!E81,"missing: not provided"),exact(Metadata!E81,"missing: restricted access"))),AND(IF(Metadata!E81="",FALSE,ISNUMBER(VALUE(Metadata!E81))),Metadata!E81&gt;0))</f>
        <v>0</v>
      </c>
      <c r="Z81">
        <f>AND(IF(Metadata!F81="",FALSE,TRUE),exact(Metadata!F81,"weeks"))</f>
        <v>0</v>
      </c>
      <c r="AA81">
        <f>AND(IF(Metadata!G81="",FALSE,TRUE),exact(Metadata!G81,"mouse"))</f>
        <v>0</v>
      </c>
      <c r="AB81">
        <f>AND(IF(Metadata!H81="",FALSE,TRUE),exact(Metadata!H81,"Mus musculus"))</f>
        <v>0</v>
      </c>
      <c r="AC81">
        <f>AND(IF(Metadata!I81="",FALSE,TRUE),exact(Metadata!I81,"10090"))</f>
        <v>0</v>
      </c>
      <c r="AD81">
        <f>OR(AND(IF(Metadata!J81="",FALSE,TRUE),OR(exact(Metadata!J81,"not applicable"),exact(Metadata!J81,"missing: not collected"),exact(Metadata!J81,"missing: not provided"),exact(Metadata!J81,"missing: restricted access"))),AND(IF(Metadata!J81="",FALSE,ISNUMBER(VALUE(Metadata!J81))),Metadata!J81&gt;0))</f>
        <v>0</v>
      </c>
      <c r="AE81">
        <f>AND(IF(Metadata!K81="",FALSE,TRUE),exact(Metadata!K81,"g"))</f>
        <v>0</v>
      </c>
    </row>
    <row r="82" spans="1:31">
      <c r="A82" s="5">
        <f>IF(B82=" "," ",HYPERLINK(CONCATENATE("#metadata!",ADDRESS(INDEX($Q$2:$Q$1001,MATCH(ROWS($O$2:O82),$O$2:$O$1001,0),0),1)),INDEX($T$2:$T$1001,MATCH(ROWS($O$2:O82),$O$2:$O$1001,0),0)))</f>
        <v>0</v>
      </c>
      <c r="B82" s="4">
        <f>IF(OR(INDEX($P$2:$P$1001,MATCH(ROWS($O$2:O82),$O$2:$O$1001,0),1)&gt;=100000,INDEX($V$1005:$AE$1005,1,MATCH(COLUMNS($V$1006:V1006),$V$1006:$AE$1006,0))&gt;=100000), " ",IF(INDEX($V$2:$AE$1001,MATCH(ROWS($O$2:O82),$O$2:$O$1001,0),MATCH(COLUMNS($V$1006:V1006),$V$1006:$AE$1006,0)), HYPERLINK("#",""), HYPERLINK(CONCATENATE("#Metadata!", ADDRESS(INDEX($Q$2:$Q$1001,MATCH(ROWS($O$2:O82),$O$2:$O$1001,0),0), INDEX($V$1004:$AE$1004,1,MATCH(COLUMNS($V$1006:V1006),$V$1006:$AE$1006,0)))),"Fix")))</f>
        <v>0</v>
      </c>
      <c r="C82" s="4">
        <f>IF(OR(INDEX($P$2:$P$1001,MATCH(ROWS($O$2:O82),$O$2:$O$1001,0),1)&gt;=100000,INDEX($V$1005:$AE$1005,1,MATCH(COLUMNS($V$1006:W1006),$V$1006:$AE$1006,0))&gt;=100000), " ",IF(INDEX($V$2:$AE$1001,MATCH(ROWS($O$2:O82),$O$2:$O$1001,0),MATCH(COLUMNS($V$1006:W1006),$V$1006:$AE$1006,0)), HYPERLINK("#",""), HYPERLINK(CONCATENATE("#Metadata!", ADDRESS(INDEX($Q$2:$Q$1001,MATCH(ROWS($O$2:O82),$O$2:$O$1001,0),0), INDEX($V$1004:$AE$1004,1,MATCH(COLUMNS($V$1006:W1006),$V$1006:$AE$1006,0)))),"Fix")))</f>
        <v>0</v>
      </c>
      <c r="D82" s="4">
        <f>IF(OR(INDEX($P$2:$P$1001,MATCH(ROWS($O$2:O82),$O$2:$O$1001,0),1)&gt;=100000,INDEX($V$1005:$AE$1005,1,MATCH(COLUMNS($V$1006:X1006),$V$1006:$AE$1006,0))&gt;=100000), " ",IF(INDEX($V$2:$AE$1001,MATCH(ROWS($O$2:O82),$O$2:$O$1001,0),MATCH(COLUMNS($V$1006:X1006),$V$1006:$AE$1006,0)), HYPERLINK("#",""), HYPERLINK(CONCATENATE("#Metadata!", ADDRESS(INDEX($Q$2:$Q$1001,MATCH(ROWS($O$2:O82),$O$2:$O$1001,0),0), INDEX($V$1004:$AE$1004,1,MATCH(COLUMNS($V$1006:X1006),$V$1006:$AE$1006,0)))),"Fix")))</f>
        <v>0</v>
      </c>
      <c r="E82" s="4">
        <f>IF(OR(INDEX($P$2:$P$1001,MATCH(ROWS($O$2:O82),$O$2:$O$1001,0),1)&gt;=100000,INDEX($V$1005:$AE$1005,1,MATCH(COLUMNS($V$1006:Y1006),$V$1006:$AE$1006,0))&gt;=100000), " ",IF(INDEX($V$2:$AE$1001,MATCH(ROWS($O$2:O82),$O$2:$O$1001,0),MATCH(COLUMNS($V$1006:Y1006),$V$1006:$AE$1006,0)), HYPERLINK("#",""), HYPERLINK(CONCATENATE("#Metadata!", ADDRESS(INDEX($Q$2:$Q$1001,MATCH(ROWS($O$2:O82),$O$2:$O$1001,0),0), INDEX($V$1004:$AE$1004,1,MATCH(COLUMNS($V$1006:Y1006),$V$1006:$AE$1006,0)))),"Fix")))</f>
        <v>0</v>
      </c>
      <c r="F82" s="4">
        <f>IF(OR(INDEX($P$2:$P$1001,MATCH(ROWS($O$2:O82),$O$2:$O$1001,0),1)&gt;=100000,INDEX($V$1005:$AE$1005,1,MATCH(COLUMNS($V$1006:Z1006),$V$1006:$AE$1006,0))&gt;=100000), " ",IF(INDEX($V$2:$AE$1001,MATCH(ROWS($O$2:O82),$O$2:$O$1001,0),MATCH(COLUMNS($V$1006:Z1006),$V$1006:$AE$1006,0)), HYPERLINK("#",""), HYPERLINK(CONCATENATE("#Metadata!", ADDRESS(INDEX($Q$2:$Q$1001,MATCH(ROWS($O$2:O82),$O$2:$O$1001,0),0), INDEX($V$1004:$AE$1004,1,MATCH(COLUMNS($V$1006:Z1006),$V$1006:$AE$1006,0)))),"Fix")))</f>
        <v>0</v>
      </c>
      <c r="G82" s="4">
        <f>IF(OR(INDEX($P$2:$P$1001,MATCH(ROWS($O$2:O82),$O$2:$O$1001,0),1)&gt;=100000,INDEX($V$1005:$AE$1005,1,MATCH(COLUMNS($V$1006:AA1006),$V$1006:$AE$1006,0))&gt;=100000), " ",IF(INDEX($V$2:$AE$1001,MATCH(ROWS($O$2:O82),$O$2:$O$1001,0),MATCH(COLUMNS($V$1006:AA1006),$V$1006:$AE$1006,0)), HYPERLINK("#",""), HYPERLINK(CONCATENATE("#Metadata!", ADDRESS(INDEX($Q$2:$Q$1001,MATCH(ROWS($O$2:O82),$O$2:$O$1001,0),0), INDEX($V$1004:$AE$1004,1,MATCH(COLUMNS($V$1006:AA1006),$V$1006:$AE$1006,0)))),"Fix")))</f>
        <v>0</v>
      </c>
      <c r="H82" s="4">
        <f>IF(OR(INDEX($P$2:$P$1001,MATCH(ROWS($O$2:O82),$O$2:$O$1001,0),1)&gt;=100000,INDEX($V$1005:$AE$1005,1,MATCH(COLUMNS($V$1006:AB1006),$V$1006:$AE$1006,0))&gt;=100000), " ",IF(INDEX($V$2:$AE$1001,MATCH(ROWS($O$2:O82),$O$2:$O$1001,0),MATCH(COLUMNS($V$1006:AB1006),$V$1006:$AE$1006,0)), HYPERLINK("#",""), HYPERLINK(CONCATENATE("#Metadata!", ADDRESS(INDEX($Q$2:$Q$1001,MATCH(ROWS($O$2:O82),$O$2:$O$1001,0),0), INDEX($V$1004:$AE$1004,1,MATCH(COLUMNS($V$1006:AB1006),$V$1006:$AE$1006,0)))),"Fix")))</f>
        <v>0</v>
      </c>
      <c r="I82" s="4">
        <f>IF(OR(INDEX($P$2:$P$1001,MATCH(ROWS($O$2:O82),$O$2:$O$1001,0),1)&gt;=100000,INDEX($V$1005:$AE$1005,1,MATCH(COLUMNS($V$1006:AC1006),$V$1006:$AE$1006,0))&gt;=100000), " ",IF(INDEX($V$2:$AE$1001,MATCH(ROWS($O$2:O82),$O$2:$O$1001,0),MATCH(COLUMNS($V$1006:AC1006),$V$1006:$AE$1006,0)), HYPERLINK("#",""), HYPERLINK(CONCATENATE("#Metadata!", ADDRESS(INDEX($Q$2:$Q$1001,MATCH(ROWS($O$2:O82),$O$2:$O$1001,0),0), INDEX($V$1004:$AE$1004,1,MATCH(COLUMNS($V$1006:AC1006),$V$1006:$AE$1006,0)))),"Fix")))</f>
        <v>0</v>
      </c>
      <c r="J82" s="4">
        <f>IF(OR(INDEX($P$2:$P$1001,MATCH(ROWS($O$2:O82),$O$2:$O$1001,0),1)&gt;=100000,INDEX($V$1005:$AE$1005,1,MATCH(COLUMNS($V$1006:AD1006),$V$1006:$AE$1006,0))&gt;=100000), " ",IF(INDEX($V$2:$AE$1001,MATCH(ROWS($O$2:O82),$O$2:$O$1001,0),MATCH(COLUMNS($V$1006:AD1006),$V$1006:$AE$1006,0)), HYPERLINK("#",""), HYPERLINK(CONCATENATE("#Metadata!", ADDRESS(INDEX($Q$2:$Q$1001,MATCH(ROWS($O$2:O82),$O$2:$O$1001,0),0), INDEX($V$1004:$AE$1004,1,MATCH(COLUMNS($V$1006:AD1006),$V$1006:$AE$1006,0)))),"Fix")))</f>
        <v>0</v>
      </c>
      <c r="K82" s="4">
        <f>IF(OR(INDEX($P$2:$P$1001,MATCH(ROWS($O$2:O82),$O$2:$O$1001,0),1)&gt;=100000,INDEX($V$1005:$AE$1005,1,MATCH(COLUMNS($V$1006:AE1006),$V$1006:$AE$1006,0))&gt;=100000), " ",IF(INDEX($V$2:$AE$1001,MATCH(ROWS($O$2:O82),$O$2:$O$1001,0),MATCH(COLUMNS($V$1006:AE1006),$V$1006:$AE$1006,0)), HYPERLINK("#",""), HYPERLINK(CONCATENATE("#Metadata!", ADDRESS(INDEX($Q$2:$Q$1001,MATCH(ROWS($O$2:O82),$O$2:$O$1001,0),0), INDEX($V$1004:$AE$1004,1,MATCH(COLUMNS($V$1006:AE1006),$V$1006:$AE$1006,0)))),"Fix")))</f>
        <v>0</v>
      </c>
      <c r="O82">
        <v>0</v>
      </c>
      <c r="P82">
        <v>0</v>
      </c>
      <c r="Q82">
        <v>0</v>
      </c>
      <c r="R82">
        <f>IF(S82,TRUE,AND(V82:AE82))</f>
        <v>0</v>
      </c>
      <c r="S82">
        <f>COUNTBLANK(Metadata!B82:K82)=COLUMNS(Metadata!B82:K82)</f>
        <v>0</v>
      </c>
      <c r="T82">
        <v>0</v>
      </c>
      <c r="V82">
        <f>AND(IF(Metadata!B82="",FALSE,TRUE),COUNTIF(Metadata!B:B, Metadata!B82) = 1,NOT(ISERROR(SUMPRODUCT(SEARCH(MID(Metadata!B82,ROW(INDIRECT("1:"&amp;LEN(Metadata!B82))), 1),"0123456789abcdefghijklmnopqrstuvwxyzABCDEFGHIJKLMNOPQRSTUVWXYZ.")))))</f>
        <v>0</v>
      </c>
      <c r="W82">
        <f>AND(IF(Metadata!C82="",FALSE,TRUE),exact(Metadata!C82,"urban biome"))</f>
        <v>0</v>
      </c>
      <c r="X82">
        <f>AND(IF(Metadata!D82="",FALSE,TRUE),exact(Metadata!D82,"animal-associated habitat"))</f>
        <v>0</v>
      </c>
      <c r="Y82">
        <f>OR(AND(IF(Metadata!E82="",FALSE,TRUE),OR(exact(Metadata!E82,"not applicable"),exact(Metadata!E82,"missing: not collected"),exact(Metadata!E82,"missing: not provided"),exact(Metadata!E82,"missing: restricted access"))),AND(IF(Metadata!E82="",FALSE,ISNUMBER(VALUE(Metadata!E82))),Metadata!E82&gt;0))</f>
        <v>0</v>
      </c>
      <c r="Z82">
        <f>AND(IF(Metadata!F82="",FALSE,TRUE),exact(Metadata!F82,"weeks"))</f>
        <v>0</v>
      </c>
      <c r="AA82">
        <f>AND(IF(Metadata!G82="",FALSE,TRUE),exact(Metadata!G82,"mouse"))</f>
        <v>0</v>
      </c>
      <c r="AB82">
        <f>AND(IF(Metadata!H82="",FALSE,TRUE),exact(Metadata!H82,"Mus musculus"))</f>
        <v>0</v>
      </c>
      <c r="AC82">
        <f>AND(IF(Metadata!I82="",FALSE,TRUE),exact(Metadata!I82,"10090"))</f>
        <v>0</v>
      </c>
      <c r="AD82">
        <f>OR(AND(IF(Metadata!J82="",FALSE,TRUE),OR(exact(Metadata!J82,"not applicable"),exact(Metadata!J82,"missing: not collected"),exact(Metadata!J82,"missing: not provided"),exact(Metadata!J82,"missing: restricted access"))),AND(IF(Metadata!J82="",FALSE,ISNUMBER(VALUE(Metadata!J82))),Metadata!J82&gt;0))</f>
        <v>0</v>
      </c>
      <c r="AE82">
        <f>AND(IF(Metadata!K82="",FALSE,TRUE),exact(Metadata!K82,"g"))</f>
        <v>0</v>
      </c>
    </row>
    <row r="83" spans="1:31">
      <c r="A83" s="5">
        <f>IF(B83=" "," ",HYPERLINK(CONCATENATE("#metadata!",ADDRESS(INDEX($Q$2:$Q$1001,MATCH(ROWS($O$2:O83),$O$2:$O$1001,0),0),1)),INDEX($T$2:$T$1001,MATCH(ROWS($O$2:O83),$O$2:$O$1001,0),0)))</f>
        <v>0</v>
      </c>
      <c r="B83" s="4">
        <f>IF(OR(INDEX($P$2:$P$1001,MATCH(ROWS($O$2:O83),$O$2:$O$1001,0),1)&gt;=100000,INDEX($V$1005:$AE$1005,1,MATCH(COLUMNS($V$1006:V1006),$V$1006:$AE$1006,0))&gt;=100000), " ",IF(INDEX($V$2:$AE$1001,MATCH(ROWS($O$2:O83),$O$2:$O$1001,0),MATCH(COLUMNS($V$1006:V1006),$V$1006:$AE$1006,0)), HYPERLINK("#",""), HYPERLINK(CONCATENATE("#Metadata!", ADDRESS(INDEX($Q$2:$Q$1001,MATCH(ROWS($O$2:O83),$O$2:$O$1001,0),0), INDEX($V$1004:$AE$1004,1,MATCH(COLUMNS($V$1006:V1006),$V$1006:$AE$1006,0)))),"Fix")))</f>
        <v>0</v>
      </c>
      <c r="C83" s="4">
        <f>IF(OR(INDEX($P$2:$P$1001,MATCH(ROWS($O$2:O83),$O$2:$O$1001,0),1)&gt;=100000,INDEX($V$1005:$AE$1005,1,MATCH(COLUMNS($V$1006:W1006),$V$1006:$AE$1006,0))&gt;=100000), " ",IF(INDEX($V$2:$AE$1001,MATCH(ROWS($O$2:O83),$O$2:$O$1001,0),MATCH(COLUMNS($V$1006:W1006),$V$1006:$AE$1006,0)), HYPERLINK("#",""), HYPERLINK(CONCATENATE("#Metadata!", ADDRESS(INDEX($Q$2:$Q$1001,MATCH(ROWS($O$2:O83),$O$2:$O$1001,0),0), INDEX($V$1004:$AE$1004,1,MATCH(COLUMNS($V$1006:W1006),$V$1006:$AE$1006,0)))),"Fix")))</f>
        <v>0</v>
      </c>
      <c r="D83" s="4">
        <f>IF(OR(INDEX($P$2:$P$1001,MATCH(ROWS($O$2:O83),$O$2:$O$1001,0),1)&gt;=100000,INDEX($V$1005:$AE$1005,1,MATCH(COLUMNS($V$1006:X1006),$V$1006:$AE$1006,0))&gt;=100000), " ",IF(INDEX($V$2:$AE$1001,MATCH(ROWS($O$2:O83),$O$2:$O$1001,0),MATCH(COLUMNS($V$1006:X1006),$V$1006:$AE$1006,0)), HYPERLINK("#",""), HYPERLINK(CONCATENATE("#Metadata!", ADDRESS(INDEX($Q$2:$Q$1001,MATCH(ROWS($O$2:O83),$O$2:$O$1001,0),0), INDEX($V$1004:$AE$1004,1,MATCH(COLUMNS($V$1006:X1006),$V$1006:$AE$1006,0)))),"Fix")))</f>
        <v>0</v>
      </c>
      <c r="E83" s="4">
        <f>IF(OR(INDEX($P$2:$P$1001,MATCH(ROWS($O$2:O83),$O$2:$O$1001,0),1)&gt;=100000,INDEX($V$1005:$AE$1005,1,MATCH(COLUMNS($V$1006:Y1006),$V$1006:$AE$1006,0))&gt;=100000), " ",IF(INDEX($V$2:$AE$1001,MATCH(ROWS($O$2:O83),$O$2:$O$1001,0),MATCH(COLUMNS($V$1006:Y1006),$V$1006:$AE$1006,0)), HYPERLINK("#",""), HYPERLINK(CONCATENATE("#Metadata!", ADDRESS(INDEX($Q$2:$Q$1001,MATCH(ROWS($O$2:O83),$O$2:$O$1001,0),0), INDEX($V$1004:$AE$1004,1,MATCH(COLUMNS($V$1006:Y1006),$V$1006:$AE$1006,0)))),"Fix")))</f>
        <v>0</v>
      </c>
      <c r="F83" s="4">
        <f>IF(OR(INDEX($P$2:$P$1001,MATCH(ROWS($O$2:O83),$O$2:$O$1001,0),1)&gt;=100000,INDEX($V$1005:$AE$1005,1,MATCH(COLUMNS($V$1006:Z1006),$V$1006:$AE$1006,0))&gt;=100000), " ",IF(INDEX($V$2:$AE$1001,MATCH(ROWS($O$2:O83),$O$2:$O$1001,0),MATCH(COLUMNS($V$1006:Z1006),$V$1006:$AE$1006,0)), HYPERLINK("#",""), HYPERLINK(CONCATENATE("#Metadata!", ADDRESS(INDEX($Q$2:$Q$1001,MATCH(ROWS($O$2:O83),$O$2:$O$1001,0),0), INDEX($V$1004:$AE$1004,1,MATCH(COLUMNS($V$1006:Z1006),$V$1006:$AE$1006,0)))),"Fix")))</f>
        <v>0</v>
      </c>
      <c r="G83" s="4">
        <f>IF(OR(INDEX($P$2:$P$1001,MATCH(ROWS($O$2:O83),$O$2:$O$1001,0),1)&gt;=100000,INDEX($V$1005:$AE$1005,1,MATCH(COLUMNS($V$1006:AA1006),$V$1006:$AE$1006,0))&gt;=100000), " ",IF(INDEX($V$2:$AE$1001,MATCH(ROWS($O$2:O83),$O$2:$O$1001,0),MATCH(COLUMNS($V$1006:AA1006),$V$1006:$AE$1006,0)), HYPERLINK("#",""), HYPERLINK(CONCATENATE("#Metadata!", ADDRESS(INDEX($Q$2:$Q$1001,MATCH(ROWS($O$2:O83),$O$2:$O$1001,0),0), INDEX($V$1004:$AE$1004,1,MATCH(COLUMNS($V$1006:AA1006),$V$1006:$AE$1006,0)))),"Fix")))</f>
        <v>0</v>
      </c>
      <c r="H83" s="4">
        <f>IF(OR(INDEX($P$2:$P$1001,MATCH(ROWS($O$2:O83),$O$2:$O$1001,0),1)&gt;=100000,INDEX($V$1005:$AE$1005,1,MATCH(COLUMNS($V$1006:AB1006),$V$1006:$AE$1006,0))&gt;=100000), " ",IF(INDEX($V$2:$AE$1001,MATCH(ROWS($O$2:O83),$O$2:$O$1001,0),MATCH(COLUMNS($V$1006:AB1006),$V$1006:$AE$1006,0)), HYPERLINK("#",""), HYPERLINK(CONCATENATE("#Metadata!", ADDRESS(INDEX($Q$2:$Q$1001,MATCH(ROWS($O$2:O83),$O$2:$O$1001,0),0), INDEX($V$1004:$AE$1004,1,MATCH(COLUMNS($V$1006:AB1006),$V$1006:$AE$1006,0)))),"Fix")))</f>
        <v>0</v>
      </c>
      <c r="I83" s="4">
        <f>IF(OR(INDEX($P$2:$P$1001,MATCH(ROWS($O$2:O83),$O$2:$O$1001,0),1)&gt;=100000,INDEX($V$1005:$AE$1005,1,MATCH(COLUMNS($V$1006:AC1006),$V$1006:$AE$1006,0))&gt;=100000), " ",IF(INDEX($V$2:$AE$1001,MATCH(ROWS($O$2:O83),$O$2:$O$1001,0),MATCH(COLUMNS($V$1006:AC1006),$V$1006:$AE$1006,0)), HYPERLINK("#",""), HYPERLINK(CONCATENATE("#Metadata!", ADDRESS(INDEX($Q$2:$Q$1001,MATCH(ROWS($O$2:O83),$O$2:$O$1001,0),0), INDEX($V$1004:$AE$1004,1,MATCH(COLUMNS($V$1006:AC1006),$V$1006:$AE$1006,0)))),"Fix")))</f>
        <v>0</v>
      </c>
      <c r="J83" s="4">
        <f>IF(OR(INDEX($P$2:$P$1001,MATCH(ROWS($O$2:O83),$O$2:$O$1001,0),1)&gt;=100000,INDEX($V$1005:$AE$1005,1,MATCH(COLUMNS($V$1006:AD1006),$V$1006:$AE$1006,0))&gt;=100000), " ",IF(INDEX($V$2:$AE$1001,MATCH(ROWS($O$2:O83),$O$2:$O$1001,0),MATCH(COLUMNS($V$1006:AD1006),$V$1006:$AE$1006,0)), HYPERLINK("#",""), HYPERLINK(CONCATENATE("#Metadata!", ADDRESS(INDEX($Q$2:$Q$1001,MATCH(ROWS($O$2:O83),$O$2:$O$1001,0),0), INDEX($V$1004:$AE$1004,1,MATCH(COLUMNS($V$1006:AD1006),$V$1006:$AE$1006,0)))),"Fix")))</f>
        <v>0</v>
      </c>
      <c r="K83" s="4">
        <f>IF(OR(INDEX($P$2:$P$1001,MATCH(ROWS($O$2:O83),$O$2:$O$1001,0),1)&gt;=100000,INDEX($V$1005:$AE$1005,1,MATCH(COLUMNS($V$1006:AE1006),$V$1006:$AE$1006,0))&gt;=100000), " ",IF(INDEX($V$2:$AE$1001,MATCH(ROWS($O$2:O83),$O$2:$O$1001,0),MATCH(COLUMNS($V$1006:AE1006),$V$1006:$AE$1006,0)), HYPERLINK("#",""), HYPERLINK(CONCATENATE("#Metadata!", ADDRESS(INDEX($Q$2:$Q$1001,MATCH(ROWS($O$2:O83),$O$2:$O$1001,0),0), INDEX($V$1004:$AE$1004,1,MATCH(COLUMNS($V$1006:AE1006),$V$1006:$AE$1006,0)))),"Fix")))</f>
        <v>0</v>
      </c>
      <c r="O83">
        <v>0</v>
      </c>
      <c r="P83">
        <v>0</v>
      </c>
      <c r="Q83">
        <v>0</v>
      </c>
      <c r="R83">
        <f>IF(S83,TRUE,AND(V83:AE83))</f>
        <v>0</v>
      </c>
      <c r="S83">
        <f>COUNTBLANK(Metadata!B83:K83)=COLUMNS(Metadata!B83:K83)</f>
        <v>0</v>
      </c>
      <c r="T83">
        <v>0</v>
      </c>
      <c r="V83">
        <f>AND(IF(Metadata!B83="",FALSE,TRUE),COUNTIF(Metadata!B:B, Metadata!B83) = 1,NOT(ISERROR(SUMPRODUCT(SEARCH(MID(Metadata!B83,ROW(INDIRECT("1:"&amp;LEN(Metadata!B83))), 1),"0123456789abcdefghijklmnopqrstuvwxyzABCDEFGHIJKLMNOPQRSTUVWXYZ.")))))</f>
        <v>0</v>
      </c>
      <c r="W83">
        <f>AND(IF(Metadata!C83="",FALSE,TRUE),exact(Metadata!C83,"urban biome"))</f>
        <v>0</v>
      </c>
      <c r="X83">
        <f>AND(IF(Metadata!D83="",FALSE,TRUE),exact(Metadata!D83,"animal-associated habitat"))</f>
        <v>0</v>
      </c>
      <c r="Y83">
        <f>OR(AND(IF(Metadata!E83="",FALSE,TRUE),OR(exact(Metadata!E83,"not applicable"),exact(Metadata!E83,"missing: not collected"),exact(Metadata!E83,"missing: not provided"),exact(Metadata!E83,"missing: restricted access"))),AND(IF(Metadata!E83="",FALSE,ISNUMBER(VALUE(Metadata!E83))),Metadata!E83&gt;0))</f>
        <v>0</v>
      </c>
      <c r="Z83">
        <f>AND(IF(Metadata!F83="",FALSE,TRUE),exact(Metadata!F83,"weeks"))</f>
        <v>0</v>
      </c>
      <c r="AA83">
        <f>AND(IF(Metadata!G83="",FALSE,TRUE),exact(Metadata!G83,"mouse"))</f>
        <v>0</v>
      </c>
      <c r="AB83">
        <f>AND(IF(Metadata!H83="",FALSE,TRUE),exact(Metadata!H83,"Mus musculus"))</f>
        <v>0</v>
      </c>
      <c r="AC83">
        <f>AND(IF(Metadata!I83="",FALSE,TRUE),exact(Metadata!I83,"10090"))</f>
        <v>0</v>
      </c>
      <c r="AD83">
        <f>OR(AND(IF(Metadata!J83="",FALSE,TRUE),OR(exact(Metadata!J83,"not applicable"),exact(Metadata!J83,"missing: not collected"),exact(Metadata!J83,"missing: not provided"),exact(Metadata!J83,"missing: restricted access"))),AND(IF(Metadata!J83="",FALSE,ISNUMBER(VALUE(Metadata!J83))),Metadata!J83&gt;0))</f>
        <v>0</v>
      </c>
      <c r="AE83">
        <f>AND(IF(Metadata!K83="",FALSE,TRUE),exact(Metadata!K83,"g"))</f>
        <v>0</v>
      </c>
    </row>
    <row r="84" spans="1:31">
      <c r="A84" s="5">
        <f>IF(B84=" "," ",HYPERLINK(CONCATENATE("#metadata!",ADDRESS(INDEX($Q$2:$Q$1001,MATCH(ROWS($O$2:O84),$O$2:$O$1001,0),0),1)),INDEX($T$2:$T$1001,MATCH(ROWS($O$2:O84),$O$2:$O$1001,0),0)))</f>
        <v>0</v>
      </c>
      <c r="B84" s="4">
        <f>IF(OR(INDEX($P$2:$P$1001,MATCH(ROWS($O$2:O84),$O$2:$O$1001,0),1)&gt;=100000,INDEX($V$1005:$AE$1005,1,MATCH(COLUMNS($V$1006:V1006),$V$1006:$AE$1006,0))&gt;=100000), " ",IF(INDEX($V$2:$AE$1001,MATCH(ROWS($O$2:O84),$O$2:$O$1001,0),MATCH(COLUMNS($V$1006:V1006),$V$1006:$AE$1006,0)), HYPERLINK("#",""), HYPERLINK(CONCATENATE("#Metadata!", ADDRESS(INDEX($Q$2:$Q$1001,MATCH(ROWS($O$2:O84),$O$2:$O$1001,0),0), INDEX($V$1004:$AE$1004,1,MATCH(COLUMNS($V$1006:V1006),$V$1006:$AE$1006,0)))),"Fix")))</f>
        <v>0</v>
      </c>
      <c r="C84" s="4">
        <f>IF(OR(INDEX($P$2:$P$1001,MATCH(ROWS($O$2:O84),$O$2:$O$1001,0),1)&gt;=100000,INDEX($V$1005:$AE$1005,1,MATCH(COLUMNS($V$1006:W1006),$V$1006:$AE$1006,0))&gt;=100000), " ",IF(INDEX($V$2:$AE$1001,MATCH(ROWS($O$2:O84),$O$2:$O$1001,0),MATCH(COLUMNS($V$1006:W1006),$V$1006:$AE$1006,0)), HYPERLINK("#",""), HYPERLINK(CONCATENATE("#Metadata!", ADDRESS(INDEX($Q$2:$Q$1001,MATCH(ROWS($O$2:O84),$O$2:$O$1001,0),0), INDEX($V$1004:$AE$1004,1,MATCH(COLUMNS($V$1006:W1006),$V$1006:$AE$1006,0)))),"Fix")))</f>
        <v>0</v>
      </c>
      <c r="D84" s="4">
        <f>IF(OR(INDEX($P$2:$P$1001,MATCH(ROWS($O$2:O84),$O$2:$O$1001,0),1)&gt;=100000,INDEX($V$1005:$AE$1005,1,MATCH(COLUMNS($V$1006:X1006),$V$1006:$AE$1006,0))&gt;=100000), " ",IF(INDEX($V$2:$AE$1001,MATCH(ROWS($O$2:O84),$O$2:$O$1001,0),MATCH(COLUMNS($V$1006:X1006),$V$1006:$AE$1006,0)), HYPERLINK("#",""), HYPERLINK(CONCATENATE("#Metadata!", ADDRESS(INDEX($Q$2:$Q$1001,MATCH(ROWS($O$2:O84),$O$2:$O$1001,0),0), INDEX($V$1004:$AE$1004,1,MATCH(COLUMNS($V$1006:X1006),$V$1006:$AE$1006,0)))),"Fix")))</f>
        <v>0</v>
      </c>
      <c r="E84" s="4">
        <f>IF(OR(INDEX($P$2:$P$1001,MATCH(ROWS($O$2:O84),$O$2:$O$1001,0),1)&gt;=100000,INDEX($V$1005:$AE$1005,1,MATCH(COLUMNS($V$1006:Y1006),$V$1006:$AE$1006,0))&gt;=100000), " ",IF(INDEX($V$2:$AE$1001,MATCH(ROWS($O$2:O84),$O$2:$O$1001,0),MATCH(COLUMNS($V$1006:Y1006),$V$1006:$AE$1006,0)), HYPERLINK("#",""), HYPERLINK(CONCATENATE("#Metadata!", ADDRESS(INDEX($Q$2:$Q$1001,MATCH(ROWS($O$2:O84),$O$2:$O$1001,0),0), INDEX($V$1004:$AE$1004,1,MATCH(COLUMNS($V$1006:Y1006),$V$1006:$AE$1006,0)))),"Fix")))</f>
        <v>0</v>
      </c>
      <c r="F84" s="4">
        <f>IF(OR(INDEX($P$2:$P$1001,MATCH(ROWS($O$2:O84),$O$2:$O$1001,0),1)&gt;=100000,INDEX($V$1005:$AE$1005,1,MATCH(COLUMNS($V$1006:Z1006),$V$1006:$AE$1006,0))&gt;=100000), " ",IF(INDEX($V$2:$AE$1001,MATCH(ROWS($O$2:O84),$O$2:$O$1001,0),MATCH(COLUMNS($V$1006:Z1006),$V$1006:$AE$1006,0)), HYPERLINK("#",""), HYPERLINK(CONCATENATE("#Metadata!", ADDRESS(INDEX($Q$2:$Q$1001,MATCH(ROWS($O$2:O84),$O$2:$O$1001,0),0), INDEX($V$1004:$AE$1004,1,MATCH(COLUMNS($V$1006:Z1006),$V$1006:$AE$1006,0)))),"Fix")))</f>
        <v>0</v>
      </c>
      <c r="G84" s="4">
        <f>IF(OR(INDEX($P$2:$P$1001,MATCH(ROWS($O$2:O84),$O$2:$O$1001,0),1)&gt;=100000,INDEX($V$1005:$AE$1005,1,MATCH(COLUMNS($V$1006:AA1006),$V$1006:$AE$1006,0))&gt;=100000), " ",IF(INDEX($V$2:$AE$1001,MATCH(ROWS($O$2:O84),$O$2:$O$1001,0),MATCH(COLUMNS($V$1006:AA1006),$V$1006:$AE$1006,0)), HYPERLINK("#",""), HYPERLINK(CONCATENATE("#Metadata!", ADDRESS(INDEX($Q$2:$Q$1001,MATCH(ROWS($O$2:O84),$O$2:$O$1001,0),0), INDEX($V$1004:$AE$1004,1,MATCH(COLUMNS($V$1006:AA1006),$V$1006:$AE$1006,0)))),"Fix")))</f>
        <v>0</v>
      </c>
      <c r="H84" s="4">
        <f>IF(OR(INDEX($P$2:$P$1001,MATCH(ROWS($O$2:O84),$O$2:$O$1001,0),1)&gt;=100000,INDEX($V$1005:$AE$1005,1,MATCH(COLUMNS($V$1006:AB1006),$V$1006:$AE$1006,0))&gt;=100000), " ",IF(INDEX($V$2:$AE$1001,MATCH(ROWS($O$2:O84),$O$2:$O$1001,0),MATCH(COLUMNS($V$1006:AB1006),$V$1006:$AE$1006,0)), HYPERLINK("#",""), HYPERLINK(CONCATENATE("#Metadata!", ADDRESS(INDEX($Q$2:$Q$1001,MATCH(ROWS($O$2:O84),$O$2:$O$1001,0),0), INDEX($V$1004:$AE$1004,1,MATCH(COLUMNS($V$1006:AB1006),$V$1006:$AE$1006,0)))),"Fix")))</f>
        <v>0</v>
      </c>
      <c r="I84" s="4">
        <f>IF(OR(INDEX($P$2:$P$1001,MATCH(ROWS($O$2:O84),$O$2:$O$1001,0),1)&gt;=100000,INDEX($V$1005:$AE$1005,1,MATCH(COLUMNS($V$1006:AC1006),$V$1006:$AE$1006,0))&gt;=100000), " ",IF(INDEX($V$2:$AE$1001,MATCH(ROWS($O$2:O84),$O$2:$O$1001,0),MATCH(COLUMNS($V$1006:AC1006),$V$1006:$AE$1006,0)), HYPERLINK("#",""), HYPERLINK(CONCATENATE("#Metadata!", ADDRESS(INDEX($Q$2:$Q$1001,MATCH(ROWS($O$2:O84),$O$2:$O$1001,0),0), INDEX($V$1004:$AE$1004,1,MATCH(COLUMNS($V$1006:AC1006),$V$1006:$AE$1006,0)))),"Fix")))</f>
        <v>0</v>
      </c>
      <c r="J84" s="4">
        <f>IF(OR(INDEX($P$2:$P$1001,MATCH(ROWS($O$2:O84),$O$2:$O$1001,0),1)&gt;=100000,INDEX($V$1005:$AE$1005,1,MATCH(COLUMNS($V$1006:AD1006),$V$1006:$AE$1006,0))&gt;=100000), " ",IF(INDEX($V$2:$AE$1001,MATCH(ROWS($O$2:O84),$O$2:$O$1001,0),MATCH(COLUMNS($V$1006:AD1006),$V$1006:$AE$1006,0)), HYPERLINK("#",""), HYPERLINK(CONCATENATE("#Metadata!", ADDRESS(INDEX($Q$2:$Q$1001,MATCH(ROWS($O$2:O84),$O$2:$O$1001,0),0), INDEX($V$1004:$AE$1004,1,MATCH(COLUMNS($V$1006:AD1006),$V$1006:$AE$1006,0)))),"Fix")))</f>
        <v>0</v>
      </c>
      <c r="K84" s="4">
        <f>IF(OR(INDEX($P$2:$P$1001,MATCH(ROWS($O$2:O84),$O$2:$O$1001,0),1)&gt;=100000,INDEX($V$1005:$AE$1005,1,MATCH(COLUMNS($V$1006:AE1006),$V$1006:$AE$1006,0))&gt;=100000), " ",IF(INDEX($V$2:$AE$1001,MATCH(ROWS($O$2:O84),$O$2:$O$1001,0),MATCH(COLUMNS($V$1006:AE1006),$V$1006:$AE$1006,0)), HYPERLINK("#",""), HYPERLINK(CONCATENATE("#Metadata!", ADDRESS(INDEX($Q$2:$Q$1001,MATCH(ROWS($O$2:O84),$O$2:$O$1001,0),0), INDEX($V$1004:$AE$1004,1,MATCH(COLUMNS($V$1006:AE1006),$V$1006:$AE$1006,0)))),"Fix")))</f>
        <v>0</v>
      </c>
      <c r="O84">
        <v>0</v>
      </c>
      <c r="P84">
        <v>0</v>
      </c>
      <c r="Q84">
        <v>0</v>
      </c>
      <c r="R84">
        <f>IF(S84,TRUE,AND(V84:AE84))</f>
        <v>0</v>
      </c>
      <c r="S84">
        <f>COUNTBLANK(Metadata!B84:K84)=COLUMNS(Metadata!B84:K84)</f>
        <v>0</v>
      </c>
      <c r="T84">
        <v>0</v>
      </c>
      <c r="V84">
        <f>AND(IF(Metadata!B84="",FALSE,TRUE),COUNTIF(Metadata!B:B, Metadata!B84) = 1,NOT(ISERROR(SUMPRODUCT(SEARCH(MID(Metadata!B84,ROW(INDIRECT("1:"&amp;LEN(Metadata!B84))), 1),"0123456789abcdefghijklmnopqrstuvwxyzABCDEFGHIJKLMNOPQRSTUVWXYZ.")))))</f>
        <v>0</v>
      </c>
      <c r="W84">
        <f>AND(IF(Metadata!C84="",FALSE,TRUE),exact(Metadata!C84,"urban biome"))</f>
        <v>0</v>
      </c>
      <c r="X84">
        <f>AND(IF(Metadata!D84="",FALSE,TRUE),exact(Metadata!D84,"animal-associated habitat"))</f>
        <v>0</v>
      </c>
      <c r="Y84">
        <f>OR(AND(IF(Metadata!E84="",FALSE,TRUE),OR(exact(Metadata!E84,"not applicable"),exact(Metadata!E84,"missing: not collected"),exact(Metadata!E84,"missing: not provided"),exact(Metadata!E84,"missing: restricted access"))),AND(IF(Metadata!E84="",FALSE,ISNUMBER(VALUE(Metadata!E84))),Metadata!E84&gt;0))</f>
        <v>0</v>
      </c>
      <c r="Z84">
        <f>AND(IF(Metadata!F84="",FALSE,TRUE),exact(Metadata!F84,"weeks"))</f>
        <v>0</v>
      </c>
      <c r="AA84">
        <f>AND(IF(Metadata!G84="",FALSE,TRUE),exact(Metadata!G84,"mouse"))</f>
        <v>0</v>
      </c>
      <c r="AB84">
        <f>AND(IF(Metadata!H84="",FALSE,TRUE),exact(Metadata!H84,"Mus musculus"))</f>
        <v>0</v>
      </c>
      <c r="AC84">
        <f>AND(IF(Metadata!I84="",FALSE,TRUE),exact(Metadata!I84,"10090"))</f>
        <v>0</v>
      </c>
      <c r="AD84">
        <f>OR(AND(IF(Metadata!J84="",FALSE,TRUE),OR(exact(Metadata!J84,"not applicable"),exact(Metadata!J84,"missing: not collected"),exact(Metadata!J84,"missing: not provided"),exact(Metadata!J84,"missing: restricted access"))),AND(IF(Metadata!J84="",FALSE,ISNUMBER(VALUE(Metadata!J84))),Metadata!J84&gt;0))</f>
        <v>0</v>
      </c>
      <c r="AE84">
        <f>AND(IF(Metadata!K84="",FALSE,TRUE),exact(Metadata!K84,"g"))</f>
        <v>0</v>
      </c>
    </row>
    <row r="85" spans="1:31">
      <c r="A85" s="5">
        <f>IF(B85=" "," ",HYPERLINK(CONCATENATE("#metadata!",ADDRESS(INDEX($Q$2:$Q$1001,MATCH(ROWS($O$2:O85),$O$2:$O$1001,0),0),1)),INDEX($T$2:$T$1001,MATCH(ROWS($O$2:O85),$O$2:$O$1001,0),0)))</f>
        <v>0</v>
      </c>
      <c r="B85" s="4">
        <f>IF(OR(INDEX($P$2:$P$1001,MATCH(ROWS($O$2:O85),$O$2:$O$1001,0),1)&gt;=100000,INDEX($V$1005:$AE$1005,1,MATCH(COLUMNS($V$1006:V1006),$V$1006:$AE$1006,0))&gt;=100000), " ",IF(INDEX($V$2:$AE$1001,MATCH(ROWS($O$2:O85),$O$2:$O$1001,0),MATCH(COLUMNS($V$1006:V1006),$V$1006:$AE$1006,0)), HYPERLINK("#",""), HYPERLINK(CONCATENATE("#Metadata!", ADDRESS(INDEX($Q$2:$Q$1001,MATCH(ROWS($O$2:O85),$O$2:$O$1001,0),0), INDEX($V$1004:$AE$1004,1,MATCH(COLUMNS($V$1006:V1006),$V$1006:$AE$1006,0)))),"Fix")))</f>
        <v>0</v>
      </c>
      <c r="C85" s="4">
        <f>IF(OR(INDEX($P$2:$P$1001,MATCH(ROWS($O$2:O85),$O$2:$O$1001,0),1)&gt;=100000,INDEX($V$1005:$AE$1005,1,MATCH(COLUMNS($V$1006:W1006),$V$1006:$AE$1006,0))&gt;=100000), " ",IF(INDEX($V$2:$AE$1001,MATCH(ROWS($O$2:O85),$O$2:$O$1001,0),MATCH(COLUMNS($V$1006:W1006),$V$1006:$AE$1006,0)), HYPERLINK("#",""), HYPERLINK(CONCATENATE("#Metadata!", ADDRESS(INDEX($Q$2:$Q$1001,MATCH(ROWS($O$2:O85),$O$2:$O$1001,0),0), INDEX($V$1004:$AE$1004,1,MATCH(COLUMNS($V$1006:W1006),$V$1006:$AE$1006,0)))),"Fix")))</f>
        <v>0</v>
      </c>
      <c r="D85" s="4">
        <f>IF(OR(INDEX($P$2:$P$1001,MATCH(ROWS($O$2:O85),$O$2:$O$1001,0),1)&gt;=100000,INDEX($V$1005:$AE$1005,1,MATCH(COLUMNS($V$1006:X1006),$V$1006:$AE$1006,0))&gt;=100000), " ",IF(INDEX($V$2:$AE$1001,MATCH(ROWS($O$2:O85),$O$2:$O$1001,0),MATCH(COLUMNS($V$1006:X1006),$V$1006:$AE$1006,0)), HYPERLINK("#",""), HYPERLINK(CONCATENATE("#Metadata!", ADDRESS(INDEX($Q$2:$Q$1001,MATCH(ROWS($O$2:O85),$O$2:$O$1001,0),0), INDEX($V$1004:$AE$1004,1,MATCH(COLUMNS($V$1006:X1006),$V$1006:$AE$1006,0)))),"Fix")))</f>
        <v>0</v>
      </c>
      <c r="E85" s="4">
        <f>IF(OR(INDEX($P$2:$P$1001,MATCH(ROWS($O$2:O85),$O$2:$O$1001,0),1)&gt;=100000,INDEX($V$1005:$AE$1005,1,MATCH(COLUMNS($V$1006:Y1006),$V$1006:$AE$1006,0))&gt;=100000), " ",IF(INDEX($V$2:$AE$1001,MATCH(ROWS($O$2:O85),$O$2:$O$1001,0),MATCH(COLUMNS($V$1006:Y1006),$V$1006:$AE$1006,0)), HYPERLINK("#",""), HYPERLINK(CONCATENATE("#Metadata!", ADDRESS(INDEX($Q$2:$Q$1001,MATCH(ROWS($O$2:O85),$O$2:$O$1001,0),0), INDEX($V$1004:$AE$1004,1,MATCH(COLUMNS($V$1006:Y1006),$V$1006:$AE$1006,0)))),"Fix")))</f>
        <v>0</v>
      </c>
      <c r="F85" s="4">
        <f>IF(OR(INDEX($P$2:$P$1001,MATCH(ROWS($O$2:O85),$O$2:$O$1001,0),1)&gt;=100000,INDEX($V$1005:$AE$1005,1,MATCH(COLUMNS($V$1006:Z1006),$V$1006:$AE$1006,0))&gt;=100000), " ",IF(INDEX($V$2:$AE$1001,MATCH(ROWS($O$2:O85),$O$2:$O$1001,0),MATCH(COLUMNS($V$1006:Z1006),$V$1006:$AE$1006,0)), HYPERLINK("#",""), HYPERLINK(CONCATENATE("#Metadata!", ADDRESS(INDEX($Q$2:$Q$1001,MATCH(ROWS($O$2:O85),$O$2:$O$1001,0),0), INDEX($V$1004:$AE$1004,1,MATCH(COLUMNS($V$1006:Z1006),$V$1006:$AE$1006,0)))),"Fix")))</f>
        <v>0</v>
      </c>
      <c r="G85" s="4">
        <f>IF(OR(INDEX($P$2:$P$1001,MATCH(ROWS($O$2:O85),$O$2:$O$1001,0),1)&gt;=100000,INDEX($V$1005:$AE$1005,1,MATCH(COLUMNS($V$1006:AA1006),$V$1006:$AE$1006,0))&gt;=100000), " ",IF(INDEX($V$2:$AE$1001,MATCH(ROWS($O$2:O85),$O$2:$O$1001,0),MATCH(COLUMNS($V$1006:AA1006),$V$1006:$AE$1006,0)), HYPERLINK("#",""), HYPERLINK(CONCATENATE("#Metadata!", ADDRESS(INDEX($Q$2:$Q$1001,MATCH(ROWS($O$2:O85),$O$2:$O$1001,0),0), INDEX($V$1004:$AE$1004,1,MATCH(COLUMNS($V$1006:AA1006),$V$1006:$AE$1006,0)))),"Fix")))</f>
        <v>0</v>
      </c>
      <c r="H85" s="4">
        <f>IF(OR(INDEX($P$2:$P$1001,MATCH(ROWS($O$2:O85),$O$2:$O$1001,0),1)&gt;=100000,INDEX($V$1005:$AE$1005,1,MATCH(COLUMNS($V$1006:AB1006),$V$1006:$AE$1006,0))&gt;=100000), " ",IF(INDEX($V$2:$AE$1001,MATCH(ROWS($O$2:O85),$O$2:$O$1001,0),MATCH(COLUMNS($V$1006:AB1006),$V$1006:$AE$1006,0)), HYPERLINK("#",""), HYPERLINK(CONCATENATE("#Metadata!", ADDRESS(INDEX($Q$2:$Q$1001,MATCH(ROWS($O$2:O85),$O$2:$O$1001,0),0), INDEX($V$1004:$AE$1004,1,MATCH(COLUMNS($V$1006:AB1006),$V$1006:$AE$1006,0)))),"Fix")))</f>
        <v>0</v>
      </c>
      <c r="I85" s="4">
        <f>IF(OR(INDEX($P$2:$P$1001,MATCH(ROWS($O$2:O85),$O$2:$O$1001,0),1)&gt;=100000,INDEX($V$1005:$AE$1005,1,MATCH(COLUMNS($V$1006:AC1006),$V$1006:$AE$1006,0))&gt;=100000), " ",IF(INDEX($V$2:$AE$1001,MATCH(ROWS($O$2:O85),$O$2:$O$1001,0),MATCH(COLUMNS($V$1006:AC1006),$V$1006:$AE$1006,0)), HYPERLINK("#",""), HYPERLINK(CONCATENATE("#Metadata!", ADDRESS(INDEX($Q$2:$Q$1001,MATCH(ROWS($O$2:O85),$O$2:$O$1001,0),0), INDEX($V$1004:$AE$1004,1,MATCH(COLUMNS($V$1006:AC1006),$V$1006:$AE$1006,0)))),"Fix")))</f>
        <v>0</v>
      </c>
      <c r="J85" s="4">
        <f>IF(OR(INDEX($P$2:$P$1001,MATCH(ROWS($O$2:O85),$O$2:$O$1001,0),1)&gt;=100000,INDEX($V$1005:$AE$1005,1,MATCH(COLUMNS($V$1006:AD1006),$V$1006:$AE$1006,0))&gt;=100000), " ",IF(INDEX($V$2:$AE$1001,MATCH(ROWS($O$2:O85),$O$2:$O$1001,0),MATCH(COLUMNS($V$1006:AD1006),$V$1006:$AE$1006,0)), HYPERLINK("#",""), HYPERLINK(CONCATENATE("#Metadata!", ADDRESS(INDEX($Q$2:$Q$1001,MATCH(ROWS($O$2:O85),$O$2:$O$1001,0),0), INDEX($V$1004:$AE$1004,1,MATCH(COLUMNS($V$1006:AD1006),$V$1006:$AE$1006,0)))),"Fix")))</f>
        <v>0</v>
      </c>
      <c r="K85" s="4">
        <f>IF(OR(INDEX($P$2:$P$1001,MATCH(ROWS($O$2:O85),$O$2:$O$1001,0),1)&gt;=100000,INDEX($V$1005:$AE$1005,1,MATCH(COLUMNS($V$1006:AE1006),$V$1006:$AE$1006,0))&gt;=100000), " ",IF(INDEX($V$2:$AE$1001,MATCH(ROWS($O$2:O85),$O$2:$O$1001,0),MATCH(COLUMNS($V$1006:AE1006),$V$1006:$AE$1006,0)), HYPERLINK("#",""), HYPERLINK(CONCATENATE("#Metadata!", ADDRESS(INDEX($Q$2:$Q$1001,MATCH(ROWS($O$2:O85),$O$2:$O$1001,0),0), INDEX($V$1004:$AE$1004,1,MATCH(COLUMNS($V$1006:AE1006),$V$1006:$AE$1006,0)))),"Fix")))</f>
        <v>0</v>
      </c>
      <c r="O85">
        <v>0</v>
      </c>
      <c r="P85">
        <v>0</v>
      </c>
      <c r="Q85">
        <v>0</v>
      </c>
      <c r="R85">
        <f>IF(S85,TRUE,AND(V85:AE85))</f>
        <v>0</v>
      </c>
      <c r="S85">
        <f>COUNTBLANK(Metadata!B85:K85)=COLUMNS(Metadata!B85:K85)</f>
        <v>0</v>
      </c>
      <c r="T85">
        <v>0</v>
      </c>
      <c r="V85">
        <f>AND(IF(Metadata!B85="",FALSE,TRUE),COUNTIF(Metadata!B:B, Metadata!B85) = 1,NOT(ISERROR(SUMPRODUCT(SEARCH(MID(Metadata!B85,ROW(INDIRECT("1:"&amp;LEN(Metadata!B85))), 1),"0123456789abcdefghijklmnopqrstuvwxyzABCDEFGHIJKLMNOPQRSTUVWXYZ.")))))</f>
        <v>0</v>
      </c>
      <c r="W85">
        <f>AND(IF(Metadata!C85="",FALSE,TRUE),exact(Metadata!C85,"urban biome"))</f>
        <v>0</v>
      </c>
      <c r="X85">
        <f>AND(IF(Metadata!D85="",FALSE,TRUE),exact(Metadata!D85,"animal-associated habitat"))</f>
        <v>0</v>
      </c>
      <c r="Y85">
        <f>OR(AND(IF(Metadata!E85="",FALSE,TRUE),OR(exact(Metadata!E85,"not applicable"),exact(Metadata!E85,"missing: not collected"),exact(Metadata!E85,"missing: not provided"),exact(Metadata!E85,"missing: restricted access"))),AND(IF(Metadata!E85="",FALSE,ISNUMBER(VALUE(Metadata!E85))),Metadata!E85&gt;0))</f>
        <v>0</v>
      </c>
      <c r="Z85">
        <f>AND(IF(Metadata!F85="",FALSE,TRUE),exact(Metadata!F85,"weeks"))</f>
        <v>0</v>
      </c>
      <c r="AA85">
        <f>AND(IF(Metadata!G85="",FALSE,TRUE),exact(Metadata!G85,"mouse"))</f>
        <v>0</v>
      </c>
      <c r="AB85">
        <f>AND(IF(Metadata!H85="",FALSE,TRUE),exact(Metadata!H85,"Mus musculus"))</f>
        <v>0</v>
      </c>
      <c r="AC85">
        <f>AND(IF(Metadata!I85="",FALSE,TRUE),exact(Metadata!I85,"10090"))</f>
        <v>0</v>
      </c>
      <c r="AD85">
        <f>OR(AND(IF(Metadata!J85="",FALSE,TRUE),OR(exact(Metadata!J85,"not applicable"),exact(Metadata!J85,"missing: not collected"),exact(Metadata!J85,"missing: not provided"),exact(Metadata!J85,"missing: restricted access"))),AND(IF(Metadata!J85="",FALSE,ISNUMBER(VALUE(Metadata!J85))),Metadata!J85&gt;0))</f>
        <v>0</v>
      </c>
      <c r="AE85">
        <f>AND(IF(Metadata!K85="",FALSE,TRUE),exact(Metadata!K85,"g"))</f>
        <v>0</v>
      </c>
    </row>
    <row r="86" spans="1:31">
      <c r="A86" s="5">
        <f>IF(B86=" "," ",HYPERLINK(CONCATENATE("#metadata!",ADDRESS(INDEX($Q$2:$Q$1001,MATCH(ROWS($O$2:O86),$O$2:$O$1001,0),0),1)),INDEX($T$2:$T$1001,MATCH(ROWS($O$2:O86),$O$2:$O$1001,0),0)))</f>
        <v>0</v>
      </c>
      <c r="B86" s="4">
        <f>IF(OR(INDEX($P$2:$P$1001,MATCH(ROWS($O$2:O86),$O$2:$O$1001,0),1)&gt;=100000,INDEX($V$1005:$AE$1005,1,MATCH(COLUMNS($V$1006:V1006),$V$1006:$AE$1006,0))&gt;=100000), " ",IF(INDEX($V$2:$AE$1001,MATCH(ROWS($O$2:O86),$O$2:$O$1001,0),MATCH(COLUMNS($V$1006:V1006),$V$1006:$AE$1006,0)), HYPERLINK("#",""), HYPERLINK(CONCATENATE("#Metadata!", ADDRESS(INDEX($Q$2:$Q$1001,MATCH(ROWS($O$2:O86),$O$2:$O$1001,0),0), INDEX($V$1004:$AE$1004,1,MATCH(COLUMNS($V$1006:V1006),$V$1006:$AE$1006,0)))),"Fix")))</f>
        <v>0</v>
      </c>
      <c r="C86" s="4">
        <f>IF(OR(INDEX($P$2:$P$1001,MATCH(ROWS($O$2:O86),$O$2:$O$1001,0),1)&gt;=100000,INDEX($V$1005:$AE$1005,1,MATCH(COLUMNS($V$1006:W1006),$V$1006:$AE$1006,0))&gt;=100000), " ",IF(INDEX($V$2:$AE$1001,MATCH(ROWS($O$2:O86),$O$2:$O$1001,0),MATCH(COLUMNS($V$1006:W1006),$V$1006:$AE$1006,0)), HYPERLINK("#",""), HYPERLINK(CONCATENATE("#Metadata!", ADDRESS(INDEX($Q$2:$Q$1001,MATCH(ROWS($O$2:O86),$O$2:$O$1001,0),0), INDEX($V$1004:$AE$1004,1,MATCH(COLUMNS($V$1006:W1006),$V$1006:$AE$1006,0)))),"Fix")))</f>
        <v>0</v>
      </c>
      <c r="D86" s="4">
        <f>IF(OR(INDEX($P$2:$P$1001,MATCH(ROWS($O$2:O86),$O$2:$O$1001,0),1)&gt;=100000,INDEX($V$1005:$AE$1005,1,MATCH(COLUMNS($V$1006:X1006),$V$1006:$AE$1006,0))&gt;=100000), " ",IF(INDEX($V$2:$AE$1001,MATCH(ROWS($O$2:O86),$O$2:$O$1001,0),MATCH(COLUMNS($V$1006:X1006),$V$1006:$AE$1006,0)), HYPERLINK("#",""), HYPERLINK(CONCATENATE("#Metadata!", ADDRESS(INDEX($Q$2:$Q$1001,MATCH(ROWS($O$2:O86),$O$2:$O$1001,0),0), INDEX($V$1004:$AE$1004,1,MATCH(COLUMNS($V$1006:X1006),$V$1006:$AE$1006,0)))),"Fix")))</f>
        <v>0</v>
      </c>
      <c r="E86" s="4">
        <f>IF(OR(INDEX($P$2:$P$1001,MATCH(ROWS($O$2:O86),$O$2:$O$1001,0),1)&gt;=100000,INDEX($V$1005:$AE$1005,1,MATCH(COLUMNS($V$1006:Y1006),$V$1006:$AE$1006,0))&gt;=100000), " ",IF(INDEX($V$2:$AE$1001,MATCH(ROWS($O$2:O86),$O$2:$O$1001,0),MATCH(COLUMNS($V$1006:Y1006),$V$1006:$AE$1006,0)), HYPERLINK("#",""), HYPERLINK(CONCATENATE("#Metadata!", ADDRESS(INDEX($Q$2:$Q$1001,MATCH(ROWS($O$2:O86),$O$2:$O$1001,0),0), INDEX($V$1004:$AE$1004,1,MATCH(COLUMNS($V$1006:Y1006),$V$1006:$AE$1006,0)))),"Fix")))</f>
        <v>0</v>
      </c>
      <c r="F86" s="4">
        <f>IF(OR(INDEX($P$2:$P$1001,MATCH(ROWS($O$2:O86),$O$2:$O$1001,0),1)&gt;=100000,INDEX($V$1005:$AE$1005,1,MATCH(COLUMNS($V$1006:Z1006),$V$1006:$AE$1006,0))&gt;=100000), " ",IF(INDEX($V$2:$AE$1001,MATCH(ROWS($O$2:O86),$O$2:$O$1001,0),MATCH(COLUMNS($V$1006:Z1006),$V$1006:$AE$1006,0)), HYPERLINK("#",""), HYPERLINK(CONCATENATE("#Metadata!", ADDRESS(INDEX($Q$2:$Q$1001,MATCH(ROWS($O$2:O86),$O$2:$O$1001,0),0), INDEX($V$1004:$AE$1004,1,MATCH(COLUMNS($V$1006:Z1006),$V$1006:$AE$1006,0)))),"Fix")))</f>
        <v>0</v>
      </c>
      <c r="G86" s="4">
        <f>IF(OR(INDEX($P$2:$P$1001,MATCH(ROWS($O$2:O86),$O$2:$O$1001,0),1)&gt;=100000,INDEX($V$1005:$AE$1005,1,MATCH(COLUMNS($V$1006:AA1006),$V$1006:$AE$1006,0))&gt;=100000), " ",IF(INDEX($V$2:$AE$1001,MATCH(ROWS($O$2:O86),$O$2:$O$1001,0),MATCH(COLUMNS($V$1006:AA1006),$V$1006:$AE$1006,0)), HYPERLINK("#",""), HYPERLINK(CONCATENATE("#Metadata!", ADDRESS(INDEX($Q$2:$Q$1001,MATCH(ROWS($O$2:O86),$O$2:$O$1001,0),0), INDEX($V$1004:$AE$1004,1,MATCH(COLUMNS($V$1006:AA1006),$V$1006:$AE$1006,0)))),"Fix")))</f>
        <v>0</v>
      </c>
      <c r="H86" s="4">
        <f>IF(OR(INDEX($P$2:$P$1001,MATCH(ROWS($O$2:O86),$O$2:$O$1001,0),1)&gt;=100000,INDEX($V$1005:$AE$1005,1,MATCH(COLUMNS($V$1006:AB1006),$V$1006:$AE$1006,0))&gt;=100000), " ",IF(INDEX($V$2:$AE$1001,MATCH(ROWS($O$2:O86),$O$2:$O$1001,0),MATCH(COLUMNS($V$1006:AB1006),$V$1006:$AE$1006,0)), HYPERLINK("#",""), HYPERLINK(CONCATENATE("#Metadata!", ADDRESS(INDEX($Q$2:$Q$1001,MATCH(ROWS($O$2:O86),$O$2:$O$1001,0),0), INDEX($V$1004:$AE$1004,1,MATCH(COLUMNS($V$1006:AB1006),$V$1006:$AE$1006,0)))),"Fix")))</f>
        <v>0</v>
      </c>
      <c r="I86" s="4">
        <f>IF(OR(INDEX($P$2:$P$1001,MATCH(ROWS($O$2:O86),$O$2:$O$1001,0),1)&gt;=100000,INDEX($V$1005:$AE$1005,1,MATCH(COLUMNS($V$1006:AC1006),$V$1006:$AE$1006,0))&gt;=100000), " ",IF(INDEX($V$2:$AE$1001,MATCH(ROWS($O$2:O86),$O$2:$O$1001,0),MATCH(COLUMNS($V$1006:AC1006),$V$1006:$AE$1006,0)), HYPERLINK("#",""), HYPERLINK(CONCATENATE("#Metadata!", ADDRESS(INDEX($Q$2:$Q$1001,MATCH(ROWS($O$2:O86),$O$2:$O$1001,0),0), INDEX($V$1004:$AE$1004,1,MATCH(COLUMNS($V$1006:AC1006),$V$1006:$AE$1006,0)))),"Fix")))</f>
        <v>0</v>
      </c>
      <c r="J86" s="4">
        <f>IF(OR(INDEX($P$2:$P$1001,MATCH(ROWS($O$2:O86),$O$2:$O$1001,0),1)&gt;=100000,INDEX($V$1005:$AE$1005,1,MATCH(COLUMNS($V$1006:AD1006),$V$1006:$AE$1006,0))&gt;=100000), " ",IF(INDEX($V$2:$AE$1001,MATCH(ROWS($O$2:O86),$O$2:$O$1001,0),MATCH(COLUMNS($V$1006:AD1006),$V$1006:$AE$1006,0)), HYPERLINK("#",""), HYPERLINK(CONCATENATE("#Metadata!", ADDRESS(INDEX($Q$2:$Q$1001,MATCH(ROWS($O$2:O86),$O$2:$O$1001,0),0), INDEX($V$1004:$AE$1004,1,MATCH(COLUMNS($V$1006:AD1006),$V$1006:$AE$1006,0)))),"Fix")))</f>
        <v>0</v>
      </c>
      <c r="K86" s="4">
        <f>IF(OR(INDEX($P$2:$P$1001,MATCH(ROWS($O$2:O86),$O$2:$O$1001,0),1)&gt;=100000,INDEX($V$1005:$AE$1005,1,MATCH(COLUMNS($V$1006:AE1006),$V$1006:$AE$1006,0))&gt;=100000), " ",IF(INDEX($V$2:$AE$1001,MATCH(ROWS($O$2:O86),$O$2:$O$1001,0),MATCH(COLUMNS($V$1006:AE1006),$V$1006:$AE$1006,0)), HYPERLINK("#",""), HYPERLINK(CONCATENATE("#Metadata!", ADDRESS(INDEX($Q$2:$Q$1001,MATCH(ROWS($O$2:O86),$O$2:$O$1001,0),0), INDEX($V$1004:$AE$1004,1,MATCH(COLUMNS($V$1006:AE1006),$V$1006:$AE$1006,0)))),"Fix")))</f>
        <v>0</v>
      </c>
      <c r="O86">
        <v>0</v>
      </c>
      <c r="P86">
        <v>0</v>
      </c>
      <c r="Q86">
        <v>0</v>
      </c>
      <c r="R86">
        <f>IF(S86,TRUE,AND(V86:AE86))</f>
        <v>0</v>
      </c>
      <c r="S86">
        <f>COUNTBLANK(Metadata!B86:K86)=COLUMNS(Metadata!B86:K86)</f>
        <v>0</v>
      </c>
      <c r="T86">
        <v>0</v>
      </c>
      <c r="V86">
        <f>AND(IF(Metadata!B86="",FALSE,TRUE),COUNTIF(Metadata!B:B, Metadata!B86) = 1,NOT(ISERROR(SUMPRODUCT(SEARCH(MID(Metadata!B86,ROW(INDIRECT("1:"&amp;LEN(Metadata!B86))), 1),"0123456789abcdefghijklmnopqrstuvwxyzABCDEFGHIJKLMNOPQRSTUVWXYZ.")))))</f>
        <v>0</v>
      </c>
      <c r="W86">
        <f>AND(IF(Metadata!C86="",FALSE,TRUE),exact(Metadata!C86,"urban biome"))</f>
        <v>0</v>
      </c>
      <c r="X86">
        <f>AND(IF(Metadata!D86="",FALSE,TRUE),exact(Metadata!D86,"animal-associated habitat"))</f>
        <v>0</v>
      </c>
      <c r="Y86">
        <f>OR(AND(IF(Metadata!E86="",FALSE,TRUE),OR(exact(Metadata!E86,"not applicable"),exact(Metadata!E86,"missing: not collected"),exact(Metadata!E86,"missing: not provided"),exact(Metadata!E86,"missing: restricted access"))),AND(IF(Metadata!E86="",FALSE,ISNUMBER(VALUE(Metadata!E86))),Metadata!E86&gt;0))</f>
        <v>0</v>
      </c>
      <c r="Z86">
        <f>AND(IF(Metadata!F86="",FALSE,TRUE),exact(Metadata!F86,"weeks"))</f>
        <v>0</v>
      </c>
      <c r="AA86">
        <f>AND(IF(Metadata!G86="",FALSE,TRUE),exact(Metadata!G86,"mouse"))</f>
        <v>0</v>
      </c>
      <c r="AB86">
        <f>AND(IF(Metadata!H86="",FALSE,TRUE),exact(Metadata!H86,"Mus musculus"))</f>
        <v>0</v>
      </c>
      <c r="AC86">
        <f>AND(IF(Metadata!I86="",FALSE,TRUE),exact(Metadata!I86,"10090"))</f>
        <v>0</v>
      </c>
      <c r="AD86">
        <f>OR(AND(IF(Metadata!J86="",FALSE,TRUE),OR(exact(Metadata!J86,"not applicable"),exact(Metadata!J86,"missing: not collected"),exact(Metadata!J86,"missing: not provided"),exact(Metadata!J86,"missing: restricted access"))),AND(IF(Metadata!J86="",FALSE,ISNUMBER(VALUE(Metadata!J86))),Metadata!J86&gt;0))</f>
        <v>0</v>
      </c>
      <c r="AE86">
        <f>AND(IF(Metadata!K86="",FALSE,TRUE),exact(Metadata!K86,"g"))</f>
        <v>0</v>
      </c>
    </row>
    <row r="87" spans="1:31">
      <c r="A87" s="5">
        <f>IF(B87=" "," ",HYPERLINK(CONCATENATE("#metadata!",ADDRESS(INDEX($Q$2:$Q$1001,MATCH(ROWS($O$2:O87),$O$2:$O$1001,0),0),1)),INDEX($T$2:$T$1001,MATCH(ROWS($O$2:O87),$O$2:$O$1001,0),0)))</f>
        <v>0</v>
      </c>
      <c r="B87" s="4">
        <f>IF(OR(INDEX($P$2:$P$1001,MATCH(ROWS($O$2:O87),$O$2:$O$1001,0),1)&gt;=100000,INDEX($V$1005:$AE$1005,1,MATCH(COLUMNS($V$1006:V1006),$V$1006:$AE$1006,0))&gt;=100000), " ",IF(INDEX($V$2:$AE$1001,MATCH(ROWS($O$2:O87),$O$2:$O$1001,0),MATCH(COLUMNS($V$1006:V1006),$V$1006:$AE$1006,0)), HYPERLINK("#",""), HYPERLINK(CONCATENATE("#Metadata!", ADDRESS(INDEX($Q$2:$Q$1001,MATCH(ROWS($O$2:O87),$O$2:$O$1001,0),0), INDEX($V$1004:$AE$1004,1,MATCH(COLUMNS($V$1006:V1006),$V$1006:$AE$1006,0)))),"Fix")))</f>
        <v>0</v>
      </c>
      <c r="C87" s="4">
        <f>IF(OR(INDEX($P$2:$P$1001,MATCH(ROWS($O$2:O87),$O$2:$O$1001,0),1)&gt;=100000,INDEX($V$1005:$AE$1005,1,MATCH(COLUMNS($V$1006:W1006),$V$1006:$AE$1006,0))&gt;=100000), " ",IF(INDEX($V$2:$AE$1001,MATCH(ROWS($O$2:O87),$O$2:$O$1001,0),MATCH(COLUMNS($V$1006:W1006),$V$1006:$AE$1006,0)), HYPERLINK("#",""), HYPERLINK(CONCATENATE("#Metadata!", ADDRESS(INDEX($Q$2:$Q$1001,MATCH(ROWS($O$2:O87),$O$2:$O$1001,0),0), INDEX($V$1004:$AE$1004,1,MATCH(COLUMNS($V$1006:W1006),$V$1006:$AE$1006,0)))),"Fix")))</f>
        <v>0</v>
      </c>
      <c r="D87" s="4">
        <f>IF(OR(INDEX($P$2:$P$1001,MATCH(ROWS($O$2:O87),$O$2:$O$1001,0),1)&gt;=100000,INDEX($V$1005:$AE$1005,1,MATCH(COLUMNS($V$1006:X1006),$V$1006:$AE$1006,0))&gt;=100000), " ",IF(INDEX($V$2:$AE$1001,MATCH(ROWS($O$2:O87),$O$2:$O$1001,0),MATCH(COLUMNS($V$1006:X1006),$V$1006:$AE$1006,0)), HYPERLINK("#",""), HYPERLINK(CONCATENATE("#Metadata!", ADDRESS(INDEX($Q$2:$Q$1001,MATCH(ROWS($O$2:O87),$O$2:$O$1001,0),0), INDEX($V$1004:$AE$1004,1,MATCH(COLUMNS($V$1006:X1006),$V$1006:$AE$1006,0)))),"Fix")))</f>
        <v>0</v>
      </c>
      <c r="E87" s="4">
        <f>IF(OR(INDEX($P$2:$P$1001,MATCH(ROWS($O$2:O87),$O$2:$O$1001,0),1)&gt;=100000,INDEX($V$1005:$AE$1005,1,MATCH(COLUMNS($V$1006:Y1006),$V$1006:$AE$1006,0))&gt;=100000), " ",IF(INDEX($V$2:$AE$1001,MATCH(ROWS($O$2:O87),$O$2:$O$1001,0),MATCH(COLUMNS($V$1006:Y1006),$V$1006:$AE$1006,0)), HYPERLINK("#",""), HYPERLINK(CONCATENATE("#Metadata!", ADDRESS(INDEX($Q$2:$Q$1001,MATCH(ROWS($O$2:O87),$O$2:$O$1001,0),0), INDEX($V$1004:$AE$1004,1,MATCH(COLUMNS($V$1006:Y1006),$V$1006:$AE$1006,0)))),"Fix")))</f>
        <v>0</v>
      </c>
      <c r="F87" s="4">
        <f>IF(OR(INDEX($P$2:$P$1001,MATCH(ROWS($O$2:O87),$O$2:$O$1001,0),1)&gt;=100000,INDEX($V$1005:$AE$1005,1,MATCH(COLUMNS($V$1006:Z1006),$V$1006:$AE$1006,0))&gt;=100000), " ",IF(INDEX($V$2:$AE$1001,MATCH(ROWS($O$2:O87),$O$2:$O$1001,0),MATCH(COLUMNS($V$1006:Z1006),$V$1006:$AE$1006,0)), HYPERLINK("#",""), HYPERLINK(CONCATENATE("#Metadata!", ADDRESS(INDEX($Q$2:$Q$1001,MATCH(ROWS($O$2:O87),$O$2:$O$1001,0),0), INDEX($V$1004:$AE$1004,1,MATCH(COLUMNS($V$1006:Z1006),$V$1006:$AE$1006,0)))),"Fix")))</f>
        <v>0</v>
      </c>
      <c r="G87" s="4">
        <f>IF(OR(INDEX($P$2:$P$1001,MATCH(ROWS($O$2:O87),$O$2:$O$1001,0),1)&gt;=100000,INDEX($V$1005:$AE$1005,1,MATCH(COLUMNS($V$1006:AA1006),$V$1006:$AE$1006,0))&gt;=100000), " ",IF(INDEX($V$2:$AE$1001,MATCH(ROWS($O$2:O87),$O$2:$O$1001,0),MATCH(COLUMNS($V$1006:AA1006),$V$1006:$AE$1006,0)), HYPERLINK("#",""), HYPERLINK(CONCATENATE("#Metadata!", ADDRESS(INDEX($Q$2:$Q$1001,MATCH(ROWS($O$2:O87),$O$2:$O$1001,0),0), INDEX($V$1004:$AE$1004,1,MATCH(COLUMNS($V$1006:AA1006),$V$1006:$AE$1006,0)))),"Fix")))</f>
        <v>0</v>
      </c>
      <c r="H87" s="4">
        <f>IF(OR(INDEX($P$2:$P$1001,MATCH(ROWS($O$2:O87),$O$2:$O$1001,0),1)&gt;=100000,INDEX($V$1005:$AE$1005,1,MATCH(COLUMNS($V$1006:AB1006),$V$1006:$AE$1006,0))&gt;=100000), " ",IF(INDEX($V$2:$AE$1001,MATCH(ROWS($O$2:O87),$O$2:$O$1001,0),MATCH(COLUMNS($V$1006:AB1006),$V$1006:$AE$1006,0)), HYPERLINK("#",""), HYPERLINK(CONCATENATE("#Metadata!", ADDRESS(INDEX($Q$2:$Q$1001,MATCH(ROWS($O$2:O87),$O$2:$O$1001,0),0), INDEX($V$1004:$AE$1004,1,MATCH(COLUMNS($V$1006:AB1006),$V$1006:$AE$1006,0)))),"Fix")))</f>
        <v>0</v>
      </c>
      <c r="I87" s="4">
        <f>IF(OR(INDEX($P$2:$P$1001,MATCH(ROWS($O$2:O87),$O$2:$O$1001,0),1)&gt;=100000,INDEX($V$1005:$AE$1005,1,MATCH(COLUMNS($V$1006:AC1006),$V$1006:$AE$1006,0))&gt;=100000), " ",IF(INDEX($V$2:$AE$1001,MATCH(ROWS($O$2:O87),$O$2:$O$1001,0),MATCH(COLUMNS($V$1006:AC1006),$V$1006:$AE$1006,0)), HYPERLINK("#",""), HYPERLINK(CONCATENATE("#Metadata!", ADDRESS(INDEX($Q$2:$Q$1001,MATCH(ROWS($O$2:O87),$O$2:$O$1001,0),0), INDEX($V$1004:$AE$1004,1,MATCH(COLUMNS($V$1006:AC1006),$V$1006:$AE$1006,0)))),"Fix")))</f>
        <v>0</v>
      </c>
      <c r="J87" s="4">
        <f>IF(OR(INDEX($P$2:$P$1001,MATCH(ROWS($O$2:O87),$O$2:$O$1001,0),1)&gt;=100000,INDEX($V$1005:$AE$1005,1,MATCH(COLUMNS($V$1006:AD1006),$V$1006:$AE$1006,0))&gt;=100000), " ",IF(INDEX($V$2:$AE$1001,MATCH(ROWS($O$2:O87),$O$2:$O$1001,0),MATCH(COLUMNS($V$1006:AD1006),$V$1006:$AE$1006,0)), HYPERLINK("#",""), HYPERLINK(CONCATENATE("#Metadata!", ADDRESS(INDEX($Q$2:$Q$1001,MATCH(ROWS($O$2:O87),$O$2:$O$1001,0),0), INDEX($V$1004:$AE$1004,1,MATCH(COLUMNS($V$1006:AD1006),$V$1006:$AE$1006,0)))),"Fix")))</f>
        <v>0</v>
      </c>
      <c r="K87" s="4">
        <f>IF(OR(INDEX($P$2:$P$1001,MATCH(ROWS($O$2:O87),$O$2:$O$1001,0),1)&gt;=100000,INDEX($V$1005:$AE$1005,1,MATCH(COLUMNS($V$1006:AE1006),$V$1006:$AE$1006,0))&gt;=100000), " ",IF(INDEX($V$2:$AE$1001,MATCH(ROWS($O$2:O87),$O$2:$O$1001,0),MATCH(COLUMNS($V$1006:AE1006),$V$1006:$AE$1006,0)), HYPERLINK("#",""), HYPERLINK(CONCATENATE("#Metadata!", ADDRESS(INDEX($Q$2:$Q$1001,MATCH(ROWS($O$2:O87),$O$2:$O$1001,0),0), INDEX($V$1004:$AE$1004,1,MATCH(COLUMNS($V$1006:AE1006),$V$1006:$AE$1006,0)))),"Fix")))</f>
        <v>0</v>
      </c>
      <c r="O87">
        <v>0</v>
      </c>
      <c r="P87">
        <v>0</v>
      </c>
      <c r="Q87">
        <v>0</v>
      </c>
      <c r="R87">
        <f>IF(S87,TRUE,AND(V87:AE87))</f>
        <v>0</v>
      </c>
      <c r="S87">
        <f>COUNTBLANK(Metadata!B87:K87)=COLUMNS(Metadata!B87:K87)</f>
        <v>0</v>
      </c>
      <c r="T87">
        <v>0</v>
      </c>
      <c r="V87">
        <f>AND(IF(Metadata!B87="",FALSE,TRUE),COUNTIF(Metadata!B:B, Metadata!B87) = 1,NOT(ISERROR(SUMPRODUCT(SEARCH(MID(Metadata!B87,ROW(INDIRECT("1:"&amp;LEN(Metadata!B87))), 1),"0123456789abcdefghijklmnopqrstuvwxyzABCDEFGHIJKLMNOPQRSTUVWXYZ.")))))</f>
        <v>0</v>
      </c>
      <c r="W87">
        <f>AND(IF(Metadata!C87="",FALSE,TRUE),exact(Metadata!C87,"urban biome"))</f>
        <v>0</v>
      </c>
      <c r="X87">
        <f>AND(IF(Metadata!D87="",FALSE,TRUE),exact(Metadata!D87,"animal-associated habitat"))</f>
        <v>0</v>
      </c>
      <c r="Y87">
        <f>OR(AND(IF(Metadata!E87="",FALSE,TRUE),OR(exact(Metadata!E87,"not applicable"),exact(Metadata!E87,"missing: not collected"),exact(Metadata!E87,"missing: not provided"),exact(Metadata!E87,"missing: restricted access"))),AND(IF(Metadata!E87="",FALSE,ISNUMBER(VALUE(Metadata!E87))),Metadata!E87&gt;0))</f>
        <v>0</v>
      </c>
      <c r="Z87">
        <f>AND(IF(Metadata!F87="",FALSE,TRUE),exact(Metadata!F87,"weeks"))</f>
        <v>0</v>
      </c>
      <c r="AA87">
        <f>AND(IF(Metadata!G87="",FALSE,TRUE),exact(Metadata!G87,"mouse"))</f>
        <v>0</v>
      </c>
      <c r="AB87">
        <f>AND(IF(Metadata!H87="",FALSE,TRUE),exact(Metadata!H87,"Mus musculus"))</f>
        <v>0</v>
      </c>
      <c r="AC87">
        <f>AND(IF(Metadata!I87="",FALSE,TRUE),exact(Metadata!I87,"10090"))</f>
        <v>0</v>
      </c>
      <c r="AD87">
        <f>OR(AND(IF(Metadata!J87="",FALSE,TRUE),OR(exact(Metadata!J87,"not applicable"),exact(Metadata!J87,"missing: not collected"),exact(Metadata!J87,"missing: not provided"),exact(Metadata!J87,"missing: restricted access"))),AND(IF(Metadata!J87="",FALSE,ISNUMBER(VALUE(Metadata!J87))),Metadata!J87&gt;0))</f>
        <v>0</v>
      </c>
      <c r="AE87">
        <f>AND(IF(Metadata!K87="",FALSE,TRUE),exact(Metadata!K87,"g"))</f>
        <v>0</v>
      </c>
    </row>
    <row r="88" spans="1:31">
      <c r="A88" s="5">
        <f>IF(B88=" "," ",HYPERLINK(CONCATENATE("#metadata!",ADDRESS(INDEX($Q$2:$Q$1001,MATCH(ROWS($O$2:O88),$O$2:$O$1001,0),0),1)),INDEX($T$2:$T$1001,MATCH(ROWS($O$2:O88),$O$2:$O$1001,0),0)))</f>
        <v>0</v>
      </c>
      <c r="B88" s="4">
        <f>IF(OR(INDEX($P$2:$P$1001,MATCH(ROWS($O$2:O88),$O$2:$O$1001,0),1)&gt;=100000,INDEX($V$1005:$AE$1005,1,MATCH(COLUMNS($V$1006:V1006),$V$1006:$AE$1006,0))&gt;=100000), " ",IF(INDEX($V$2:$AE$1001,MATCH(ROWS($O$2:O88),$O$2:$O$1001,0),MATCH(COLUMNS($V$1006:V1006),$V$1006:$AE$1006,0)), HYPERLINK("#",""), HYPERLINK(CONCATENATE("#Metadata!", ADDRESS(INDEX($Q$2:$Q$1001,MATCH(ROWS($O$2:O88),$O$2:$O$1001,0),0), INDEX($V$1004:$AE$1004,1,MATCH(COLUMNS($V$1006:V1006),$V$1006:$AE$1006,0)))),"Fix")))</f>
        <v>0</v>
      </c>
      <c r="C88" s="4">
        <f>IF(OR(INDEX($P$2:$P$1001,MATCH(ROWS($O$2:O88),$O$2:$O$1001,0),1)&gt;=100000,INDEX($V$1005:$AE$1005,1,MATCH(COLUMNS($V$1006:W1006),$V$1006:$AE$1006,0))&gt;=100000), " ",IF(INDEX($V$2:$AE$1001,MATCH(ROWS($O$2:O88),$O$2:$O$1001,0),MATCH(COLUMNS($V$1006:W1006),$V$1006:$AE$1006,0)), HYPERLINK("#",""), HYPERLINK(CONCATENATE("#Metadata!", ADDRESS(INDEX($Q$2:$Q$1001,MATCH(ROWS($O$2:O88),$O$2:$O$1001,0),0), INDEX($V$1004:$AE$1004,1,MATCH(COLUMNS($V$1006:W1006),$V$1006:$AE$1006,0)))),"Fix")))</f>
        <v>0</v>
      </c>
      <c r="D88" s="4">
        <f>IF(OR(INDEX($P$2:$P$1001,MATCH(ROWS($O$2:O88),$O$2:$O$1001,0),1)&gt;=100000,INDEX($V$1005:$AE$1005,1,MATCH(COLUMNS($V$1006:X1006),$V$1006:$AE$1006,0))&gt;=100000), " ",IF(INDEX($V$2:$AE$1001,MATCH(ROWS($O$2:O88),$O$2:$O$1001,0),MATCH(COLUMNS($V$1006:X1006),$V$1006:$AE$1006,0)), HYPERLINK("#",""), HYPERLINK(CONCATENATE("#Metadata!", ADDRESS(INDEX($Q$2:$Q$1001,MATCH(ROWS($O$2:O88),$O$2:$O$1001,0),0), INDEX($V$1004:$AE$1004,1,MATCH(COLUMNS($V$1006:X1006),$V$1006:$AE$1006,0)))),"Fix")))</f>
        <v>0</v>
      </c>
      <c r="E88" s="4">
        <f>IF(OR(INDEX($P$2:$P$1001,MATCH(ROWS($O$2:O88),$O$2:$O$1001,0),1)&gt;=100000,INDEX($V$1005:$AE$1005,1,MATCH(COLUMNS($V$1006:Y1006),$V$1006:$AE$1006,0))&gt;=100000), " ",IF(INDEX($V$2:$AE$1001,MATCH(ROWS($O$2:O88),$O$2:$O$1001,0),MATCH(COLUMNS($V$1006:Y1006),$V$1006:$AE$1006,0)), HYPERLINK("#",""), HYPERLINK(CONCATENATE("#Metadata!", ADDRESS(INDEX($Q$2:$Q$1001,MATCH(ROWS($O$2:O88),$O$2:$O$1001,0),0), INDEX($V$1004:$AE$1004,1,MATCH(COLUMNS($V$1006:Y1006),$V$1006:$AE$1006,0)))),"Fix")))</f>
        <v>0</v>
      </c>
      <c r="F88" s="4">
        <f>IF(OR(INDEX($P$2:$P$1001,MATCH(ROWS($O$2:O88),$O$2:$O$1001,0),1)&gt;=100000,INDEX($V$1005:$AE$1005,1,MATCH(COLUMNS($V$1006:Z1006),$V$1006:$AE$1006,0))&gt;=100000), " ",IF(INDEX($V$2:$AE$1001,MATCH(ROWS($O$2:O88),$O$2:$O$1001,0),MATCH(COLUMNS($V$1006:Z1006),$V$1006:$AE$1006,0)), HYPERLINK("#",""), HYPERLINK(CONCATENATE("#Metadata!", ADDRESS(INDEX($Q$2:$Q$1001,MATCH(ROWS($O$2:O88),$O$2:$O$1001,0),0), INDEX($V$1004:$AE$1004,1,MATCH(COLUMNS($V$1006:Z1006),$V$1006:$AE$1006,0)))),"Fix")))</f>
        <v>0</v>
      </c>
      <c r="G88" s="4">
        <f>IF(OR(INDEX($P$2:$P$1001,MATCH(ROWS($O$2:O88),$O$2:$O$1001,0),1)&gt;=100000,INDEX($V$1005:$AE$1005,1,MATCH(COLUMNS($V$1006:AA1006),$V$1006:$AE$1006,0))&gt;=100000), " ",IF(INDEX($V$2:$AE$1001,MATCH(ROWS($O$2:O88),$O$2:$O$1001,0),MATCH(COLUMNS($V$1006:AA1006),$V$1006:$AE$1006,0)), HYPERLINK("#",""), HYPERLINK(CONCATENATE("#Metadata!", ADDRESS(INDEX($Q$2:$Q$1001,MATCH(ROWS($O$2:O88),$O$2:$O$1001,0),0), INDEX($V$1004:$AE$1004,1,MATCH(COLUMNS($V$1006:AA1006),$V$1006:$AE$1006,0)))),"Fix")))</f>
        <v>0</v>
      </c>
      <c r="H88" s="4">
        <f>IF(OR(INDEX($P$2:$P$1001,MATCH(ROWS($O$2:O88),$O$2:$O$1001,0),1)&gt;=100000,INDEX($V$1005:$AE$1005,1,MATCH(COLUMNS($V$1006:AB1006),$V$1006:$AE$1006,0))&gt;=100000), " ",IF(INDEX($V$2:$AE$1001,MATCH(ROWS($O$2:O88),$O$2:$O$1001,0),MATCH(COLUMNS($V$1006:AB1006),$V$1006:$AE$1006,0)), HYPERLINK("#",""), HYPERLINK(CONCATENATE("#Metadata!", ADDRESS(INDEX($Q$2:$Q$1001,MATCH(ROWS($O$2:O88),$O$2:$O$1001,0),0), INDEX($V$1004:$AE$1004,1,MATCH(COLUMNS($V$1006:AB1006),$V$1006:$AE$1006,0)))),"Fix")))</f>
        <v>0</v>
      </c>
      <c r="I88" s="4">
        <f>IF(OR(INDEX($P$2:$P$1001,MATCH(ROWS($O$2:O88),$O$2:$O$1001,0),1)&gt;=100000,INDEX($V$1005:$AE$1005,1,MATCH(COLUMNS($V$1006:AC1006),$V$1006:$AE$1006,0))&gt;=100000), " ",IF(INDEX($V$2:$AE$1001,MATCH(ROWS($O$2:O88),$O$2:$O$1001,0),MATCH(COLUMNS($V$1006:AC1006),$V$1006:$AE$1006,0)), HYPERLINK("#",""), HYPERLINK(CONCATENATE("#Metadata!", ADDRESS(INDEX($Q$2:$Q$1001,MATCH(ROWS($O$2:O88),$O$2:$O$1001,0),0), INDEX($V$1004:$AE$1004,1,MATCH(COLUMNS($V$1006:AC1006),$V$1006:$AE$1006,0)))),"Fix")))</f>
        <v>0</v>
      </c>
      <c r="J88" s="4">
        <f>IF(OR(INDEX($P$2:$P$1001,MATCH(ROWS($O$2:O88),$O$2:$O$1001,0),1)&gt;=100000,INDEX($V$1005:$AE$1005,1,MATCH(COLUMNS($V$1006:AD1006),$V$1006:$AE$1006,0))&gt;=100000), " ",IF(INDEX($V$2:$AE$1001,MATCH(ROWS($O$2:O88),$O$2:$O$1001,0),MATCH(COLUMNS($V$1006:AD1006),$V$1006:$AE$1006,0)), HYPERLINK("#",""), HYPERLINK(CONCATENATE("#Metadata!", ADDRESS(INDEX($Q$2:$Q$1001,MATCH(ROWS($O$2:O88),$O$2:$O$1001,0),0), INDEX($V$1004:$AE$1004,1,MATCH(COLUMNS($V$1006:AD1006),$V$1006:$AE$1006,0)))),"Fix")))</f>
        <v>0</v>
      </c>
      <c r="K88" s="4">
        <f>IF(OR(INDEX($P$2:$P$1001,MATCH(ROWS($O$2:O88),$O$2:$O$1001,0),1)&gt;=100000,INDEX($V$1005:$AE$1005,1,MATCH(COLUMNS($V$1006:AE1006),$V$1006:$AE$1006,0))&gt;=100000), " ",IF(INDEX($V$2:$AE$1001,MATCH(ROWS($O$2:O88),$O$2:$O$1001,0),MATCH(COLUMNS($V$1006:AE1006),$V$1006:$AE$1006,0)), HYPERLINK("#",""), HYPERLINK(CONCATENATE("#Metadata!", ADDRESS(INDEX($Q$2:$Q$1001,MATCH(ROWS($O$2:O88),$O$2:$O$1001,0),0), INDEX($V$1004:$AE$1004,1,MATCH(COLUMNS($V$1006:AE1006),$V$1006:$AE$1006,0)))),"Fix")))</f>
        <v>0</v>
      </c>
      <c r="O88">
        <v>0</v>
      </c>
      <c r="P88">
        <v>0</v>
      </c>
      <c r="Q88">
        <v>0</v>
      </c>
      <c r="R88">
        <f>IF(S88,TRUE,AND(V88:AE88))</f>
        <v>0</v>
      </c>
      <c r="S88">
        <f>COUNTBLANK(Metadata!B88:K88)=COLUMNS(Metadata!B88:K88)</f>
        <v>0</v>
      </c>
      <c r="T88">
        <v>0</v>
      </c>
      <c r="V88">
        <f>AND(IF(Metadata!B88="",FALSE,TRUE),COUNTIF(Metadata!B:B, Metadata!B88) = 1,NOT(ISERROR(SUMPRODUCT(SEARCH(MID(Metadata!B88,ROW(INDIRECT("1:"&amp;LEN(Metadata!B88))), 1),"0123456789abcdefghijklmnopqrstuvwxyzABCDEFGHIJKLMNOPQRSTUVWXYZ.")))))</f>
        <v>0</v>
      </c>
      <c r="W88">
        <f>AND(IF(Metadata!C88="",FALSE,TRUE),exact(Metadata!C88,"urban biome"))</f>
        <v>0</v>
      </c>
      <c r="X88">
        <f>AND(IF(Metadata!D88="",FALSE,TRUE),exact(Metadata!D88,"animal-associated habitat"))</f>
        <v>0</v>
      </c>
      <c r="Y88">
        <f>OR(AND(IF(Metadata!E88="",FALSE,TRUE),OR(exact(Metadata!E88,"not applicable"),exact(Metadata!E88,"missing: not collected"),exact(Metadata!E88,"missing: not provided"),exact(Metadata!E88,"missing: restricted access"))),AND(IF(Metadata!E88="",FALSE,ISNUMBER(VALUE(Metadata!E88))),Metadata!E88&gt;0))</f>
        <v>0</v>
      </c>
      <c r="Z88">
        <f>AND(IF(Metadata!F88="",FALSE,TRUE),exact(Metadata!F88,"weeks"))</f>
        <v>0</v>
      </c>
      <c r="AA88">
        <f>AND(IF(Metadata!G88="",FALSE,TRUE),exact(Metadata!G88,"mouse"))</f>
        <v>0</v>
      </c>
      <c r="AB88">
        <f>AND(IF(Metadata!H88="",FALSE,TRUE),exact(Metadata!H88,"Mus musculus"))</f>
        <v>0</v>
      </c>
      <c r="AC88">
        <f>AND(IF(Metadata!I88="",FALSE,TRUE),exact(Metadata!I88,"10090"))</f>
        <v>0</v>
      </c>
      <c r="AD88">
        <f>OR(AND(IF(Metadata!J88="",FALSE,TRUE),OR(exact(Metadata!J88,"not applicable"),exact(Metadata!J88,"missing: not collected"),exact(Metadata!J88,"missing: not provided"),exact(Metadata!J88,"missing: restricted access"))),AND(IF(Metadata!J88="",FALSE,ISNUMBER(VALUE(Metadata!J88))),Metadata!J88&gt;0))</f>
        <v>0</v>
      </c>
      <c r="AE88">
        <f>AND(IF(Metadata!K88="",FALSE,TRUE),exact(Metadata!K88,"g"))</f>
        <v>0</v>
      </c>
    </row>
    <row r="89" spans="1:31">
      <c r="A89" s="5">
        <f>IF(B89=" "," ",HYPERLINK(CONCATENATE("#metadata!",ADDRESS(INDEX($Q$2:$Q$1001,MATCH(ROWS($O$2:O89),$O$2:$O$1001,0),0),1)),INDEX($T$2:$T$1001,MATCH(ROWS($O$2:O89),$O$2:$O$1001,0),0)))</f>
        <v>0</v>
      </c>
      <c r="B89" s="4">
        <f>IF(OR(INDEX($P$2:$P$1001,MATCH(ROWS($O$2:O89),$O$2:$O$1001,0),1)&gt;=100000,INDEX($V$1005:$AE$1005,1,MATCH(COLUMNS($V$1006:V1006),$V$1006:$AE$1006,0))&gt;=100000), " ",IF(INDEX($V$2:$AE$1001,MATCH(ROWS($O$2:O89),$O$2:$O$1001,0),MATCH(COLUMNS($V$1006:V1006),$V$1006:$AE$1006,0)), HYPERLINK("#",""), HYPERLINK(CONCATENATE("#Metadata!", ADDRESS(INDEX($Q$2:$Q$1001,MATCH(ROWS($O$2:O89),$O$2:$O$1001,0),0), INDEX($V$1004:$AE$1004,1,MATCH(COLUMNS($V$1006:V1006),$V$1006:$AE$1006,0)))),"Fix")))</f>
        <v>0</v>
      </c>
      <c r="C89" s="4">
        <f>IF(OR(INDEX($P$2:$P$1001,MATCH(ROWS($O$2:O89),$O$2:$O$1001,0),1)&gt;=100000,INDEX($V$1005:$AE$1005,1,MATCH(COLUMNS($V$1006:W1006),$V$1006:$AE$1006,0))&gt;=100000), " ",IF(INDEX($V$2:$AE$1001,MATCH(ROWS($O$2:O89),$O$2:$O$1001,0),MATCH(COLUMNS($V$1006:W1006),$V$1006:$AE$1006,0)), HYPERLINK("#",""), HYPERLINK(CONCATENATE("#Metadata!", ADDRESS(INDEX($Q$2:$Q$1001,MATCH(ROWS($O$2:O89),$O$2:$O$1001,0),0), INDEX($V$1004:$AE$1004,1,MATCH(COLUMNS($V$1006:W1006),$V$1006:$AE$1006,0)))),"Fix")))</f>
        <v>0</v>
      </c>
      <c r="D89" s="4">
        <f>IF(OR(INDEX($P$2:$P$1001,MATCH(ROWS($O$2:O89),$O$2:$O$1001,0),1)&gt;=100000,INDEX($V$1005:$AE$1005,1,MATCH(COLUMNS($V$1006:X1006),$V$1006:$AE$1006,0))&gt;=100000), " ",IF(INDEX($V$2:$AE$1001,MATCH(ROWS($O$2:O89),$O$2:$O$1001,0),MATCH(COLUMNS($V$1006:X1006),$V$1006:$AE$1006,0)), HYPERLINK("#",""), HYPERLINK(CONCATENATE("#Metadata!", ADDRESS(INDEX($Q$2:$Q$1001,MATCH(ROWS($O$2:O89),$O$2:$O$1001,0),0), INDEX($V$1004:$AE$1004,1,MATCH(COLUMNS($V$1006:X1006),$V$1006:$AE$1006,0)))),"Fix")))</f>
        <v>0</v>
      </c>
      <c r="E89" s="4">
        <f>IF(OR(INDEX($P$2:$P$1001,MATCH(ROWS($O$2:O89),$O$2:$O$1001,0),1)&gt;=100000,INDEX($V$1005:$AE$1005,1,MATCH(COLUMNS($V$1006:Y1006),$V$1006:$AE$1006,0))&gt;=100000), " ",IF(INDEX($V$2:$AE$1001,MATCH(ROWS($O$2:O89),$O$2:$O$1001,0),MATCH(COLUMNS($V$1006:Y1006),$V$1006:$AE$1006,0)), HYPERLINK("#",""), HYPERLINK(CONCATENATE("#Metadata!", ADDRESS(INDEX($Q$2:$Q$1001,MATCH(ROWS($O$2:O89),$O$2:$O$1001,0),0), INDEX($V$1004:$AE$1004,1,MATCH(COLUMNS($V$1006:Y1006),$V$1006:$AE$1006,0)))),"Fix")))</f>
        <v>0</v>
      </c>
      <c r="F89" s="4">
        <f>IF(OR(INDEX($P$2:$P$1001,MATCH(ROWS($O$2:O89),$O$2:$O$1001,0),1)&gt;=100000,INDEX($V$1005:$AE$1005,1,MATCH(COLUMNS($V$1006:Z1006),$V$1006:$AE$1006,0))&gt;=100000), " ",IF(INDEX($V$2:$AE$1001,MATCH(ROWS($O$2:O89),$O$2:$O$1001,0),MATCH(COLUMNS($V$1006:Z1006),$V$1006:$AE$1006,0)), HYPERLINK("#",""), HYPERLINK(CONCATENATE("#Metadata!", ADDRESS(INDEX($Q$2:$Q$1001,MATCH(ROWS($O$2:O89),$O$2:$O$1001,0),0), INDEX($V$1004:$AE$1004,1,MATCH(COLUMNS($V$1006:Z1006),$V$1006:$AE$1006,0)))),"Fix")))</f>
        <v>0</v>
      </c>
      <c r="G89" s="4">
        <f>IF(OR(INDEX($P$2:$P$1001,MATCH(ROWS($O$2:O89),$O$2:$O$1001,0),1)&gt;=100000,INDEX($V$1005:$AE$1005,1,MATCH(COLUMNS($V$1006:AA1006),$V$1006:$AE$1006,0))&gt;=100000), " ",IF(INDEX($V$2:$AE$1001,MATCH(ROWS($O$2:O89),$O$2:$O$1001,0),MATCH(COLUMNS($V$1006:AA1006),$V$1006:$AE$1006,0)), HYPERLINK("#",""), HYPERLINK(CONCATENATE("#Metadata!", ADDRESS(INDEX($Q$2:$Q$1001,MATCH(ROWS($O$2:O89),$O$2:$O$1001,0),0), INDEX($V$1004:$AE$1004,1,MATCH(COLUMNS($V$1006:AA1006),$V$1006:$AE$1006,0)))),"Fix")))</f>
        <v>0</v>
      </c>
      <c r="H89" s="4">
        <f>IF(OR(INDEX($P$2:$P$1001,MATCH(ROWS($O$2:O89),$O$2:$O$1001,0),1)&gt;=100000,INDEX($V$1005:$AE$1005,1,MATCH(COLUMNS($V$1006:AB1006),$V$1006:$AE$1006,0))&gt;=100000), " ",IF(INDEX($V$2:$AE$1001,MATCH(ROWS($O$2:O89),$O$2:$O$1001,0),MATCH(COLUMNS($V$1006:AB1006),$V$1006:$AE$1006,0)), HYPERLINK("#",""), HYPERLINK(CONCATENATE("#Metadata!", ADDRESS(INDEX($Q$2:$Q$1001,MATCH(ROWS($O$2:O89),$O$2:$O$1001,0),0), INDEX($V$1004:$AE$1004,1,MATCH(COLUMNS($V$1006:AB1006),$V$1006:$AE$1006,0)))),"Fix")))</f>
        <v>0</v>
      </c>
      <c r="I89" s="4">
        <f>IF(OR(INDEX($P$2:$P$1001,MATCH(ROWS($O$2:O89),$O$2:$O$1001,0),1)&gt;=100000,INDEX($V$1005:$AE$1005,1,MATCH(COLUMNS($V$1006:AC1006),$V$1006:$AE$1006,0))&gt;=100000), " ",IF(INDEX($V$2:$AE$1001,MATCH(ROWS($O$2:O89),$O$2:$O$1001,0),MATCH(COLUMNS($V$1006:AC1006),$V$1006:$AE$1006,0)), HYPERLINK("#",""), HYPERLINK(CONCATENATE("#Metadata!", ADDRESS(INDEX($Q$2:$Q$1001,MATCH(ROWS($O$2:O89),$O$2:$O$1001,0),0), INDEX($V$1004:$AE$1004,1,MATCH(COLUMNS($V$1006:AC1006),$V$1006:$AE$1006,0)))),"Fix")))</f>
        <v>0</v>
      </c>
      <c r="J89" s="4">
        <f>IF(OR(INDEX($P$2:$P$1001,MATCH(ROWS($O$2:O89),$O$2:$O$1001,0),1)&gt;=100000,INDEX($V$1005:$AE$1005,1,MATCH(COLUMNS($V$1006:AD1006),$V$1006:$AE$1006,0))&gt;=100000), " ",IF(INDEX($V$2:$AE$1001,MATCH(ROWS($O$2:O89),$O$2:$O$1001,0),MATCH(COLUMNS($V$1006:AD1006),$V$1006:$AE$1006,0)), HYPERLINK("#",""), HYPERLINK(CONCATENATE("#Metadata!", ADDRESS(INDEX($Q$2:$Q$1001,MATCH(ROWS($O$2:O89),$O$2:$O$1001,0),0), INDEX($V$1004:$AE$1004,1,MATCH(COLUMNS($V$1006:AD1006),$V$1006:$AE$1006,0)))),"Fix")))</f>
        <v>0</v>
      </c>
      <c r="K89" s="4">
        <f>IF(OR(INDEX($P$2:$P$1001,MATCH(ROWS($O$2:O89),$O$2:$O$1001,0),1)&gt;=100000,INDEX($V$1005:$AE$1005,1,MATCH(COLUMNS($V$1006:AE1006),$V$1006:$AE$1006,0))&gt;=100000), " ",IF(INDEX($V$2:$AE$1001,MATCH(ROWS($O$2:O89),$O$2:$O$1001,0),MATCH(COLUMNS($V$1006:AE1006),$V$1006:$AE$1006,0)), HYPERLINK("#",""), HYPERLINK(CONCATENATE("#Metadata!", ADDRESS(INDEX($Q$2:$Q$1001,MATCH(ROWS($O$2:O89),$O$2:$O$1001,0),0), INDEX($V$1004:$AE$1004,1,MATCH(COLUMNS($V$1006:AE1006),$V$1006:$AE$1006,0)))),"Fix")))</f>
        <v>0</v>
      </c>
      <c r="O89">
        <v>0</v>
      </c>
      <c r="P89">
        <v>0</v>
      </c>
      <c r="Q89">
        <v>0</v>
      </c>
      <c r="R89">
        <f>IF(S89,TRUE,AND(V89:AE89))</f>
        <v>0</v>
      </c>
      <c r="S89">
        <f>COUNTBLANK(Metadata!B89:K89)=COLUMNS(Metadata!B89:K89)</f>
        <v>0</v>
      </c>
      <c r="T89">
        <v>0</v>
      </c>
      <c r="V89">
        <f>AND(IF(Metadata!B89="",FALSE,TRUE),COUNTIF(Metadata!B:B, Metadata!B89) = 1,NOT(ISERROR(SUMPRODUCT(SEARCH(MID(Metadata!B89,ROW(INDIRECT("1:"&amp;LEN(Metadata!B89))), 1),"0123456789abcdefghijklmnopqrstuvwxyzABCDEFGHIJKLMNOPQRSTUVWXYZ.")))))</f>
        <v>0</v>
      </c>
      <c r="W89">
        <f>AND(IF(Metadata!C89="",FALSE,TRUE),exact(Metadata!C89,"urban biome"))</f>
        <v>0</v>
      </c>
      <c r="X89">
        <f>AND(IF(Metadata!D89="",FALSE,TRUE),exact(Metadata!D89,"animal-associated habitat"))</f>
        <v>0</v>
      </c>
      <c r="Y89">
        <f>OR(AND(IF(Metadata!E89="",FALSE,TRUE),OR(exact(Metadata!E89,"not applicable"),exact(Metadata!E89,"missing: not collected"),exact(Metadata!E89,"missing: not provided"),exact(Metadata!E89,"missing: restricted access"))),AND(IF(Metadata!E89="",FALSE,ISNUMBER(VALUE(Metadata!E89))),Metadata!E89&gt;0))</f>
        <v>0</v>
      </c>
      <c r="Z89">
        <f>AND(IF(Metadata!F89="",FALSE,TRUE),exact(Metadata!F89,"weeks"))</f>
        <v>0</v>
      </c>
      <c r="AA89">
        <f>AND(IF(Metadata!G89="",FALSE,TRUE),exact(Metadata!G89,"mouse"))</f>
        <v>0</v>
      </c>
      <c r="AB89">
        <f>AND(IF(Metadata!H89="",FALSE,TRUE),exact(Metadata!H89,"Mus musculus"))</f>
        <v>0</v>
      </c>
      <c r="AC89">
        <f>AND(IF(Metadata!I89="",FALSE,TRUE),exact(Metadata!I89,"10090"))</f>
        <v>0</v>
      </c>
      <c r="AD89">
        <f>OR(AND(IF(Metadata!J89="",FALSE,TRUE),OR(exact(Metadata!J89,"not applicable"),exact(Metadata!J89,"missing: not collected"),exact(Metadata!J89,"missing: not provided"),exact(Metadata!J89,"missing: restricted access"))),AND(IF(Metadata!J89="",FALSE,ISNUMBER(VALUE(Metadata!J89))),Metadata!J89&gt;0))</f>
        <v>0</v>
      </c>
      <c r="AE89">
        <f>AND(IF(Metadata!K89="",FALSE,TRUE),exact(Metadata!K89,"g"))</f>
        <v>0</v>
      </c>
    </row>
    <row r="90" spans="1:31">
      <c r="A90" s="5">
        <f>IF(B90=" "," ",HYPERLINK(CONCATENATE("#metadata!",ADDRESS(INDEX($Q$2:$Q$1001,MATCH(ROWS($O$2:O90),$O$2:$O$1001,0),0),1)),INDEX($T$2:$T$1001,MATCH(ROWS($O$2:O90),$O$2:$O$1001,0),0)))</f>
        <v>0</v>
      </c>
      <c r="B90" s="4">
        <f>IF(OR(INDEX($P$2:$P$1001,MATCH(ROWS($O$2:O90),$O$2:$O$1001,0),1)&gt;=100000,INDEX($V$1005:$AE$1005,1,MATCH(COLUMNS($V$1006:V1006),$V$1006:$AE$1006,0))&gt;=100000), " ",IF(INDEX($V$2:$AE$1001,MATCH(ROWS($O$2:O90),$O$2:$O$1001,0),MATCH(COLUMNS($V$1006:V1006),$V$1006:$AE$1006,0)), HYPERLINK("#",""), HYPERLINK(CONCATENATE("#Metadata!", ADDRESS(INDEX($Q$2:$Q$1001,MATCH(ROWS($O$2:O90),$O$2:$O$1001,0),0), INDEX($V$1004:$AE$1004,1,MATCH(COLUMNS($V$1006:V1006),$V$1006:$AE$1006,0)))),"Fix")))</f>
        <v>0</v>
      </c>
      <c r="C90" s="4">
        <f>IF(OR(INDEX($P$2:$P$1001,MATCH(ROWS($O$2:O90),$O$2:$O$1001,0),1)&gt;=100000,INDEX($V$1005:$AE$1005,1,MATCH(COLUMNS($V$1006:W1006),$V$1006:$AE$1006,0))&gt;=100000), " ",IF(INDEX($V$2:$AE$1001,MATCH(ROWS($O$2:O90),$O$2:$O$1001,0),MATCH(COLUMNS($V$1006:W1006),$V$1006:$AE$1006,0)), HYPERLINK("#",""), HYPERLINK(CONCATENATE("#Metadata!", ADDRESS(INDEX($Q$2:$Q$1001,MATCH(ROWS($O$2:O90),$O$2:$O$1001,0),0), INDEX($V$1004:$AE$1004,1,MATCH(COLUMNS($V$1006:W1006),$V$1006:$AE$1006,0)))),"Fix")))</f>
        <v>0</v>
      </c>
      <c r="D90" s="4">
        <f>IF(OR(INDEX($P$2:$P$1001,MATCH(ROWS($O$2:O90),$O$2:$O$1001,0),1)&gt;=100000,INDEX($V$1005:$AE$1005,1,MATCH(COLUMNS($V$1006:X1006),$V$1006:$AE$1006,0))&gt;=100000), " ",IF(INDEX($V$2:$AE$1001,MATCH(ROWS($O$2:O90),$O$2:$O$1001,0),MATCH(COLUMNS($V$1006:X1006),$V$1006:$AE$1006,0)), HYPERLINK("#",""), HYPERLINK(CONCATENATE("#Metadata!", ADDRESS(INDEX($Q$2:$Q$1001,MATCH(ROWS($O$2:O90),$O$2:$O$1001,0),0), INDEX($V$1004:$AE$1004,1,MATCH(COLUMNS($V$1006:X1006),$V$1006:$AE$1006,0)))),"Fix")))</f>
        <v>0</v>
      </c>
      <c r="E90" s="4">
        <f>IF(OR(INDEX($P$2:$P$1001,MATCH(ROWS($O$2:O90),$O$2:$O$1001,0),1)&gt;=100000,INDEX($V$1005:$AE$1005,1,MATCH(COLUMNS($V$1006:Y1006),$V$1006:$AE$1006,0))&gt;=100000), " ",IF(INDEX($V$2:$AE$1001,MATCH(ROWS($O$2:O90),$O$2:$O$1001,0),MATCH(COLUMNS($V$1006:Y1006),$V$1006:$AE$1006,0)), HYPERLINK("#",""), HYPERLINK(CONCATENATE("#Metadata!", ADDRESS(INDEX($Q$2:$Q$1001,MATCH(ROWS($O$2:O90),$O$2:$O$1001,0),0), INDEX($V$1004:$AE$1004,1,MATCH(COLUMNS($V$1006:Y1006),$V$1006:$AE$1006,0)))),"Fix")))</f>
        <v>0</v>
      </c>
      <c r="F90" s="4">
        <f>IF(OR(INDEX($P$2:$P$1001,MATCH(ROWS($O$2:O90),$O$2:$O$1001,0),1)&gt;=100000,INDEX($V$1005:$AE$1005,1,MATCH(COLUMNS($V$1006:Z1006),$V$1006:$AE$1006,0))&gt;=100000), " ",IF(INDEX($V$2:$AE$1001,MATCH(ROWS($O$2:O90),$O$2:$O$1001,0),MATCH(COLUMNS($V$1006:Z1006),$V$1006:$AE$1006,0)), HYPERLINK("#",""), HYPERLINK(CONCATENATE("#Metadata!", ADDRESS(INDEX($Q$2:$Q$1001,MATCH(ROWS($O$2:O90),$O$2:$O$1001,0),0), INDEX($V$1004:$AE$1004,1,MATCH(COLUMNS($V$1006:Z1006),$V$1006:$AE$1006,0)))),"Fix")))</f>
        <v>0</v>
      </c>
      <c r="G90" s="4">
        <f>IF(OR(INDEX($P$2:$P$1001,MATCH(ROWS($O$2:O90),$O$2:$O$1001,0),1)&gt;=100000,INDEX($V$1005:$AE$1005,1,MATCH(COLUMNS($V$1006:AA1006),$V$1006:$AE$1006,0))&gt;=100000), " ",IF(INDEX($V$2:$AE$1001,MATCH(ROWS($O$2:O90),$O$2:$O$1001,0),MATCH(COLUMNS($V$1006:AA1006),$V$1006:$AE$1006,0)), HYPERLINK("#",""), HYPERLINK(CONCATENATE("#Metadata!", ADDRESS(INDEX($Q$2:$Q$1001,MATCH(ROWS($O$2:O90),$O$2:$O$1001,0),0), INDEX($V$1004:$AE$1004,1,MATCH(COLUMNS($V$1006:AA1006),$V$1006:$AE$1006,0)))),"Fix")))</f>
        <v>0</v>
      </c>
      <c r="H90" s="4">
        <f>IF(OR(INDEX($P$2:$P$1001,MATCH(ROWS($O$2:O90),$O$2:$O$1001,0),1)&gt;=100000,INDEX($V$1005:$AE$1005,1,MATCH(COLUMNS($V$1006:AB1006),$V$1006:$AE$1006,0))&gt;=100000), " ",IF(INDEX($V$2:$AE$1001,MATCH(ROWS($O$2:O90),$O$2:$O$1001,0),MATCH(COLUMNS($V$1006:AB1006),$V$1006:$AE$1006,0)), HYPERLINK("#",""), HYPERLINK(CONCATENATE("#Metadata!", ADDRESS(INDEX($Q$2:$Q$1001,MATCH(ROWS($O$2:O90),$O$2:$O$1001,0),0), INDEX($V$1004:$AE$1004,1,MATCH(COLUMNS($V$1006:AB1006),$V$1006:$AE$1006,0)))),"Fix")))</f>
        <v>0</v>
      </c>
      <c r="I90" s="4">
        <f>IF(OR(INDEX($P$2:$P$1001,MATCH(ROWS($O$2:O90),$O$2:$O$1001,0),1)&gt;=100000,INDEX($V$1005:$AE$1005,1,MATCH(COLUMNS($V$1006:AC1006),$V$1006:$AE$1006,0))&gt;=100000), " ",IF(INDEX($V$2:$AE$1001,MATCH(ROWS($O$2:O90),$O$2:$O$1001,0),MATCH(COLUMNS($V$1006:AC1006),$V$1006:$AE$1006,0)), HYPERLINK("#",""), HYPERLINK(CONCATENATE("#Metadata!", ADDRESS(INDEX($Q$2:$Q$1001,MATCH(ROWS($O$2:O90),$O$2:$O$1001,0),0), INDEX($V$1004:$AE$1004,1,MATCH(COLUMNS($V$1006:AC1006),$V$1006:$AE$1006,0)))),"Fix")))</f>
        <v>0</v>
      </c>
      <c r="J90" s="4">
        <f>IF(OR(INDEX($P$2:$P$1001,MATCH(ROWS($O$2:O90),$O$2:$O$1001,0),1)&gt;=100000,INDEX($V$1005:$AE$1005,1,MATCH(COLUMNS($V$1006:AD1006),$V$1006:$AE$1006,0))&gt;=100000), " ",IF(INDEX($V$2:$AE$1001,MATCH(ROWS($O$2:O90),$O$2:$O$1001,0),MATCH(COLUMNS($V$1006:AD1006),$V$1006:$AE$1006,0)), HYPERLINK("#",""), HYPERLINK(CONCATENATE("#Metadata!", ADDRESS(INDEX($Q$2:$Q$1001,MATCH(ROWS($O$2:O90),$O$2:$O$1001,0),0), INDEX($V$1004:$AE$1004,1,MATCH(COLUMNS($V$1006:AD1006),$V$1006:$AE$1006,0)))),"Fix")))</f>
        <v>0</v>
      </c>
      <c r="K90" s="4">
        <f>IF(OR(INDEX($P$2:$P$1001,MATCH(ROWS($O$2:O90),$O$2:$O$1001,0),1)&gt;=100000,INDEX($V$1005:$AE$1005,1,MATCH(COLUMNS($V$1006:AE1006),$V$1006:$AE$1006,0))&gt;=100000), " ",IF(INDEX($V$2:$AE$1001,MATCH(ROWS($O$2:O90),$O$2:$O$1001,0),MATCH(COLUMNS($V$1006:AE1006),$V$1006:$AE$1006,0)), HYPERLINK("#",""), HYPERLINK(CONCATENATE("#Metadata!", ADDRESS(INDEX($Q$2:$Q$1001,MATCH(ROWS($O$2:O90),$O$2:$O$1001,0),0), INDEX($V$1004:$AE$1004,1,MATCH(COLUMNS($V$1006:AE1006),$V$1006:$AE$1006,0)))),"Fix")))</f>
        <v>0</v>
      </c>
      <c r="O90">
        <v>0</v>
      </c>
      <c r="P90">
        <v>0</v>
      </c>
      <c r="Q90">
        <v>0</v>
      </c>
      <c r="R90">
        <f>IF(S90,TRUE,AND(V90:AE90))</f>
        <v>0</v>
      </c>
      <c r="S90">
        <f>COUNTBLANK(Metadata!B90:K90)=COLUMNS(Metadata!B90:K90)</f>
        <v>0</v>
      </c>
      <c r="T90">
        <v>0</v>
      </c>
      <c r="V90">
        <f>AND(IF(Metadata!B90="",FALSE,TRUE),COUNTIF(Metadata!B:B, Metadata!B90) = 1,NOT(ISERROR(SUMPRODUCT(SEARCH(MID(Metadata!B90,ROW(INDIRECT("1:"&amp;LEN(Metadata!B90))), 1),"0123456789abcdefghijklmnopqrstuvwxyzABCDEFGHIJKLMNOPQRSTUVWXYZ.")))))</f>
        <v>0</v>
      </c>
      <c r="W90">
        <f>AND(IF(Metadata!C90="",FALSE,TRUE),exact(Metadata!C90,"urban biome"))</f>
        <v>0</v>
      </c>
      <c r="X90">
        <f>AND(IF(Metadata!D90="",FALSE,TRUE),exact(Metadata!D90,"animal-associated habitat"))</f>
        <v>0</v>
      </c>
      <c r="Y90">
        <f>OR(AND(IF(Metadata!E90="",FALSE,TRUE),OR(exact(Metadata!E90,"not applicable"),exact(Metadata!E90,"missing: not collected"),exact(Metadata!E90,"missing: not provided"),exact(Metadata!E90,"missing: restricted access"))),AND(IF(Metadata!E90="",FALSE,ISNUMBER(VALUE(Metadata!E90))),Metadata!E90&gt;0))</f>
        <v>0</v>
      </c>
      <c r="Z90">
        <f>AND(IF(Metadata!F90="",FALSE,TRUE),exact(Metadata!F90,"weeks"))</f>
        <v>0</v>
      </c>
      <c r="AA90">
        <f>AND(IF(Metadata!G90="",FALSE,TRUE),exact(Metadata!G90,"mouse"))</f>
        <v>0</v>
      </c>
      <c r="AB90">
        <f>AND(IF(Metadata!H90="",FALSE,TRUE),exact(Metadata!H90,"Mus musculus"))</f>
        <v>0</v>
      </c>
      <c r="AC90">
        <f>AND(IF(Metadata!I90="",FALSE,TRUE),exact(Metadata!I90,"10090"))</f>
        <v>0</v>
      </c>
      <c r="AD90">
        <f>OR(AND(IF(Metadata!J90="",FALSE,TRUE),OR(exact(Metadata!J90,"not applicable"),exact(Metadata!J90,"missing: not collected"),exact(Metadata!J90,"missing: not provided"),exact(Metadata!J90,"missing: restricted access"))),AND(IF(Metadata!J90="",FALSE,ISNUMBER(VALUE(Metadata!J90))),Metadata!J90&gt;0))</f>
        <v>0</v>
      </c>
      <c r="AE90">
        <f>AND(IF(Metadata!K90="",FALSE,TRUE),exact(Metadata!K90,"g"))</f>
        <v>0</v>
      </c>
    </row>
    <row r="91" spans="1:31">
      <c r="A91" s="5">
        <f>IF(B91=" "," ",HYPERLINK(CONCATENATE("#metadata!",ADDRESS(INDEX($Q$2:$Q$1001,MATCH(ROWS($O$2:O91),$O$2:$O$1001,0),0),1)),INDEX($T$2:$T$1001,MATCH(ROWS($O$2:O91),$O$2:$O$1001,0),0)))</f>
        <v>0</v>
      </c>
      <c r="B91" s="4">
        <f>IF(OR(INDEX($P$2:$P$1001,MATCH(ROWS($O$2:O91),$O$2:$O$1001,0),1)&gt;=100000,INDEX($V$1005:$AE$1005,1,MATCH(COLUMNS($V$1006:V1006),$V$1006:$AE$1006,0))&gt;=100000), " ",IF(INDEX($V$2:$AE$1001,MATCH(ROWS($O$2:O91),$O$2:$O$1001,0),MATCH(COLUMNS($V$1006:V1006),$V$1006:$AE$1006,0)), HYPERLINK("#",""), HYPERLINK(CONCATENATE("#Metadata!", ADDRESS(INDEX($Q$2:$Q$1001,MATCH(ROWS($O$2:O91),$O$2:$O$1001,0),0), INDEX($V$1004:$AE$1004,1,MATCH(COLUMNS($V$1006:V1006),$V$1006:$AE$1006,0)))),"Fix")))</f>
        <v>0</v>
      </c>
      <c r="C91" s="4">
        <f>IF(OR(INDEX($P$2:$P$1001,MATCH(ROWS($O$2:O91),$O$2:$O$1001,0),1)&gt;=100000,INDEX($V$1005:$AE$1005,1,MATCH(COLUMNS($V$1006:W1006),$V$1006:$AE$1006,0))&gt;=100000), " ",IF(INDEX($V$2:$AE$1001,MATCH(ROWS($O$2:O91),$O$2:$O$1001,0),MATCH(COLUMNS($V$1006:W1006),$V$1006:$AE$1006,0)), HYPERLINK("#",""), HYPERLINK(CONCATENATE("#Metadata!", ADDRESS(INDEX($Q$2:$Q$1001,MATCH(ROWS($O$2:O91),$O$2:$O$1001,0),0), INDEX($V$1004:$AE$1004,1,MATCH(COLUMNS($V$1006:W1006),$V$1006:$AE$1006,0)))),"Fix")))</f>
        <v>0</v>
      </c>
      <c r="D91" s="4">
        <f>IF(OR(INDEX($P$2:$P$1001,MATCH(ROWS($O$2:O91),$O$2:$O$1001,0),1)&gt;=100000,INDEX($V$1005:$AE$1005,1,MATCH(COLUMNS($V$1006:X1006),$V$1006:$AE$1006,0))&gt;=100000), " ",IF(INDEX($V$2:$AE$1001,MATCH(ROWS($O$2:O91),$O$2:$O$1001,0),MATCH(COLUMNS($V$1006:X1006),$V$1006:$AE$1006,0)), HYPERLINK("#",""), HYPERLINK(CONCATENATE("#Metadata!", ADDRESS(INDEX($Q$2:$Q$1001,MATCH(ROWS($O$2:O91),$O$2:$O$1001,0),0), INDEX($V$1004:$AE$1004,1,MATCH(COLUMNS($V$1006:X1006),$V$1006:$AE$1006,0)))),"Fix")))</f>
        <v>0</v>
      </c>
      <c r="E91" s="4">
        <f>IF(OR(INDEX($P$2:$P$1001,MATCH(ROWS($O$2:O91),$O$2:$O$1001,0),1)&gt;=100000,INDEX($V$1005:$AE$1005,1,MATCH(COLUMNS($V$1006:Y1006),$V$1006:$AE$1006,0))&gt;=100000), " ",IF(INDEX($V$2:$AE$1001,MATCH(ROWS($O$2:O91),$O$2:$O$1001,0),MATCH(COLUMNS($V$1006:Y1006),$V$1006:$AE$1006,0)), HYPERLINK("#",""), HYPERLINK(CONCATENATE("#Metadata!", ADDRESS(INDEX($Q$2:$Q$1001,MATCH(ROWS($O$2:O91),$O$2:$O$1001,0),0), INDEX($V$1004:$AE$1004,1,MATCH(COLUMNS($V$1006:Y1006),$V$1006:$AE$1006,0)))),"Fix")))</f>
        <v>0</v>
      </c>
      <c r="F91" s="4">
        <f>IF(OR(INDEX($P$2:$P$1001,MATCH(ROWS($O$2:O91),$O$2:$O$1001,0),1)&gt;=100000,INDEX($V$1005:$AE$1005,1,MATCH(COLUMNS($V$1006:Z1006),$V$1006:$AE$1006,0))&gt;=100000), " ",IF(INDEX($V$2:$AE$1001,MATCH(ROWS($O$2:O91),$O$2:$O$1001,0),MATCH(COLUMNS($V$1006:Z1006),$V$1006:$AE$1006,0)), HYPERLINK("#",""), HYPERLINK(CONCATENATE("#Metadata!", ADDRESS(INDEX($Q$2:$Q$1001,MATCH(ROWS($O$2:O91),$O$2:$O$1001,0),0), INDEX($V$1004:$AE$1004,1,MATCH(COLUMNS($V$1006:Z1006),$V$1006:$AE$1006,0)))),"Fix")))</f>
        <v>0</v>
      </c>
      <c r="G91" s="4">
        <f>IF(OR(INDEX($P$2:$P$1001,MATCH(ROWS($O$2:O91),$O$2:$O$1001,0),1)&gt;=100000,INDEX($V$1005:$AE$1005,1,MATCH(COLUMNS($V$1006:AA1006),$V$1006:$AE$1006,0))&gt;=100000), " ",IF(INDEX($V$2:$AE$1001,MATCH(ROWS($O$2:O91),$O$2:$O$1001,0),MATCH(COLUMNS($V$1006:AA1006),$V$1006:$AE$1006,0)), HYPERLINK("#",""), HYPERLINK(CONCATENATE("#Metadata!", ADDRESS(INDEX($Q$2:$Q$1001,MATCH(ROWS($O$2:O91),$O$2:$O$1001,0),0), INDEX($V$1004:$AE$1004,1,MATCH(COLUMNS($V$1006:AA1006),$V$1006:$AE$1006,0)))),"Fix")))</f>
        <v>0</v>
      </c>
      <c r="H91" s="4">
        <f>IF(OR(INDEX($P$2:$P$1001,MATCH(ROWS($O$2:O91),$O$2:$O$1001,0),1)&gt;=100000,INDEX($V$1005:$AE$1005,1,MATCH(COLUMNS($V$1006:AB1006),$V$1006:$AE$1006,0))&gt;=100000), " ",IF(INDEX($V$2:$AE$1001,MATCH(ROWS($O$2:O91),$O$2:$O$1001,0),MATCH(COLUMNS($V$1006:AB1006),$V$1006:$AE$1006,0)), HYPERLINK("#",""), HYPERLINK(CONCATENATE("#Metadata!", ADDRESS(INDEX($Q$2:$Q$1001,MATCH(ROWS($O$2:O91),$O$2:$O$1001,0),0), INDEX($V$1004:$AE$1004,1,MATCH(COLUMNS($V$1006:AB1006),$V$1006:$AE$1006,0)))),"Fix")))</f>
        <v>0</v>
      </c>
      <c r="I91" s="4">
        <f>IF(OR(INDEX($P$2:$P$1001,MATCH(ROWS($O$2:O91),$O$2:$O$1001,0),1)&gt;=100000,INDEX($V$1005:$AE$1005,1,MATCH(COLUMNS($V$1006:AC1006),$V$1006:$AE$1006,0))&gt;=100000), " ",IF(INDEX($V$2:$AE$1001,MATCH(ROWS($O$2:O91),$O$2:$O$1001,0),MATCH(COLUMNS($V$1006:AC1006),$V$1006:$AE$1006,0)), HYPERLINK("#",""), HYPERLINK(CONCATENATE("#Metadata!", ADDRESS(INDEX($Q$2:$Q$1001,MATCH(ROWS($O$2:O91),$O$2:$O$1001,0),0), INDEX($V$1004:$AE$1004,1,MATCH(COLUMNS($V$1006:AC1006),$V$1006:$AE$1006,0)))),"Fix")))</f>
        <v>0</v>
      </c>
      <c r="J91" s="4">
        <f>IF(OR(INDEX($P$2:$P$1001,MATCH(ROWS($O$2:O91),$O$2:$O$1001,0),1)&gt;=100000,INDEX($V$1005:$AE$1005,1,MATCH(COLUMNS($V$1006:AD1006),$V$1006:$AE$1006,0))&gt;=100000), " ",IF(INDEX($V$2:$AE$1001,MATCH(ROWS($O$2:O91),$O$2:$O$1001,0),MATCH(COLUMNS($V$1006:AD1006),$V$1006:$AE$1006,0)), HYPERLINK("#",""), HYPERLINK(CONCATENATE("#Metadata!", ADDRESS(INDEX($Q$2:$Q$1001,MATCH(ROWS($O$2:O91),$O$2:$O$1001,0),0), INDEX($V$1004:$AE$1004,1,MATCH(COLUMNS($V$1006:AD1006),$V$1006:$AE$1006,0)))),"Fix")))</f>
        <v>0</v>
      </c>
      <c r="K91" s="4">
        <f>IF(OR(INDEX($P$2:$P$1001,MATCH(ROWS($O$2:O91),$O$2:$O$1001,0),1)&gt;=100000,INDEX($V$1005:$AE$1005,1,MATCH(COLUMNS($V$1006:AE1006),$V$1006:$AE$1006,0))&gt;=100000), " ",IF(INDEX($V$2:$AE$1001,MATCH(ROWS($O$2:O91),$O$2:$O$1001,0),MATCH(COLUMNS($V$1006:AE1006),$V$1006:$AE$1006,0)), HYPERLINK("#",""), HYPERLINK(CONCATENATE("#Metadata!", ADDRESS(INDEX($Q$2:$Q$1001,MATCH(ROWS($O$2:O91),$O$2:$O$1001,0),0), INDEX($V$1004:$AE$1004,1,MATCH(COLUMNS($V$1006:AE1006),$V$1006:$AE$1006,0)))),"Fix")))</f>
        <v>0</v>
      </c>
      <c r="O91">
        <v>0</v>
      </c>
      <c r="P91">
        <v>0</v>
      </c>
      <c r="Q91">
        <v>0</v>
      </c>
      <c r="R91">
        <f>IF(S91,TRUE,AND(V91:AE91))</f>
        <v>0</v>
      </c>
      <c r="S91">
        <f>COUNTBLANK(Metadata!B91:K91)=COLUMNS(Metadata!B91:K91)</f>
        <v>0</v>
      </c>
      <c r="T91">
        <v>0</v>
      </c>
      <c r="V91">
        <f>AND(IF(Metadata!B91="",FALSE,TRUE),COUNTIF(Metadata!B:B, Metadata!B91) = 1,NOT(ISERROR(SUMPRODUCT(SEARCH(MID(Metadata!B91,ROW(INDIRECT("1:"&amp;LEN(Metadata!B91))), 1),"0123456789abcdefghijklmnopqrstuvwxyzABCDEFGHIJKLMNOPQRSTUVWXYZ.")))))</f>
        <v>0</v>
      </c>
      <c r="W91">
        <f>AND(IF(Metadata!C91="",FALSE,TRUE),exact(Metadata!C91,"urban biome"))</f>
        <v>0</v>
      </c>
      <c r="X91">
        <f>AND(IF(Metadata!D91="",FALSE,TRUE),exact(Metadata!D91,"animal-associated habitat"))</f>
        <v>0</v>
      </c>
      <c r="Y91">
        <f>OR(AND(IF(Metadata!E91="",FALSE,TRUE),OR(exact(Metadata!E91,"not applicable"),exact(Metadata!E91,"missing: not collected"),exact(Metadata!E91,"missing: not provided"),exact(Metadata!E91,"missing: restricted access"))),AND(IF(Metadata!E91="",FALSE,ISNUMBER(VALUE(Metadata!E91))),Metadata!E91&gt;0))</f>
        <v>0</v>
      </c>
      <c r="Z91">
        <f>AND(IF(Metadata!F91="",FALSE,TRUE),exact(Metadata!F91,"weeks"))</f>
        <v>0</v>
      </c>
      <c r="AA91">
        <f>AND(IF(Metadata!G91="",FALSE,TRUE),exact(Metadata!G91,"mouse"))</f>
        <v>0</v>
      </c>
      <c r="AB91">
        <f>AND(IF(Metadata!H91="",FALSE,TRUE),exact(Metadata!H91,"Mus musculus"))</f>
        <v>0</v>
      </c>
      <c r="AC91">
        <f>AND(IF(Metadata!I91="",FALSE,TRUE),exact(Metadata!I91,"10090"))</f>
        <v>0</v>
      </c>
      <c r="AD91">
        <f>OR(AND(IF(Metadata!J91="",FALSE,TRUE),OR(exact(Metadata!J91,"not applicable"),exact(Metadata!J91,"missing: not collected"),exact(Metadata!J91,"missing: not provided"),exact(Metadata!J91,"missing: restricted access"))),AND(IF(Metadata!J91="",FALSE,ISNUMBER(VALUE(Metadata!J91))),Metadata!J91&gt;0))</f>
        <v>0</v>
      </c>
      <c r="AE91">
        <f>AND(IF(Metadata!K91="",FALSE,TRUE),exact(Metadata!K91,"g"))</f>
        <v>0</v>
      </c>
    </row>
    <row r="92" spans="1:31">
      <c r="A92" s="5">
        <f>IF(B92=" "," ",HYPERLINK(CONCATENATE("#metadata!",ADDRESS(INDEX($Q$2:$Q$1001,MATCH(ROWS($O$2:O92),$O$2:$O$1001,0),0),1)),INDEX($T$2:$T$1001,MATCH(ROWS($O$2:O92),$O$2:$O$1001,0),0)))</f>
        <v>0</v>
      </c>
      <c r="B92" s="4">
        <f>IF(OR(INDEX($P$2:$P$1001,MATCH(ROWS($O$2:O92),$O$2:$O$1001,0),1)&gt;=100000,INDEX($V$1005:$AE$1005,1,MATCH(COLUMNS($V$1006:V1006),$V$1006:$AE$1006,0))&gt;=100000), " ",IF(INDEX($V$2:$AE$1001,MATCH(ROWS($O$2:O92),$O$2:$O$1001,0),MATCH(COLUMNS($V$1006:V1006),$V$1006:$AE$1006,0)), HYPERLINK("#",""), HYPERLINK(CONCATENATE("#Metadata!", ADDRESS(INDEX($Q$2:$Q$1001,MATCH(ROWS($O$2:O92),$O$2:$O$1001,0),0), INDEX($V$1004:$AE$1004,1,MATCH(COLUMNS($V$1006:V1006),$V$1006:$AE$1006,0)))),"Fix")))</f>
        <v>0</v>
      </c>
      <c r="C92" s="4">
        <f>IF(OR(INDEX($P$2:$P$1001,MATCH(ROWS($O$2:O92),$O$2:$O$1001,0),1)&gt;=100000,INDEX($V$1005:$AE$1005,1,MATCH(COLUMNS($V$1006:W1006),$V$1006:$AE$1006,0))&gt;=100000), " ",IF(INDEX($V$2:$AE$1001,MATCH(ROWS($O$2:O92),$O$2:$O$1001,0),MATCH(COLUMNS($V$1006:W1006),$V$1006:$AE$1006,0)), HYPERLINK("#",""), HYPERLINK(CONCATENATE("#Metadata!", ADDRESS(INDEX($Q$2:$Q$1001,MATCH(ROWS($O$2:O92),$O$2:$O$1001,0),0), INDEX($V$1004:$AE$1004,1,MATCH(COLUMNS($V$1006:W1006),$V$1006:$AE$1006,0)))),"Fix")))</f>
        <v>0</v>
      </c>
      <c r="D92" s="4">
        <f>IF(OR(INDEX($P$2:$P$1001,MATCH(ROWS($O$2:O92),$O$2:$O$1001,0),1)&gt;=100000,INDEX($V$1005:$AE$1005,1,MATCH(COLUMNS($V$1006:X1006),$V$1006:$AE$1006,0))&gt;=100000), " ",IF(INDEX($V$2:$AE$1001,MATCH(ROWS($O$2:O92),$O$2:$O$1001,0),MATCH(COLUMNS($V$1006:X1006),$V$1006:$AE$1006,0)), HYPERLINK("#",""), HYPERLINK(CONCATENATE("#Metadata!", ADDRESS(INDEX($Q$2:$Q$1001,MATCH(ROWS($O$2:O92),$O$2:$O$1001,0),0), INDEX($V$1004:$AE$1004,1,MATCH(COLUMNS($V$1006:X1006),$V$1006:$AE$1006,0)))),"Fix")))</f>
        <v>0</v>
      </c>
      <c r="E92" s="4">
        <f>IF(OR(INDEX($P$2:$P$1001,MATCH(ROWS($O$2:O92),$O$2:$O$1001,0),1)&gt;=100000,INDEX($V$1005:$AE$1005,1,MATCH(COLUMNS($V$1006:Y1006),$V$1006:$AE$1006,0))&gt;=100000), " ",IF(INDEX($V$2:$AE$1001,MATCH(ROWS($O$2:O92),$O$2:$O$1001,0),MATCH(COLUMNS($V$1006:Y1006),$V$1006:$AE$1006,0)), HYPERLINK("#",""), HYPERLINK(CONCATENATE("#Metadata!", ADDRESS(INDEX($Q$2:$Q$1001,MATCH(ROWS($O$2:O92),$O$2:$O$1001,0),0), INDEX($V$1004:$AE$1004,1,MATCH(COLUMNS($V$1006:Y1006),$V$1006:$AE$1006,0)))),"Fix")))</f>
        <v>0</v>
      </c>
      <c r="F92" s="4">
        <f>IF(OR(INDEX($P$2:$P$1001,MATCH(ROWS($O$2:O92),$O$2:$O$1001,0),1)&gt;=100000,INDEX($V$1005:$AE$1005,1,MATCH(COLUMNS($V$1006:Z1006),$V$1006:$AE$1006,0))&gt;=100000), " ",IF(INDEX($V$2:$AE$1001,MATCH(ROWS($O$2:O92),$O$2:$O$1001,0),MATCH(COLUMNS($V$1006:Z1006),$V$1006:$AE$1006,0)), HYPERLINK("#",""), HYPERLINK(CONCATENATE("#Metadata!", ADDRESS(INDEX($Q$2:$Q$1001,MATCH(ROWS($O$2:O92),$O$2:$O$1001,0),0), INDEX($V$1004:$AE$1004,1,MATCH(COLUMNS($V$1006:Z1006),$V$1006:$AE$1006,0)))),"Fix")))</f>
        <v>0</v>
      </c>
      <c r="G92" s="4">
        <f>IF(OR(INDEX($P$2:$P$1001,MATCH(ROWS($O$2:O92),$O$2:$O$1001,0),1)&gt;=100000,INDEX($V$1005:$AE$1005,1,MATCH(COLUMNS($V$1006:AA1006),$V$1006:$AE$1006,0))&gt;=100000), " ",IF(INDEX($V$2:$AE$1001,MATCH(ROWS($O$2:O92),$O$2:$O$1001,0),MATCH(COLUMNS($V$1006:AA1006),$V$1006:$AE$1006,0)), HYPERLINK("#",""), HYPERLINK(CONCATENATE("#Metadata!", ADDRESS(INDEX($Q$2:$Q$1001,MATCH(ROWS($O$2:O92),$O$2:$O$1001,0),0), INDEX($V$1004:$AE$1004,1,MATCH(COLUMNS($V$1006:AA1006),$V$1006:$AE$1006,0)))),"Fix")))</f>
        <v>0</v>
      </c>
      <c r="H92" s="4">
        <f>IF(OR(INDEX($P$2:$P$1001,MATCH(ROWS($O$2:O92),$O$2:$O$1001,0),1)&gt;=100000,INDEX($V$1005:$AE$1005,1,MATCH(COLUMNS($V$1006:AB1006),$V$1006:$AE$1006,0))&gt;=100000), " ",IF(INDEX($V$2:$AE$1001,MATCH(ROWS($O$2:O92),$O$2:$O$1001,0),MATCH(COLUMNS($V$1006:AB1006),$V$1006:$AE$1006,0)), HYPERLINK("#",""), HYPERLINK(CONCATENATE("#Metadata!", ADDRESS(INDEX($Q$2:$Q$1001,MATCH(ROWS($O$2:O92),$O$2:$O$1001,0),0), INDEX($V$1004:$AE$1004,1,MATCH(COLUMNS($V$1006:AB1006),$V$1006:$AE$1006,0)))),"Fix")))</f>
        <v>0</v>
      </c>
      <c r="I92" s="4">
        <f>IF(OR(INDEX($P$2:$P$1001,MATCH(ROWS($O$2:O92),$O$2:$O$1001,0),1)&gt;=100000,INDEX($V$1005:$AE$1005,1,MATCH(COLUMNS($V$1006:AC1006),$V$1006:$AE$1006,0))&gt;=100000), " ",IF(INDEX($V$2:$AE$1001,MATCH(ROWS($O$2:O92),$O$2:$O$1001,0),MATCH(COLUMNS($V$1006:AC1006),$V$1006:$AE$1006,0)), HYPERLINK("#",""), HYPERLINK(CONCATENATE("#Metadata!", ADDRESS(INDEX($Q$2:$Q$1001,MATCH(ROWS($O$2:O92),$O$2:$O$1001,0),0), INDEX($V$1004:$AE$1004,1,MATCH(COLUMNS($V$1006:AC1006),$V$1006:$AE$1006,0)))),"Fix")))</f>
        <v>0</v>
      </c>
      <c r="J92" s="4">
        <f>IF(OR(INDEX($P$2:$P$1001,MATCH(ROWS($O$2:O92),$O$2:$O$1001,0),1)&gt;=100000,INDEX($V$1005:$AE$1005,1,MATCH(COLUMNS($V$1006:AD1006),$V$1006:$AE$1006,0))&gt;=100000), " ",IF(INDEX($V$2:$AE$1001,MATCH(ROWS($O$2:O92),$O$2:$O$1001,0),MATCH(COLUMNS($V$1006:AD1006),$V$1006:$AE$1006,0)), HYPERLINK("#",""), HYPERLINK(CONCATENATE("#Metadata!", ADDRESS(INDEX($Q$2:$Q$1001,MATCH(ROWS($O$2:O92),$O$2:$O$1001,0),0), INDEX($V$1004:$AE$1004,1,MATCH(COLUMNS($V$1006:AD1006),$V$1006:$AE$1006,0)))),"Fix")))</f>
        <v>0</v>
      </c>
      <c r="K92" s="4">
        <f>IF(OR(INDEX($P$2:$P$1001,MATCH(ROWS($O$2:O92),$O$2:$O$1001,0),1)&gt;=100000,INDEX($V$1005:$AE$1005,1,MATCH(COLUMNS($V$1006:AE1006),$V$1006:$AE$1006,0))&gt;=100000), " ",IF(INDEX($V$2:$AE$1001,MATCH(ROWS($O$2:O92),$O$2:$O$1001,0),MATCH(COLUMNS($V$1006:AE1006),$V$1006:$AE$1006,0)), HYPERLINK("#",""), HYPERLINK(CONCATENATE("#Metadata!", ADDRESS(INDEX($Q$2:$Q$1001,MATCH(ROWS($O$2:O92),$O$2:$O$1001,0),0), INDEX($V$1004:$AE$1004,1,MATCH(COLUMNS($V$1006:AE1006),$V$1006:$AE$1006,0)))),"Fix")))</f>
        <v>0</v>
      </c>
      <c r="O92">
        <v>0</v>
      </c>
      <c r="P92">
        <v>0</v>
      </c>
      <c r="Q92">
        <v>0</v>
      </c>
      <c r="R92">
        <f>IF(S92,TRUE,AND(V92:AE92))</f>
        <v>0</v>
      </c>
      <c r="S92">
        <f>COUNTBLANK(Metadata!B92:K92)=COLUMNS(Metadata!B92:K92)</f>
        <v>0</v>
      </c>
      <c r="T92">
        <v>0</v>
      </c>
      <c r="V92">
        <f>AND(IF(Metadata!B92="",FALSE,TRUE),COUNTIF(Metadata!B:B, Metadata!B92) = 1,NOT(ISERROR(SUMPRODUCT(SEARCH(MID(Metadata!B92,ROW(INDIRECT("1:"&amp;LEN(Metadata!B92))), 1),"0123456789abcdefghijklmnopqrstuvwxyzABCDEFGHIJKLMNOPQRSTUVWXYZ.")))))</f>
        <v>0</v>
      </c>
      <c r="W92">
        <f>AND(IF(Metadata!C92="",FALSE,TRUE),exact(Metadata!C92,"urban biome"))</f>
        <v>0</v>
      </c>
      <c r="X92">
        <f>AND(IF(Metadata!D92="",FALSE,TRUE),exact(Metadata!D92,"animal-associated habitat"))</f>
        <v>0</v>
      </c>
      <c r="Y92">
        <f>OR(AND(IF(Metadata!E92="",FALSE,TRUE),OR(exact(Metadata!E92,"not applicable"),exact(Metadata!E92,"missing: not collected"),exact(Metadata!E92,"missing: not provided"),exact(Metadata!E92,"missing: restricted access"))),AND(IF(Metadata!E92="",FALSE,ISNUMBER(VALUE(Metadata!E92))),Metadata!E92&gt;0))</f>
        <v>0</v>
      </c>
      <c r="Z92">
        <f>AND(IF(Metadata!F92="",FALSE,TRUE),exact(Metadata!F92,"weeks"))</f>
        <v>0</v>
      </c>
      <c r="AA92">
        <f>AND(IF(Metadata!G92="",FALSE,TRUE),exact(Metadata!G92,"mouse"))</f>
        <v>0</v>
      </c>
      <c r="AB92">
        <f>AND(IF(Metadata!H92="",FALSE,TRUE),exact(Metadata!H92,"Mus musculus"))</f>
        <v>0</v>
      </c>
      <c r="AC92">
        <f>AND(IF(Metadata!I92="",FALSE,TRUE),exact(Metadata!I92,"10090"))</f>
        <v>0</v>
      </c>
      <c r="AD92">
        <f>OR(AND(IF(Metadata!J92="",FALSE,TRUE),OR(exact(Metadata!J92,"not applicable"),exact(Metadata!J92,"missing: not collected"),exact(Metadata!J92,"missing: not provided"),exact(Metadata!J92,"missing: restricted access"))),AND(IF(Metadata!J92="",FALSE,ISNUMBER(VALUE(Metadata!J92))),Metadata!J92&gt;0))</f>
        <v>0</v>
      </c>
      <c r="AE92">
        <f>AND(IF(Metadata!K92="",FALSE,TRUE),exact(Metadata!K92,"g"))</f>
        <v>0</v>
      </c>
    </row>
    <row r="93" spans="1:31">
      <c r="A93" s="5">
        <f>IF(B93=" "," ",HYPERLINK(CONCATENATE("#metadata!",ADDRESS(INDEX($Q$2:$Q$1001,MATCH(ROWS($O$2:O93),$O$2:$O$1001,0),0),1)),INDEX($T$2:$T$1001,MATCH(ROWS($O$2:O93),$O$2:$O$1001,0),0)))</f>
        <v>0</v>
      </c>
      <c r="B93" s="4">
        <f>IF(OR(INDEX($P$2:$P$1001,MATCH(ROWS($O$2:O93),$O$2:$O$1001,0),1)&gt;=100000,INDEX($V$1005:$AE$1005,1,MATCH(COLUMNS($V$1006:V1006),$V$1006:$AE$1006,0))&gt;=100000), " ",IF(INDEX($V$2:$AE$1001,MATCH(ROWS($O$2:O93),$O$2:$O$1001,0),MATCH(COLUMNS($V$1006:V1006),$V$1006:$AE$1006,0)), HYPERLINK("#",""), HYPERLINK(CONCATENATE("#Metadata!", ADDRESS(INDEX($Q$2:$Q$1001,MATCH(ROWS($O$2:O93),$O$2:$O$1001,0),0), INDEX($V$1004:$AE$1004,1,MATCH(COLUMNS($V$1006:V1006),$V$1006:$AE$1006,0)))),"Fix")))</f>
        <v>0</v>
      </c>
      <c r="C93" s="4">
        <f>IF(OR(INDEX($P$2:$P$1001,MATCH(ROWS($O$2:O93),$O$2:$O$1001,0),1)&gt;=100000,INDEX($V$1005:$AE$1005,1,MATCH(COLUMNS($V$1006:W1006),$V$1006:$AE$1006,0))&gt;=100000), " ",IF(INDEX($V$2:$AE$1001,MATCH(ROWS($O$2:O93),$O$2:$O$1001,0),MATCH(COLUMNS($V$1006:W1006),$V$1006:$AE$1006,0)), HYPERLINK("#",""), HYPERLINK(CONCATENATE("#Metadata!", ADDRESS(INDEX($Q$2:$Q$1001,MATCH(ROWS($O$2:O93),$O$2:$O$1001,0),0), INDEX($V$1004:$AE$1004,1,MATCH(COLUMNS($V$1006:W1006),$V$1006:$AE$1006,0)))),"Fix")))</f>
        <v>0</v>
      </c>
      <c r="D93" s="4">
        <f>IF(OR(INDEX($P$2:$P$1001,MATCH(ROWS($O$2:O93),$O$2:$O$1001,0),1)&gt;=100000,INDEX($V$1005:$AE$1005,1,MATCH(COLUMNS($V$1006:X1006),$V$1006:$AE$1006,0))&gt;=100000), " ",IF(INDEX($V$2:$AE$1001,MATCH(ROWS($O$2:O93),$O$2:$O$1001,0),MATCH(COLUMNS($V$1006:X1006),$V$1006:$AE$1006,0)), HYPERLINK("#",""), HYPERLINK(CONCATENATE("#Metadata!", ADDRESS(INDEX($Q$2:$Q$1001,MATCH(ROWS($O$2:O93),$O$2:$O$1001,0),0), INDEX($V$1004:$AE$1004,1,MATCH(COLUMNS($V$1006:X1006),$V$1006:$AE$1006,0)))),"Fix")))</f>
        <v>0</v>
      </c>
      <c r="E93" s="4">
        <f>IF(OR(INDEX($P$2:$P$1001,MATCH(ROWS($O$2:O93),$O$2:$O$1001,0),1)&gt;=100000,INDEX($V$1005:$AE$1005,1,MATCH(COLUMNS($V$1006:Y1006),$V$1006:$AE$1006,0))&gt;=100000), " ",IF(INDEX($V$2:$AE$1001,MATCH(ROWS($O$2:O93),$O$2:$O$1001,0),MATCH(COLUMNS($V$1006:Y1006),$V$1006:$AE$1006,0)), HYPERLINK("#",""), HYPERLINK(CONCATENATE("#Metadata!", ADDRESS(INDEX($Q$2:$Q$1001,MATCH(ROWS($O$2:O93),$O$2:$O$1001,0),0), INDEX($V$1004:$AE$1004,1,MATCH(COLUMNS($V$1006:Y1006),$V$1006:$AE$1006,0)))),"Fix")))</f>
        <v>0</v>
      </c>
      <c r="F93" s="4">
        <f>IF(OR(INDEX($P$2:$P$1001,MATCH(ROWS($O$2:O93),$O$2:$O$1001,0),1)&gt;=100000,INDEX($V$1005:$AE$1005,1,MATCH(COLUMNS($V$1006:Z1006),$V$1006:$AE$1006,0))&gt;=100000), " ",IF(INDEX($V$2:$AE$1001,MATCH(ROWS($O$2:O93),$O$2:$O$1001,0),MATCH(COLUMNS($V$1006:Z1006),$V$1006:$AE$1006,0)), HYPERLINK("#",""), HYPERLINK(CONCATENATE("#Metadata!", ADDRESS(INDEX($Q$2:$Q$1001,MATCH(ROWS($O$2:O93),$O$2:$O$1001,0),0), INDEX($V$1004:$AE$1004,1,MATCH(COLUMNS($V$1006:Z1006),$V$1006:$AE$1006,0)))),"Fix")))</f>
        <v>0</v>
      </c>
      <c r="G93" s="4">
        <f>IF(OR(INDEX($P$2:$P$1001,MATCH(ROWS($O$2:O93),$O$2:$O$1001,0),1)&gt;=100000,INDEX($V$1005:$AE$1005,1,MATCH(COLUMNS($V$1006:AA1006),$V$1006:$AE$1006,0))&gt;=100000), " ",IF(INDEX($V$2:$AE$1001,MATCH(ROWS($O$2:O93),$O$2:$O$1001,0),MATCH(COLUMNS($V$1006:AA1006),$V$1006:$AE$1006,0)), HYPERLINK("#",""), HYPERLINK(CONCATENATE("#Metadata!", ADDRESS(INDEX($Q$2:$Q$1001,MATCH(ROWS($O$2:O93),$O$2:$O$1001,0),0), INDEX($V$1004:$AE$1004,1,MATCH(COLUMNS($V$1006:AA1006),$V$1006:$AE$1006,0)))),"Fix")))</f>
        <v>0</v>
      </c>
      <c r="H93" s="4">
        <f>IF(OR(INDEX($P$2:$P$1001,MATCH(ROWS($O$2:O93),$O$2:$O$1001,0),1)&gt;=100000,INDEX($V$1005:$AE$1005,1,MATCH(COLUMNS($V$1006:AB1006),$V$1006:$AE$1006,0))&gt;=100000), " ",IF(INDEX($V$2:$AE$1001,MATCH(ROWS($O$2:O93),$O$2:$O$1001,0),MATCH(COLUMNS($V$1006:AB1006),$V$1006:$AE$1006,0)), HYPERLINK("#",""), HYPERLINK(CONCATENATE("#Metadata!", ADDRESS(INDEX($Q$2:$Q$1001,MATCH(ROWS($O$2:O93),$O$2:$O$1001,0),0), INDEX($V$1004:$AE$1004,1,MATCH(COLUMNS($V$1006:AB1006),$V$1006:$AE$1006,0)))),"Fix")))</f>
        <v>0</v>
      </c>
      <c r="I93" s="4">
        <f>IF(OR(INDEX($P$2:$P$1001,MATCH(ROWS($O$2:O93),$O$2:$O$1001,0),1)&gt;=100000,INDEX($V$1005:$AE$1005,1,MATCH(COLUMNS($V$1006:AC1006),$V$1006:$AE$1006,0))&gt;=100000), " ",IF(INDEX($V$2:$AE$1001,MATCH(ROWS($O$2:O93),$O$2:$O$1001,0),MATCH(COLUMNS($V$1006:AC1006),$V$1006:$AE$1006,0)), HYPERLINK("#",""), HYPERLINK(CONCATENATE("#Metadata!", ADDRESS(INDEX($Q$2:$Q$1001,MATCH(ROWS($O$2:O93),$O$2:$O$1001,0),0), INDEX($V$1004:$AE$1004,1,MATCH(COLUMNS($V$1006:AC1006),$V$1006:$AE$1006,0)))),"Fix")))</f>
        <v>0</v>
      </c>
      <c r="J93" s="4">
        <f>IF(OR(INDEX($P$2:$P$1001,MATCH(ROWS($O$2:O93),$O$2:$O$1001,0),1)&gt;=100000,INDEX($V$1005:$AE$1005,1,MATCH(COLUMNS($V$1006:AD1006),$V$1006:$AE$1006,0))&gt;=100000), " ",IF(INDEX($V$2:$AE$1001,MATCH(ROWS($O$2:O93),$O$2:$O$1001,0),MATCH(COLUMNS($V$1006:AD1006),$V$1006:$AE$1006,0)), HYPERLINK("#",""), HYPERLINK(CONCATENATE("#Metadata!", ADDRESS(INDEX($Q$2:$Q$1001,MATCH(ROWS($O$2:O93),$O$2:$O$1001,0),0), INDEX($V$1004:$AE$1004,1,MATCH(COLUMNS($V$1006:AD1006),$V$1006:$AE$1006,0)))),"Fix")))</f>
        <v>0</v>
      </c>
      <c r="K93" s="4">
        <f>IF(OR(INDEX($P$2:$P$1001,MATCH(ROWS($O$2:O93),$O$2:$O$1001,0),1)&gt;=100000,INDEX($V$1005:$AE$1005,1,MATCH(COLUMNS($V$1006:AE1006),$V$1006:$AE$1006,0))&gt;=100000), " ",IF(INDEX($V$2:$AE$1001,MATCH(ROWS($O$2:O93),$O$2:$O$1001,0),MATCH(COLUMNS($V$1006:AE1006),$V$1006:$AE$1006,0)), HYPERLINK("#",""), HYPERLINK(CONCATENATE("#Metadata!", ADDRESS(INDEX($Q$2:$Q$1001,MATCH(ROWS($O$2:O93),$O$2:$O$1001,0),0), INDEX($V$1004:$AE$1004,1,MATCH(COLUMNS($V$1006:AE1006),$V$1006:$AE$1006,0)))),"Fix")))</f>
        <v>0</v>
      </c>
      <c r="O93">
        <v>0</v>
      </c>
      <c r="P93">
        <v>0</v>
      </c>
      <c r="Q93">
        <v>0</v>
      </c>
      <c r="R93">
        <f>IF(S93,TRUE,AND(V93:AE93))</f>
        <v>0</v>
      </c>
      <c r="S93">
        <f>COUNTBLANK(Metadata!B93:K93)=COLUMNS(Metadata!B93:K93)</f>
        <v>0</v>
      </c>
      <c r="T93">
        <v>0</v>
      </c>
      <c r="V93">
        <f>AND(IF(Metadata!B93="",FALSE,TRUE),COUNTIF(Metadata!B:B, Metadata!B93) = 1,NOT(ISERROR(SUMPRODUCT(SEARCH(MID(Metadata!B93,ROW(INDIRECT("1:"&amp;LEN(Metadata!B93))), 1),"0123456789abcdefghijklmnopqrstuvwxyzABCDEFGHIJKLMNOPQRSTUVWXYZ.")))))</f>
        <v>0</v>
      </c>
      <c r="W93">
        <f>AND(IF(Metadata!C93="",FALSE,TRUE),exact(Metadata!C93,"urban biome"))</f>
        <v>0</v>
      </c>
      <c r="X93">
        <f>AND(IF(Metadata!D93="",FALSE,TRUE),exact(Metadata!D93,"animal-associated habitat"))</f>
        <v>0</v>
      </c>
      <c r="Y93">
        <f>OR(AND(IF(Metadata!E93="",FALSE,TRUE),OR(exact(Metadata!E93,"not applicable"),exact(Metadata!E93,"missing: not collected"),exact(Metadata!E93,"missing: not provided"),exact(Metadata!E93,"missing: restricted access"))),AND(IF(Metadata!E93="",FALSE,ISNUMBER(VALUE(Metadata!E93))),Metadata!E93&gt;0))</f>
        <v>0</v>
      </c>
      <c r="Z93">
        <f>AND(IF(Metadata!F93="",FALSE,TRUE),exact(Metadata!F93,"weeks"))</f>
        <v>0</v>
      </c>
      <c r="AA93">
        <f>AND(IF(Metadata!G93="",FALSE,TRUE),exact(Metadata!G93,"mouse"))</f>
        <v>0</v>
      </c>
      <c r="AB93">
        <f>AND(IF(Metadata!H93="",FALSE,TRUE),exact(Metadata!H93,"Mus musculus"))</f>
        <v>0</v>
      </c>
      <c r="AC93">
        <f>AND(IF(Metadata!I93="",FALSE,TRUE),exact(Metadata!I93,"10090"))</f>
        <v>0</v>
      </c>
      <c r="AD93">
        <f>OR(AND(IF(Metadata!J93="",FALSE,TRUE),OR(exact(Metadata!J93,"not applicable"),exact(Metadata!J93,"missing: not collected"),exact(Metadata!J93,"missing: not provided"),exact(Metadata!J93,"missing: restricted access"))),AND(IF(Metadata!J93="",FALSE,ISNUMBER(VALUE(Metadata!J93))),Metadata!J93&gt;0))</f>
        <v>0</v>
      </c>
      <c r="AE93">
        <f>AND(IF(Metadata!K93="",FALSE,TRUE),exact(Metadata!K93,"g"))</f>
        <v>0</v>
      </c>
    </row>
    <row r="94" spans="1:31">
      <c r="A94" s="5">
        <f>IF(B94=" "," ",HYPERLINK(CONCATENATE("#metadata!",ADDRESS(INDEX($Q$2:$Q$1001,MATCH(ROWS($O$2:O94),$O$2:$O$1001,0),0),1)),INDEX($T$2:$T$1001,MATCH(ROWS($O$2:O94),$O$2:$O$1001,0),0)))</f>
        <v>0</v>
      </c>
      <c r="B94" s="4">
        <f>IF(OR(INDEX($P$2:$P$1001,MATCH(ROWS($O$2:O94),$O$2:$O$1001,0),1)&gt;=100000,INDEX($V$1005:$AE$1005,1,MATCH(COLUMNS($V$1006:V1006),$V$1006:$AE$1006,0))&gt;=100000), " ",IF(INDEX($V$2:$AE$1001,MATCH(ROWS($O$2:O94),$O$2:$O$1001,0),MATCH(COLUMNS($V$1006:V1006),$V$1006:$AE$1006,0)), HYPERLINK("#",""), HYPERLINK(CONCATENATE("#Metadata!", ADDRESS(INDEX($Q$2:$Q$1001,MATCH(ROWS($O$2:O94),$O$2:$O$1001,0),0), INDEX($V$1004:$AE$1004,1,MATCH(COLUMNS($V$1006:V1006),$V$1006:$AE$1006,0)))),"Fix")))</f>
        <v>0</v>
      </c>
      <c r="C94" s="4">
        <f>IF(OR(INDEX($P$2:$P$1001,MATCH(ROWS($O$2:O94),$O$2:$O$1001,0),1)&gt;=100000,INDEX($V$1005:$AE$1005,1,MATCH(COLUMNS($V$1006:W1006),$V$1006:$AE$1006,0))&gt;=100000), " ",IF(INDEX($V$2:$AE$1001,MATCH(ROWS($O$2:O94),$O$2:$O$1001,0),MATCH(COLUMNS($V$1006:W1006),$V$1006:$AE$1006,0)), HYPERLINK("#",""), HYPERLINK(CONCATENATE("#Metadata!", ADDRESS(INDEX($Q$2:$Q$1001,MATCH(ROWS($O$2:O94),$O$2:$O$1001,0),0), INDEX($V$1004:$AE$1004,1,MATCH(COLUMNS($V$1006:W1006),$V$1006:$AE$1006,0)))),"Fix")))</f>
        <v>0</v>
      </c>
      <c r="D94" s="4">
        <f>IF(OR(INDEX($P$2:$P$1001,MATCH(ROWS($O$2:O94),$O$2:$O$1001,0),1)&gt;=100000,INDEX($V$1005:$AE$1005,1,MATCH(COLUMNS($V$1006:X1006),$V$1006:$AE$1006,0))&gt;=100000), " ",IF(INDEX($V$2:$AE$1001,MATCH(ROWS($O$2:O94),$O$2:$O$1001,0),MATCH(COLUMNS($V$1006:X1006),$V$1006:$AE$1006,0)), HYPERLINK("#",""), HYPERLINK(CONCATENATE("#Metadata!", ADDRESS(INDEX($Q$2:$Q$1001,MATCH(ROWS($O$2:O94),$O$2:$O$1001,0),0), INDEX($V$1004:$AE$1004,1,MATCH(COLUMNS($V$1006:X1006),$V$1006:$AE$1006,0)))),"Fix")))</f>
        <v>0</v>
      </c>
      <c r="E94" s="4">
        <f>IF(OR(INDEX($P$2:$P$1001,MATCH(ROWS($O$2:O94),$O$2:$O$1001,0),1)&gt;=100000,INDEX($V$1005:$AE$1005,1,MATCH(COLUMNS($V$1006:Y1006),$V$1006:$AE$1006,0))&gt;=100000), " ",IF(INDEX($V$2:$AE$1001,MATCH(ROWS($O$2:O94),$O$2:$O$1001,0),MATCH(COLUMNS($V$1006:Y1006),$V$1006:$AE$1006,0)), HYPERLINK("#",""), HYPERLINK(CONCATENATE("#Metadata!", ADDRESS(INDEX($Q$2:$Q$1001,MATCH(ROWS($O$2:O94),$O$2:$O$1001,0),0), INDEX($V$1004:$AE$1004,1,MATCH(COLUMNS($V$1006:Y1006),$V$1006:$AE$1006,0)))),"Fix")))</f>
        <v>0</v>
      </c>
      <c r="F94" s="4">
        <f>IF(OR(INDEX($P$2:$P$1001,MATCH(ROWS($O$2:O94),$O$2:$O$1001,0),1)&gt;=100000,INDEX($V$1005:$AE$1005,1,MATCH(COLUMNS($V$1006:Z1006),$V$1006:$AE$1006,0))&gt;=100000), " ",IF(INDEX($V$2:$AE$1001,MATCH(ROWS($O$2:O94),$O$2:$O$1001,0),MATCH(COLUMNS($V$1006:Z1006),$V$1006:$AE$1006,0)), HYPERLINK("#",""), HYPERLINK(CONCATENATE("#Metadata!", ADDRESS(INDEX($Q$2:$Q$1001,MATCH(ROWS($O$2:O94),$O$2:$O$1001,0),0), INDEX($V$1004:$AE$1004,1,MATCH(COLUMNS($V$1006:Z1006),$V$1006:$AE$1006,0)))),"Fix")))</f>
        <v>0</v>
      </c>
      <c r="G94" s="4">
        <f>IF(OR(INDEX($P$2:$P$1001,MATCH(ROWS($O$2:O94),$O$2:$O$1001,0),1)&gt;=100000,INDEX($V$1005:$AE$1005,1,MATCH(COLUMNS($V$1006:AA1006),$V$1006:$AE$1006,0))&gt;=100000), " ",IF(INDEX($V$2:$AE$1001,MATCH(ROWS($O$2:O94),$O$2:$O$1001,0),MATCH(COLUMNS($V$1006:AA1006),$V$1006:$AE$1006,0)), HYPERLINK("#",""), HYPERLINK(CONCATENATE("#Metadata!", ADDRESS(INDEX($Q$2:$Q$1001,MATCH(ROWS($O$2:O94),$O$2:$O$1001,0),0), INDEX($V$1004:$AE$1004,1,MATCH(COLUMNS($V$1006:AA1006),$V$1006:$AE$1006,0)))),"Fix")))</f>
        <v>0</v>
      </c>
      <c r="H94" s="4">
        <f>IF(OR(INDEX($P$2:$P$1001,MATCH(ROWS($O$2:O94),$O$2:$O$1001,0),1)&gt;=100000,INDEX($V$1005:$AE$1005,1,MATCH(COLUMNS($V$1006:AB1006),$V$1006:$AE$1006,0))&gt;=100000), " ",IF(INDEX($V$2:$AE$1001,MATCH(ROWS($O$2:O94),$O$2:$O$1001,0),MATCH(COLUMNS($V$1006:AB1006),$V$1006:$AE$1006,0)), HYPERLINK("#",""), HYPERLINK(CONCATENATE("#Metadata!", ADDRESS(INDEX($Q$2:$Q$1001,MATCH(ROWS($O$2:O94),$O$2:$O$1001,0),0), INDEX($V$1004:$AE$1004,1,MATCH(COLUMNS($V$1006:AB1006),$V$1006:$AE$1006,0)))),"Fix")))</f>
        <v>0</v>
      </c>
      <c r="I94" s="4">
        <f>IF(OR(INDEX($P$2:$P$1001,MATCH(ROWS($O$2:O94),$O$2:$O$1001,0),1)&gt;=100000,INDEX($V$1005:$AE$1005,1,MATCH(COLUMNS($V$1006:AC1006),$V$1006:$AE$1006,0))&gt;=100000), " ",IF(INDEX($V$2:$AE$1001,MATCH(ROWS($O$2:O94),$O$2:$O$1001,0),MATCH(COLUMNS($V$1006:AC1006),$V$1006:$AE$1006,0)), HYPERLINK("#",""), HYPERLINK(CONCATENATE("#Metadata!", ADDRESS(INDEX($Q$2:$Q$1001,MATCH(ROWS($O$2:O94),$O$2:$O$1001,0),0), INDEX($V$1004:$AE$1004,1,MATCH(COLUMNS($V$1006:AC1006),$V$1006:$AE$1006,0)))),"Fix")))</f>
        <v>0</v>
      </c>
      <c r="J94" s="4">
        <f>IF(OR(INDEX($P$2:$P$1001,MATCH(ROWS($O$2:O94),$O$2:$O$1001,0),1)&gt;=100000,INDEX($V$1005:$AE$1005,1,MATCH(COLUMNS($V$1006:AD1006),$V$1006:$AE$1006,0))&gt;=100000), " ",IF(INDEX($V$2:$AE$1001,MATCH(ROWS($O$2:O94),$O$2:$O$1001,0),MATCH(COLUMNS($V$1006:AD1006),$V$1006:$AE$1006,0)), HYPERLINK("#",""), HYPERLINK(CONCATENATE("#Metadata!", ADDRESS(INDEX($Q$2:$Q$1001,MATCH(ROWS($O$2:O94),$O$2:$O$1001,0),0), INDEX($V$1004:$AE$1004,1,MATCH(COLUMNS($V$1006:AD1006),$V$1006:$AE$1006,0)))),"Fix")))</f>
        <v>0</v>
      </c>
      <c r="K94" s="4">
        <f>IF(OR(INDEX($P$2:$P$1001,MATCH(ROWS($O$2:O94),$O$2:$O$1001,0),1)&gt;=100000,INDEX($V$1005:$AE$1005,1,MATCH(COLUMNS($V$1006:AE1006),$V$1006:$AE$1006,0))&gt;=100000), " ",IF(INDEX($V$2:$AE$1001,MATCH(ROWS($O$2:O94),$O$2:$O$1001,0),MATCH(COLUMNS($V$1006:AE1006),$V$1006:$AE$1006,0)), HYPERLINK("#",""), HYPERLINK(CONCATENATE("#Metadata!", ADDRESS(INDEX($Q$2:$Q$1001,MATCH(ROWS($O$2:O94),$O$2:$O$1001,0),0), INDEX($V$1004:$AE$1004,1,MATCH(COLUMNS($V$1006:AE1006),$V$1006:$AE$1006,0)))),"Fix")))</f>
        <v>0</v>
      </c>
      <c r="O94">
        <v>0</v>
      </c>
      <c r="P94">
        <v>0</v>
      </c>
      <c r="Q94">
        <v>0</v>
      </c>
      <c r="R94">
        <f>IF(S94,TRUE,AND(V94:AE94))</f>
        <v>0</v>
      </c>
      <c r="S94">
        <f>COUNTBLANK(Metadata!B94:K94)=COLUMNS(Metadata!B94:K94)</f>
        <v>0</v>
      </c>
      <c r="T94">
        <v>0</v>
      </c>
      <c r="V94">
        <f>AND(IF(Metadata!B94="",FALSE,TRUE),COUNTIF(Metadata!B:B, Metadata!B94) = 1,NOT(ISERROR(SUMPRODUCT(SEARCH(MID(Metadata!B94,ROW(INDIRECT("1:"&amp;LEN(Metadata!B94))), 1),"0123456789abcdefghijklmnopqrstuvwxyzABCDEFGHIJKLMNOPQRSTUVWXYZ.")))))</f>
        <v>0</v>
      </c>
      <c r="W94">
        <f>AND(IF(Metadata!C94="",FALSE,TRUE),exact(Metadata!C94,"urban biome"))</f>
        <v>0</v>
      </c>
      <c r="X94">
        <f>AND(IF(Metadata!D94="",FALSE,TRUE),exact(Metadata!D94,"animal-associated habitat"))</f>
        <v>0</v>
      </c>
      <c r="Y94">
        <f>OR(AND(IF(Metadata!E94="",FALSE,TRUE),OR(exact(Metadata!E94,"not applicable"),exact(Metadata!E94,"missing: not collected"),exact(Metadata!E94,"missing: not provided"),exact(Metadata!E94,"missing: restricted access"))),AND(IF(Metadata!E94="",FALSE,ISNUMBER(VALUE(Metadata!E94))),Metadata!E94&gt;0))</f>
        <v>0</v>
      </c>
      <c r="Z94">
        <f>AND(IF(Metadata!F94="",FALSE,TRUE),exact(Metadata!F94,"weeks"))</f>
        <v>0</v>
      </c>
      <c r="AA94">
        <f>AND(IF(Metadata!G94="",FALSE,TRUE),exact(Metadata!G94,"mouse"))</f>
        <v>0</v>
      </c>
      <c r="AB94">
        <f>AND(IF(Metadata!H94="",FALSE,TRUE),exact(Metadata!H94,"Mus musculus"))</f>
        <v>0</v>
      </c>
      <c r="AC94">
        <f>AND(IF(Metadata!I94="",FALSE,TRUE),exact(Metadata!I94,"10090"))</f>
        <v>0</v>
      </c>
      <c r="AD94">
        <f>OR(AND(IF(Metadata!J94="",FALSE,TRUE),OR(exact(Metadata!J94,"not applicable"),exact(Metadata!J94,"missing: not collected"),exact(Metadata!J94,"missing: not provided"),exact(Metadata!J94,"missing: restricted access"))),AND(IF(Metadata!J94="",FALSE,ISNUMBER(VALUE(Metadata!J94))),Metadata!J94&gt;0))</f>
        <v>0</v>
      </c>
      <c r="AE94">
        <f>AND(IF(Metadata!K94="",FALSE,TRUE),exact(Metadata!K94,"g"))</f>
        <v>0</v>
      </c>
    </row>
    <row r="95" spans="1:31">
      <c r="A95" s="5">
        <f>IF(B95=" "," ",HYPERLINK(CONCATENATE("#metadata!",ADDRESS(INDEX($Q$2:$Q$1001,MATCH(ROWS($O$2:O95),$O$2:$O$1001,0),0),1)),INDEX($T$2:$T$1001,MATCH(ROWS($O$2:O95),$O$2:$O$1001,0),0)))</f>
        <v>0</v>
      </c>
      <c r="B95" s="4">
        <f>IF(OR(INDEX($P$2:$P$1001,MATCH(ROWS($O$2:O95),$O$2:$O$1001,0),1)&gt;=100000,INDEX($V$1005:$AE$1005,1,MATCH(COLUMNS($V$1006:V1006),$V$1006:$AE$1006,0))&gt;=100000), " ",IF(INDEX($V$2:$AE$1001,MATCH(ROWS($O$2:O95),$O$2:$O$1001,0),MATCH(COLUMNS($V$1006:V1006),$V$1006:$AE$1006,0)), HYPERLINK("#",""), HYPERLINK(CONCATENATE("#Metadata!", ADDRESS(INDEX($Q$2:$Q$1001,MATCH(ROWS($O$2:O95),$O$2:$O$1001,0),0), INDEX($V$1004:$AE$1004,1,MATCH(COLUMNS($V$1006:V1006),$V$1006:$AE$1006,0)))),"Fix")))</f>
        <v>0</v>
      </c>
      <c r="C95" s="4">
        <f>IF(OR(INDEX($P$2:$P$1001,MATCH(ROWS($O$2:O95),$O$2:$O$1001,0),1)&gt;=100000,INDEX($V$1005:$AE$1005,1,MATCH(COLUMNS($V$1006:W1006),$V$1006:$AE$1006,0))&gt;=100000), " ",IF(INDEX($V$2:$AE$1001,MATCH(ROWS($O$2:O95),$O$2:$O$1001,0),MATCH(COLUMNS($V$1006:W1006),$V$1006:$AE$1006,0)), HYPERLINK("#",""), HYPERLINK(CONCATENATE("#Metadata!", ADDRESS(INDEX($Q$2:$Q$1001,MATCH(ROWS($O$2:O95),$O$2:$O$1001,0),0), INDEX($V$1004:$AE$1004,1,MATCH(COLUMNS($V$1006:W1006),$V$1006:$AE$1006,0)))),"Fix")))</f>
        <v>0</v>
      </c>
      <c r="D95" s="4">
        <f>IF(OR(INDEX($P$2:$P$1001,MATCH(ROWS($O$2:O95),$O$2:$O$1001,0),1)&gt;=100000,INDEX($V$1005:$AE$1005,1,MATCH(COLUMNS($V$1006:X1006),$V$1006:$AE$1006,0))&gt;=100000), " ",IF(INDEX($V$2:$AE$1001,MATCH(ROWS($O$2:O95),$O$2:$O$1001,0),MATCH(COLUMNS($V$1006:X1006),$V$1006:$AE$1006,0)), HYPERLINK("#",""), HYPERLINK(CONCATENATE("#Metadata!", ADDRESS(INDEX($Q$2:$Q$1001,MATCH(ROWS($O$2:O95),$O$2:$O$1001,0),0), INDEX($V$1004:$AE$1004,1,MATCH(COLUMNS($V$1006:X1006),$V$1006:$AE$1006,0)))),"Fix")))</f>
        <v>0</v>
      </c>
      <c r="E95" s="4">
        <f>IF(OR(INDEX($P$2:$P$1001,MATCH(ROWS($O$2:O95),$O$2:$O$1001,0),1)&gt;=100000,INDEX($V$1005:$AE$1005,1,MATCH(COLUMNS($V$1006:Y1006),$V$1006:$AE$1006,0))&gt;=100000), " ",IF(INDEX($V$2:$AE$1001,MATCH(ROWS($O$2:O95),$O$2:$O$1001,0),MATCH(COLUMNS($V$1006:Y1006),$V$1006:$AE$1006,0)), HYPERLINK("#",""), HYPERLINK(CONCATENATE("#Metadata!", ADDRESS(INDEX($Q$2:$Q$1001,MATCH(ROWS($O$2:O95),$O$2:$O$1001,0),0), INDEX($V$1004:$AE$1004,1,MATCH(COLUMNS($V$1006:Y1006),$V$1006:$AE$1006,0)))),"Fix")))</f>
        <v>0</v>
      </c>
      <c r="F95" s="4">
        <f>IF(OR(INDEX($P$2:$P$1001,MATCH(ROWS($O$2:O95),$O$2:$O$1001,0),1)&gt;=100000,INDEX($V$1005:$AE$1005,1,MATCH(COLUMNS($V$1006:Z1006),$V$1006:$AE$1006,0))&gt;=100000), " ",IF(INDEX($V$2:$AE$1001,MATCH(ROWS($O$2:O95),$O$2:$O$1001,0),MATCH(COLUMNS($V$1006:Z1006),$V$1006:$AE$1006,0)), HYPERLINK("#",""), HYPERLINK(CONCATENATE("#Metadata!", ADDRESS(INDEX($Q$2:$Q$1001,MATCH(ROWS($O$2:O95),$O$2:$O$1001,0),0), INDEX($V$1004:$AE$1004,1,MATCH(COLUMNS($V$1006:Z1006),$V$1006:$AE$1006,0)))),"Fix")))</f>
        <v>0</v>
      </c>
      <c r="G95" s="4">
        <f>IF(OR(INDEX($P$2:$P$1001,MATCH(ROWS($O$2:O95),$O$2:$O$1001,0),1)&gt;=100000,INDEX($V$1005:$AE$1005,1,MATCH(COLUMNS($V$1006:AA1006),$V$1006:$AE$1006,0))&gt;=100000), " ",IF(INDEX($V$2:$AE$1001,MATCH(ROWS($O$2:O95),$O$2:$O$1001,0),MATCH(COLUMNS($V$1006:AA1006),$V$1006:$AE$1006,0)), HYPERLINK("#",""), HYPERLINK(CONCATENATE("#Metadata!", ADDRESS(INDEX($Q$2:$Q$1001,MATCH(ROWS($O$2:O95),$O$2:$O$1001,0),0), INDEX($V$1004:$AE$1004,1,MATCH(COLUMNS($V$1006:AA1006),$V$1006:$AE$1006,0)))),"Fix")))</f>
        <v>0</v>
      </c>
      <c r="H95" s="4">
        <f>IF(OR(INDEX($P$2:$P$1001,MATCH(ROWS($O$2:O95),$O$2:$O$1001,0),1)&gt;=100000,INDEX($V$1005:$AE$1005,1,MATCH(COLUMNS($V$1006:AB1006),$V$1006:$AE$1006,0))&gt;=100000), " ",IF(INDEX($V$2:$AE$1001,MATCH(ROWS($O$2:O95),$O$2:$O$1001,0),MATCH(COLUMNS($V$1006:AB1006),$V$1006:$AE$1006,0)), HYPERLINK("#",""), HYPERLINK(CONCATENATE("#Metadata!", ADDRESS(INDEX($Q$2:$Q$1001,MATCH(ROWS($O$2:O95),$O$2:$O$1001,0),0), INDEX($V$1004:$AE$1004,1,MATCH(COLUMNS($V$1006:AB1006),$V$1006:$AE$1006,0)))),"Fix")))</f>
        <v>0</v>
      </c>
      <c r="I95" s="4">
        <f>IF(OR(INDEX($P$2:$P$1001,MATCH(ROWS($O$2:O95),$O$2:$O$1001,0),1)&gt;=100000,INDEX($V$1005:$AE$1005,1,MATCH(COLUMNS($V$1006:AC1006),$V$1006:$AE$1006,0))&gt;=100000), " ",IF(INDEX($V$2:$AE$1001,MATCH(ROWS($O$2:O95),$O$2:$O$1001,0),MATCH(COLUMNS($V$1006:AC1006),$V$1006:$AE$1006,0)), HYPERLINK("#",""), HYPERLINK(CONCATENATE("#Metadata!", ADDRESS(INDEX($Q$2:$Q$1001,MATCH(ROWS($O$2:O95),$O$2:$O$1001,0),0), INDEX($V$1004:$AE$1004,1,MATCH(COLUMNS($V$1006:AC1006),$V$1006:$AE$1006,0)))),"Fix")))</f>
        <v>0</v>
      </c>
      <c r="J95" s="4">
        <f>IF(OR(INDEX($P$2:$P$1001,MATCH(ROWS($O$2:O95),$O$2:$O$1001,0),1)&gt;=100000,INDEX($V$1005:$AE$1005,1,MATCH(COLUMNS($V$1006:AD1006),$V$1006:$AE$1006,0))&gt;=100000), " ",IF(INDEX($V$2:$AE$1001,MATCH(ROWS($O$2:O95),$O$2:$O$1001,0),MATCH(COLUMNS($V$1006:AD1006),$V$1006:$AE$1006,0)), HYPERLINK("#",""), HYPERLINK(CONCATENATE("#Metadata!", ADDRESS(INDEX($Q$2:$Q$1001,MATCH(ROWS($O$2:O95),$O$2:$O$1001,0),0), INDEX($V$1004:$AE$1004,1,MATCH(COLUMNS($V$1006:AD1006),$V$1006:$AE$1006,0)))),"Fix")))</f>
        <v>0</v>
      </c>
      <c r="K95" s="4">
        <f>IF(OR(INDEX($P$2:$P$1001,MATCH(ROWS($O$2:O95),$O$2:$O$1001,0),1)&gt;=100000,INDEX($V$1005:$AE$1005,1,MATCH(COLUMNS($V$1006:AE1006),$V$1006:$AE$1006,0))&gt;=100000), " ",IF(INDEX($V$2:$AE$1001,MATCH(ROWS($O$2:O95),$O$2:$O$1001,0),MATCH(COLUMNS($V$1006:AE1006),$V$1006:$AE$1006,0)), HYPERLINK("#",""), HYPERLINK(CONCATENATE("#Metadata!", ADDRESS(INDEX($Q$2:$Q$1001,MATCH(ROWS($O$2:O95),$O$2:$O$1001,0),0), INDEX($V$1004:$AE$1004,1,MATCH(COLUMNS($V$1006:AE1006),$V$1006:$AE$1006,0)))),"Fix")))</f>
        <v>0</v>
      </c>
      <c r="O95">
        <v>0</v>
      </c>
      <c r="P95">
        <v>0</v>
      </c>
      <c r="Q95">
        <v>0</v>
      </c>
      <c r="R95">
        <f>IF(S95,TRUE,AND(V95:AE95))</f>
        <v>0</v>
      </c>
      <c r="S95">
        <f>COUNTBLANK(Metadata!B95:K95)=COLUMNS(Metadata!B95:K95)</f>
        <v>0</v>
      </c>
      <c r="T95">
        <v>0</v>
      </c>
      <c r="V95">
        <f>AND(IF(Metadata!B95="",FALSE,TRUE),COUNTIF(Metadata!B:B, Metadata!B95) = 1,NOT(ISERROR(SUMPRODUCT(SEARCH(MID(Metadata!B95,ROW(INDIRECT("1:"&amp;LEN(Metadata!B95))), 1),"0123456789abcdefghijklmnopqrstuvwxyzABCDEFGHIJKLMNOPQRSTUVWXYZ.")))))</f>
        <v>0</v>
      </c>
      <c r="W95">
        <f>AND(IF(Metadata!C95="",FALSE,TRUE),exact(Metadata!C95,"urban biome"))</f>
        <v>0</v>
      </c>
      <c r="X95">
        <f>AND(IF(Metadata!D95="",FALSE,TRUE),exact(Metadata!D95,"animal-associated habitat"))</f>
        <v>0</v>
      </c>
      <c r="Y95">
        <f>OR(AND(IF(Metadata!E95="",FALSE,TRUE),OR(exact(Metadata!E95,"not applicable"),exact(Metadata!E95,"missing: not collected"),exact(Metadata!E95,"missing: not provided"),exact(Metadata!E95,"missing: restricted access"))),AND(IF(Metadata!E95="",FALSE,ISNUMBER(VALUE(Metadata!E95))),Metadata!E95&gt;0))</f>
        <v>0</v>
      </c>
      <c r="Z95">
        <f>AND(IF(Metadata!F95="",FALSE,TRUE),exact(Metadata!F95,"weeks"))</f>
        <v>0</v>
      </c>
      <c r="AA95">
        <f>AND(IF(Metadata!G95="",FALSE,TRUE),exact(Metadata!G95,"mouse"))</f>
        <v>0</v>
      </c>
      <c r="AB95">
        <f>AND(IF(Metadata!H95="",FALSE,TRUE),exact(Metadata!H95,"Mus musculus"))</f>
        <v>0</v>
      </c>
      <c r="AC95">
        <f>AND(IF(Metadata!I95="",FALSE,TRUE),exact(Metadata!I95,"10090"))</f>
        <v>0</v>
      </c>
      <c r="AD95">
        <f>OR(AND(IF(Metadata!J95="",FALSE,TRUE),OR(exact(Metadata!J95,"not applicable"),exact(Metadata!J95,"missing: not collected"),exact(Metadata!J95,"missing: not provided"),exact(Metadata!J95,"missing: restricted access"))),AND(IF(Metadata!J95="",FALSE,ISNUMBER(VALUE(Metadata!J95))),Metadata!J95&gt;0))</f>
        <v>0</v>
      </c>
      <c r="AE95">
        <f>AND(IF(Metadata!K95="",FALSE,TRUE),exact(Metadata!K95,"g"))</f>
        <v>0</v>
      </c>
    </row>
    <row r="96" spans="1:31">
      <c r="A96" s="5">
        <f>IF(B96=" "," ",HYPERLINK(CONCATENATE("#metadata!",ADDRESS(INDEX($Q$2:$Q$1001,MATCH(ROWS($O$2:O96),$O$2:$O$1001,0),0),1)),INDEX($T$2:$T$1001,MATCH(ROWS($O$2:O96),$O$2:$O$1001,0),0)))</f>
        <v>0</v>
      </c>
      <c r="B96" s="4">
        <f>IF(OR(INDEX($P$2:$P$1001,MATCH(ROWS($O$2:O96),$O$2:$O$1001,0),1)&gt;=100000,INDEX($V$1005:$AE$1005,1,MATCH(COLUMNS($V$1006:V1006),$V$1006:$AE$1006,0))&gt;=100000), " ",IF(INDEX($V$2:$AE$1001,MATCH(ROWS($O$2:O96),$O$2:$O$1001,0),MATCH(COLUMNS($V$1006:V1006),$V$1006:$AE$1006,0)), HYPERLINK("#",""), HYPERLINK(CONCATENATE("#Metadata!", ADDRESS(INDEX($Q$2:$Q$1001,MATCH(ROWS($O$2:O96),$O$2:$O$1001,0),0), INDEX($V$1004:$AE$1004,1,MATCH(COLUMNS($V$1006:V1006),$V$1006:$AE$1006,0)))),"Fix")))</f>
        <v>0</v>
      </c>
      <c r="C96" s="4">
        <f>IF(OR(INDEX($P$2:$P$1001,MATCH(ROWS($O$2:O96),$O$2:$O$1001,0),1)&gt;=100000,INDEX($V$1005:$AE$1005,1,MATCH(COLUMNS($V$1006:W1006),$V$1006:$AE$1006,0))&gt;=100000), " ",IF(INDEX($V$2:$AE$1001,MATCH(ROWS($O$2:O96),$O$2:$O$1001,0),MATCH(COLUMNS($V$1006:W1006),$V$1006:$AE$1006,0)), HYPERLINK("#",""), HYPERLINK(CONCATENATE("#Metadata!", ADDRESS(INDEX($Q$2:$Q$1001,MATCH(ROWS($O$2:O96),$O$2:$O$1001,0),0), INDEX($V$1004:$AE$1004,1,MATCH(COLUMNS($V$1006:W1006),$V$1006:$AE$1006,0)))),"Fix")))</f>
        <v>0</v>
      </c>
      <c r="D96" s="4">
        <f>IF(OR(INDEX($P$2:$P$1001,MATCH(ROWS($O$2:O96),$O$2:$O$1001,0),1)&gt;=100000,INDEX($V$1005:$AE$1005,1,MATCH(COLUMNS($V$1006:X1006),$V$1006:$AE$1006,0))&gt;=100000), " ",IF(INDEX($V$2:$AE$1001,MATCH(ROWS($O$2:O96),$O$2:$O$1001,0),MATCH(COLUMNS($V$1006:X1006),$V$1006:$AE$1006,0)), HYPERLINK("#",""), HYPERLINK(CONCATENATE("#Metadata!", ADDRESS(INDEX($Q$2:$Q$1001,MATCH(ROWS($O$2:O96),$O$2:$O$1001,0),0), INDEX($V$1004:$AE$1004,1,MATCH(COLUMNS($V$1006:X1006),$V$1006:$AE$1006,0)))),"Fix")))</f>
        <v>0</v>
      </c>
      <c r="E96" s="4">
        <f>IF(OR(INDEX($P$2:$P$1001,MATCH(ROWS($O$2:O96),$O$2:$O$1001,0),1)&gt;=100000,INDEX($V$1005:$AE$1005,1,MATCH(COLUMNS($V$1006:Y1006),$V$1006:$AE$1006,0))&gt;=100000), " ",IF(INDEX($V$2:$AE$1001,MATCH(ROWS($O$2:O96),$O$2:$O$1001,0),MATCH(COLUMNS($V$1006:Y1006),$V$1006:$AE$1006,0)), HYPERLINK("#",""), HYPERLINK(CONCATENATE("#Metadata!", ADDRESS(INDEX($Q$2:$Q$1001,MATCH(ROWS($O$2:O96),$O$2:$O$1001,0),0), INDEX($V$1004:$AE$1004,1,MATCH(COLUMNS($V$1006:Y1006),$V$1006:$AE$1006,0)))),"Fix")))</f>
        <v>0</v>
      </c>
      <c r="F96" s="4">
        <f>IF(OR(INDEX($P$2:$P$1001,MATCH(ROWS($O$2:O96),$O$2:$O$1001,0),1)&gt;=100000,INDEX($V$1005:$AE$1005,1,MATCH(COLUMNS($V$1006:Z1006),$V$1006:$AE$1006,0))&gt;=100000), " ",IF(INDEX($V$2:$AE$1001,MATCH(ROWS($O$2:O96),$O$2:$O$1001,0),MATCH(COLUMNS($V$1006:Z1006),$V$1006:$AE$1006,0)), HYPERLINK("#",""), HYPERLINK(CONCATENATE("#Metadata!", ADDRESS(INDEX($Q$2:$Q$1001,MATCH(ROWS($O$2:O96),$O$2:$O$1001,0),0), INDEX($V$1004:$AE$1004,1,MATCH(COLUMNS($V$1006:Z1006),$V$1006:$AE$1006,0)))),"Fix")))</f>
        <v>0</v>
      </c>
      <c r="G96" s="4">
        <f>IF(OR(INDEX($P$2:$P$1001,MATCH(ROWS($O$2:O96),$O$2:$O$1001,0),1)&gt;=100000,INDEX($V$1005:$AE$1005,1,MATCH(COLUMNS($V$1006:AA1006),$V$1006:$AE$1006,0))&gt;=100000), " ",IF(INDEX($V$2:$AE$1001,MATCH(ROWS($O$2:O96),$O$2:$O$1001,0),MATCH(COLUMNS($V$1006:AA1006),$V$1006:$AE$1006,0)), HYPERLINK("#",""), HYPERLINK(CONCATENATE("#Metadata!", ADDRESS(INDEX($Q$2:$Q$1001,MATCH(ROWS($O$2:O96),$O$2:$O$1001,0),0), INDEX($V$1004:$AE$1004,1,MATCH(COLUMNS($V$1006:AA1006),$V$1006:$AE$1006,0)))),"Fix")))</f>
        <v>0</v>
      </c>
      <c r="H96" s="4">
        <f>IF(OR(INDEX($P$2:$P$1001,MATCH(ROWS($O$2:O96),$O$2:$O$1001,0),1)&gt;=100000,INDEX($V$1005:$AE$1005,1,MATCH(COLUMNS($V$1006:AB1006),$V$1006:$AE$1006,0))&gt;=100000), " ",IF(INDEX($V$2:$AE$1001,MATCH(ROWS($O$2:O96),$O$2:$O$1001,0),MATCH(COLUMNS($V$1006:AB1006),$V$1006:$AE$1006,0)), HYPERLINK("#",""), HYPERLINK(CONCATENATE("#Metadata!", ADDRESS(INDEX($Q$2:$Q$1001,MATCH(ROWS($O$2:O96),$O$2:$O$1001,0),0), INDEX($V$1004:$AE$1004,1,MATCH(COLUMNS($V$1006:AB1006),$V$1006:$AE$1006,0)))),"Fix")))</f>
        <v>0</v>
      </c>
      <c r="I96" s="4">
        <f>IF(OR(INDEX($P$2:$P$1001,MATCH(ROWS($O$2:O96),$O$2:$O$1001,0),1)&gt;=100000,INDEX($V$1005:$AE$1005,1,MATCH(COLUMNS($V$1006:AC1006),$V$1006:$AE$1006,0))&gt;=100000), " ",IF(INDEX($V$2:$AE$1001,MATCH(ROWS($O$2:O96),$O$2:$O$1001,0),MATCH(COLUMNS($V$1006:AC1006),$V$1006:$AE$1006,0)), HYPERLINK("#",""), HYPERLINK(CONCATENATE("#Metadata!", ADDRESS(INDEX($Q$2:$Q$1001,MATCH(ROWS($O$2:O96),$O$2:$O$1001,0),0), INDEX($V$1004:$AE$1004,1,MATCH(COLUMNS($V$1006:AC1006),$V$1006:$AE$1006,0)))),"Fix")))</f>
        <v>0</v>
      </c>
      <c r="J96" s="4">
        <f>IF(OR(INDEX($P$2:$P$1001,MATCH(ROWS($O$2:O96),$O$2:$O$1001,0),1)&gt;=100000,INDEX($V$1005:$AE$1005,1,MATCH(COLUMNS($V$1006:AD1006),$V$1006:$AE$1006,0))&gt;=100000), " ",IF(INDEX($V$2:$AE$1001,MATCH(ROWS($O$2:O96),$O$2:$O$1001,0),MATCH(COLUMNS($V$1006:AD1006),$V$1006:$AE$1006,0)), HYPERLINK("#",""), HYPERLINK(CONCATENATE("#Metadata!", ADDRESS(INDEX($Q$2:$Q$1001,MATCH(ROWS($O$2:O96),$O$2:$O$1001,0),0), INDEX($V$1004:$AE$1004,1,MATCH(COLUMNS($V$1006:AD1006),$V$1006:$AE$1006,0)))),"Fix")))</f>
        <v>0</v>
      </c>
      <c r="K96" s="4">
        <f>IF(OR(INDEX($P$2:$P$1001,MATCH(ROWS($O$2:O96),$O$2:$O$1001,0),1)&gt;=100000,INDEX($V$1005:$AE$1005,1,MATCH(COLUMNS($V$1006:AE1006),$V$1006:$AE$1006,0))&gt;=100000), " ",IF(INDEX($V$2:$AE$1001,MATCH(ROWS($O$2:O96),$O$2:$O$1001,0),MATCH(COLUMNS($V$1006:AE1006),$V$1006:$AE$1006,0)), HYPERLINK("#",""), HYPERLINK(CONCATENATE("#Metadata!", ADDRESS(INDEX($Q$2:$Q$1001,MATCH(ROWS($O$2:O96),$O$2:$O$1001,0),0), INDEX($V$1004:$AE$1004,1,MATCH(COLUMNS($V$1006:AE1006),$V$1006:$AE$1006,0)))),"Fix")))</f>
        <v>0</v>
      </c>
      <c r="O96">
        <v>0</v>
      </c>
      <c r="P96">
        <v>0</v>
      </c>
      <c r="Q96">
        <v>0</v>
      </c>
      <c r="R96">
        <f>IF(S96,TRUE,AND(V96:AE96))</f>
        <v>0</v>
      </c>
      <c r="S96">
        <f>COUNTBLANK(Metadata!B96:K96)=COLUMNS(Metadata!B96:K96)</f>
        <v>0</v>
      </c>
      <c r="T96">
        <v>0</v>
      </c>
      <c r="V96">
        <f>AND(IF(Metadata!B96="",FALSE,TRUE),COUNTIF(Metadata!B:B, Metadata!B96) = 1,NOT(ISERROR(SUMPRODUCT(SEARCH(MID(Metadata!B96,ROW(INDIRECT("1:"&amp;LEN(Metadata!B96))), 1),"0123456789abcdefghijklmnopqrstuvwxyzABCDEFGHIJKLMNOPQRSTUVWXYZ.")))))</f>
        <v>0</v>
      </c>
      <c r="W96">
        <f>AND(IF(Metadata!C96="",FALSE,TRUE),exact(Metadata!C96,"urban biome"))</f>
        <v>0</v>
      </c>
      <c r="X96">
        <f>AND(IF(Metadata!D96="",FALSE,TRUE),exact(Metadata!D96,"animal-associated habitat"))</f>
        <v>0</v>
      </c>
      <c r="Y96">
        <f>OR(AND(IF(Metadata!E96="",FALSE,TRUE),OR(exact(Metadata!E96,"not applicable"),exact(Metadata!E96,"missing: not collected"),exact(Metadata!E96,"missing: not provided"),exact(Metadata!E96,"missing: restricted access"))),AND(IF(Metadata!E96="",FALSE,ISNUMBER(VALUE(Metadata!E96))),Metadata!E96&gt;0))</f>
        <v>0</v>
      </c>
      <c r="Z96">
        <f>AND(IF(Metadata!F96="",FALSE,TRUE),exact(Metadata!F96,"weeks"))</f>
        <v>0</v>
      </c>
      <c r="AA96">
        <f>AND(IF(Metadata!G96="",FALSE,TRUE),exact(Metadata!G96,"mouse"))</f>
        <v>0</v>
      </c>
      <c r="AB96">
        <f>AND(IF(Metadata!H96="",FALSE,TRUE),exact(Metadata!H96,"Mus musculus"))</f>
        <v>0</v>
      </c>
      <c r="AC96">
        <f>AND(IF(Metadata!I96="",FALSE,TRUE),exact(Metadata!I96,"10090"))</f>
        <v>0</v>
      </c>
      <c r="AD96">
        <f>OR(AND(IF(Metadata!J96="",FALSE,TRUE),OR(exact(Metadata!J96,"not applicable"),exact(Metadata!J96,"missing: not collected"),exact(Metadata!J96,"missing: not provided"),exact(Metadata!J96,"missing: restricted access"))),AND(IF(Metadata!J96="",FALSE,ISNUMBER(VALUE(Metadata!J96))),Metadata!J96&gt;0))</f>
        <v>0</v>
      </c>
      <c r="AE96">
        <f>AND(IF(Metadata!K96="",FALSE,TRUE),exact(Metadata!K96,"g"))</f>
        <v>0</v>
      </c>
    </row>
    <row r="97" spans="1:31">
      <c r="A97" s="5">
        <f>IF(B97=" "," ",HYPERLINK(CONCATENATE("#metadata!",ADDRESS(INDEX($Q$2:$Q$1001,MATCH(ROWS($O$2:O97),$O$2:$O$1001,0),0),1)),INDEX($T$2:$T$1001,MATCH(ROWS($O$2:O97),$O$2:$O$1001,0),0)))</f>
        <v>0</v>
      </c>
      <c r="B97" s="4">
        <f>IF(OR(INDEX($P$2:$P$1001,MATCH(ROWS($O$2:O97),$O$2:$O$1001,0),1)&gt;=100000,INDEX($V$1005:$AE$1005,1,MATCH(COLUMNS($V$1006:V1006),$V$1006:$AE$1006,0))&gt;=100000), " ",IF(INDEX($V$2:$AE$1001,MATCH(ROWS($O$2:O97),$O$2:$O$1001,0),MATCH(COLUMNS($V$1006:V1006),$V$1006:$AE$1006,0)), HYPERLINK("#",""), HYPERLINK(CONCATENATE("#Metadata!", ADDRESS(INDEX($Q$2:$Q$1001,MATCH(ROWS($O$2:O97),$O$2:$O$1001,0),0), INDEX($V$1004:$AE$1004,1,MATCH(COLUMNS($V$1006:V1006),$V$1006:$AE$1006,0)))),"Fix")))</f>
        <v>0</v>
      </c>
      <c r="C97" s="4">
        <f>IF(OR(INDEX($P$2:$P$1001,MATCH(ROWS($O$2:O97),$O$2:$O$1001,0),1)&gt;=100000,INDEX($V$1005:$AE$1005,1,MATCH(COLUMNS($V$1006:W1006),$V$1006:$AE$1006,0))&gt;=100000), " ",IF(INDEX($V$2:$AE$1001,MATCH(ROWS($O$2:O97),$O$2:$O$1001,0),MATCH(COLUMNS($V$1006:W1006),$V$1006:$AE$1006,0)), HYPERLINK("#",""), HYPERLINK(CONCATENATE("#Metadata!", ADDRESS(INDEX($Q$2:$Q$1001,MATCH(ROWS($O$2:O97),$O$2:$O$1001,0),0), INDEX($V$1004:$AE$1004,1,MATCH(COLUMNS($V$1006:W1006),$V$1006:$AE$1006,0)))),"Fix")))</f>
        <v>0</v>
      </c>
      <c r="D97" s="4">
        <f>IF(OR(INDEX($P$2:$P$1001,MATCH(ROWS($O$2:O97),$O$2:$O$1001,0),1)&gt;=100000,INDEX($V$1005:$AE$1005,1,MATCH(COLUMNS($V$1006:X1006),$V$1006:$AE$1006,0))&gt;=100000), " ",IF(INDEX($V$2:$AE$1001,MATCH(ROWS($O$2:O97),$O$2:$O$1001,0),MATCH(COLUMNS($V$1006:X1006),$V$1006:$AE$1006,0)), HYPERLINK("#",""), HYPERLINK(CONCATENATE("#Metadata!", ADDRESS(INDEX($Q$2:$Q$1001,MATCH(ROWS($O$2:O97),$O$2:$O$1001,0),0), INDEX($V$1004:$AE$1004,1,MATCH(COLUMNS($V$1006:X1006),$V$1006:$AE$1006,0)))),"Fix")))</f>
        <v>0</v>
      </c>
      <c r="E97" s="4">
        <f>IF(OR(INDEX($P$2:$P$1001,MATCH(ROWS($O$2:O97),$O$2:$O$1001,0),1)&gt;=100000,INDEX($V$1005:$AE$1005,1,MATCH(COLUMNS($V$1006:Y1006),$V$1006:$AE$1006,0))&gt;=100000), " ",IF(INDEX($V$2:$AE$1001,MATCH(ROWS($O$2:O97),$O$2:$O$1001,0),MATCH(COLUMNS($V$1006:Y1006),$V$1006:$AE$1006,0)), HYPERLINK("#",""), HYPERLINK(CONCATENATE("#Metadata!", ADDRESS(INDEX($Q$2:$Q$1001,MATCH(ROWS($O$2:O97),$O$2:$O$1001,0),0), INDEX($V$1004:$AE$1004,1,MATCH(COLUMNS($V$1006:Y1006),$V$1006:$AE$1006,0)))),"Fix")))</f>
        <v>0</v>
      </c>
      <c r="F97" s="4">
        <f>IF(OR(INDEX($P$2:$P$1001,MATCH(ROWS($O$2:O97),$O$2:$O$1001,0),1)&gt;=100000,INDEX($V$1005:$AE$1005,1,MATCH(COLUMNS($V$1006:Z1006),$V$1006:$AE$1006,0))&gt;=100000), " ",IF(INDEX($V$2:$AE$1001,MATCH(ROWS($O$2:O97),$O$2:$O$1001,0),MATCH(COLUMNS($V$1006:Z1006),$V$1006:$AE$1006,0)), HYPERLINK("#",""), HYPERLINK(CONCATENATE("#Metadata!", ADDRESS(INDEX($Q$2:$Q$1001,MATCH(ROWS($O$2:O97),$O$2:$O$1001,0),0), INDEX($V$1004:$AE$1004,1,MATCH(COLUMNS($V$1006:Z1006),$V$1006:$AE$1006,0)))),"Fix")))</f>
        <v>0</v>
      </c>
      <c r="G97" s="4">
        <f>IF(OR(INDEX($P$2:$P$1001,MATCH(ROWS($O$2:O97),$O$2:$O$1001,0),1)&gt;=100000,INDEX($V$1005:$AE$1005,1,MATCH(COLUMNS($V$1006:AA1006),$V$1006:$AE$1006,0))&gt;=100000), " ",IF(INDEX($V$2:$AE$1001,MATCH(ROWS($O$2:O97),$O$2:$O$1001,0),MATCH(COLUMNS($V$1006:AA1006),$V$1006:$AE$1006,0)), HYPERLINK("#",""), HYPERLINK(CONCATENATE("#Metadata!", ADDRESS(INDEX($Q$2:$Q$1001,MATCH(ROWS($O$2:O97),$O$2:$O$1001,0),0), INDEX($V$1004:$AE$1004,1,MATCH(COLUMNS($V$1006:AA1006),$V$1006:$AE$1006,0)))),"Fix")))</f>
        <v>0</v>
      </c>
      <c r="H97" s="4">
        <f>IF(OR(INDEX($P$2:$P$1001,MATCH(ROWS($O$2:O97),$O$2:$O$1001,0),1)&gt;=100000,INDEX($V$1005:$AE$1005,1,MATCH(COLUMNS($V$1006:AB1006),$V$1006:$AE$1006,0))&gt;=100000), " ",IF(INDEX($V$2:$AE$1001,MATCH(ROWS($O$2:O97),$O$2:$O$1001,0),MATCH(COLUMNS($V$1006:AB1006),$V$1006:$AE$1006,0)), HYPERLINK("#",""), HYPERLINK(CONCATENATE("#Metadata!", ADDRESS(INDEX($Q$2:$Q$1001,MATCH(ROWS($O$2:O97),$O$2:$O$1001,0),0), INDEX($V$1004:$AE$1004,1,MATCH(COLUMNS($V$1006:AB1006),$V$1006:$AE$1006,0)))),"Fix")))</f>
        <v>0</v>
      </c>
      <c r="I97" s="4">
        <f>IF(OR(INDEX($P$2:$P$1001,MATCH(ROWS($O$2:O97),$O$2:$O$1001,0),1)&gt;=100000,INDEX($V$1005:$AE$1005,1,MATCH(COLUMNS($V$1006:AC1006),$V$1006:$AE$1006,0))&gt;=100000), " ",IF(INDEX($V$2:$AE$1001,MATCH(ROWS($O$2:O97),$O$2:$O$1001,0),MATCH(COLUMNS($V$1006:AC1006),$V$1006:$AE$1006,0)), HYPERLINK("#",""), HYPERLINK(CONCATENATE("#Metadata!", ADDRESS(INDEX($Q$2:$Q$1001,MATCH(ROWS($O$2:O97),$O$2:$O$1001,0),0), INDEX($V$1004:$AE$1004,1,MATCH(COLUMNS($V$1006:AC1006),$V$1006:$AE$1006,0)))),"Fix")))</f>
        <v>0</v>
      </c>
      <c r="J97" s="4">
        <f>IF(OR(INDEX($P$2:$P$1001,MATCH(ROWS($O$2:O97),$O$2:$O$1001,0),1)&gt;=100000,INDEX($V$1005:$AE$1005,1,MATCH(COLUMNS($V$1006:AD1006),$V$1006:$AE$1006,0))&gt;=100000), " ",IF(INDEX($V$2:$AE$1001,MATCH(ROWS($O$2:O97),$O$2:$O$1001,0),MATCH(COLUMNS($V$1006:AD1006),$V$1006:$AE$1006,0)), HYPERLINK("#",""), HYPERLINK(CONCATENATE("#Metadata!", ADDRESS(INDEX($Q$2:$Q$1001,MATCH(ROWS($O$2:O97),$O$2:$O$1001,0),0), INDEX($V$1004:$AE$1004,1,MATCH(COLUMNS($V$1006:AD1006),$V$1006:$AE$1006,0)))),"Fix")))</f>
        <v>0</v>
      </c>
      <c r="K97" s="4">
        <f>IF(OR(INDEX($P$2:$P$1001,MATCH(ROWS($O$2:O97),$O$2:$O$1001,0),1)&gt;=100000,INDEX($V$1005:$AE$1005,1,MATCH(COLUMNS($V$1006:AE1006),$V$1006:$AE$1006,0))&gt;=100000), " ",IF(INDEX($V$2:$AE$1001,MATCH(ROWS($O$2:O97),$O$2:$O$1001,0),MATCH(COLUMNS($V$1006:AE1006),$V$1006:$AE$1006,0)), HYPERLINK("#",""), HYPERLINK(CONCATENATE("#Metadata!", ADDRESS(INDEX($Q$2:$Q$1001,MATCH(ROWS($O$2:O97),$O$2:$O$1001,0),0), INDEX($V$1004:$AE$1004,1,MATCH(COLUMNS($V$1006:AE1006),$V$1006:$AE$1006,0)))),"Fix")))</f>
        <v>0</v>
      </c>
      <c r="O97">
        <v>0</v>
      </c>
      <c r="P97">
        <v>0</v>
      </c>
      <c r="Q97">
        <v>0</v>
      </c>
      <c r="R97">
        <f>IF(S97,TRUE,AND(V97:AE97))</f>
        <v>0</v>
      </c>
      <c r="S97">
        <f>COUNTBLANK(Metadata!B97:K97)=COLUMNS(Metadata!B97:K97)</f>
        <v>0</v>
      </c>
      <c r="T97">
        <v>0</v>
      </c>
      <c r="V97">
        <f>AND(IF(Metadata!B97="",FALSE,TRUE),COUNTIF(Metadata!B:B, Metadata!B97) = 1,NOT(ISERROR(SUMPRODUCT(SEARCH(MID(Metadata!B97,ROW(INDIRECT("1:"&amp;LEN(Metadata!B97))), 1),"0123456789abcdefghijklmnopqrstuvwxyzABCDEFGHIJKLMNOPQRSTUVWXYZ.")))))</f>
        <v>0</v>
      </c>
      <c r="W97">
        <f>AND(IF(Metadata!C97="",FALSE,TRUE),exact(Metadata!C97,"urban biome"))</f>
        <v>0</v>
      </c>
      <c r="X97">
        <f>AND(IF(Metadata!D97="",FALSE,TRUE),exact(Metadata!D97,"animal-associated habitat"))</f>
        <v>0</v>
      </c>
      <c r="Y97">
        <f>OR(AND(IF(Metadata!E97="",FALSE,TRUE),OR(exact(Metadata!E97,"not applicable"),exact(Metadata!E97,"missing: not collected"),exact(Metadata!E97,"missing: not provided"),exact(Metadata!E97,"missing: restricted access"))),AND(IF(Metadata!E97="",FALSE,ISNUMBER(VALUE(Metadata!E97))),Metadata!E97&gt;0))</f>
        <v>0</v>
      </c>
      <c r="Z97">
        <f>AND(IF(Metadata!F97="",FALSE,TRUE),exact(Metadata!F97,"weeks"))</f>
        <v>0</v>
      </c>
      <c r="AA97">
        <f>AND(IF(Metadata!G97="",FALSE,TRUE),exact(Metadata!G97,"mouse"))</f>
        <v>0</v>
      </c>
      <c r="AB97">
        <f>AND(IF(Metadata!H97="",FALSE,TRUE),exact(Metadata!H97,"Mus musculus"))</f>
        <v>0</v>
      </c>
      <c r="AC97">
        <f>AND(IF(Metadata!I97="",FALSE,TRUE),exact(Metadata!I97,"10090"))</f>
        <v>0</v>
      </c>
      <c r="AD97">
        <f>OR(AND(IF(Metadata!J97="",FALSE,TRUE),OR(exact(Metadata!J97,"not applicable"),exact(Metadata!J97,"missing: not collected"),exact(Metadata!J97,"missing: not provided"),exact(Metadata!J97,"missing: restricted access"))),AND(IF(Metadata!J97="",FALSE,ISNUMBER(VALUE(Metadata!J97))),Metadata!J97&gt;0))</f>
        <v>0</v>
      </c>
      <c r="AE97">
        <f>AND(IF(Metadata!K97="",FALSE,TRUE),exact(Metadata!K97,"g"))</f>
        <v>0</v>
      </c>
    </row>
    <row r="98" spans="1:31">
      <c r="A98" s="5">
        <f>IF(B98=" "," ",HYPERLINK(CONCATENATE("#metadata!",ADDRESS(INDEX($Q$2:$Q$1001,MATCH(ROWS($O$2:O98),$O$2:$O$1001,0),0),1)),INDEX($T$2:$T$1001,MATCH(ROWS($O$2:O98),$O$2:$O$1001,0),0)))</f>
        <v>0</v>
      </c>
      <c r="B98" s="4">
        <f>IF(OR(INDEX($P$2:$P$1001,MATCH(ROWS($O$2:O98),$O$2:$O$1001,0),1)&gt;=100000,INDEX($V$1005:$AE$1005,1,MATCH(COLUMNS($V$1006:V1006),$V$1006:$AE$1006,0))&gt;=100000), " ",IF(INDEX($V$2:$AE$1001,MATCH(ROWS($O$2:O98),$O$2:$O$1001,0),MATCH(COLUMNS($V$1006:V1006),$V$1006:$AE$1006,0)), HYPERLINK("#",""), HYPERLINK(CONCATENATE("#Metadata!", ADDRESS(INDEX($Q$2:$Q$1001,MATCH(ROWS($O$2:O98),$O$2:$O$1001,0),0), INDEX($V$1004:$AE$1004,1,MATCH(COLUMNS($V$1006:V1006),$V$1006:$AE$1006,0)))),"Fix")))</f>
        <v>0</v>
      </c>
      <c r="C98" s="4">
        <f>IF(OR(INDEX($P$2:$P$1001,MATCH(ROWS($O$2:O98),$O$2:$O$1001,0),1)&gt;=100000,INDEX($V$1005:$AE$1005,1,MATCH(COLUMNS($V$1006:W1006),$V$1006:$AE$1006,0))&gt;=100000), " ",IF(INDEX($V$2:$AE$1001,MATCH(ROWS($O$2:O98),$O$2:$O$1001,0),MATCH(COLUMNS($V$1006:W1006),$V$1006:$AE$1006,0)), HYPERLINK("#",""), HYPERLINK(CONCATENATE("#Metadata!", ADDRESS(INDEX($Q$2:$Q$1001,MATCH(ROWS($O$2:O98),$O$2:$O$1001,0),0), INDEX($V$1004:$AE$1004,1,MATCH(COLUMNS($V$1006:W1006),$V$1006:$AE$1006,0)))),"Fix")))</f>
        <v>0</v>
      </c>
      <c r="D98" s="4">
        <f>IF(OR(INDEX($P$2:$P$1001,MATCH(ROWS($O$2:O98),$O$2:$O$1001,0),1)&gt;=100000,INDEX($V$1005:$AE$1005,1,MATCH(COLUMNS($V$1006:X1006),$V$1006:$AE$1006,0))&gt;=100000), " ",IF(INDEX($V$2:$AE$1001,MATCH(ROWS($O$2:O98),$O$2:$O$1001,0),MATCH(COLUMNS($V$1006:X1006),$V$1006:$AE$1006,0)), HYPERLINK("#",""), HYPERLINK(CONCATENATE("#Metadata!", ADDRESS(INDEX($Q$2:$Q$1001,MATCH(ROWS($O$2:O98),$O$2:$O$1001,0),0), INDEX($V$1004:$AE$1004,1,MATCH(COLUMNS($V$1006:X1006),$V$1006:$AE$1006,0)))),"Fix")))</f>
        <v>0</v>
      </c>
      <c r="E98" s="4">
        <f>IF(OR(INDEX($P$2:$P$1001,MATCH(ROWS($O$2:O98),$O$2:$O$1001,0),1)&gt;=100000,INDEX($V$1005:$AE$1005,1,MATCH(COLUMNS($V$1006:Y1006),$V$1006:$AE$1006,0))&gt;=100000), " ",IF(INDEX($V$2:$AE$1001,MATCH(ROWS($O$2:O98),$O$2:$O$1001,0),MATCH(COLUMNS($V$1006:Y1006),$V$1006:$AE$1006,0)), HYPERLINK("#",""), HYPERLINK(CONCATENATE("#Metadata!", ADDRESS(INDEX($Q$2:$Q$1001,MATCH(ROWS($O$2:O98),$O$2:$O$1001,0),0), INDEX($V$1004:$AE$1004,1,MATCH(COLUMNS($V$1006:Y1006),$V$1006:$AE$1006,0)))),"Fix")))</f>
        <v>0</v>
      </c>
      <c r="F98" s="4">
        <f>IF(OR(INDEX($P$2:$P$1001,MATCH(ROWS($O$2:O98),$O$2:$O$1001,0),1)&gt;=100000,INDEX($V$1005:$AE$1005,1,MATCH(COLUMNS($V$1006:Z1006),$V$1006:$AE$1006,0))&gt;=100000), " ",IF(INDEX($V$2:$AE$1001,MATCH(ROWS($O$2:O98),$O$2:$O$1001,0),MATCH(COLUMNS($V$1006:Z1006),$V$1006:$AE$1006,0)), HYPERLINK("#",""), HYPERLINK(CONCATENATE("#Metadata!", ADDRESS(INDEX($Q$2:$Q$1001,MATCH(ROWS($O$2:O98),$O$2:$O$1001,0),0), INDEX($V$1004:$AE$1004,1,MATCH(COLUMNS($V$1006:Z1006),$V$1006:$AE$1006,0)))),"Fix")))</f>
        <v>0</v>
      </c>
      <c r="G98" s="4">
        <f>IF(OR(INDEX($P$2:$P$1001,MATCH(ROWS($O$2:O98),$O$2:$O$1001,0),1)&gt;=100000,INDEX($V$1005:$AE$1005,1,MATCH(COLUMNS($V$1006:AA1006),$V$1006:$AE$1006,0))&gt;=100000), " ",IF(INDEX($V$2:$AE$1001,MATCH(ROWS($O$2:O98),$O$2:$O$1001,0),MATCH(COLUMNS($V$1006:AA1006),$V$1006:$AE$1006,0)), HYPERLINK("#",""), HYPERLINK(CONCATENATE("#Metadata!", ADDRESS(INDEX($Q$2:$Q$1001,MATCH(ROWS($O$2:O98),$O$2:$O$1001,0),0), INDEX($V$1004:$AE$1004,1,MATCH(COLUMNS($V$1006:AA1006),$V$1006:$AE$1006,0)))),"Fix")))</f>
        <v>0</v>
      </c>
      <c r="H98" s="4">
        <f>IF(OR(INDEX($P$2:$P$1001,MATCH(ROWS($O$2:O98),$O$2:$O$1001,0),1)&gt;=100000,INDEX($V$1005:$AE$1005,1,MATCH(COLUMNS($V$1006:AB1006),$V$1006:$AE$1006,0))&gt;=100000), " ",IF(INDEX($V$2:$AE$1001,MATCH(ROWS($O$2:O98),$O$2:$O$1001,0),MATCH(COLUMNS($V$1006:AB1006),$V$1006:$AE$1006,0)), HYPERLINK("#",""), HYPERLINK(CONCATENATE("#Metadata!", ADDRESS(INDEX($Q$2:$Q$1001,MATCH(ROWS($O$2:O98),$O$2:$O$1001,0),0), INDEX($V$1004:$AE$1004,1,MATCH(COLUMNS($V$1006:AB1006),$V$1006:$AE$1006,0)))),"Fix")))</f>
        <v>0</v>
      </c>
      <c r="I98" s="4">
        <f>IF(OR(INDEX($P$2:$P$1001,MATCH(ROWS($O$2:O98),$O$2:$O$1001,0),1)&gt;=100000,INDEX($V$1005:$AE$1005,1,MATCH(COLUMNS($V$1006:AC1006),$V$1006:$AE$1006,0))&gt;=100000), " ",IF(INDEX($V$2:$AE$1001,MATCH(ROWS($O$2:O98),$O$2:$O$1001,0),MATCH(COLUMNS($V$1006:AC1006),$V$1006:$AE$1006,0)), HYPERLINK("#",""), HYPERLINK(CONCATENATE("#Metadata!", ADDRESS(INDEX($Q$2:$Q$1001,MATCH(ROWS($O$2:O98),$O$2:$O$1001,0),0), INDEX($V$1004:$AE$1004,1,MATCH(COLUMNS($V$1006:AC1006),$V$1006:$AE$1006,0)))),"Fix")))</f>
        <v>0</v>
      </c>
      <c r="J98" s="4">
        <f>IF(OR(INDEX($P$2:$P$1001,MATCH(ROWS($O$2:O98),$O$2:$O$1001,0),1)&gt;=100000,INDEX($V$1005:$AE$1005,1,MATCH(COLUMNS($V$1006:AD1006),$V$1006:$AE$1006,0))&gt;=100000), " ",IF(INDEX($V$2:$AE$1001,MATCH(ROWS($O$2:O98),$O$2:$O$1001,0),MATCH(COLUMNS($V$1006:AD1006),$V$1006:$AE$1006,0)), HYPERLINK("#",""), HYPERLINK(CONCATENATE("#Metadata!", ADDRESS(INDEX($Q$2:$Q$1001,MATCH(ROWS($O$2:O98),$O$2:$O$1001,0),0), INDEX($V$1004:$AE$1004,1,MATCH(COLUMNS($V$1006:AD1006),$V$1006:$AE$1006,0)))),"Fix")))</f>
        <v>0</v>
      </c>
      <c r="K98" s="4">
        <f>IF(OR(INDEX($P$2:$P$1001,MATCH(ROWS($O$2:O98),$O$2:$O$1001,0),1)&gt;=100000,INDEX($V$1005:$AE$1005,1,MATCH(COLUMNS($V$1006:AE1006),$V$1006:$AE$1006,0))&gt;=100000), " ",IF(INDEX($V$2:$AE$1001,MATCH(ROWS($O$2:O98),$O$2:$O$1001,0),MATCH(COLUMNS($V$1006:AE1006),$V$1006:$AE$1006,0)), HYPERLINK("#",""), HYPERLINK(CONCATENATE("#Metadata!", ADDRESS(INDEX($Q$2:$Q$1001,MATCH(ROWS($O$2:O98),$O$2:$O$1001,0),0), INDEX($V$1004:$AE$1004,1,MATCH(COLUMNS($V$1006:AE1006),$V$1006:$AE$1006,0)))),"Fix")))</f>
        <v>0</v>
      </c>
      <c r="O98">
        <v>0</v>
      </c>
      <c r="P98">
        <v>0</v>
      </c>
      <c r="Q98">
        <v>0</v>
      </c>
      <c r="R98">
        <f>IF(S98,TRUE,AND(V98:AE98))</f>
        <v>0</v>
      </c>
      <c r="S98">
        <f>COUNTBLANK(Metadata!B98:K98)=COLUMNS(Metadata!B98:K98)</f>
        <v>0</v>
      </c>
      <c r="T98">
        <v>0</v>
      </c>
      <c r="V98">
        <f>AND(IF(Metadata!B98="",FALSE,TRUE),COUNTIF(Metadata!B:B, Metadata!B98) = 1,NOT(ISERROR(SUMPRODUCT(SEARCH(MID(Metadata!B98,ROW(INDIRECT("1:"&amp;LEN(Metadata!B98))), 1),"0123456789abcdefghijklmnopqrstuvwxyzABCDEFGHIJKLMNOPQRSTUVWXYZ.")))))</f>
        <v>0</v>
      </c>
      <c r="W98">
        <f>AND(IF(Metadata!C98="",FALSE,TRUE),exact(Metadata!C98,"urban biome"))</f>
        <v>0</v>
      </c>
      <c r="X98">
        <f>AND(IF(Metadata!D98="",FALSE,TRUE),exact(Metadata!D98,"animal-associated habitat"))</f>
        <v>0</v>
      </c>
      <c r="Y98">
        <f>OR(AND(IF(Metadata!E98="",FALSE,TRUE),OR(exact(Metadata!E98,"not applicable"),exact(Metadata!E98,"missing: not collected"),exact(Metadata!E98,"missing: not provided"),exact(Metadata!E98,"missing: restricted access"))),AND(IF(Metadata!E98="",FALSE,ISNUMBER(VALUE(Metadata!E98))),Metadata!E98&gt;0))</f>
        <v>0</v>
      </c>
      <c r="Z98">
        <f>AND(IF(Metadata!F98="",FALSE,TRUE),exact(Metadata!F98,"weeks"))</f>
        <v>0</v>
      </c>
      <c r="AA98">
        <f>AND(IF(Metadata!G98="",FALSE,TRUE),exact(Metadata!G98,"mouse"))</f>
        <v>0</v>
      </c>
      <c r="AB98">
        <f>AND(IF(Metadata!H98="",FALSE,TRUE),exact(Metadata!H98,"Mus musculus"))</f>
        <v>0</v>
      </c>
      <c r="AC98">
        <f>AND(IF(Metadata!I98="",FALSE,TRUE),exact(Metadata!I98,"10090"))</f>
        <v>0</v>
      </c>
      <c r="AD98">
        <f>OR(AND(IF(Metadata!J98="",FALSE,TRUE),OR(exact(Metadata!J98,"not applicable"),exact(Metadata!J98,"missing: not collected"),exact(Metadata!J98,"missing: not provided"),exact(Metadata!J98,"missing: restricted access"))),AND(IF(Metadata!J98="",FALSE,ISNUMBER(VALUE(Metadata!J98))),Metadata!J98&gt;0))</f>
        <v>0</v>
      </c>
      <c r="AE98">
        <f>AND(IF(Metadata!K98="",FALSE,TRUE),exact(Metadata!K98,"g"))</f>
        <v>0</v>
      </c>
    </row>
    <row r="99" spans="1:31">
      <c r="A99" s="5">
        <f>IF(B99=" "," ",HYPERLINK(CONCATENATE("#metadata!",ADDRESS(INDEX($Q$2:$Q$1001,MATCH(ROWS($O$2:O99),$O$2:$O$1001,0),0),1)),INDEX($T$2:$T$1001,MATCH(ROWS($O$2:O99),$O$2:$O$1001,0),0)))</f>
        <v>0</v>
      </c>
      <c r="B99" s="4">
        <f>IF(OR(INDEX($P$2:$P$1001,MATCH(ROWS($O$2:O99),$O$2:$O$1001,0),1)&gt;=100000,INDEX($V$1005:$AE$1005,1,MATCH(COLUMNS($V$1006:V1006),$V$1006:$AE$1006,0))&gt;=100000), " ",IF(INDEX($V$2:$AE$1001,MATCH(ROWS($O$2:O99),$O$2:$O$1001,0),MATCH(COLUMNS($V$1006:V1006),$V$1006:$AE$1006,0)), HYPERLINK("#",""), HYPERLINK(CONCATENATE("#Metadata!", ADDRESS(INDEX($Q$2:$Q$1001,MATCH(ROWS($O$2:O99),$O$2:$O$1001,0),0), INDEX($V$1004:$AE$1004,1,MATCH(COLUMNS($V$1006:V1006),$V$1006:$AE$1006,0)))),"Fix")))</f>
        <v>0</v>
      </c>
      <c r="C99" s="4">
        <f>IF(OR(INDEX($P$2:$P$1001,MATCH(ROWS($O$2:O99),$O$2:$O$1001,0),1)&gt;=100000,INDEX($V$1005:$AE$1005,1,MATCH(COLUMNS($V$1006:W1006),$V$1006:$AE$1006,0))&gt;=100000), " ",IF(INDEX($V$2:$AE$1001,MATCH(ROWS($O$2:O99),$O$2:$O$1001,0),MATCH(COLUMNS($V$1006:W1006),$V$1006:$AE$1006,0)), HYPERLINK("#",""), HYPERLINK(CONCATENATE("#Metadata!", ADDRESS(INDEX($Q$2:$Q$1001,MATCH(ROWS($O$2:O99),$O$2:$O$1001,0),0), INDEX($V$1004:$AE$1004,1,MATCH(COLUMNS($V$1006:W1006),$V$1006:$AE$1006,0)))),"Fix")))</f>
        <v>0</v>
      </c>
      <c r="D99" s="4">
        <f>IF(OR(INDEX($P$2:$P$1001,MATCH(ROWS($O$2:O99),$O$2:$O$1001,0),1)&gt;=100000,INDEX($V$1005:$AE$1005,1,MATCH(COLUMNS($V$1006:X1006),$V$1006:$AE$1006,0))&gt;=100000), " ",IF(INDEX($V$2:$AE$1001,MATCH(ROWS($O$2:O99),$O$2:$O$1001,0),MATCH(COLUMNS($V$1006:X1006),$V$1006:$AE$1006,0)), HYPERLINK("#",""), HYPERLINK(CONCATENATE("#Metadata!", ADDRESS(INDEX($Q$2:$Q$1001,MATCH(ROWS($O$2:O99),$O$2:$O$1001,0),0), INDEX($V$1004:$AE$1004,1,MATCH(COLUMNS($V$1006:X1006),$V$1006:$AE$1006,0)))),"Fix")))</f>
        <v>0</v>
      </c>
      <c r="E99" s="4">
        <f>IF(OR(INDEX($P$2:$P$1001,MATCH(ROWS($O$2:O99),$O$2:$O$1001,0),1)&gt;=100000,INDEX($V$1005:$AE$1005,1,MATCH(COLUMNS($V$1006:Y1006),$V$1006:$AE$1006,0))&gt;=100000), " ",IF(INDEX($V$2:$AE$1001,MATCH(ROWS($O$2:O99),$O$2:$O$1001,0),MATCH(COLUMNS($V$1006:Y1006),$V$1006:$AE$1006,0)), HYPERLINK("#",""), HYPERLINK(CONCATENATE("#Metadata!", ADDRESS(INDEX($Q$2:$Q$1001,MATCH(ROWS($O$2:O99),$O$2:$O$1001,0),0), INDEX($V$1004:$AE$1004,1,MATCH(COLUMNS($V$1006:Y1006),$V$1006:$AE$1006,0)))),"Fix")))</f>
        <v>0</v>
      </c>
      <c r="F99" s="4">
        <f>IF(OR(INDEX($P$2:$P$1001,MATCH(ROWS($O$2:O99),$O$2:$O$1001,0),1)&gt;=100000,INDEX($V$1005:$AE$1005,1,MATCH(COLUMNS($V$1006:Z1006),$V$1006:$AE$1006,0))&gt;=100000), " ",IF(INDEX($V$2:$AE$1001,MATCH(ROWS($O$2:O99),$O$2:$O$1001,0),MATCH(COLUMNS($V$1006:Z1006),$V$1006:$AE$1006,0)), HYPERLINK("#",""), HYPERLINK(CONCATENATE("#Metadata!", ADDRESS(INDEX($Q$2:$Q$1001,MATCH(ROWS($O$2:O99),$O$2:$O$1001,0),0), INDEX($V$1004:$AE$1004,1,MATCH(COLUMNS($V$1006:Z1006),$V$1006:$AE$1006,0)))),"Fix")))</f>
        <v>0</v>
      </c>
      <c r="G99" s="4">
        <f>IF(OR(INDEX($P$2:$P$1001,MATCH(ROWS($O$2:O99),$O$2:$O$1001,0),1)&gt;=100000,INDEX($V$1005:$AE$1005,1,MATCH(COLUMNS($V$1006:AA1006),$V$1006:$AE$1006,0))&gt;=100000), " ",IF(INDEX($V$2:$AE$1001,MATCH(ROWS($O$2:O99),$O$2:$O$1001,0),MATCH(COLUMNS($V$1006:AA1006),$V$1006:$AE$1006,0)), HYPERLINK("#",""), HYPERLINK(CONCATENATE("#Metadata!", ADDRESS(INDEX($Q$2:$Q$1001,MATCH(ROWS($O$2:O99),$O$2:$O$1001,0),0), INDEX($V$1004:$AE$1004,1,MATCH(COLUMNS($V$1006:AA1006),$V$1006:$AE$1006,0)))),"Fix")))</f>
        <v>0</v>
      </c>
      <c r="H99" s="4">
        <f>IF(OR(INDEX($P$2:$P$1001,MATCH(ROWS($O$2:O99),$O$2:$O$1001,0),1)&gt;=100000,INDEX($V$1005:$AE$1005,1,MATCH(COLUMNS($V$1006:AB1006),$V$1006:$AE$1006,0))&gt;=100000), " ",IF(INDEX($V$2:$AE$1001,MATCH(ROWS($O$2:O99),$O$2:$O$1001,0),MATCH(COLUMNS($V$1006:AB1006),$V$1006:$AE$1006,0)), HYPERLINK("#",""), HYPERLINK(CONCATENATE("#Metadata!", ADDRESS(INDEX($Q$2:$Q$1001,MATCH(ROWS($O$2:O99),$O$2:$O$1001,0),0), INDEX($V$1004:$AE$1004,1,MATCH(COLUMNS($V$1006:AB1006),$V$1006:$AE$1006,0)))),"Fix")))</f>
        <v>0</v>
      </c>
      <c r="I99" s="4">
        <f>IF(OR(INDEX($P$2:$P$1001,MATCH(ROWS($O$2:O99),$O$2:$O$1001,0),1)&gt;=100000,INDEX($V$1005:$AE$1005,1,MATCH(COLUMNS($V$1006:AC1006),$V$1006:$AE$1006,0))&gt;=100000), " ",IF(INDEX($V$2:$AE$1001,MATCH(ROWS($O$2:O99),$O$2:$O$1001,0),MATCH(COLUMNS($V$1006:AC1006),$V$1006:$AE$1006,0)), HYPERLINK("#",""), HYPERLINK(CONCATENATE("#Metadata!", ADDRESS(INDEX($Q$2:$Q$1001,MATCH(ROWS($O$2:O99),$O$2:$O$1001,0),0), INDEX($V$1004:$AE$1004,1,MATCH(COLUMNS($V$1006:AC1006),$V$1006:$AE$1006,0)))),"Fix")))</f>
        <v>0</v>
      </c>
      <c r="J99" s="4">
        <f>IF(OR(INDEX($P$2:$P$1001,MATCH(ROWS($O$2:O99),$O$2:$O$1001,0),1)&gt;=100000,INDEX($V$1005:$AE$1005,1,MATCH(COLUMNS($V$1006:AD1006),$V$1006:$AE$1006,0))&gt;=100000), " ",IF(INDEX($V$2:$AE$1001,MATCH(ROWS($O$2:O99),$O$2:$O$1001,0),MATCH(COLUMNS($V$1006:AD1006),$V$1006:$AE$1006,0)), HYPERLINK("#",""), HYPERLINK(CONCATENATE("#Metadata!", ADDRESS(INDEX($Q$2:$Q$1001,MATCH(ROWS($O$2:O99),$O$2:$O$1001,0),0), INDEX($V$1004:$AE$1004,1,MATCH(COLUMNS($V$1006:AD1006),$V$1006:$AE$1006,0)))),"Fix")))</f>
        <v>0</v>
      </c>
      <c r="K99" s="4">
        <f>IF(OR(INDEX($P$2:$P$1001,MATCH(ROWS($O$2:O99),$O$2:$O$1001,0),1)&gt;=100000,INDEX($V$1005:$AE$1005,1,MATCH(COLUMNS($V$1006:AE1006),$V$1006:$AE$1006,0))&gt;=100000), " ",IF(INDEX($V$2:$AE$1001,MATCH(ROWS($O$2:O99),$O$2:$O$1001,0),MATCH(COLUMNS($V$1006:AE1006),$V$1006:$AE$1006,0)), HYPERLINK("#",""), HYPERLINK(CONCATENATE("#Metadata!", ADDRESS(INDEX($Q$2:$Q$1001,MATCH(ROWS($O$2:O99),$O$2:$O$1001,0),0), INDEX($V$1004:$AE$1004,1,MATCH(COLUMNS($V$1006:AE1006),$V$1006:$AE$1006,0)))),"Fix")))</f>
        <v>0</v>
      </c>
      <c r="O99">
        <v>0</v>
      </c>
      <c r="P99">
        <v>0</v>
      </c>
      <c r="Q99">
        <v>0</v>
      </c>
      <c r="R99">
        <f>IF(S99,TRUE,AND(V99:AE99))</f>
        <v>0</v>
      </c>
      <c r="S99">
        <f>COUNTBLANK(Metadata!B99:K99)=COLUMNS(Metadata!B99:K99)</f>
        <v>0</v>
      </c>
      <c r="T99">
        <v>0</v>
      </c>
      <c r="V99">
        <f>AND(IF(Metadata!B99="",FALSE,TRUE),COUNTIF(Metadata!B:B, Metadata!B99) = 1,NOT(ISERROR(SUMPRODUCT(SEARCH(MID(Metadata!B99,ROW(INDIRECT("1:"&amp;LEN(Metadata!B99))), 1),"0123456789abcdefghijklmnopqrstuvwxyzABCDEFGHIJKLMNOPQRSTUVWXYZ.")))))</f>
        <v>0</v>
      </c>
      <c r="W99">
        <f>AND(IF(Metadata!C99="",FALSE,TRUE),exact(Metadata!C99,"urban biome"))</f>
        <v>0</v>
      </c>
      <c r="X99">
        <f>AND(IF(Metadata!D99="",FALSE,TRUE),exact(Metadata!D99,"animal-associated habitat"))</f>
        <v>0</v>
      </c>
      <c r="Y99">
        <f>OR(AND(IF(Metadata!E99="",FALSE,TRUE),OR(exact(Metadata!E99,"not applicable"),exact(Metadata!E99,"missing: not collected"),exact(Metadata!E99,"missing: not provided"),exact(Metadata!E99,"missing: restricted access"))),AND(IF(Metadata!E99="",FALSE,ISNUMBER(VALUE(Metadata!E99))),Metadata!E99&gt;0))</f>
        <v>0</v>
      </c>
      <c r="Z99">
        <f>AND(IF(Metadata!F99="",FALSE,TRUE),exact(Metadata!F99,"weeks"))</f>
        <v>0</v>
      </c>
      <c r="AA99">
        <f>AND(IF(Metadata!G99="",FALSE,TRUE),exact(Metadata!G99,"mouse"))</f>
        <v>0</v>
      </c>
      <c r="AB99">
        <f>AND(IF(Metadata!H99="",FALSE,TRUE),exact(Metadata!H99,"Mus musculus"))</f>
        <v>0</v>
      </c>
      <c r="AC99">
        <f>AND(IF(Metadata!I99="",FALSE,TRUE),exact(Metadata!I99,"10090"))</f>
        <v>0</v>
      </c>
      <c r="AD99">
        <f>OR(AND(IF(Metadata!J99="",FALSE,TRUE),OR(exact(Metadata!J99,"not applicable"),exact(Metadata!J99,"missing: not collected"),exact(Metadata!J99,"missing: not provided"),exact(Metadata!J99,"missing: restricted access"))),AND(IF(Metadata!J99="",FALSE,ISNUMBER(VALUE(Metadata!J99))),Metadata!J99&gt;0))</f>
        <v>0</v>
      </c>
      <c r="AE99">
        <f>AND(IF(Metadata!K99="",FALSE,TRUE),exact(Metadata!K99,"g"))</f>
        <v>0</v>
      </c>
    </row>
    <row r="100" spans="1:31">
      <c r="A100" s="5">
        <f>IF(B100=" "," ",HYPERLINK(CONCATENATE("#metadata!",ADDRESS(INDEX($Q$2:$Q$1001,MATCH(ROWS($O$2:O100),$O$2:$O$1001,0),0),1)),INDEX($T$2:$T$1001,MATCH(ROWS($O$2:O100),$O$2:$O$1001,0),0)))</f>
        <v>0</v>
      </c>
      <c r="B100" s="4">
        <f>IF(OR(INDEX($P$2:$P$1001,MATCH(ROWS($O$2:O100),$O$2:$O$1001,0),1)&gt;=100000,INDEX($V$1005:$AE$1005,1,MATCH(COLUMNS($V$1006:V1006),$V$1006:$AE$1006,0))&gt;=100000), " ",IF(INDEX($V$2:$AE$1001,MATCH(ROWS($O$2:O100),$O$2:$O$1001,0),MATCH(COLUMNS($V$1006:V1006),$V$1006:$AE$1006,0)), HYPERLINK("#",""), HYPERLINK(CONCATENATE("#Metadata!", ADDRESS(INDEX($Q$2:$Q$1001,MATCH(ROWS($O$2:O100),$O$2:$O$1001,0),0), INDEX($V$1004:$AE$1004,1,MATCH(COLUMNS($V$1006:V1006),$V$1006:$AE$1006,0)))),"Fix")))</f>
        <v>0</v>
      </c>
      <c r="C100" s="4">
        <f>IF(OR(INDEX($P$2:$P$1001,MATCH(ROWS($O$2:O100),$O$2:$O$1001,0),1)&gt;=100000,INDEX($V$1005:$AE$1005,1,MATCH(COLUMNS($V$1006:W1006),$V$1006:$AE$1006,0))&gt;=100000), " ",IF(INDEX($V$2:$AE$1001,MATCH(ROWS($O$2:O100),$O$2:$O$1001,0),MATCH(COLUMNS($V$1006:W1006),$V$1006:$AE$1006,0)), HYPERLINK("#",""), HYPERLINK(CONCATENATE("#Metadata!", ADDRESS(INDEX($Q$2:$Q$1001,MATCH(ROWS($O$2:O100),$O$2:$O$1001,0),0), INDEX($V$1004:$AE$1004,1,MATCH(COLUMNS($V$1006:W1006),$V$1006:$AE$1006,0)))),"Fix")))</f>
        <v>0</v>
      </c>
      <c r="D100" s="4">
        <f>IF(OR(INDEX($P$2:$P$1001,MATCH(ROWS($O$2:O100),$O$2:$O$1001,0),1)&gt;=100000,INDEX($V$1005:$AE$1005,1,MATCH(COLUMNS($V$1006:X1006),$V$1006:$AE$1006,0))&gt;=100000), " ",IF(INDEX($V$2:$AE$1001,MATCH(ROWS($O$2:O100),$O$2:$O$1001,0),MATCH(COLUMNS($V$1006:X1006),$V$1006:$AE$1006,0)), HYPERLINK("#",""), HYPERLINK(CONCATENATE("#Metadata!", ADDRESS(INDEX($Q$2:$Q$1001,MATCH(ROWS($O$2:O100),$O$2:$O$1001,0),0), INDEX($V$1004:$AE$1004,1,MATCH(COLUMNS($V$1006:X1006),$V$1006:$AE$1006,0)))),"Fix")))</f>
        <v>0</v>
      </c>
      <c r="E100" s="4">
        <f>IF(OR(INDEX($P$2:$P$1001,MATCH(ROWS($O$2:O100),$O$2:$O$1001,0),1)&gt;=100000,INDEX($V$1005:$AE$1005,1,MATCH(COLUMNS($V$1006:Y1006),$V$1006:$AE$1006,0))&gt;=100000), " ",IF(INDEX($V$2:$AE$1001,MATCH(ROWS($O$2:O100),$O$2:$O$1001,0),MATCH(COLUMNS($V$1006:Y1006),$V$1006:$AE$1006,0)), HYPERLINK("#",""), HYPERLINK(CONCATENATE("#Metadata!", ADDRESS(INDEX($Q$2:$Q$1001,MATCH(ROWS($O$2:O100),$O$2:$O$1001,0),0), INDEX($V$1004:$AE$1004,1,MATCH(COLUMNS($V$1006:Y1006),$V$1006:$AE$1006,0)))),"Fix")))</f>
        <v>0</v>
      </c>
      <c r="F100" s="4">
        <f>IF(OR(INDEX($P$2:$P$1001,MATCH(ROWS($O$2:O100),$O$2:$O$1001,0),1)&gt;=100000,INDEX($V$1005:$AE$1005,1,MATCH(COLUMNS($V$1006:Z1006),$V$1006:$AE$1006,0))&gt;=100000), " ",IF(INDEX($V$2:$AE$1001,MATCH(ROWS($O$2:O100),$O$2:$O$1001,0),MATCH(COLUMNS($V$1006:Z1006),$V$1006:$AE$1006,0)), HYPERLINK("#",""), HYPERLINK(CONCATENATE("#Metadata!", ADDRESS(INDEX($Q$2:$Q$1001,MATCH(ROWS($O$2:O100),$O$2:$O$1001,0),0), INDEX($V$1004:$AE$1004,1,MATCH(COLUMNS($V$1006:Z1006),$V$1006:$AE$1006,0)))),"Fix")))</f>
        <v>0</v>
      </c>
      <c r="G100" s="4">
        <f>IF(OR(INDEX($P$2:$P$1001,MATCH(ROWS($O$2:O100),$O$2:$O$1001,0),1)&gt;=100000,INDEX($V$1005:$AE$1005,1,MATCH(COLUMNS($V$1006:AA1006),$V$1006:$AE$1006,0))&gt;=100000), " ",IF(INDEX($V$2:$AE$1001,MATCH(ROWS($O$2:O100),$O$2:$O$1001,0),MATCH(COLUMNS($V$1006:AA1006),$V$1006:$AE$1006,0)), HYPERLINK("#",""), HYPERLINK(CONCATENATE("#Metadata!", ADDRESS(INDEX($Q$2:$Q$1001,MATCH(ROWS($O$2:O100),$O$2:$O$1001,0),0), INDEX($V$1004:$AE$1004,1,MATCH(COLUMNS($V$1006:AA1006),$V$1006:$AE$1006,0)))),"Fix")))</f>
        <v>0</v>
      </c>
      <c r="H100" s="4">
        <f>IF(OR(INDEX($P$2:$P$1001,MATCH(ROWS($O$2:O100),$O$2:$O$1001,0),1)&gt;=100000,INDEX($V$1005:$AE$1005,1,MATCH(COLUMNS($V$1006:AB1006),$V$1006:$AE$1006,0))&gt;=100000), " ",IF(INDEX($V$2:$AE$1001,MATCH(ROWS($O$2:O100),$O$2:$O$1001,0),MATCH(COLUMNS($V$1006:AB1006),$V$1006:$AE$1006,0)), HYPERLINK("#",""), HYPERLINK(CONCATENATE("#Metadata!", ADDRESS(INDEX($Q$2:$Q$1001,MATCH(ROWS($O$2:O100),$O$2:$O$1001,0),0), INDEX($V$1004:$AE$1004,1,MATCH(COLUMNS($V$1006:AB1006),$V$1006:$AE$1006,0)))),"Fix")))</f>
        <v>0</v>
      </c>
      <c r="I100" s="4">
        <f>IF(OR(INDEX($P$2:$P$1001,MATCH(ROWS($O$2:O100),$O$2:$O$1001,0),1)&gt;=100000,INDEX($V$1005:$AE$1005,1,MATCH(COLUMNS($V$1006:AC1006),$V$1006:$AE$1006,0))&gt;=100000), " ",IF(INDEX($V$2:$AE$1001,MATCH(ROWS($O$2:O100),$O$2:$O$1001,0),MATCH(COLUMNS($V$1006:AC1006),$V$1006:$AE$1006,0)), HYPERLINK("#",""), HYPERLINK(CONCATENATE("#Metadata!", ADDRESS(INDEX($Q$2:$Q$1001,MATCH(ROWS($O$2:O100),$O$2:$O$1001,0),0), INDEX($V$1004:$AE$1004,1,MATCH(COLUMNS($V$1006:AC1006),$V$1006:$AE$1006,0)))),"Fix")))</f>
        <v>0</v>
      </c>
      <c r="J100" s="4">
        <f>IF(OR(INDEX($P$2:$P$1001,MATCH(ROWS($O$2:O100),$O$2:$O$1001,0),1)&gt;=100000,INDEX($V$1005:$AE$1005,1,MATCH(COLUMNS($V$1006:AD1006),$V$1006:$AE$1006,0))&gt;=100000), " ",IF(INDEX($V$2:$AE$1001,MATCH(ROWS($O$2:O100),$O$2:$O$1001,0),MATCH(COLUMNS($V$1006:AD1006),$V$1006:$AE$1006,0)), HYPERLINK("#",""), HYPERLINK(CONCATENATE("#Metadata!", ADDRESS(INDEX($Q$2:$Q$1001,MATCH(ROWS($O$2:O100),$O$2:$O$1001,0),0), INDEX($V$1004:$AE$1004,1,MATCH(COLUMNS($V$1006:AD1006),$V$1006:$AE$1006,0)))),"Fix")))</f>
        <v>0</v>
      </c>
      <c r="K100" s="4">
        <f>IF(OR(INDEX($P$2:$P$1001,MATCH(ROWS($O$2:O100),$O$2:$O$1001,0),1)&gt;=100000,INDEX($V$1005:$AE$1005,1,MATCH(COLUMNS($V$1006:AE1006),$V$1006:$AE$1006,0))&gt;=100000), " ",IF(INDEX($V$2:$AE$1001,MATCH(ROWS($O$2:O100),$O$2:$O$1001,0),MATCH(COLUMNS($V$1006:AE1006),$V$1006:$AE$1006,0)), HYPERLINK("#",""), HYPERLINK(CONCATENATE("#Metadata!", ADDRESS(INDEX($Q$2:$Q$1001,MATCH(ROWS($O$2:O100),$O$2:$O$1001,0),0), INDEX($V$1004:$AE$1004,1,MATCH(COLUMNS($V$1006:AE1006),$V$1006:$AE$1006,0)))),"Fix")))</f>
        <v>0</v>
      </c>
      <c r="O100">
        <v>0</v>
      </c>
      <c r="P100">
        <v>0</v>
      </c>
      <c r="Q100">
        <v>0</v>
      </c>
      <c r="R100">
        <f>IF(S100,TRUE,AND(V100:AE100))</f>
        <v>0</v>
      </c>
      <c r="S100">
        <f>COUNTBLANK(Metadata!B100:K100)=COLUMNS(Metadata!B100:K100)</f>
        <v>0</v>
      </c>
      <c r="T100">
        <v>0</v>
      </c>
      <c r="V100">
        <f>AND(IF(Metadata!B100="",FALSE,TRUE),COUNTIF(Metadata!B:B, Metadata!B100) = 1,NOT(ISERROR(SUMPRODUCT(SEARCH(MID(Metadata!B100,ROW(INDIRECT("1:"&amp;LEN(Metadata!B100))), 1),"0123456789abcdefghijklmnopqrstuvwxyzABCDEFGHIJKLMNOPQRSTUVWXYZ.")))))</f>
        <v>0</v>
      </c>
      <c r="W100">
        <f>AND(IF(Metadata!C100="",FALSE,TRUE),exact(Metadata!C100,"urban biome"))</f>
        <v>0</v>
      </c>
      <c r="X100">
        <f>AND(IF(Metadata!D100="",FALSE,TRUE),exact(Metadata!D100,"animal-associated habitat"))</f>
        <v>0</v>
      </c>
      <c r="Y100">
        <f>OR(AND(IF(Metadata!E100="",FALSE,TRUE),OR(exact(Metadata!E100,"not applicable"),exact(Metadata!E100,"missing: not collected"),exact(Metadata!E100,"missing: not provided"),exact(Metadata!E100,"missing: restricted access"))),AND(IF(Metadata!E100="",FALSE,ISNUMBER(VALUE(Metadata!E100))),Metadata!E100&gt;0))</f>
        <v>0</v>
      </c>
      <c r="Z100">
        <f>AND(IF(Metadata!F100="",FALSE,TRUE),exact(Metadata!F100,"weeks"))</f>
        <v>0</v>
      </c>
      <c r="AA100">
        <f>AND(IF(Metadata!G100="",FALSE,TRUE),exact(Metadata!G100,"mouse"))</f>
        <v>0</v>
      </c>
      <c r="AB100">
        <f>AND(IF(Metadata!H100="",FALSE,TRUE),exact(Metadata!H100,"Mus musculus"))</f>
        <v>0</v>
      </c>
      <c r="AC100">
        <f>AND(IF(Metadata!I100="",FALSE,TRUE),exact(Metadata!I100,"10090"))</f>
        <v>0</v>
      </c>
      <c r="AD100">
        <f>OR(AND(IF(Metadata!J100="",FALSE,TRUE),OR(exact(Metadata!J100,"not applicable"),exact(Metadata!J100,"missing: not collected"),exact(Metadata!J100,"missing: not provided"),exact(Metadata!J100,"missing: restricted access"))),AND(IF(Metadata!J100="",FALSE,ISNUMBER(VALUE(Metadata!J100))),Metadata!J100&gt;0))</f>
        <v>0</v>
      </c>
      <c r="AE100">
        <f>AND(IF(Metadata!K100="",FALSE,TRUE),exact(Metadata!K100,"g"))</f>
        <v>0</v>
      </c>
    </row>
    <row r="101" spans="1:31">
      <c r="A101" s="5">
        <f>IF(B101=" "," ",HYPERLINK(CONCATENATE("#metadata!",ADDRESS(INDEX($Q$2:$Q$1001,MATCH(ROWS($O$2:O101),$O$2:$O$1001,0),0),1)),INDEX($T$2:$T$1001,MATCH(ROWS($O$2:O101),$O$2:$O$1001,0),0)))</f>
        <v>0</v>
      </c>
      <c r="B101" s="4">
        <f>IF(OR(INDEX($P$2:$P$1001,MATCH(ROWS($O$2:O101),$O$2:$O$1001,0),1)&gt;=100000,INDEX($V$1005:$AE$1005,1,MATCH(COLUMNS($V$1006:V1006),$V$1006:$AE$1006,0))&gt;=100000), " ",IF(INDEX($V$2:$AE$1001,MATCH(ROWS($O$2:O101),$O$2:$O$1001,0),MATCH(COLUMNS($V$1006:V1006),$V$1006:$AE$1006,0)), HYPERLINK("#",""), HYPERLINK(CONCATENATE("#Metadata!", ADDRESS(INDEX($Q$2:$Q$1001,MATCH(ROWS($O$2:O101),$O$2:$O$1001,0),0), INDEX($V$1004:$AE$1004,1,MATCH(COLUMNS($V$1006:V1006),$V$1006:$AE$1006,0)))),"Fix")))</f>
        <v>0</v>
      </c>
      <c r="C101" s="4">
        <f>IF(OR(INDEX($P$2:$P$1001,MATCH(ROWS($O$2:O101),$O$2:$O$1001,0),1)&gt;=100000,INDEX($V$1005:$AE$1005,1,MATCH(COLUMNS($V$1006:W1006),$V$1006:$AE$1006,0))&gt;=100000), " ",IF(INDEX($V$2:$AE$1001,MATCH(ROWS($O$2:O101),$O$2:$O$1001,0),MATCH(COLUMNS($V$1006:W1006),$V$1006:$AE$1006,0)), HYPERLINK("#",""), HYPERLINK(CONCATENATE("#Metadata!", ADDRESS(INDEX($Q$2:$Q$1001,MATCH(ROWS($O$2:O101),$O$2:$O$1001,0),0), INDEX($V$1004:$AE$1004,1,MATCH(COLUMNS($V$1006:W1006),$V$1006:$AE$1006,0)))),"Fix")))</f>
        <v>0</v>
      </c>
      <c r="D101" s="4">
        <f>IF(OR(INDEX($P$2:$P$1001,MATCH(ROWS($O$2:O101),$O$2:$O$1001,0),1)&gt;=100000,INDEX($V$1005:$AE$1005,1,MATCH(COLUMNS($V$1006:X1006),$V$1006:$AE$1006,0))&gt;=100000), " ",IF(INDEX($V$2:$AE$1001,MATCH(ROWS($O$2:O101),$O$2:$O$1001,0),MATCH(COLUMNS($V$1006:X1006),$V$1006:$AE$1006,0)), HYPERLINK("#",""), HYPERLINK(CONCATENATE("#Metadata!", ADDRESS(INDEX($Q$2:$Q$1001,MATCH(ROWS($O$2:O101),$O$2:$O$1001,0),0), INDEX($V$1004:$AE$1004,1,MATCH(COLUMNS($V$1006:X1006),$V$1006:$AE$1006,0)))),"Fix")))</f>
        <v>0</v>
      </c>
      <c r="E101" s="4">
        <f>IF(OR(INDEX($P$2:$P$1001,MATCH(ROWS($O$2:O101),$O$2:$O$1001,0),1)&gt;=100000,INDEX($V$1005:$AE$1005,1,MATCH(COLUMNS($V$1006:Y1006),$V$1006:$AE$1006,0))&gt;=100000), " ",IF(INDEX($V$2:$AE$1001,MATCH(ROWS($O$2:O101),$O$2:$O$1001,0),MATCH(COLUMNS($V$1006:Y1006),$V$1006:$AE$1006,0)), HYPERLINK("#",""), HYPERLINK(CONCATENATE("#Metadata!", ADDRESS(INDEX($Q$2:$Q$1001,MATCH(ROWS($O$2:O101),$O$2:$O$1001,0),0), INDEX($V$1004:$AE$1004,1,MATCH(COLUMNS($V$1006:Y1006),$V$1006:$AE$1006,0)))),"Fix")))</f>
        <v>0</v>
      </c>
      <c r="F101" s="4">
        <f>IF(OR(INDEX($P$2:$P$1001,MATCH(ROWS($O$2:O101),$O$2:$O$1001,0),1)&gt;=100000,INDEX($V$1005:$AE$1005,1,MATCH(COLUMNS($V$1006:Z1006),$V$1006:$AE$1006,0))&gt;=100000), " ",IF(INDEX($V$2:$AE$1001,MATCH(ROWS($O$2:O101),$O$2:$O$1001,0),MATCH(COLUMNS($V$1006:Z1006),$V$1006:$AE$1006,0)), HYPERLINK("#",""), HYPERLINK(CONCATENATE("#Metadata!", ADDRESS(INDEX($Q$2:$Q$1001,MATCH(ROWS($O$2:O101),$O$2:$O$1001,0),0), INDEX($V$1004:$AE$1004,1,MATCH(COLUMNS($V$1006:Z1006),$V$1006:$AE$1006,0)))),"Fix")))</f>
        <v>0</v>
      </c>
      <c r="G101" s="4">
        <f>IF(OR(INDEX($P$2:$P$1001,MATCH(ROWS($O$2:O101),$O$2:$O$1001,0),1)&gt;=100000,INDEX($V$1005:$AE$1005,1,MATCH(COLUMNS($V$1006:AA1006),$V$1006:$AE$1006,0))&gt;=100000), " ",IF(INDEX($V$2:$AE$1001,MATCH(ROWS($O$2:O101),$O$2:$O$1001,0),MATCH(COLUMNS($V$1006:AA1006),$V$1006:$AE$1006,0)), HYPERLINK("#",""), HYPERLINK(CONCATENATE("#Metadata!", ADDRESS(INDEX($Q$2:$Q$1001,MATCH(ROWS($O$2:O101),$O$2:$O$1001,0),0), INDEX($V$1004:$AE$1004,1,MATCH(COLUMNS($V$1006:AA1006),$V$1006:$AE$1006,0)))),"Fix")))</f>
        <v>0</v>
      </c>
      <c r="H101" s="4">
        <f>IF(OR(INDEX($P$2:$P$1001,MATCH(ROWS($O$2:O101),$O$2:$O$1001,0),1)&gt;=100000,INDEX($V$1005:$AE$1005,1,MATCH(COLUMNS($V$1006:AB1006),$V$1006:$AE$1006,0))&gt;=100000), " ",IF(INDEX($V$2:$AE$1001,MATCH(ROWS($O$2:O101),$O$2:$O$1001,0),MATCH(COLUMNS($V$1006:AB1006),$V$1006:$AE$1006,0)), HYPERLINK("#",""), HYPERLINK(CONCATENATE("#Metadata!", ADDRESS(INDEX($Q$2:$Q$1001,MATCH(ROWS($O$2:O101),$O$2:$O$1001,0),0), INDEX($V$1004:$AE$1004,1,MATCH(COLUMNS($V$1006:AB1006),$V$1006:$AE$1006,0)))),"Fix")))</f>
        <v>0</v>
      </c>
      <c r="I101" s="4">
        <f>IF(OR(INDEX($P$2:$P$1001,MATCH(ROWS($O$2:O101),$O$2:$O$1001,0),1)&gt;=100000,INDEX($V$1005:$AE$1005,1,MATCH(COLUMNS($V$1006:AC1006),$V$1006:$AE$1006,0))&gt;=100000), " ",IF(INDEX($V$2:$AE$1001,MATCH(ROWS($O$2:O101),$O$2:$O$1001,0),MATCH(COLUMNS($V$1006:AC1006),$V$1006:$AE$1006,0)), HYPERLINK("#",""), HYPERLINK(CONCATENATE("#Metadata!", ADDRESS(INDEX($Q$2:$Q$1001,MATCH(ROWS($O$2:O101),$O$2:$O$1001,0),0), INDEX($V$1004:$AE$1004,1,MATCH(COLUMNS($V$1006:AC1006),$V$1006:$AE$1006,0)))),"Fix")))</f>
        <v>0</v>
      </c>
      <c r="J101" s="4">
        <f>IF(OR(INDEX($P$2:$P$1001,MATCH(ROWS($O$2:O101),$O$2:$O$1001,0),1)&gt;=100000,INDEX($V$1005:$AE$1005,1,MATCH(COLUMNS($V$1006:AD1006),$V$1006:$AE$1006,0))&gt;=100000), " ",IF(INDEX($V$2:$AE$1001,MATCH(ROWS($O$2:O101),$O$2:$O$1001,0),MATCH(COLUMNS($V$1006:AD1006),$V$1006:$AE$1006,0)), HYPERLINK("#",""), HYPERLINK(CONCATENATE("#Metadata!", ADDRESS(INDEX($Q$2:$Q$1001,MATCH(ROWS($O$2:O101),$O$2:$O$1001,0),0), INDEX($V$1004:$AE$1004,1,MATCH(COLUMNS($V$1006:AD1006),$V$1006:$AE$1006,0)))),"Fix")))</f>
        <v>0</v>
      </c>
      <c r="K101" s="4">
        <f>IF(OR(INDEX($P$2:$P$1001,MATCH(ROWS($O$2:O101),$O$2:$O$1001,0),1)&gt;=100000,INDEX($V$1005:$AE$1005,1,MATCH(COLUMNS($V$1006:AE1006),$V$1006:$AE$1006,0))&gt;=100000), " ",IF(INDEX($V$2:$AE$1001,MATCH(ROWS($O$2:O101),$O$2:$O$1001,0),MATCH(COLUMNS($V$1006:AE1006),$V$1006:$AE$1006,0)), HYPERLINK("#",""), HYPERLINK(CONCATENATE("#Metadata!", ADDRESS(INDEX($Q$2:$Q$1001,MATCH(ROWS($O$2:O101),$O$2:$O$1001,0),0), INDEX($V$1004:$AE$1004,1,MATCH(COLUMNS($V$1006:AE1006),$V$1006:$AE$1006,0)))),"Fix")))</f>
        <v>0</v>
      </c>
      <c r="O101">
        <v>0</v>
      </c>
      <c r="P101">
        <v>0</v>
      </c>
      <c r="Q101">
        <v>0</v>
      </c>
      <c r="R101">
        <f>IF(S101,TRUE,AND(V101:AE101))</f>
        <v>0</v>
      </c>
      <c r="S101">
        <f>COUNTBLANK(Metadata!B101:K101)=COLUMNS(Metadata!B101:K101)</f>
        <v>0</v>
      </c>
      <c r="T101">
        <v>0</v>
      </c>
      <c r="V101">
        <f>AND(IF(Metadata!B101="",FALSE,TRUE),COUNTIF(Metadata!B:B, Metadata!B101) = 1,NOT(ISERROR(SUMPRODUCT(SEARCH(MID(Metadata!B101,ROW(INDIRECT("1:"&amp;LEN(Metadata!B101))), 1),"0123456789abcdefghijklmnopqrstuvwxyzABCDEFGHIJKLMNOPQRSTUVWXYZ.")))))</f>
        <v>0</v>
      </c>
      <c r="W101">
        <f>AND(IF(Metadata!C101="",FALSE,TRUE),exact(Metadata!C101,"urban biome"))</f>
        <v>0</v>
      </c>
      <c r="X101">
        <f>AND(IF(Metadata!D101="",FALSE,TRUE),exact(Metadata!D101,"animal-associated habitat"))</f>
        <v>0</v>
      </c>
      <c r="Y101">
        <f>OR(AND(IF(Metadata!E101="",FALSE,TRUE),OR(exact(Metadata!E101,"not applicable"),exact(Metadata!E101,"missing: not collected"),exact(Metadata!E101,"missing: not provided"),exact(Metadata!E101,"missing: restricted access"))),AND(IF(Metadata!E101="",FALSE,ISNUMBER(VALUE(Metadata!E101))),Metadata!E101&gt;0))</f>
        <v>0</v>
      </c>
      <c r="Z101">
        <f>AND(IF(Metadata!F101="",FALSE,TRUE),exact(Metadata!F101,"weeks"))</f>
        <v>0</v>
      </c>
      <c r="AA101">
        <f>AND(IF(Metadata!G101="",FALSE,TRUE),exact(Metadata!G101,"mouse"))</f>
        <v>0</v>
      </c>
      <c r="AB101">
        <f>AND(IF(Metadata!H101="",FALSE,TRUE),exact(Metadata!H101,"Mus musculus"))</f>
        <v>0</v>
      </c>
      <c r="AC101">
        <f>AND(IF(Metadata!I101="",FALSE,TRUE),exact(Metadata!I101,"10090"))</f>
        <v>0</v>
      </c>
      <c r="AD101">
        <f>OR(AND(IF(Metadata!J101="",FALSE,TRUE),OR(exact(Metadata!J101,"not applicable"),exact(Metadata!J101,"missing: not collected"),exact(Metadata!J101,"missing: not provided"),exact(Metadata!J101,"missing: restricted access"))),AND(IF(Metadata!J101="",FALSE,ISNUMBER(VALUE(Metadata!J101))),Metadata!J101&gt;0))</f>
        <v>0</v>
      </c>
      <c r="AE101">
        <f>AND(IF(Metadata!K101="",FALSE,TRUE),exact(Metadata!K101,"g"))</f>
        <v>0</v>
      </c>
    </row>
    <row r="102" spans="1:31">
      <c r="A102" s="5">
        <f>IF(B102=" "," ",HYPERLINK(CONCATENATE("#metadata!",ADDRESS(INDEX($Q$2:$Q$1001,MATCH(ROWS($O$2:O102),$O$2:$O$1001,0),0),1)),INDEX($T$2:$T$1001,MATCH(ROWS($O$2:O102),$O$2:$O$1001,0),0)))</f>
        <v>0</v>
      </c>
      <c r="B102" s="4">
        <f>IF(OR(INDEX($P$2:$P$1001,MATCH(ROWS($O$2:O102),$O$2:$O$1001,0),1)&gt;=100000,INDEX($V$1005:$AE$1005,1,MATCH(COLUMNS($V$1006:V1006),$V$1006:$AE$1006,0))&gt;=100000), " ",IF(INDEX($V$2:$AE$1001,MATCH(ROWS($O$2:O102),$O$2:$O$1001,0),MATCH(COLUMNS($V$1006:V1006),$V$1006:$AE$1006,0)), HYPERLINK("#",""), HYPERLINK(CONCATENATE("#Metadata!", ADDRESS(INDEX($Q$2:$Q$1001,MATCH(ROWS($O$2:O102),$O$2:$O$1001,0),0), INDEX($V$1004:$AE$1004,1,MATCH(COLUMNS($V$1006:V1006),$V$1006:$AE$1006,0)))),"Fix")))</f>
        <v>0</v>
      </c>
      <c r="C102" s="4">
        <f>IF(OR(INDEX($P$2:$P$1001,MATCH(ROWS($O$2:O102),$O$2:$O$1001,0),1)&gt;=100000,INDEX($V$1005:$AE$1005,1,MATCH(COLUMNS($V$1006:W1006),$V$1006:$AE$1006,0))&gt;=100000), " ",IF(INDEX($V$2:$AE$1001,MATCH(ROWS($O$2:O102),$O$2:$O$1001,0),MATCH(COLUMNS($V$1006:W1006),$V$1006:$AE$1006,0)), HYPERLINK("#",""), HYPERLINK(CONCATENATE("#Metadata!", ADDRESS(INDEX($Q$2:$Q$1001,MATCH(ROWS($O$2:O102),$O$2:$O$1001,0),0), INDEX($V$1004:$AE$1004,1,MATCH(COLUMNS($V$1006:W1006),$V$1006:$AE$1006,0)))),"Fix")))</f>
        <v>0</v>
      </c>
      <c r="D102" s="4">
        <f>IF(OR(INDEX($P$2:$P$1001,MATCH(ROWS($O$2:O102),$O$2:$O$1001,0),1)&gt;=100000,INDEX($V$1005:$AE$1005,1,MATCH(COLUMNS($V$1006:X1006),$V$1006:$AE$1006,0))&gt;=100000), " ",IF(INDEX($V$2:$AE$1001,MATCH(ROWS($O$2:O102),$O$2:$O$1001,0),MATCH(COLUMNS($V$1006:X1006),$V$1006:$AE$1006,0)), HYPERLINK("#",""), HYPERLINK(CONCATENATE("#Metadata!", ADDRESS(INDEX($Q$2:$Q$1001,MATCH(ROWS($O$2:O102),$O$2:$O$1001,0),0), INDEX($V$1004:$AE$1004,1,MATCH(COLUMNS($V$1006:X1006),$V$1006:$AE$1006,0)))),"Fix")))</f>
        <v>0</v>
      </c>
      <c r="E102" s="4">
        <f>IF(OR(INDEX($P$2:$P$1001,MATCH(ROWS($O$2:O102),$O$2:$O$1001,0),1)&gt;=100000,INDEX($V$1005:$AE$1005,1,MATCH(COLUMNS($V$1006:Y1006),$V$1006:$AE$1006,0))&gt;=100000), " ",IF(INDEX($V$2:$AE$1001,MATCH(ROWS($O$2:O102),$O$2:$O$1001,0),MATCH(COLUMNS($V$1006:Y1006),$V$1006:$AE$1006,0)), HYPERLINK("#",""), HYPERLINK(CONCATENATE("#Metadata!", ADDRESS(INDEX($Q$2:$Q$1001,MATCH(ROWS($O$2:O102),$O$2:$O$1001,0),0), INDEX($V$1004:$AE$1004,1,MATCH(COLUMNS($V$1006:Y1006),$V$1006:$AE$1006,0)))),"Fix")))</f>
        <v>0</v>
      </c>
      <c r="F102" s="4">
        <f>IF(OR(INDEX($P$2:$P$1001,MATCH(ROWS($O$2:O102),$O$2:$O$1001,0),1)&gt;=100000,INDEX($V$1005:$AE$1005,1,MATCH(COLUMNS($V$1006:Z1006),$V$1006:$AE$1006,0))&gt;=100000), " ",IF(INDEX($V$2:$AE$1001,MATCH(ROWS($O$2:O102),$O$2:$O$1001,0),MATCH(COLUMNS($V$1006:Z1006),$V$1006:$AE$1006,0)), HYPERLINK("#",""), HYPERLINK(CONCATENATE("#Metadata!", ADDRESS(INDEX($Q$2:$Q$1001,MATCH(ROWS($O$2:O102),$O$2:$O$1001,0),0), INDEX($V$1004:$AE$1004,1,MATCH(COLUMNS($V$1006:Z1006),$V$1006:$AE$1006,0)))),"Fix")))</f>
        <v>0</v>
      </c>
      <c r="G102" s="4">
        <f>IF(OR(INDEX($P$2:$P$1001,MATCH(ROWS($O$2:O102),$O$2:$O$1001,0),1)&gt;=100000,INDEX($V$1005:$AE$1005,1,MATCH(COLUMNS($V$1006:AA1006),$V$1006:$AE$1006,0))&gt;=100000), " ",IF(INDEX($V$2:$AE$1001,MATCH(ROWS($O$2:O102),$O$2:$O$1001,0),MATCH(COLUMNS($V$1006:AA1006),$V$1006:$AE$1006,0)), HYPERLINK("#",""), HYPERLINK(CONCATENATE("#Metadata!", ADDRESS(INDEX($Q$2:$Q$1001,MATCH(ROWS($O$2:O102),$O$2:$O$1001,0),0), INDEX($V$1004:$AE$1004,1,MATCH(COLUMNS($V$1006:AA1006),$V$1006:$AE$1006,0)))),"Fix")))</f>
        <v>0</v>
      </c>
      <c r="H102" s="4">
        <f>IF(OR(INDEX($P$2:$P$1001,MATCH(ROWS($O$2:O102),$O$2:$O$1001,0),1)&gt;=100000,INDEX($V$1005:$AE$1005,1,MATCH(COLUMNS($V$1006:AB1006),$V$1006:$AE$1006,0))&gt;=100000), " ",IF(INDEX($V$2:$AE$1001,MATCH(ROWS($O$2:O102),$O$2:$O$1001,0),MATCH(COLUMNS($V$1006:AB1006),$V$1006:$AE$1006,0)), HYPERLINK("#",""), HYPERLINK(CONCATENATE("#Metadata!", ADDRESS(INDEX($Q$2:$Q$1001,MATCH(ROWS($O$2:O102),$O$2:$O$1001,0),0), INDEX($V$1004:$AE$1004,1,MATCH(COLUMNS($V$1006:AB1006),$V$1006:$AE$1006,0)))),"Fix")))</f>
        <v>0</v>
      </c>
      <c r="I102" s="4">
        <f>IF(OR(INDEX($P$2:$P$1001,MATCH(ROWS($O$2:O102),$O$2:$O$1001,0),1)&gt;=100000,INDEX($V$1005:$AE$1005,1,MATCH(COLUMNS($V$1006:AC1006),$V$1006:$AE$1006,0))&gt;=100000), " ",IF(INDEX($V$2:$AE$1001,MATCH(ROWS($O$2:O102),$O$2:$O$1001,0),MATCH(COLUMNS($V$1006:AC1006),$V$1006:$AE$1006,0)), HYPERLINK("#",""), HYPERLINK(CONCATENATE("#Metadata!", ADDRESS(INDEX($Q$2:$Q$1001,MATCH(ROWS($O$2:O102),$O$2:$O$1001,0),0), INDEX($V$1004:$AE$1004,1,MATCH(COLUMNS($V$1006:AC1006),$V$1006:$AE$1006,0)))),"Fix")))</f>
        <v>0</v>
      </c>
      <c r="J102" s="4">
        <f>IF(OR(INDEX($P$2:$P$1001,MATCH(ROWS($O$2:O102),$O$2:$O$1001,0),1)&gt;=100000,INDEX($V$1005:$AE$1005,1,MATCH(COLUMNS($V$1006:AD1006),$V$1006:$AE$1006,0))&gt;=100000), " ",IF(INDEX($V$2:$AE$1001,MATCH(ROWS($O$2:O102),$O$2:$O$1001,0),MATCH(COLUMNS($V$1006:AD1006),$V$1006:$AE$1006,0)), HYPERLINK("#",""), HYPERLINK(CONCATENATE("#Metadata!", ADDRESS(INDEX($Q$2:$Q$1001,MATCH(ROWS($O$2:O102),$O$2:$O$1001,0),0), INDEX($V$1004:$AE$1004,1,MATCH(COLUMNS($V$1006:AD1006),$V$1006:$AE$1006,0)))),"Fix")))</f>
        <v>0</v>
      </c>
      <c r="K102" s="4">
        <f>IF(OR(INDEX($P$2:$P$1001,MATCH(ROWS($O$2:O102),$O$2:$O$1001,0),1)&gt;=100000,INDEX($V$1005:$AE$1005,1,MATCH(COLUMNS($V$1006:AE1006),$V$1006:$AE$1006,0))&gt;=100000), " ",IF(INDEX($V$2:$AE$1001,MATCH(ROWS($O$2:O102),$O$2:$O$1001,0),MATCH(COLUMNS($V$1006:AE1006),$V$1006:$AE$1006,0)), HYPERLINK("#",""), HYPERLINK(CONCATENATE("#Metadata!", ADDRESS(INDEX($Q$2:$Q$1001,MATCH(ROWS($O$2:O102),$O$2:$O$1001,0),0), INDEX($V$1004:$AE$1004,1,MATCH(COLUMNS($V$1006:AE1006),$V$1006:$AE$1006,0)))),"Fix")))</f>
        <v>0</v>
      </c>
      <c r="O102">
        <v>0</v>
      </c>
      <c r="P102">
        <v>0</v>
      </c>
      <c r="Q102">
        <v>0</v>
      </c>
      <c r="R102">
        <f>IF(S102,TRUE,AND(V102:AE102))</f>
        <v>0</v>
      </c>
      <c r="S102">
        <f>COUNTBLANK(Metadata!B102:K102)=COLUMNS(Metadata!B102:K102)</f>
        <v>0</v>
      </c>
      <c r="T102">
        <v>0</v>
      </c>
      <c r="V102">
        <f>AND(IF(Metadata!B102="",FALSE,TRUE),COUNTIF(Metadata!B:B, Metadata!B102) = 1,NOT(ISERROR(SUMPRODUCT(SEARCH(MID(Metadata!B102,ROW(INDIRECT("1:"&amp;LEN(Metadata!B102))), 1),"0123456789abcdefghijklmnopqrstuvwxyzABCDEFGHIJKLMNOPQRSTUVWXYZ.")))))</f>
        <v>0</v>
      </c>
      <c r="W102">
        <f>AND(IF(Metadata!C102="",FALSE,TRUE),exact(Metadata!C102,"urban biome"))</f>
        <v>0</v>
      </c>
      <c r="X102">
        <f>AND(IF(Metadata!D102="",FALSE,TRUE),exact(Metadata!D102,"animal-associated habitat"))</f>
        <v>0</v>
      </c>
      <c r="Y102">
        <f>OR(AND(IF(Metadata!E102="",FALSE,TRUE),OR(exact(Metadata!E102,"not applicable"),exact(Metadata!E102,"missing: not collected"),exact(Metadata!E102,"missing: not provided"),exact(Metadata!E102,"missing: restricted access"))),AND(IF(Metadata!E102="",FALSE,ISNUMBER(VALUE(Metadata!E102))),Metadata!E102&gt;0))</f>
        <v>0</v>
      </c>
      <c r="Z102">
        <f>AND(IF(Metadata!F102="",FALSE,TRUE),exact(Metadata!F102,"weeks"))</f>
        <v>0</v>
      </c>
      <c r="AA102">
        <f>AND(IF(Metadata!G102="",FALSE,TRUE),exact(Metadata!G102,"mouse"))</f>
        <v>0</v>
      </c>
      <c r="AB102">
        <f>AND(IF(Metadata!H102="",FALSE,TRUE),exact(Metadata!H102,"Mus musculus"))</f>
        <v>0</v>
      </c>
      <c r="AC102">
        <f>AND(IF(Metadata!I102="",FALSE,TRUE),exact(Metadata!I102,"10090"))</f>
        <v>0</v>
      </c>
      <c r="AD102">
        <f>OR(AND(IF(Metadata!J102="",FALSE,TRUE),OR(exact(Metadata!J102,"not applicable"),exact(Metadata!J102,"missing: not collected"),exact(Metadata!J102,"missing: not provided"),exact(Metadata!J102,"missing: restricted access"))),AND(IF(Metadata!J102="",FALSE,ISNUMBER(VALUE(Metadata!J102))),Metadata!J102&gt;0))</f>
        <v>0</v>
      </c>
      <c r="AE102">
        <f>AND(IF(Metadata!K102="",FALSE,TRUE),exact(Metadata!K102,"g"))</f>
        <v>0</v>
      </c>
    </row>
    <row r="103" spans="1:31">
      <c r="A103" s="5">
        <f>IF(B103=" "," ",HYPERLINK(CONCATENATE("#metadata!",ADDRESS(INDEX($Q$2:$Q$1001,MATCH(ROWS($O$2:O103),$O$2:$O$1001,0),0),1)),INDEX($T$2:$T$1001,MATCH(ROWS($O$2:O103),$O$2:$O$1001,0),0)))</f>
        <v>0</v>
      </c>
      <c r="B103" s="4">
        <f>IF(OR(INDEX($P$2:$P$1001,MATCH(ROWS($O$2:O103),$O$2:$O$1001,0),1)&gt;=100000,INDEX($V$1005:$AE$1005,1,MATCH(COLUMNS($V$1006:V1006),$V$1006:$AE$1006,0))&gt;=100000), " ",IF(INDEX($V$2:$AE$1001,MATCH(ROWS($O$2:O103),$O$2:$O$1001,0),MATCH(COLUMNS($V$1006:V1006),$V$1006:$AE$1006,0)), HYPERLINK("#",""), HYPERLINK(CONCATENATE("#Metadata!", ADDRESS(INDEX($Q$2:$Q$1001,MATCH(ROWS($O$2:O103),$O$2:$O$1001,0),0), INDEX($V$1004:$AE$1004,1,MATCH(COLUMNS($V$1006:V1006),$V$1006:$AE$1006,0)))),"Fix")))</f>
        <v>0</v>
      </c>
      <c r="C103" s="4">
        <f>IF(OR(INDEX($P$2:$P$1001,MATCH(ROWS($O$2:O103),$O$2:$O$1001,0),1)&gt;=100000,INDEX($V$1005:$AE$1005,1,MATCH(COLUMNS($V$1006:W1006),$V$1006:$AE$1006,0))&gt;=100000), " ",IF(INDEX($V$2:$AE$1001,MATCH(ROWS($O$2:O103),$O$2:$O$1001,0),MATCH(COLUMNS($V$1006:W1006),$V$1006:$AE$1006,0)), HYPERLINK("#",""), HYPERLINK(CONCATENATE("#Metadata!", ADDRESS(INDEX($Q$2:$Q$1001,MATCH(ROWS($O$2:O103),$O$2:$O$1001,0),0), INDEX($V$1004:$AE$1004,1,MATCH(COLUMNS($V$1006:W1006),$V$1006:$AE$1006,0)))),"Fix")))</f>
        <v>0</v>
      </c>
      <c r="D103" s="4">
        <f>IF(OR(INDEX($P$2:$P$1001,MATCH(ROWS($O$2:O103),$O$2:$O$1001,0),1)&gt;=100000,INDEX($V$1005:$AE$1005,1,MATCH(COLUMNS($V$1006:X1006),$V$1006:$AE$1006,0))&gt;=100000), " ",IF(INDEX($V$2:$AE$1001,MATCH(ROWS($O$2:O103),$O$2:$O$1001,0),MATCH(COLUMNS($V$1006:X1006),$V$1006:$AE$1006,0)), HYPERLINK("#",""), HYPERLINK(CONCATENATE("#Metadata!", ADDRESS(INDEX($Q$2:$Q$1001,MATCH(ROWS($O$2:O103),$O$2:$O$1001,0),0), INDEX($V$1004:$AE$1004,1,MATCH(COLUMNS($V$1006:X1006),$V$1006:$AE$1006,0)))),"Fix")))</f>
        <v>0</v>
      </c>
      <c r="E103" s="4">
        <f>IF(OR(INDEX($P$2:$P$1001,MATCH(ROWS($O$2:O103),$O$2:$O$1001,0),1)&gt;=100000,INDEX($V$1005:$AE$1005,1,MATCH(COLUMNS($V$1006:Y1006),$V$1006:$AE$1006,0))&gt;=100000), " ",IF(INDEX($V$2:$AE$1001,MATCH(ROWS($O$2:O103),$O$2:$O$1001,0),MATCH(COLUMNS($V$1006:Y1006),$V$1006:$AE$1006,0)), HYPERLINK("#",""), HYPERLINK(CONCATENATE("#Metadata!", ADDRESS(INDEX($Q$2:$Q$1001,MATCH(ROWS($O$2:O103),$O$2:$O$1001,0),0), INDEX($V$1004:$AE$1004,1,MATCH(COLUMNS($V$1006:Y1006),$V$1006:$AE$1006,0)))),"Fix")))</f>
        <v>0</v>
      </c>
      <c r="F103" s="4">
        <f>IF(OR(INDEX($P$2:$P$1001,MATCH(ROWS($O$2:O103),$O$2:$O$1001,0),1)&gt;=100000,INDEX($V$1005:$AE$1005,1,MATCH(COLUMNS($V$1006:Z1006),$V$1006:$AE$1006,0))&gt;=100000), " ",IF(INDEX($V$2:$AE$1001,MATCH(ROWS($O$2:O103),$O$2:$O$1001,0),MATCH(COLUMNS($V$1006:Z1006),$V$1006:$AE$1006,0)), HYPERLINK("#",""), HYPERLINK(CONCATENATE("#Metadata!", ADDRESS(INDEX($Q$2:$Q$1001,MATCH(ROWS($O$2:O103),$O$2:$O$1001,0),0), INDEX($V$1004:$AE$1004,1,MATCH(COLUMNS($V$1006:Z1006),$V$1006:$AE$1006,0)))),"Fix")))</f>
        <v>0</v>
      </c>
      <c r="G103" s="4">
        <f>IF(OR(INDEX($P$2:$P$1001,MATCH(ROWS($O$2:O103),$O$2:$O$1001,0),1)&gt;=100000,INDEX($V$1005:$AE$1005,1,MATCH(COLUMNS($V$1006:AA1006),$V$1006:$AE$1006,0))&gt;=100000), " ",IF(INDEX($V$2:$AE$1001,MATCH(ROWS($O$2:O103),$O$2:$O$1001,0),MATCH(COLUMNS($V$1006:AA1006),$V$1006:$AE$1006,0)), HYPERLINK("#",""), HYPERLINK(CONCATENATE("#Metadata!", ADDRESS(INDEX($Q$2:$Q$1001,MATCH(ROWS($O$2:O103),$O$2:$O$1001,0),0), INDEX($V$1004:$AE$1004,1,MATCH(COLUMNS($V$1006:AA1006),$V$1006:$AE$1006,0)))),"Fix")))</f>
        <v>0</v>
      </c>
      <c r="H103" s="4">
        <f>IF(OR(INDEX($P$2:$P$1001,MATCH(ROWS($O$2:O103),$O$2:$O$1001,0),1)&gt;=100000,INDEX($V$1005:$AE$1005,1,MATCH(COLUMNS($V$1006:AB1006),$V$1006:$AE$1006,0))&gt;=100000), " ",IF(INDEX($V$2:$AE$1001,MATCH(ROWS($O$2:O103),$O$2:$O$1001,0),MATCH(COLUMNS($V$1006:AB1006),$V$1006:$AE$1006,0)), HYPERLINK("#",""), HYPERLINK(CONCATENATE("#Metadata!", ADDRESS(INDEX($Q$2:$Q$1001,MATCH(ROWS($O$2:O103),$O$2:$O$1001,0),0), INDEX($V$1004:$AE$1004,1,MATCH(COLUMNS($V$1006:AB1006),$V$1006:$AE$1006,0)))),"Fix")))</f>
        <v>0</v>
      </c>
      <c r="I103" s="4">
        <f>IF(OR(INDEX($P$2:$P$1001,MATCH(ROWS($O$2:O103),$O$2:$O$1001,0),1)&gt;=100000,INDEX($V$1005:$AE$1005,1,MATCH(COLUMNS($V$1006:AC1006),$V$1006:$AE$1006,0))&gt;=100000), " ",IF(INDEX($V$2:$AE$1001,MATCH(ROWS($O$2:O103),$O$2:$O$1001,0),MATCH(COLUMNS($V$1006:AC1006),$V$1006:$AE$1006,0)), HYPERLINK("#",""), HYPERLINK(CONCATENATE("#Metadata!", ADDRESS(INDEX($Q$2:$Q$1001,MATCH(ROWS($O$2:O103),$O$2:$O$1001,0),0), INDEX($V$1004:$AE$1004,1,MATCH(COLUMNS($V$1006:AC1006),$V$1006:$AE$1006,0)))),"Fix")))</f>
        <v>0</v>
      </c>
      <c r="J103" s="4">
        <f>IF(OR(INDEX($P$2:$P$1001,MATCH(ROWS($O$2:O103),$O$2:$O$1001,0),1)&gt;=100000,INDEX($V$1005:$AE$1005,1,MATCH(COLUMNS($V$1006:AD1006),$V$1006:$AE$1006,0))&gt;=100000), " ",IF(INDEX($V$2:$AE$1001,MATCH(ROWS($O$2:O103),$O$2:$O$1001,0),MATCH(COLUMNS($V$1006:AD1006),$V$1006:$AE$1006,0)), HYPERLINK("#",""), HYPERLINK(CONCATENATE("#Metadata!", ADDRESS(INDEX($Q$2:$Q$1001,MATCH(ROWS($O$2:O103),$O$2:$O$1001,0),0), INDEX($V$1004:$AE$1004,1,MATCH(COLUMNS($V$1006:AD1006),$V$1006:$AE$1006,0)))),"Fix")))</f>
        <v>0</v>
      </c>
      <c r="K103" s="4">
        <f>IF(OR(INDEX($P$2:$P$1001,MATCH(ROWS($O$2:O103),$O$2:$O$1001,0),1)&gt;=100000,INDEX($V$1005:$AE$1005,1,MATCH(COLUMNS($V$1006:AE1006),$V$1006:$AE$1006,0))&gt;=100000), " ",IF(INDEX($V$2:$AE$1001,MATCH(ROWS($O$2:O103),$O$2:$O$1001,0),MATCH(COLUMNS($V$1006:AE1006),$V$1006:$AE$1006,0)), HYPERLINK("#",""), HYPERLINK(CONCATENATE("#Metadata!", ADDRESS(INDEX($Q$2:$Q$1001,MATCH(ROWS($O$2:O103),$O$2:$O$1001,0),0), INDEX($V$1004:$AE$1004,1,MATCH(COLUMNS($V$1006:AE1006),$V$1006:$AE$1006,0)))),"Fix")))</f>
        <v>0</v>
      </c>
      <c r="O103">
        <v>0</v>
      </c>
      <c r="P103">
        <v>0</v>
      </c>
      <c r="Q103">
        <v>0</v>
      </c>
      <c r="R103">
        <f>IF(S103,TRUE,AND(V103:AE103))</f>
        <v>0</v>
      </c>
      <c r="S103">
        <f>COUNTBLANK(Metadata!B103:K103)=COLUMNS(Metadata!B103:K103)</f>
        <v>0</v>
      </c>
      <c r="T103">
        <v>0</v>
      </c>
      <c r="V103">
        <f>AND(IF(Metadata!B103="",FALSE,TRUE),COUNTIF(Metadata!B:B, Metadata!B103) = 1,NOT(ISERROR(SUMPRODUCT(SEARCH(MID(Metadata!B103,ROW(INDIRECT("1:"&amp;LEN(Metadata!B103))), 1),"0123456789abcdefghijklmnopqrstuvwxyzABCDEFGHIJKLMNOPQRSTUVWXYZ.")))))</f>
        <v>0</v>
      </c>
      <c r="W103">
        <f>AND(IF(Metadata!C103="",FALSE,TRUE),exact(Metadata!C103,"urban biome"))</f>
        <v>0</v>
      </c>
      <c r="X103">
        <f>AND(IF(Metadata!D103="",FALSE,TRUE),exact(Metadata!D103,"animal-associated habitat"))</f>
        <v>0</v>
      </c>
      <c r="Y103">
        <f>OR(AND(IF(Metadata!E103="",FALSE,TRUE),OR(exact(Metadata!E103,"not applicable"),exact(Metadata!E103,"missing: not collected"),exact(Metadata!E103,"missing: not provided"),exact(Metadata!E103,"missing: restricted access"))),AND(IF(Metadata!E103="",FALSE,ISNUMBER(VALUE(Metadata!E103))),Metadata!E103&gt;0))</f>
        <v>0</v>
      </c>
      <c r="Z103">
        <f>AND(IF(Metadata!F103="",FALSE,TRUE),exact(Metadata!F103,"weeks"))</f>
        <v>0</v>
      </c>
      <c r="AA103">
        <f>AND(IF(Metadata!G103="",FALSE,TRUE),exact(Metadata!G103,"mouse"))</f>
        <v>0</v>
      </c>
      <c r="AB103">
        <f>AND(IF(Metadata!H103="",FALSE,TRUE),exact(Metadata!H103,"Mus musculus"))</f>
        <v>0</v>
      </c>
      <c r="AC103">
        <f>AND(IF(Metadata!I103="",FALSE,TRUE),exact(Metadata!I103,"10090"))</f>
        <v>0</v>
      </c>
      <c r="AD103">
        <f>OR(AND(IF(Metadata!J103="",FALSE,TRUE),OR(exact(Metadata!J103,"not applicable"),exact(Metadata!J103,"missing: not collected"),exact(Metadata!J103,"missing: not provided"),exact(Metadata!J103,"missing: restricted access"))),AND(IF(Metadata!J103="",FALSE,ISNUMBER(VALUE(Metadata!J103))),Metadata!J103&gt;0))</f>
        <v>0</v>
      </c>
      <c r="AE103">
        <f>AND(IF(Metadata!K103="",FALSE,TRUE),exact(Metadata!K103,"g"))</f>
        <v>0</v>
      </c>
    </row>
    <row r="104" spans="1:31">
      <c r="A104" s="5">
        <f>IF(B104=" "," ",HYPERLINK(CONCATENATE("#metadata!",ADDRESS(INDEX($Q$2:$Q$1001,MATCH(ROWS($O$2:O104),$O$2:$O$1001,0),0),1)),INDEX($T$2:$T$1001,MATCH(ROWS($O$2:O104),$O$2:$O$1001,0),0)))</f>
        <v>0</v>
      </c>
      <c r="B104" s="4">
        <f>IF(OR(INDEX($P$2:$P$1001,MATCH(ROWS($O$2:O104),$O$2:$O$1001,0),1)&gt;=100000,INDEX($V$1005:$AE$1005,1,MATCH(COLUMNS($V$1006:V1006),$V$1006:$AE$1006,0))&gt;=100000), " ",IF(INDEX($V$2:$AE$1001,MATCH(ROWS($O$2:O104),$O$2:$O$1001,0),MATCH(COLUMNS($V$1006:V1006),$V$1006:$AE$1006,0)), HYPERLINK("#",""), HYPERLINK(CONCATENATE("#Metadata!", ADDRESS(INDEX($Q$2:$Q$1001,MATCH(ROWS($O$2:O104),$O$2:$O$1001,0),0), INDEX($V$1004:$AE$1004,1,MATCH(COLUMNS($V$1006:V1006),$V$1006:$AE$1006,0)))),"Fix")))</f>
        <v>0</v>
      </c>
      <c r="C104" s="4">
        <f>IF(OR(INDEX($P$2:$P$1001,MATCH(ROWS($O$2:O104),$O$2:$O$1001,0),1)&gt;=100000,INDEX($V$1005:$AE$1005,1,MATCH(COLUMNS($V$1006:W1006),$V$1006:$AE$1006,0))&gt;=100000), " ",IF(INDEX($V$2:$AE$1001,MATCH(ROWS($O$2:O104),$O$2:$O$1001,0),MATCH(COLUMNS($V$1006:W1006),$V$1006:$AE$1006,0)), HYPERLINK("#",""), HYPERLINK(CONCATENATE("#Metadata!", ADDRESS(INDEX($Q$2:$Q$1001,MATCH(ROWS($O$2:O104),$O$2:$O$1001,0),0), INDEX($V$1004:$AE$1004,1,MATCH(COLUMNS($V$1006:W1006),$V$1006:$AE$1006,0)))),"Fix")))</f>
        <v>0</v>
      </c>
      <c r="D104" s="4">
        <f>IF(OR(INDEX($P$2:$P$1001,MATCH(ROWS($O$2:O104),$O$2:$O$1001,0),1)&gt;=100000,INDEX($V$1005:$AE$1005,1,MATCH(COLUMNS($V$1006:X1006),$V$1006:$AE$1006,0))&gt;=100000), " ",IF(INDEX($V$2:$AE$1001,MATCH(ROWS($O$2:O104),$O$2:$O$1001,0),MATCH(COLUMNS($V$1006:X1006),$V$1006:$AE$1006,0)), HYPERLINK("#",""), HYPERLINK(CONCATENATE("#Metadata!", ADDRESS(INDEX($Q$2:$Q$1001,MATCH(ROWS($O$2:O104),$O$2:$O$1001,0),0), INDEX($V$1004:$AE$1004,1,MATCH(COLUMNS($V$1006:X1006),$V$1006:$AE$1006,0)))),"Fix")))</f>
        <v>0</v>
      </c>
      <c r="E104" s="4">
        <f>IF(OR(INDEX($P$2:$P$1001,MATCH(ROWS($O$2:O104),$O$2:$O$1001,0),1)&gt;=100000,INDEX($V$1005:$AE$1005,1,MATCH(COLUMNS($V$1006:Y1006),$V$1006:$AE$1006,0))&gt;=100000), " ",IF(INDEX($V$2:$AE$1001,MATCH(ROWS($O$2:O104),$O$2:$O$1001,0),MATCH(COLUMNS($V$1006:Y1006),$V$1006:$AE$1006,0)), HYPERLINK("#",""), HYPERLINK(CONCATENATE("#Metadata!", ADDRESS(INDEX($Q$2:$Q$1001,MATCH(ROWS($O$2:O104),$O$2:$O$1001,0),0), INDEX($V$1004:$AE$1004,1,MATCH(COLUMNS($V$1006:Y1006),$V$1006:$AE$1006,0)))),"Fix")))</f>
        <v>0</v>
      </c>
      <c r="F104" s="4">
        <f>IF(OR(INDEX($P$2:$P$1001,MATCH(ROWS($O$2:O104),$O$2:$O$1001,0),1)&gt;=100000,INDEX($V$1005:$AE$1005,1,MATCH(COLUMNS($V$1006:Z1006),$V$1006:$AE$1006,0))&gt;=100000), " ",IF(INDEX($V$2:$AE$1001,MATCH(ROWS($O$2:O104),$O$2:$O$1001,0),MATCH(COLUMNS($V$1006:Z1006),$V$1006:$AE$1006,0)), HYPERLINK("#",""), HYPERLINK(CONCATENATE("#Metadata!", ADDRESS(INDEX($Q$2:$Q$1001,MATCH(ROWS($O$2:O104),$O$2:$O$1001,0),0), INDEX($V$1004:$AE$1004,1,MATCH(COLUMNS($V$1006:Z1006),$V$1006:$AE$1006,0)))),"Fix")))</f>
        <v>0</v>
      </c>
      <c r="G104" s="4">
        <f>IF(OR(INDEX($P$2:$P$1001,MATCH(ROWS($O$2:O104),$O$2:$O$1001,0),1)&gt;=100000,INDEX($V$1005:$AE$1005,1,MATCH(COLUMNS($V$1006:AA1006),$V$1006:$AE$1006,0))&gt;=100000), " ",IF(INDEX($V$2:$AE$1001,MATCH(ROWS($O$2:O104),$O$2:$O$1001,0),MATCH(COLUMNS($V$1006:AA1006),$V$1006:$AE$1006,0)), HYPERLINK("#",""), HYPERLINK(CONCATENATE("#Metadata!", ADDRESS(INDEX($Q$2:$Q$1001,MATCH(ROWS($O$2:O104),$O$2:$O$1001,0),0), INDEX($V$1004:$AE$1004,1,MATCH(COLUMNS($V$1006:AA1006),$V$1006:$AE$1006,0)))),"Fix")))</f>
        <v>0</v>
      </c>
      <c r="H104" s="4">
        <f>IF(OR(INDEX($P$2:$P$1001,MATCH(ROWS($O$2:O104),$O$2:$O$1001,0),1)&gt;=100000,INDEX($V$1005:$AE$1005,1,MATCH(COLUMNS($V$1006:AB1006),$V$1006:$AE$1006,0))&gt;=100000), " ",IF(INDEX($V$2:$AE$1001,MATCH(ROWS($O$2:O104),$O$2:$O$1001,0),MATCH(COLUMNS($V$1006:AB1006),$V$1006:$AE$1006,0)), HYPERLINK("#",""), HYPERLINK(CONCATENATE("#Metadata!", ADDRESS(INDEX($Q$2:$Q$1001,MATCH(ROWS($O$2:O104),$O$2:$O$1001,0),0), INDEX($V$1004:$AE$1004,1,MATCH(COLUMNS($V$1006:AB1006),$V$1006:$AE$1006,0)))),"Fix")))</f>
        <v>0</v>
      </c>
      <c r="I104" s="4">
        <f>IF(OR(INDEX($P$2:$P$1001,MATCH(ROWS($O$2:O104),$O$2:$O$1001,0),1)&gt;=100000,INDEX($V$1005:$AE$1005,1,MATCH(COLUMNS($V$1006:AC1006),$V$1006:$AE$1006,0))&gt;=100000), " ",IF(INDEX($V$2:$AE$1001,MATCH(ROWS($O$2:O104),$O$2:$O$1001,0),MATCH(COLUMNS($V$1006:AC1006),$V$1006:$AE$1006,0)), HYPERLINK("#",""), HYPERLINK(CONCATENATE("#Metadata!", ADDRESS(INDEX($Q$2:$Q$1001,MATCH(ROWS($O$2:O104),$O$2:$O$1001,0),0), INDEX($V$1004:$AE$1004,1,MATCH(COLUMNS($V$1006:AC1006),$V$1006:$AE$1006,0)))),"Fix")))</f>
        <v>0</v>
      </c>
      <c r="J104" s="4">
        <f>IF(OR(INDEX($P$2:$P$1001,MATCH(ROWS($O$2:O104),$O$2:$O$1001,0),1)&gt;=100000,INDEX($V$1005:$AE$1005,1,MATCH(COLUMNS($V$1006:AD1006),$V$1006:$AE$1006,0))&gt;=100000), " ",IF(INDEX($V$2:$AE$1001,MATCH(ROWS($O$2:O104),$O$2:$O$1001,0),MATCH(COLUMNS($V$1006:AD1006),$V$1006:$AE$1006,0)), HYPERLINK("#",""), HYPERLINK(CONCATENATE("#Metadata!", ADDRESS(INDEX($Q$2:$Q$1001,MATCH(ROWS($O$2:O104),$O$2:$O$1001,0),0), INDEX($V$1004:$AE$1004,1,MATCH(COLUMNS($V$1006:AD1006),$V$1006:$AE$1006,0)))),"Fix")))</f>
        <v>0</v>
      </c>
      <c r="K104" s="4">
        <f>IF(OR(INDEX($P$2:$P$1001,MATCH(ROWS($O$2:O104),$O$2:$O$1001,0),1)&gt;=100000,INDEX($V$1005:$AE$1005,1,MATCH(COLUMNS($V$1006:AE1006),$V$1006:$AE$1006,0))&gt;=100000), " ",IF(INDEX($V$2:$AE$1001,MATCH(ROWS($O$2:O104),$O$2:$O$1001,0),MATCH(COLUMNS($V$1006:AE1006),$V$1006:$AE$1006,0)), HYPERLINK("#",""), HYPERLINK(CONCATENATE("#Metadata!", ADDRESS(INDEX($Q$2:$Q$1001,MATCH(ROWS($O$2:O104),$O$2:$O$1001,0),0), INDEX($V$1004:$AE$1004,1,MATCH(COLUMNS($V$1006:AE1006),$V$1006:$AE$1006,0)))),"Fix")))</f>
        <v>0</v>
      </c>
      <c r="O104">
        <v>0</v>
      </c>
      <c r="P104">
        <v>0</v>
      </c>
      <c r="Q104">
        <v>0</v>
      </c>
      <c r="R104">
        <f>IF(S104,TRUE,AND(V104:AE104))</f>
        <v>0</v>
      </c>
      <c r="S104">
        <f>COUNTBLANK(Metadata!B104:K104)=COLUMNS(Metadata!B104:K104)</f>
        <v>0</v>
      </c>
      <c r="T104">
        <v>0</v>
      </c>
      <c r="V104">
        <f>AND(IF(Metadata!B104="",FALSE,TRUE),COUNTIF(Metadata!B:B, Metadata!B104) = 1,NOT(ISERROR(SUMPRODUCT(SEARCH(MID(Metadata!B104,ROW(INDIRECT("1:"&amp;LEN(Metadata!B104))), 1),"0123456789abcdefghijklmnopqrstuvwxyzABCDEFGHIJKLMNOPQRSTUVWXYZ.")))))</f>
        <v>0</v>
      </c>
      <c r="W104">
        <f>AND(IF(Metadata!C104="",FALSE,TRUE),exact(Metadata!C104,"urban biome"))</f>
        <v>0</v>
      </c>
      <c r="X104">
        <f>AND(IF(Metadata!D104="",FALSE,TRUE),exact(Metadata!D104,"animal-associated habitat"))</f>
        <v>0</v>
      </c>
      <c r="Y104">
        <f>OR(AND(IF(Metadata!E104="",FALSE,TRUE),OR(exact(Metadata!E104,"not applicable"),exact(Metadata!E104,"missing: not collected"),exact(Metadata!E104,"missing: not provided"),exact(Metadata!E104,"missing: restricted access"))),AND(IF(Metadata!E104="",FALSE,ISNUMBER(VALUE(Metadata!E104))),Metadata!E104&gt;0))</f>
        <v>0</v>
      </c>
      <c r="Z104">
        <f>AND(IF(Metadata!F104="",FALSE,TRUE),exact(Metadata!F104,"weeks"))</f>
        <v>0</v>
      </c>
      <c r="AA104">
        <f>AND(IF(Metadata!G104="",FALSE,TRUE),exact(Metadata!G104,"mouse"))</f>
        <v>0</v>
      </c>
      <c r="AB104">
        <f>AND(IF(Metadata!H104="",FALSE,TRUE),exact(Metadata!H104,"Mus musculus"))</f>
        <v>0</v>
      </c>
      <c r="AC104">
        <f>AND(IF(Metadata!I104="",FALSE,TRUE),exact(Metadata!I104,"10090"))</f>
        <v>0</v>
      </c>
      <c r="AD104">
        <f>OR(AND(IF(Metadata!J104="",FALSE,TRUE),OR(exact(Metadata!J104,"not applicable"),exact(Metadata!J104,"missing: not collected"),exact(Metadata!J104,"missing: not provided"),exact(Metadata!J104,"missing: restricted access"))),AND(IF(Metadata!J104="",FALSE,ISNUMBER(VALUE(Metadata!J104))),Metadata!J104&gt;0))</f>
        <v>0</v>
      </c>
      <c r="AE104">
        <f>AND(IF(Metadata!K104="",FALSE,TRUE),exact(Metadata!K104,"g"))</f>
        <v>0</v>
      </c>
    </row>
    <row r="105" spans="1:31">
      <c r="A105" s="5">
        <f>IF(B105=" "," ",HYPERLINK(CONCATENATE("#metadata!",ADDRESS(INDEX($Q$2:$Q$1001,MATCH(ROWS($O$2:O105),$O$2:$O$1001,0),0),1)),INDEX($T$2:$T$1001,MATCH(ROWS($O$2:O105),$O$2:$O$1001,0),0)))</f>
        <v>0</v>
      </c>
      <c r="B105" s="4">
        <f>IF(OR(INDEX($P$2:$P$1001,MATCH(ROWS($O$2:O105),$O$2:$O$1001,0),1)&gt;=100000,INDEX($V$1005:$AE$1005,1,MATCH(COLUMNS($V$1006:V1006),$V$1006:$AE$1006,0))&gt;=100000), " ",IF(INDEX($V$2:$AE$1001,MATCH(ROWS($O$2:O105),$O$2:$O$1001,0),MATCH(COLUMNS($V$1006:V1006),$V$1006:$AE$1006,0)), HYPERLINK("#",""), HYPERLINK(CONCATENATE("#Metadata!", ADDRESS(INDEX($Q$2:$Q$1001,MATCH(ROWS($O$2:O105),$O$2:$O$1001,0),0), INDEX($V$1004:$AE$1004,1,MATCH(COLUMNS($V$1006:V1006),$V$1006:$AE$1006,0)))),"Fix")))</f>
        <v>0</v>
      </c>
      <c r="C105" s="4">
        <f>IF(OR(INDEX($P$2:$P$1001,MATCH(ROWS($O$2:O105),$O$2:$O$1001,0),1)&gt;=100000,INDEX($V$1005:$AE$1005,1,MATCH(COLUMNS($V$1006:W1006),$V$1006:$AE$1006,0))&gt;=100000), " ",IF(INDEX($V$2:$AE$1001,MATCH(ROWS($O$2:O105),$O$2:$O$1001,0),MATCH(COLUMNS($V$1006:W1006),$V$1006:$AE$1006,0)), HYPERLINK("#",""), HYPERLINK(CONCATENATE("#Metadata!", ADDRESS(INDEX($Q$2:$Q$1001,MATCH(ROWS($O$2:O105),$O$2:$O$1001,0),0), INDEX($V$1004:$AE$1004,1,MATCH(COLUMNS($V$1006:W1006),$V$1006:$AE$1006,0)))),"Fix")))</f>
        <v>0</v>
      </c>
      <c r="D105" s="4">
        <f>IF(OR(INDEX($P$2:$P$1001,MATCH(ROWS($O$2:O105),$O$2:$O$1001,0),1)&gt;=100000,INDEX($V$1005:$AE$1005,1,MATCH(COLUMNS($V$1006:X1006),$V$1006:$AE$1006,0))&gt;=100000), " ",IF(INDEX($V$2:$AE$1001,MATCH(ROWS($O$2:O105),$O$2:$O$1001,0),MATCH(COLUMNS($V$1006:X1006),$V$1006:$AE$1006,0)), HYPERLINK("#",""), HYPERLINK(CONCATENATE("#Metadata!", ADDRESS(INDEX($Q$2:$Q$1001,MATCH(ROWS($O$2:O105),$O$2:$O$1001,0),0), INDEX($V$1004:$AE$1004,1,MATCH(COLUMNS($V$1006:X1006),$V$1006:$AE$1006,0)))),"Fix")))</f>
        <v>0</v>
      </c>
      <c r="E105" s="4">
        <f>IF(OR(INDEX($P$2:$P$1001,MATCH(ROWS($O$2:O105),$O$2:$O$1001,0),1)&gt;=100000,INDEX($V$1005:$AE$1005,1,MATCH(COLUMNS($V$1006:Y1006),$V$1006:$AE$1006,0))&gt;=100000), " ",IF(INDEX($V$2:$AE$1001,MATCH(ROWS($O$2:O105),$O$2:$O$1001,0),MATCH(COLUMNS($V$1006:Y1006),$V$1006:$AE$1006,0)), HYPERLINK("#",""), HYPERLINK(CONCATENATE("#Metadata!", ADDRESS(INDEX($Q$2:$Q$1001,MATCH(ROWS($O$2:O105),$O$2:$O$1001,0),0), INDEX($V$1004:$AE$1004,1,MATCH(COLUMNS($V$1006:Y1006),$V$1006:$AE$1006,0)))),"Fix")))</f>
        <v>0</v>
      </c>
      <c r="F105" s="4">
        <f>IF(OR(INDEX($P$2:$P$1001,MATCH(ROWS($O$2:O105),$O$2:$O$1001,0),1)&gt;=100000,INDEX($V$1005:$AE$1005,1,MATCH(COLUMNS($V$1006:Z1006),$V$1006:$AE$1006,0))&gt;=100000), " ",IF(INDEX($V$2:$AE$1001,MATCH(ROWS($O$2:O105),$O$2:$O$1001,0),MATCH(COLUMNS($V$1006:Z1006),$V$1006:$AE$1006,0)), HYPERLINK("#",""), HYPERLINK(CONCATENATE("#Metadata!", ADDRESS(INDEX($Q$2:$Q$1001,MATCH(ROWS($O$2:O105),$O$2:$O$1001,0),0), INDEX($V$1004:$AE$1004,1,MATCH(COLUMNS($V$1006:Z1006),$V$1006:$AE$1006,0)))),"Fix")))</f>
        <v>0</v>
      </c>
      <c r="G105" s="4">
        <f>IF(OR(INDEX($P$2:$P$1001,MATCH(ROWS($O$2:O105),$O$2:$O$1001,0),1)&gt;=100000,INDEX($V$1005:$AE$1005,1,MATCH(COLUMNS($V$1006:AA1006),$V$1006:$AE$1006,0))&gt;=100000), " ",IF(INDEX($V$2:$AE$1001,MATCH(ROWS($O$2:O105),$O$2:$O$1001,0),MATCH(COLUMNS($V$1006:AA1006),$V$1006:$AE$1006,0)), HYPERLINK("#",""), HYPERLINK(CONCATENATE("#Metadata!", ADDRESS(INDEX($Q$2:$Q$1001,MATCH(ROWS($O$2:O105),$O$2:$O$1001,0),0), INDEX($V$1004:$AE$1004,1,MATCH(COLUMNS($V$1006:AA1006),$V$1006:$AE$1006,0)))),"Fix")))</f>
        <v>0</v>
      </c>
      <c r="H105" s="4">
        <f>IF(OR(INDEX($P$2:$P$1001,MATCH(ROWS($O$2:O105),$O$2:$O$1001,0),1)&gt;=100000,INDEX($V$1005:$AE$1005,1,MATCH(COLUMNS($V$1006:AB1006),$V$1006:$AE$1006,0))&gt;=100000), " ",IF(INDEX($V$2:$AE$1001,MATCH(ROWS($O$2:O105),$O$2:$O$1001,0),MATCH(COLUMNS($V$1006:AB1006),$V$1006:$AE$1006,0)), HYPERLINK("#",""), HYPERLINK(CONCATENATE("#Metadata!", ADDRESS(INDEX($Q$2:$Q$1001,MATCH(ROWS($O$2:O105),$O$2:$O$1001,0),0), INDEX($V$1004:$AE$1004,1,MATCH(COLUMNS($V$1006:AB1006),$V$1006:$AE$1006,0)))),"Fix")))</f>
        <v>0</v>
      </c>
      <c r="I105" s="4">
        <f>IF(OR(INDEX($P$2:$P$1001,MATCH(ROWS($O$2:O105),$O$2:$O$1001,0),1)&gt;=100000,INDEX($V$1005:$AE$1005,1,MATCH(COLUMNS($V$1006:AC1006),$V$1006:$AE$1006,0))&gt;=100000), " ",IF(INDEX($V$2:$AE$1001,MATCH(ROWS($O$2:O105),$O$2:$O$1001,0),MATCH(COLUMNS($V$1006:AC1006),$V$1006:$AE$1006,0)), HYPERLINK("#",""), HYPERLINK(CONCATENATE("#Metadata!", ADDRESS(INDEX($Q$2:$Q$1001,MATCH(ROWS($O$2:O105),$O$2:$O$1001,0),0), INDEX($V$1004:$AE$1004,1,MATCH(COLUMNS($V$1006:AC1006),$V$1006:$AE$1006,0)))),"Fix")))</f>
        <v>0</v>
      </c>
      <c r="J105" s="4">
        <f>IF(OR(INDEX($P$2:$P$1001,MATCH(ROWS($O$2:O105),$O$2:$O$1001,0),1)&gt;=100000,INDEX($V$1005:$AE$1005,1,MATCH(COLUMNS($V$1006:AD1006),$V$1006:$AE$1006,0))&gt;=100000), " ",IF(INDEX($V$2:$AE$1001,MATCH(ROWS($O$2:O105),$O$2:$O$1001,0),MATCH(COLUMNS($V$1006:AD1006),$V$1006:$AE$1006,0)), HYPERLINK("#",""), HYPERLINK(CONCATENATE("#Metadata!", ADDRESS(INDEX($Q$2:$Q$1001,MATCH(ROWS($O$2:O105),$O$2:$O$1001,0),0), INDEX($V$1004:$AE$1004,1,MATCH(COLUMNS($V$1006:AD1006),$V$1006:$AE$1006,0)))),"Fix")))</f>
        <v>0</v>
      </c>
      <c r="K105" s="4">
        <f>IF(OR(INDEX($P$2:$P$1001,MATCH(ROWS($O$2:O105),$O$2:$O$1001,0),1)&gt;=100000,INDEX($V$1005:$AE$1005,1,MATCH(COLUMNS($V$1006:AE1006),$V$1006:$AE$1006,0))&gt;=100000), " ",IF(INDEX($V$2:$AE$1001,MATCH(ROWS($O$2:O105),$O$2:$O$1001,0),MATCH(COLUMNS($V$1006:AE1006),$V$1006:$AE$1006,0)), HYPERLINK("#",""), HYPERLINK(CONCATENATE("#Metadata!", ADDRESS(INDEX($Q$2:$Q$1001,MATCH(ROWS($O$2:O105),$O$2:$O$1001,0),0), INDEX($V$1004:$AE$1004,1,MATCH(COLUMNS($V$1006:AE1006),$V$1006:$AE$1006,0)))),"Fix")))</f>
        <v>0</v>
      </c>
      <c r="O105">
        <v>0</v>
      </c>
      <c r="P105">
        <v>0</v>
      </c>
      <c r="Q105">
        <v>0</v>
      </c>
      <c r="R105">
        <f>IF(S105,TRUE,AND(V105:AE105))</f>
        <v>0</v>
      </c>
      <c r="S105">
        <f>COUNTBLANK(Metadata!B105:K105)=COLUMNS(Metadata!B105:K105)</f>
        <v>0</v>
      </c>
      <c r="T105">
        <v>0</v>
      </c>
      <c r="V105">
        <f>AND(IF(Metadata!B105="",FALSE,TRUE),COUNTIF(Metadata!B:B, Metadata!B105) = 1,NOT(ISERROR(SUMPRODUCT(SEARCH(MID(Metadata!B105,ROW(INDIRECT("1:"&amp;LEN(Metadata!B105))), 1),"0123456789abcdefghijklmnopqrstuvwxyzABCDEFGHIJKLMNOPQRSTUVWXYZ.")))))</f>
        <v>0</v>
      </c>
      <c r="W105">
        <f>AND(IF(Metadata!C105="",FALSE,TRUE),exact(Metadata!C105,"urban biome"))</f>
        <v>0</v>
      </c>
      <c r="X105">
        <f>AND(IF(Metadata!D105="",FALSE,TRUE),exact(Metadata!D105,"animal-associated habitat"))</f>
        <v>0</v>
      </c>
      <c r="Y105">
        <f>OR(AND(IF(Metadata!E105="",FALSE,TRUE),OR(exact(Metadata!E105,"not applicable"),exact(Metadata!E105,"missing: not collected"),exact(Metadata!E105,"missing: not provided"),exact(Metadata!E105,"missing: restricted access"))),AND(IF(Metadata!E105="",FALSE,ISNUMBER(VALUE(Metadata!E105))),Metadata!E105&gt;0))</f>
        <v>0</v>
      </c>
      <c r="Z105">
        <f>AND(IF(Metadata!F105="",FALSE,TRUE),exact(Metadata!F105,"weeks"))</f>
        <v>0</v>
      </c>
      <c r="AA105">
        <f>AND(IF(Metadata!G105="",FALSE,TRUE),exact(Metadata!G105,"mouse"))</f>
        <v>0</v>
      </c>
      <c r="AB105">
        <f>AND(IF(Metadata!H105="",FALSE,TRUE),exact(Metadata!H105,"Mus musculus"))</f>
        <v>0</v>
      </c>
      <c r="AC105">
        <f>AND(IF(Metadata!I105="",FALSE,TRUE),exact(Metadata!I105,"10090"))</f>
        <v>0</v>
      </c>
      <c r="AD105">
        <f>OR(AND(IF(Metadata!J105="",FALSE,TRUE),OR(exact(Metadata!J105,"not applicable"),exact(Metadata!J105,"missing: not collected"),exact(Metadata!J105,"missing: not provided"),exact(Metadata!J105,"missing: restricted access"))),AND(IF(Metadata!J105="",FALSE,ISNUMBER(VALUE(Metadata!J105))),Metadata!J105&gt;0))</f>
        <v>0</v>
      </c>
      <c r="AE105">
        <f>AND(IF(Metadata!K105="",FALSE,TRUE),exact(Metadata!K105,"g"))</f>
        <v>0</v>
      </c>
    </row>
    <row r="106" spans="1:31">
      <c r="A106" s="5">
        <f>IF(B106=" "," ",HYPERLINK(CONCATENATE("#metadata!",ADDRESS(INDEX($Q$2:$Q$1001,MATCH(ROWS($O$2:O106),$O$2:$O$1001,0),0),1)),INDEX($T$2:$T$1001,MATCH(ROWS($O$2:O106),$O$2:$O$1001,0),0)))</f>
        <v>0</v>
      </c>
      <c r="B106" s="4">
        <f>IF(OR(INDEX($P$2:$P$1001,MATCH(ROWS($O$2:O106),$O$2:$O$1001,0),1)&gt;=100000,INDEX($V$1005:$AE$1005,1,MATCH(COLUMNS($V$1006:V1006),$V$1006:$AE$1006,0))&gt;=100000), " ",IF(INDEX($V$2:$AE$1001,MATCH(ROWS($O$2:O106),$O$2:$O$1001,0),MATCH(COLUMNS($V$1006:V1006),$V$1006:$AE$1006,0)), HYPERLINK("#",""), HYPERLINK(CONCATENATE("#Metadata!", ADDRESS(INDEX($Q$2:$Q$1001,MATCH(ROWS($O$2:O106),$O$2:$O$1001,0),0), INDEX($V$1004:$AE$1004,1,MATCH(COLUMNS($V$1006:V1006),$V$1006:$AE$1006,0)))),"Fix")))</f>
        <v>0</v>
      </c>
      <c r="C106" s="4">
        <f>IF(OR(INDEX($P$2:$P$1001,MATCH(ROWS($O$2:O106),$O$2:$O$1001,0),1)&gt;=100000,INDEX($V$1005:$AE$1005,1,MATCH(COLUMNS($V$1006:W1006),$V$1006:$AE$1006,0))&gt;=100000), " ",IF(INDEX($V$2:$AE$1001,MATCH(ROWS($O$2:O106),$O$2:$O$1001,0),MATCH(COLUMNS($V$1006:W1006),$V$1006:$AE$1006,0)), HYPERLINK("#",""), HYPERLINK(CONCATENATE("#Metadata!", ADDRESS(INDEX($Q$2:$Q$1001,MATCH(ROWS($O$2:O106),$O$2:$O$1001,0),0), INDEX($V$1004:$AE$1004,1,MATCH(COLUMNS($V$1006:W1006),$V$1006:$AE$1006,0)))),"Fix")))</f>
        <v>0</v>
      </c>
      <c r="D106" s="4">
        <f>IF(OR(INDEX($P$2:$P$1001,MATCH(ROWS($O$2:O106),$O$2:$O$1001,0),1)&gt;=100000,INDEX($V$1005:$AE$1005,1,MATCH(COLUMNS($V$1006:X1006),$V$1006:$AE$1006,0))&gt;=100000), " ",IF(INDEX($V$2:$AE$1001,MATCH(ROWS($O$2:O106),$O$2:$O$1001,0),MATCH(COLUMNS($V$1006:X1006),$V$1006:$AE$1006,0)), HYPERLINK("#",""), HYPERLINK(CONCATENATE("#Metadata!", ADDRESS(INDEX($Q$2:$Q$1001,MATCH(ROWS($O$2:O106),$O$2:$O$1001,0),0), INDEX($V$1004:$AE$1004,1,MATCH(COLUMNS($V$1006:X1006),$V$1006:$AE$1006,0)))),"Fix")))</f>
        <v>0</v>
      </c>
      <c r="E106" s="4">
        <f>IF(OR(INDEX($P$2:$P$1001,MATCH(ROWS($O$2:O106),$O$2:$O$1001,0),1)&gt;=100000,INDEX($V$1005:$AE$1005,1,MATCH(COLUMNS($V$1006:Y1006),$V$1006:$AE$1006,0))&gt;=100000), " ",IF(INDEX($V$2:$AE$1001,MATCH(ROWS($O$2:O106),$O$2:$O$1001,0),MATCH(COLUMNS($V$1006:Y1006),$V$1006:$AE$1006,0)), HYPERLINK("#",""), HYPERLINK(CONCATENATE("#Metadata!", ADDRESS(INDEX($Q$2:$Q$1001,MATCH(ROWS($O$2:O106),$O$2:$O$1001,0),0), INDEX($V$1004:$AE$1004,1,MATCH(COLUMNS($V$1006:Y1006),$V$1006:$AE$1006,0)))),"Fix")))</f>
        <v>0</v>
      </c>
      <c r="F106" s="4">
        <f>IF(OR(INDEX($P$2:$P$1001,MATCH(ROWS($O$2:O106),$O$2:$O$1001,0),1)&gt;=100000,INDEX($V$1005:$AE$1005,1,MATCH(COLUMNS($V$1006:Z1006),$V$1006:$AE$1006,0))&gt;=100000), " ",IF(INDEX($V$2:$AE$1001,MATCH(ROWS($O$2:O106),$O$2:$O$1001,0),MATCH(COLUMNS($V$1006:Z1006),$V$1006:$AE$1006,0)), HYPERLINK("#",""), HYPERLINK(CONCATENATE("#Metadata!", ADDRESS(INDEX($Q$2:$Q$1001,MATCH(ROWS($O$2:O106),$O$2:$O$1001,0),0), INDEX($V$1004:$AE$1004,1,MATCH(COLUMNS($V$1006:Z1006),$V$1006:$AE$1006,0)))),"Fix")))</f>
        <v>0</v>
      </c>
      <c r="G106" s="4">
        <f>IF(OR(INDEX($P$2:$P$1001,MATCH(ROWS($O$2:O106),$O$2:$O$1001,0),1)&gt;=100000,INDEX($V$1005:$AE$1005,1,MATCH(COLUMNS($V$1006:AA1006),$V$1006:$AE$1006,0))&gt;=100000), " ",IF(INDEX($V$2:$AE$1001,MATCH(ROWS($O$2:O106),$O$2:$O$1001,0),MATCH(COLUMNS($V$1006:AA1006),$V$1006:$AE$1006,0)), HYPERLINK("#",""), HYPERLINK(CONCATENATE("#Metadata!", ADDRESS(INDEX($Q$2:$Q$1001,MATCH(ROWS($O$2:O106),$O$2:$O$1001,0),0), INDEX($V$1004:$AE$1004,1,MATCH(COLUMNS($V$1006:AA1006),$V$1006:$AE$1006,0)))),"Fix")))</f>
        <v>0</v>
      </c>
      <c r="H106" s="4">
        <f>IF(OR(INDEX($P$2:$P$1001,MATCH(ROWS($O$2:O106),$O$2:$O$1001,0),1)&gt;=100000,INDEX($V$1005:$AE$1005,1,MATCH(COLUMNS($V$1006:AB1006),$V$1006:$AE$1006,0))&gt;=100000), " ",IF(INDEX($V$2:$AE$1001,MATCH(ROWS($O$2:O106),$O$2:$O$1001,0),MATCH(COLUMNS($V$1006:AB1006),$V$1006:$AE$1006,0)), HYPERLINK("#",""), HYPERLINK(CONCATENATE("#Metadata!", ADDRESS(INDEX($Q$2:$Q$1001,MATCH(ROWS($O$2:O106),$O$2:$O$1001,0),0), INDEX($V$1004:$AE$1004,1,MATCH(COLUMNS($V$1006:AB1006),$V$1006:$AE$1006,0)))),"Fix")))</f>
        <v>0</v>
      </c>
      <c r="I106" s="4">
        <f>IF(OR(INDEX($P$2:$P$1001,MATCH(ROWS($O$2:O106),$O$2:$O$1001,0),1)&gt;=100000,INDEX($V$1005:$AE$1005,1,MATCH(COLUMNS($V$1006:AC1006),$V$1006:$AE$1006,0))&gt;=100000), " ",IF(INDEX($V$2:$AE$1001,MATCH(ROWS($O$2:O106),$O$2:$O$1001,0),MATCH(COLUMNS($V$1006:AC1006),$V$1006:$AE$1006,0)), HYPERLINK("#",""), HYPERLINK(CONCATENATE("#Metadata!", ADDRESS(INDEX($Q$2:$Q$1001,MATCH(ROWS($O$2:O106),$O$2:$O$1001,0),0), INDEX($V$1004:$AE$1004,1,MATCH(COLUMNS($V$1006:AC1006),$V$1006:$AE$1006,0)))),"Fix")))</f>
        <v>0</v>
      </c>
      <c r="J106" s="4">
        <f>IF(OR(INDEX($P$2:$P$1001,MATCH(ROWS($O$2:O106),$O$2:$O$1001,0),1)&gt;=100000,INDEX($V$1005:$AE$1005,1,MATCH(COLUMNS($V$1006:AD1006),$V$1006:$AE$1006,0))&gt;=100000), " ",IF(INDEX($V$2:$AE$1001,MATCH(ROWS($O$2:O106),$O$2:$O$1001,0),MATCH(COLUMNS($V$1006:AD1006),$V$1006:$AE$1006,0)), HYPERLINK("#",""), HYPERLINK(CONCATENATE("#Metadata!", ADDRESS(INDEX($Q$2:$Q$1001,MATCH(ROWS($O$2:O106),$O$2:$O$1001,0),0), INDEX($V$1004:$AE$1004,1,MATCH(COLUMNS($V$1006:AD1006),$V$1006:$AE$1006,0)))),"Fix")))</f>
        <v>0</v>
      </c>
      <c r="K106" s="4">
        <f>IF(OR(INDEX($P$2:$P$1001,MATCH(ROWS($O$2:O106),$O$2:$O$1001,0),1)&gt;=100000,INDEX($V$1005:$AE$1005,1,MATCH(COLUMNS($V$1006:AE1006),$V$1006:$AE$1006,0))&gt;=100000), " ",IF(INDEX($V$2:$AE$1001,MATCH(ROWS($O$2:O106),$O$2:$O$1001,0),MATCH(COLUMNS($V$1006:AE1006),$V$1006:$AE$1006,0)), HYPERLINK("#",""), HYPERLINK(CONCATENATE("#Metadata!", ADDRESS(INDEX($Q$2:$Q$1001,MATCH(ROWS($O$2:O106),$O$2:$O$1001,0),0), INDEX($V$1004:$AE$1004,1,MATCH(COLUMNS($V$1006:AE1006),$V$1006:$AE$1006,0)))),"Fix")))</f>
        <v>0</v>
      </c>
      <c r="O106">
        <v>0</v>
      </c>
      <c r="P106">
        <v>0</v>
      </c>
      <c r="Q106">
        <v>0</v>
      </c>
      <c r="R106">
        <f>IF(S106,TRUE,AND(V106:AE106))</f>
        <v>0</v>
      </c>
      <c r="S106">
        <f>COUNTBLANK(Metadata!B106:K106)=COLUMNS(Metadata!B106:K106)</f>
        <v>0</v>
      </c>
      <c r="T106">
        <v>0</v>
      </c>
      <c r="V106">
        <f>AND(IF(Metadata!B106="",FALSE,TRUE),COUNTIF(Metadata!B:B, Metadata!B106) = 1,NOT(ISERROR(SUMPRODUCT(SEARCH(MID(Metadata!B106,ROW(INDIRECT("1:"&amp;LEN(Metadata!B106))), 1),"0123456789abcdefghijklmnopqrstuvwxyzABCDEFGHIJKLMNOPQRSTUVWXYZ.")))))</f>
        <v>0</v>
      </c>
      <c r="W106">
        <f>AND(IF(Metadata!C106="",FALSE,TRUE),exact(Metadata!C106,"urban biome"))</f>
        <v>0</v>
      </c>
      <c r="X106">
        <f>AND(IF(Metadata!D106="",FALSE,TRUE),exact(Metadata!D106,"animal-associated habitat"))</f>
        <v>0</v>
      </c>
      <c r="Y106">
        <f>OR(AND(IF(Metadata!E106="",FALSE,TRUE),OR(exact(Metadata!E106,"not applicable"),exact(Metadata!E106,"missing: not collected"),exact(Metadata!E106,"missing: not provided"),exact(Metadata!E106,"missing: restricted access"))),AND(IF(Metadata!E106="",FALSE,ISNUMBER(VALUE(Metadata!E106))),Metadata!E106&gt;0))</f>
        <v>0</v>
      </c>
      <c r="Z106">
        <f>AND(IF(Metadata!F106="",FALSE,TRUE),exact(Metadata!F106,"weeks"))</f>
        <v>0</v>
      </c>
      <c r="AA106">
        <f>AND(IF(Metadata!G106="",FALSE,TRUE),exact(Metadata!G106,"mouse"))</f>
        <v>0</v>
      </c>
      <c r="AB106">
        <f>AND(IF(Metadata!H106="",FALSE,TRUE),exact(Metadata!H106,"Mus musculus"))</f>
        <v>0</v>
      </c>
      <c r="AC106">
        <f>AND(IF(Metadata!I106="",FALSE,TRUE),exact(Metadata!I106,"10090"))</f>
        <v>0</v>
      </c>
      <c r="AD106">
        <f>OR(AND(IF(Metadata!J106="",FALSE,TRUE),OR(exact(Metadata!J106,"not applicable"),exact(Metadata!J106,"missing: not collected"),exact(Metadata!J106,"missing: not provided"),exact(Metadata!J106,"missing: restricted access"))),AND(IF(Metadata!J106="",FALSE,ISNUMBER(VALUE(Metadata!J106))),Metadata!J106&gt;0))</f>
        <v>0</v>
      </c>
      <c r="AE106">
        <f>AND(IF(Metadata!K106="",FALSE,TRUE),exact(Metadata!K106,"g"))</f>
        <v>0</v>
      </c>
    </row>
    <row r="107" spans="1:31">
      <c r="A107" s="5">
        <f>IF(B107=" "," ",HYPERLINK(CONCATENATE("#metadata!",ADDRESS(INDEX($Q$2:$Q$1001,MATCH(ROWS($O$2:O107),$O$2:$O$1001,0),0),1)),INDEX($T$2:$T$1001,MATCH(ROWS($O$2:O107),$O$2:$O$1001,0),0)))</f>
        <v>0</v>
      </c>
      <c r="B107" s="4">
        <f>IF(OR(INDEX($P$2:$P$1001,MATCH(ROWS($O$2:O107),$O$2:$O$1001,0),1)&gt;=100000,INDEX($V$1005:$AE$1005,1,MATCH(COLUMNS($V$1006:V1006),$V$1006:$AE$1006,0))&gt;=100000), " ",IF(INDEX($V$2:$AE$1001,MATCH(ROWS($O$2:O107),$O$2:$O$1001,0),MATCH(COLUMNS($V$1006:V1006),$V$1006:$AE$1006,0)), HYPERLINK("#",""), HYPERLINK(CONCATENATE("#Metadata!", ADDRESS(INDEX($Q$2:$Q$1001,MATCH(ROWS($O$2:O107),$O$2:$O$1001,0),0), INDEX($V$1004:$AE$1004,1,MATCH(COLUMNS($V$1006:V1006),$V$1006:$AE$1006,0)))),"Fix")))</f>
        <v>0</v>
      </c>
      <c r="C107" s="4">
        <f>IF(OR(INDEX($P$2:$P$1001,MATCH(ROWS($O$2:O107),$O$2:$O$1001,0),1)&gt;=100000,INDEX($V$1005:$AE$1005,1,MATCH(COLUMNS($V$1006:W1006),$V$1006:$AE$1006,0))&gt;=100000), " ",IF(INDEX($V$2:$AE$1001,MATCH(ROWS($O$2:O107),$O$2:$O$1001,0),MATCH(COLUMNS($V$1006:W1006),$V$1006:$AE$1006,0)), HYPERLINK("#",""), HYPERLINK(CONCATENATE("#Metadata!", ADDRESS(INDEX($Q$2:$Q$1001,MATCH(ROWS($O$2:O107),$O$2:$O$1001,0),0), INDEX($V$1004:$AE$1004,1,MATCH(COLUMNS($V$1006:W1006),$V$1006:$AE$1006,0)))),"Fix")))</f>
        <v>0</v>
      </c>
      <c r="D107" s="4">
        <f>IF(OR(INDEX($P$2:$P$1001,MATCH(ROWS($O$2:O107),$O$2:$O$1001,0),1)&gt;=100000,INDEX($V$1005:$AE$1005,1,MATCH(COLUMNS($V$1006:X1006),$V$1006:$AE$1006,0))&gt;=100000), " ",IF(INDEX($V$2:$AE$1001,MATCH(ROWS($O$2:O107),$O$2:$O$1001,0),MATCH(COLUMNS($V$1006:X1006),$V$1006:$AE$1006,0)), HYPERLINK("#",""), HYPERLINK(CONCATENATE("#Metadata!", ADDRESS(INDEX($Q$2:$Q$1001,MATCH(ROWS($O$2:O107),$O$2:$O$1001,0),0), INDEX($V$1004:$AE$1004,1,MATCH(COLUMNS($V$1006:X1006),$V$1006:$AE$1006,0)))),"Fix")))</f>
        <v>0</v>
      </c>
      <c r="E107" s="4">
        <f>IF(OR(INDEX($P$2:$P$1001,MATCH(ROWS($O$2:O107),$O$2:$O$1001,0),1)&gt;=100000,INDEX($V$1005:$AE$1005,1,MATCH(COLUMNS($V$1006:Y1006),$V$1006:$AE$1006,0))&gt;=100000), " ",IF(INDEX($V$2:$AE$1001,MATCH(ROWS($O$2:O107),$O$2:$O$1001,0),MATCH(COLUMNS($V$1006:Y1006),$V$1006:$AE$1006,0)), HYPERLINK("#",""), HYPERLINK(CONCATENATE("#Metadata!", ADDRESS(INDEX($Q$2:$Q$1001,MATCH(ROWS($O$2:O107),$O$2:$O$1001,0),0), INDEX($V$1004:$AE$1004,1,MATCH(COLUMNS($V$1006:Y1006),$V$1006:$AE$1006,0)))),"Fix")))</f>
        <v>0</v>
      </c>
      <c r="F107" s="4">
        <f>IF(OR(INDEX($P$2:$P$1001,MATCH(ROWS($O$2:O107),$O$2:$O$1001,0),1)&gt;=100000,INDEX($V$1005:$AE$1005,1,MATCH(COLUMNS($V$1006:Z1006),$V$1006:$AE$1006,0))&gt;=100000), " ",IF(INDEX($V$2:$AE$1001,MATCH(ROWS($O$2:O107),$O$2:$O$1001,0),MATCH(COLUMNS($V$1006:Z1006),$V$1006:$AE$1006,0)), HYPERLINK("#",""), HYPERLINK(CONCATENATE("#Metadata!", ADDRESS(INDEX($Q$2:$Q$1001,MATCH(ROWS($O$2:O107),$O$2:$O$1001,0),0), INDEX($V$1004:$AE$1004,1,MATCH(COLUMNS($V$1006:Z1006),$V$1006:$AE$1006,0)))),"Fix")))</f>
        <v>0</v>
      </c>
      <c r="G107" s="4">
        <f>IF(OR(INDEX($P$2:$P$1001,MATCH(ROWS($O$2:O107),$O$2:$O$1001,0),1)&gt;=100000,INDEX($V$1005:$AE$1005,1,MATCH(COLUMNS($V$1006:AA1006),$V$1006:$AE$1006,0))&gt;=100000), " ",IF(INDEX($V$2:$AE$1001,MATCH(ROWS($O$2:O107),$O$2:$O$1001,0),MATCH(COLUMNS($V$1006:AA1006),$V$1006:$AE$1006,0)), HYPERLINK("#",""), HYPERLINK(CONCATENATE("#Metadata!", ADDRESS(INDEX($Q$2:$Q$1001,MATCH(ROWS($O$2:O107),$O$2:$O$1001,0),0), INDEX($V$1004:$AE$1004,1,MATCH(COLUMNS($V$1006:AA1006),$V$1006:$AE$1006,0)))),"Fix")))</f>
        <v>0</v>
      </c>
      <c r="H107" s="4">
        <f>IF(OR(INDEX($P$2:$P$1001,MATCH(ROWS($O$2:O107),$O$2:$O$1001,0),1)&gt;=100000,INDEX($V$1005:$AE$1005,1,MATCH(COLUMNS($V$1006:AB1006),$V$1006:$AE$1006,0))&gt;=100000), " ",IF(INDEX($V$2:$AE$1001,MATCH(ROWS($O$2:O107),$O$2:$O$1001,0),MATCH(COLUMNS($V$1006:AB1006),$V$1006:$AE$1006,0)), HYPERLINK("#",""), HYPERLINK(CONCATENATE("#Metadata!", ADDRESS(INDEX($Q$2:$Q$1001,MATCH(ROWS($O$2:O107),$O$2:$O$1001,0),0), INDEX($V$1004:$AE$1004,1,MATCH(COLUMNS($V$1006:AB1006),$V$1006:$AE$1006,0)))),"Fix")))</f>
        <v>0</v>
      </c>
      <c r="I107" s="4">
        <f>IF(OR(INDEX($P$2:$P$1001,MATCH(ROWS($O$2:O107),$O$2:$O$1001,0),1)&gt;=100000,INDEX($V$1005:$AE$1005,1,MATCH(COLUMNS($V$1006:AC1006),$V$1006:$AE$1006,0))&gt;=100000), " ",IF(INDEX($V$2:$AE$1001,MATCH(ROWS($O$2:O107),$O$2:$O$1001,0),MATCH(COLUMNS($V$1006:AC1006),$V$1006:$AE$1006,0)), HYPERLINK("#",""), HYPERLINK(CONCATENATE("#Metadata!", ADDRESS(INDEX($Q$2:$Q$1001,MATCH(ROWS($O$2:O107),$O$2:$O$1001,0),0), INDEX($V$1004:$AE$1004,1,MATCH(COLUMNS($V$1006:AC1006),$V$1006:$AE$1006,0)))),"Fix")))</f>
        <v>0</v>
      </c>
      <c r="J107" s="4">
        <f>IF(OR(INDEX($P$2:$P$1001,MATCH(ROWS($O$2:O107),$O$2:$O$1001,0),1)&gt;=100000,INDEX($V$1005:$AE$1005,1,MATCH(COLUMNS($V$1006:AD1006),$V$1006:$AE$1006,0))&gt;=100000), " ",IF(INDEX($V$2:$AE$1001,MATCH(ROWS($O$2:O107),$O$2:$O$1001,0),MATCH(COLUMNS($V$1006:AD1006),$V$1006:$AE$1006,0)), HYPERLINK("#",""), HYPERLINK(CONCATENATE("#Metadata!", ADDRESS(INDEX($Q$2:$Q$1001,MATCH(ROWS($O$2:O107),$O$2:$O$1001,0),0), INDEX($V$1004:$AE$1004,1,MATCH(COLUMNS($V$1006:AD1006),$V$1006:$AE$1006,0)))),"Fix")))</f>
        <v>0</v>
      </c>
      <c r="K107" s="4">
        <f>IF(OR(INDEX($P$2:$P$1001,MATCH(ROWS($O$2:O107),$O$2:$O$1001,0),1)&gt;=100000,INDEX($V$1005:$AE$1005,1,MATCH(COLUMNS($V$1006:AE1006),$V$1006:$AE$1006,0))&gt;=100000), " ",IF(INDEX($V$2:$AE$1001,MATCH(ROWS($O$2:O107),$O$2:$O$1001,0),MATCH(COLUMNS($V$1006:AE1006),$V$1006:$AE$1006,0)), HYPERLINK("#",""), HYPERLINK(CONCATENATE("#Metadata!", ADDRESS(INDEX($Q$2:$Q$1001,MATCH(ROWS($O$2:O107),$O$2:$O$1001,0),0), INDEX($V$1004:$AE$1004,1,MATCH(COLUMNS($V$1006:AE1006),$V$1006:$AE$1006,0)))),"Fix")))</f>
        <v>0</v>
      </c>
      <c r="O107">
        <v>0</v>
      </c>
      <c r="P107">
        <v>0</v>
      </c>
      <c r="Q107">
        <v>0</v>
      </c>
      <c r="R107">
        <f>IF(S107,TRUE,AND(V107:AE107))</f>
        <v>0</v>
      </c>
      <c r="S107">
        <f>COUNTBLANK(Metadata!B107:K107)=COLUMNS(Metadata!B107:K107)</f>
        <v>0</v>
      </c>
      <c r="T107">
        <v>0</v>
      </c>
      <c r="V107">
        <f>AND(IF(Metadata!B107="",FALSE,TRUE),COUNTIF(Metadata!B:B, Metadata!B107) = 1,NOT(ISERROR(SUMPRODUCT(SEARCH(MID(Metadata!B107,ROW(INDIRECT("1:"&amp;LEN(Metadata!B107))), 1),"0123456789abcdefghijklmnopqrstuvwxyzABCDEFGHIJKLMNOPQRSTUVWXYZ.")))))</f>
        <v>0</v>
      </c>
      <c r="W107">
        <f>AND(IF(Metadata!C107="",FALSE,TRUE),exact(Metadata!C107,"urban biome"))</f>
        <v>0</v>
      </c>
      <c r="X107">
        <f>AND(IF(Metadata!D107="",FALSE,TRUE),exact(Metadata!D107,"animal-associated habitat"))</f>
        <v>0</v>
      </c>
      <c r="Y107">
        <f>OR(AND(IF(Metadata!E107="",FALSE,TRUE),OR(exact(Metadata!E107,"not applicable"),exact(Metadata!E107,"missing: not collected"),exact(Metadata!E107,"missing: not provided"),exact(Metadata!E107,"missing: restricted access"))),AND(IF(Metadata!E107="",FALSE,ISNUMBER(VALUE(Metadata!E107))),Metadata!E107&gt;0))</f>
        <v>0</v>
      </c>
      <c r="Z107">
        <f>AND(IF(Metadata!F107="",FALSE,TRUE),exact(Metadata!F107,"weeks"))</f>
        <v>0</v>
      </c>
      <c r="AA107">
        <f>AND(IF(Metadata!G107="",FALSE,TRUE),exact(Metadata!G107,"mouse"))</f>
        <v>0</v>
      </c>
      <c r="AB107">
        <f>AND(IF(Metadata!H107="",FALSE,TRUE),exact(Metadata!H107,"Mus musculus"))</f>
        <v>0</v>
      </c>
      <c r="AC107">
        <f>AND(IF(Metadata!I107="",FALSE,TRUE),exact(Metadata!I107,"10090"))</f>
        <v>0</v>
      </c>
      <c r="AD107">
        <f>OR(AND(IF(Metadata!J107="",FALSE,TRUE),OR(exact(Metadata!J107,"not applicable"),exact(Metadata!J107,"missing: not collected"),exact(Metadata!J107,"missing: not provided"),exact(Metadata!J107,"missing: restricted access"))),AND(IF(Metadata!J107="",FALSE,ISNUMBER(VALUE(Metadata!J107))),Metadata!J107&gt;0))</f>
        <v>0</v>
      </c>
      <c r="AE107">
        <f>AND(IF(Metadata!K107="",FALSE,TRUE),exact(Metadata!K107,"g"))</f>
        <v>0</v>
      </c>
    </row>
    <row r="108" spans="1:31">
      <c r="A108" s="5">
        <f>IF(B108=" "," ",HYPERLINK(CONCATENATE("#metadata!",ADDRESS(INDEX($Q$2:$Q$1001,MATCH(ROWS($O$2:O108),$O$2:$O$1001,0),0),1)),INDEX($T$2:$T$1001,MATCH(ROWS($O$2:O108),$O$2:$O$1001,0),0)))</f>
        <v>0</v>
      </c>
      <c r="B108" s="4">
        <f>IF(OR(INDEX($P$2:$P$1001,MATCH(ROWS($O$2:O108),$O$2:$O$1001,0),1)&gt;=100000,INDEX($V$1005:$AE$1005,1,MATCH(COLUMNS($V$1006:V1006),$V$1006:$AE$1006,0))&gt;=100000), " ",IF(INDEX($V$2:$AE$1001,MATCH(ROWS($O$2:O108),$O$2:$O$1001,0),MATCH(COLUMNS($V$1006:V1006),$V$1006:$AE$1006,0)), HYPERLINK("#",""), HYPERLINK(CONCATENATE("#Metadata!", ADDRESS(INDEX($Q$2:$Q$1001,MATCH(ROWS($O$2:O108),$O$2:$O$1001,0),0), INDEX($V$1004:$AE$1004,1,MATCH(COLUMNS($V$1006:V1006),$V$1006:$AE$1006,0)))),"Fix")))</f>
        <v>0</v>
      </c>
      <c r="C108" s="4">
        <f>IF(OR(INDEX($P$2:$P$1001,MATCH(ROWS($O$2:O108),$O$2:$O$1001,0),1)&gt;=100000,INDEX($V$1005:$AE$1005,1,MATCH(COLUMNS($V$1006:W1006),$V$1006:$AE$1006,0))&gt;=100000), " ",IF(INDEX($V$2:$AE$1001,MATCH(ROWS($O$2:O108),$O$2:$O$1001,0),MATCH(COLUMNS($V$1006:W1006),$V$1006:$AE$1006,0)), HYPERLINK("#",""), HYPERLINK(CONCATENATE("#Metadata!", ADDRESS(INDEX($Q$2:$Q$1001,MATCH(ROWS($O$2:O108),$O$2:$O$1001,0),0), INDEX($V$1004:$AE$1004,1,MATCH(COLUMNS($V$1006:W1006),$V$1006:$AE$1006,0)))),"Fix")))</f>
        <v>0</v>
      </c>
      <c r="D108" s="4">
        <f>IF(OR(INDEX($P$2:$P$1001,MATCH(ROWS($O$2:O108),$O$2:$O$1001,0),1)&gt;=100000,INDEX($V$1005:$AE$1005,1,MATCH(COLUMNS($V$1006:X1006),$V$1006:$AE$1006,0))&gt;=100000), " ",IF(INDEX($V$2:$AE$1001,MATCH(ROWS($O$2:O108),$O$2:$O$1001,0),MATCH(COLUMNS($V$1006:X1006),$V$1006:$AE$1006,0)), HYPERLINK("#",""), HYPERLINK(CONCATENATE("#Metadata!", ADDRESS(INDEX($Q$2:$Q$1001,MATCH(ROWS($O$2:O108),$O$2:$O$1001,0),0), INDEX($V$1004:$AE$1004,1,MATCH(COLUMNS($V$1006:X1006),$V$1006:$AE$1006,0)))),"Fix")))</f>
        <v>0</v>
      </c>
      <c r="E108" s="4">
        <f>IF(OR(INDEX($P$2:$P$1001,MATCH(ROWS($O$2:O108),$O$2:$O$1001,0),1)&gt;=100000,INDEX($V$1005:$AE$1005,1,MATCH(COLUMNS($V$1006:Y1006),$V$1006:$AE$1006,0))&gt;=100000), " ",IF(INDEX($V$2:$AE$1001,MATCH(ROWS($O$2:O108),$O$2:$O$1001,0),MATCH(COLUMNS($V$1006:Y1006),$V$1006:$AE$1006,0)), HYPERLINK("#",""), HYPERLINK(CONCATENATE("#Metadata!", ADDRESS(INDEX($Q$2:$Q$1001,MATCH(ROWS($O$2:O108),$O$2:$O$1001,0),0), INDEX($V$1004:$AE$1004,1,MATCH(COLUMNS($V$1006:Y1006),$V$1006:$AE$1006,0)))),"Fix")))</f>
        <v>0</v>
      </c>
      <c r="F108" s="4">
        <f>IF(OR(INDEX($P$2:$P$1001,MATCH(ROWS($O$2:O108),$O$2:$O$1001,0),1)&gt;=100000,INDEX($V$1005:$AE$1005,1,MATCH(COLUMNS($V$1006:Z1006),$V$1006:$AE$1006,0))&gt;=100000), " ",IF(INDEX($V$2:$AE$1001,MATCH(ROWS($O$2:O108),$O$2:$O$1001,0),MATCH(COLUMNS($V$1006:Z1006),$V$1006:$AE$1006,0)), HYPERLINK("#",""), HYPERLINK(CONCATENATE("#Metadata!", ADDRESS(INDEX($Q$2:$Q$1001,MATCH(ROWS($O$2:O108),$O$2:$O$1001,0),0), INDEX($V$1004:$AE$1004,1,MATCH(COLUMNS($V$1006:Z1006),$V$1006:$AE$1006,0)))),"Fix")))</f>
        <v>0</v>
      </c>
      <c r="G108" s="4">
        <f>IF(OR(INDEX($P$2:$P$1001,MATCH(ROWS($O$2:O108),$O$2:$O$1001,0),1)&gt;=100000,INDEX($V$1005:$AE$1005,1,MATCH(COLUMNS($V$1006:AA1006),$V$1006:$AE$1006,0))&gt;=100000), " ",IF(INDEX($V$2:$AE$1001,MATCH(ROWS($O$2:O108),$O$2:$O$1001,0),MATCH(COLUMNS($V$1006:AA1006),$V$1006:$AE$1006,0)), HYPERLINK("#",""), HYPERLINK(CONCATENATE("#Metadata!", ADDRESS(INDEX($Q$2:$Q$1001,MATCH(ROWS($O$2:O108),$O$2:$O$1001,0),0), INDEX($V$1004:$AE$1004,1,MATCH(COLUMNS($V$1006:AA1006),$V$1006:$AE$1006,0)))),"Fix")))</f>
        <v>0</v>
      </c>
      <c r="H108" s="4">
        <f>IF(OR(INDEX($P$2:$P$1001,MATCH(ROWS($O$2:O108),$O$2:$O$1001,0),1)&gt;=100000,INDEX($V$1005:$AE$1005,1,MATCH(COLUMNS($V$1006:AB1006),$V$1006:$AE$1006,0))&gt;=100000), " ",IF(INDEX($V$2:$AE$1001,MATCH(ROWS($O$2:O108),$O$2:$O$1001,0),MATCH(COLUMNS($V$1006:AB1006),$V$1006:$AE$1006,0)), HYPERLINK("#",""), HYPERLINK(CONCATENATE("#Metadata!", ADDRESS(INDEX($Q$2:$Q$1001,MATCH(ROWS($O$2:O108),$O$2:$O$1001,0),0), INDEX($V$1004:$AE$1004,1,MATCH(COLUMNS($V$1006:AB1006),$V$1006:$AE$1006,0)))),"Fix")))</f>
        <v>0</v>
      </c>
      <c r="I108" s="4">
        <f>IF(OR(INDEX($P$2:$P$1001,MATCH(ROWS($O$2:O108),$O$2:$O$1001,0),1)&gt;=100000,INDEX($V$1005:$AE$1005,1,MATCH(COLUMNS($V$1006:AC1006),$V$1006:$AE$1006,0))&gt;=100000), " ",IF(INDEX($V$2:$AE$1001,MATCH(ROWS($O$2:O108),$O$2:$O$1001,0),MATCH(COLUMNS($V$1006:AC1006),$V$1006:$AE$1006,0)), HYPERLINK("#",""), HYPERLINK(CONCATENATE("#Metadata!", ADDRESS(INDEX($Q$2:$Q$1001,MATCH(ROWS($O$2:O108),$O$2:$O$1001,0),0), INDEX($V$1004:$AE$1004,1,MATCH(COLUMNS($V$1006:AC1006),$V$1006:$AE$1006,0)))),"Fix")))</f>
        <v>0</v>
      </c>
      <c r="J108" s="4">
        <f>IF(OR(INDEX($P$2:$P$1001,MATCH(ROWS($O$2:O108),$O$2:$O$1001,0),1)&gt;=100000,INDEX($V$1005:$AE$1005,1,MATCH(COLUMNS($V$1006:AD1006),$V$1006:$AE$1006,0))&gt;=100000), " ",IF(INDEX($V$2:$AE$1001,MATCH(ROWS($O$2:O108),$O$2:$O$1001,0),MATCH(COLUMNS($V$1006:AD1006),$V$1006:$AE$1006,0)), HYPERLINK("#",""), HYPERLINK(CONCATENATE("#Metadata!", ADDRESS(INDEX($Q$2:$Q$1001,MATCH(ROWS($O$2:O108),$O$2:$O$1001,0),0), INDEX($V$1004:$AE$1004,1,MATCH(COLUMNS($V$1006:AD1006),$V$1006:$AE$1006,0)))),"Fix")))</f>
        <v>0</v>
      </c>
      <c r="K108" s="4">
        <f>IF(OR(INDEX($P$2:$P$1001,MATCH(ROWS($O$2:O108),$O$2:$O$1001,0),1)&gt;=100000,INDEX($V$1005:$AE$1005,1,MATCH(COLUMNS($V$1006:AE1006),$V$1006:$AE$1006,0))&gt;=100000), " ",IF(INDEX($V$2:$AE$1001,MATCH(ROWS($O$2:O108),$O$2:$O$1001,0),MATCH(COLUMNS($V$1006:AE1006),$V$1006:$AE$1006,0)), HYPERLINK("#",""), HYPERLINK(CONCATENATE("#Metadata!", ADDRESS(INDEX($Q$2:$Q$1001,MATCH(ROWS($O$2:O108),$O$2:$O$1001,0),0), INDEX($V$1004:$AE$1004,1,MATCH(COLUMNS($V$1006:AE1006),$V$1006:$AE$1006,0)))),"Fix")))</f>
        <v>0</v>
      </c>
      <c r="O108">
        <v>0</v>
      </c>
      <c r="P108">
        <v>0</v>
      </c>
      <c r="Q108">
        <v>0</v>
      </c>
      <c r="R108">
        <f>IF(S108,TRUE,AND(V108:AE108))</f>
        <v>0</v>
      </c>
      <c r="S108">
        <f>COUNTBLANK(Metadata!B108:K108)=COLUMNS(Metadata!B108:K108)</f>
        <v>0</v>
      </c>
      <c r="T108">
        <v>0</v>
      </c>
      <c r="V108">
        <f>AND(IF(Metadata!B108="",FALSE,TRUE),COUNTIF(Metadata!B:B, Metadata!B108) = 1,NOT(ISERROR(SUMPRODUCT(SEARCH(MID(Metadata!B108,ROW(INDIRECT("1:"&amp;LEN(Metadata!B108))), 1),"0123456789abcdefghijklmnopqrstuvwxyzABCDEFGHIJKLMNOPQRSTUVWXYZ.")))))</f>
        <v>0</v>
      </c>
      <c r="W108">
        <f>AND(IF(Metadata!C108="",FALSE,TRUE),exact(Metadata!C108,"urban biome"))</f>
        <v>0</v>
      </c>
      <c r="X108">
        <f>AND(IF(Metadata!D108="",FALSE,TRUE),exact(Metadata!D108,"animal-associated habitat"))</f>
        <v>0</v>
      </c>
      <c r="Y108">
        <f>OR(AND(IF(Metadata!E108="",FALSE,TRUE),OR(exact(Metadata!E108,"not applicable"),exact(Metadata!E108,"missing: not collected"),exact(Metadata!E108,"missing: not provided"),exact(Metadata!E108,"missing: restricted access"))),AND(IF(Metadata!E108="",FALSE,ISNUMBER(VALUE(Metadata!E108))),Metadata!E108&gt;0))</f>
        <v>0</v>
      </c>
      <c r="Z108">
        <f>AND(IF(Metadata!F108="",FALSE,TRUE),exact(Metadata!F108,"weeks"))</f>
        <v>0</v>
      </c>
      <c r="AA108">
        <f>AND(IF(Metadata!G108="",FALSE,TRUE),exact(Metadata!G108,"mouse"))</f>
        <v>0</v>
      </c>
      <c r="AB108">
        <f>AND(IF(Metadata!H108="",FALSE,TRUE),exact(Metadata!H108,"Mus musculus"))</f>
        <v>0</v>
      </c>
      <c r="AC108">
        <f>AND(IF(Metadata!I108="",FALSE,TRUE),exact(Metadata!I108,"10090"))</f>
        <v>0</v>
      </c>
      <c r="AD108">
        <f>OR(AND(IF(Metadata!J108="",FALSE,TRUE),OR(exact(Metadata!J108,"not applicable"),exact(Metadata!J108,"missing: not collected"),exact(Metadata!J108,"missing: not provided"),exact(Metadata!J108,"missing: restricted access"))),AND(IF(Metadata!J108="",FALSE,ISNUMBER(VALUE(Metadata!J108))),Metadata!J108&gt;0))</f>
        <v>0</v>
      </c>
      <c r="AE108">
        <f>AND(IF(Metadata!K108="",FALSE,TRUE),exact(Metadata!K108,"g"))</f>
        <v>0</v>
      </c>
    </row>
    <row r="109" spans="1:31">
      <c r="A109" s="5">
        <f>IF(B109=" "," ",HYPERLINK(CONCATENATE("#metadata!",ADDRESS(INDEX($Q$2:$Q$1001,MATCH(ROWS($O$2:O109),$O$2:$O$1001,0),0),1)),INDEX($T$2:$T$1001,MATCH(ROWS($O$2:O109),$O$2:$O$1001,0),0)))</f>
        <v>0</v>
      </c>
      <c r="B109" s="4">
        <f>IF(OR(INDEX($P$2:$P$1001,MATCH(ROWS($O$2:O109),$O$2:$O$1001,0),1)&gt;=100000,INDEX($V$1005:$AE$1005,1,MATCH(COLUMNS($V$1006:V1006),$V$1006:$AE$1006,0))&gt;=100000), " ",IF(INDEX($V$2:$AE$1001,MATCH(ROWS($O$2:O109),$O$2:$O$1001,0),MATCH(COLUMNS($V$1006:V1006),$V$1006:$AE$1006,0)), HYPERLINK("#",""), HYPERLINK(CONCATENATE("#Metadata!", ADDRESS(INDEX($Q$2:$Q$1001,MATCH(ROWS($O$2:O109),$O$2:$O$1001,0),0), INDEX($V$1004:$AE$1004,1,MATCH(COLUMNS($V$1006:V1006),$V$1006:$AE$1006,0)))),"Fix")))</f>
        <v>0</v>
      </c>
      <c r="C109" s="4">
        <f>IF(OR(INDEX($P$2:$P$1001,MATCH(ROWS($O$2:O109),$O$2:$O$1001,0),1)&gt;=100000,INDEX($V$1005:$AE$1005,1,MATCH(COLUMNS($V$1006:W1006),$V$1006:$AE$1006,0))&gt;=100000), " ",IF(INDEX($V$2:$AE$1001,MATCH(ROWS($O$2:O109),$O$2:$O$1001,0),MATCH(COLUMNS($V$1006:W1006),$V$1006:$AE$1006,0)), HYPERLINK("#",""), HYPERLINK(CONCATENATE("#Metadata!", ADDRESS(INDEX($Q$2:$Q$1001,MATCH(ROWS($O$2:O109),$O$2:$O$1001,0),0), INDEX($V$1004:$AE$1004,1,MATCH(COLUMNS($V$1006:W1006),$V$1006:$AE$1006,0)))),"Fix")))</f>
        <v>0</v>
      </c>
      <c r="D109" s="4">
        <f>IF(OR(INDEX($P$2:$P$1001,MATCH(ROWS($O$2:O109),$O$2:$O$1001,0),1)&gt;=100000,INDEX($V$1005:$AE$1005,1,MATCH(COLUMNS($V$1006:X1006),$V$1006:$AE$1006,0))&gt;=100000), " ",IF(INDEX($V$2:$AE$1001,MATCH(ROWS($O$2:O109),$O$2:$O$1001,0),MATCH(COLUMNS($V$1006:X1006),$V$1006:$AE$1006,0)), HYPERLINK("#",""), HYPERLINK(CONCATENATE("#Metadata!", ADDRESS(INDEX($Q$2:$Q$1001,MATCH(ROWS($O$2:O109),$O$2:$O$1001,0),0), INDEX($V$1004:$AE$1004,1,MATCH(COLUMNS($V$1006:X1006),$V$1006:$AE$1006,0)))),"Fix")))</f>
        <v>0</v>
      </c>
      <c r="E109" s="4">
        <f>IF(OR(INDEX($P$2:$P$1001,MATCH(ROWS($O$2:O109),$O$2:$O$1001,0),1)&gt;=100000,INDEX($V$1005:$AE$1005,1,MATCH(COLUMNS($V$1006:Y1006),$V$1006:$AE$1006,0))&gt;=100000), " ",IF(INDEX($V$2:$AE$1001,MATCH(ROWS($O$2:O109),$O$2:$O$1001,0),MATCH(COLUMNS($V$1006:Y1006),$V$1006:$AE$1006,0)), HYPERLINK("#",""), HYPERLINK(CONCATENATE("#Metadata!", ADDRESS(INDEX($Q$2:$Q$1001,MATCH(ROWS($O$2:O109),$O$2:$O$1001,0),0), INDEX($V$1004:$AE$1004,1,MATCH(COLUMNS($V$1006:Y1006),$V$1006:$AE$1006,0)))),"Fix")))</f>
        <v>0</v>
      </c>
      <c r="F109" s="4">
        <f>IF(OR(INDEX($P$2:$P$1001,MATCH(ROWS($O$2:O109),$O$2:$O$1001,0),1)&gt;=100000,INDEX($V$1005:$AE$1005,1,MATCH(COLUMNS($V$1006:Z1006),$V$1006:$AE$1006,0))&gt;=100000), " ",IF(INDEX($V$2:$AE$1001,MATCH(ROWS($O$2:O109),$O$2:$O$1001,0),MATCH(COLUMNS($V$1006:Z1006),$V$1006:$AE$1006,0)), HYPERLINK("#",""), HYPERLINK(CONCATENATE("#Metadata!", ADDRESS(INDEX($Q$2:$Q$1001,MATCH(ROWS($O$2:O109),$O$2:$O$1001,0),0), INDEX($V$1004:$AE$1004,1,MATCH(COLUMNS($V$1006:Z1006),$V$1006:$AE$1006,0)))),"Fix")))</f>
        <v>0</v>
      </c>
      <c r="G109" s="4">
        <f>IF(OR(INDEX($P$2:$P$1001,MATCH(ROWS($O$2:O109),$O$2:$O$1001,0),1)&gt;=100000,INDEX($V$1005:$AE$1005,1,MATCH(COLUMNS($V$1006:AA1006),$V$1006:$AE$1006,0))&gt;=100000), " ",IF(INDEX($V$2:$AE$1001,MATCH(ROWS($O$2:O109),$O$2:$O$1001,0),MATCH(COLUMNS($V$1006:AA1006),$V$1006:$AE$1006,0)), HYPERLINK("#",""), HYPERLINK(CONCATENATE("#Metadata!", ADDRESS(INDEX($Q$2:$Q$1001,MATCH(ROWS($O$2:O109),$O$2:$O$1001,0),0), INDEX($V$1004:$AE$1004,1,MATCH(COLUMNS($V$1006:AA1006),$V$1006:$AE$1006,0)))),"Fix")))</f>
        <v>0</v>
      </c>
      <c r="H109" s="4">
        <f>IF(OR(INDEX($P$2:$P$1001,MATCH(ROWS($O$2:O109),$O$2:$O$1001,0),1)&gt;=100000,INDEX($V$1005:$AE$1005,1,MATCH(COLUMNS($V$1006:AB1006),$V$1006:$AE$1006,0))&gt;=100000), " ",IF(INDEX($V$2:$AE$1001,MATCH(ROWS($O$2:O109),$O$2:$O$1001,0),MATCH(COLUMNS($V$1006:AB1006),$V$1006:$AE$1006,0)), HYPERLINK("#",""), HYPERLINK(CONCATENATE("#Metadata!", ADDRESS(INDEX($Q$2:$Q$1001,MATCH(ROWS($O$2:O109),$O$2:$O$1001,0),0), INDEX($V$1004:$AE$1004,1,MATCH(COLUMNS($V$1006:AB1006),$V$1006:$AE$1006,0)))),"Fix")))</f>
        <v>0</v>
      </c>
      <c r="I109" s="4">
        <f>IF(OR(INDEX($P$2:$P$1001,MATCH(ROWS($O$2:O109),$O$2:$O$1001,0),1)&gt;=100000,INDEX($V$1005:$AE$1005,1,MATCH(COLUMNS($V$1006:AC1006),$V$1006:$AE$1006,0))&gt;=100000), " ",IF(INDEX($V$2:$AE$1001,MATCH(ROWS($O$2:O109),$O$2:$O$1001,0),MATCH(COLUMNS($V$1006:AC1006),$V$1006:$AE$1006,0)), HYPERLINK("#",""), HYPERLINK(CONCATENATE("#Metadata!", ADDRESS(INDEX($Q$2:$Q$1001,MATCH(ROWS($O$2:O109),$O$2:$O$1001,0),0), INDEX($V$1004:$AE$1004,1,MATCH(COLUMNS($V$1006:AC1006),$V$1006:$AE$1006,0)))),"Fix")))</f>
        <v>0</v>
      </c>
      <c r="J109" s="4">
        <f>IF(OR(INDEX($P$2:$P$1001,MATCH(ROWS($O$2:O109),$O$2:$O$1001,0),1)&gt;=100000,INDEX($V$1005:$AE$1005,1,MATCH(COLUMNS($V$1006:AD1006),$V$1006:$AE$1006,0))&gt;=100000), " ",IF(INDEX($V$2:$AE$1001,MATCH(ROWS($O$2:O109),$O$2:$O$1001,0),MATCH(COLUMNS($V$1006:AD1006),$V$1006:$AE$1006,0)), HYPERLINK("#",""), HYPERLINK(CONCATENATE("#Metadata!", ADDRESS(INDEX($Q$2:$Q$1001,MATCH(ROWS($O$2:O109),$O$2:$O$1001,0),0), INDEX($V$1004:$AE$1004,1,MATCH(COLUMNS($V$1006:AD1006),$V$1006:$AE$1006,0)))),"Fix")))</f>
        <v>0</v>
      </c>
      <c r="K109" s="4">
        <f>IF(OR(INDEX($P$2:$P$1001,MATCH(ROWS($O$2:O109),$O$2:$O$1001,0),1)&gt;=100000,INDEX($V$1005:$AE$1005,1,MATCH(COLUMNS($V$1006:AE1006),$V$1006:$AE$1006,0))&gt;=100000), " ",IF(INDEX($V$2:$AE$1001,MATCH(ROWS($O$2:O109),$O$2:$O$1001,0),MATCH(COLUMNS($V$1006:AE1006),$V$1006:$AE$1006,0)), HYPERLINK("#",""), HYPERLINK(CONCATENATE("#Metadata!", ADDRESS(INDEX($Q$2:$Q$1001,MATCH(ROWS($O$2:O109),$O$2:$O$1001,0),0), INDEX($V$1004:$AE$1004,1,MATCH(COLUMNS($V$1006:AE1006),$V$1006:$AE$1006,0)))),"Fix")))</f>
        <v>0</v>
      </c>
      <c r="O109">
        <v>0</v>
      </c>
      <c r="P109">
        <v>0</v>
      </c>
      <c r="Q109">
        <v>0</v>
      </c>
      <c r="R109">
        <f>IF(S109,TRUE,AND(V109:AE109))</f>
        <v>0</v>
      </c>
      <c r="S109">
        <f>COUNTBLANK(Metadata!B109:K109)=COLUMNS(Metadata!B109:K109)</f>
        <v>0</v>
      </c>
      <c r="T109">
        <v>0</v>
      </c>
      <c r="V109">
        <f>AND(IF(Metadata!B109="",FALSE,TRUE),COUNTIF(Metadata!B:B, Metadata!B109) = 1,NOT(ISERROR(SUMPRODUCT(SEARCH(MID(Metadata!B109,ROW(INDIRECT("1:"&amp;LEN(Metadata!B109))), 1),"0123456789abcdefghijklmnopqrstuvwxyzABCDEFGHIJKLMNOPQRSTUVWXYZ.")))))</f>
        <v>0</v>
      </c>
      <c r="W109">
        <f>AND(IF(Metadata!C109="",FALSE,TRUE),exact(Metadata!C109,"urban biome"))</f>
        <v>0</v>
      </c>
      <c r="X109">
        <f>AND(IF(Metadata!D109="",FALSE,TRUE),exact(Metadata!D109,"animal-associated habitat"))</f>
        <v>0</v>
      </c>
      <c r="Y109">
        <f>OR(AND(IF(Metadata!E109="",FALSE,TRUE),OR(exact(Metadata!E109,"not applicable"),exact(Metadata!E109,"missing: not collected"),exact(Metadata!E109,"missing: not provided"),exact(Metadata!E109,"missing: restricted access"))),AND(IF(Metadata!E109="",FALSE,ISNUMBER(VALUE(Metadata!E109))),Metadata!E109&gt;0))</f>
        <v>0</v>
      </c>
      <c r="Z109">
        <f>AND(IF(Metadata!F109="",FALSE,TRUE),exact(Metadata!F109,"weeks"))</f>
        <v>0</v>
      </c>
      <c r="AA109">
        <f>AND(IF(Metadata!G109="",FALSE,TRUE),exact(Metadata!G109,"mouse"))</f>
        <v>0</v>
      </c>
      <c r="AB109">
        <f>AND(IF(Metadata!H109="",FALSE,TRUE),exact(Metadata!H109,"Mus musculus"))</f>
        <v>0</v>
      </c>
      <c r="AC109">
        <f>AND(IF(Metadata!I109="",FALSE,TRUE),exact(Metadata!I109,"10090"))</f>
        <v>0</v>
      </c>
      <c r="AD109">
        <f>OR(AND(IF(Metadata!J109="",FALSE,TRUE),OR(exact(Metadata!J109,"not applicable"),exact(Metadata!J109,"missing: not collected"),exact(Metadata!J109,"missing: not provided"),exact(Metadata!J109,"missing: restricted access"))),AND(IF(Metadata!J109="",FALSE,ISNUMBER(VALUE(Metadata!J109))),Metadata!J109&gt;0))</f>
        <v>0</v>
      </c>
      <c r="AE109">
        <f>AND(IF(Metadata!K109="",FALSE,TRUE),exact(Metadata!K109,"g"))</f>
        <v>0</v>
      </c>
    </row>
    <row r="110" spans="1:31">
      <c r="A110" s="5">
        <f>IF(B110=" "," ",HYPERLINK(CONCATENATE("#metadata!",ADDRESS(INDEX($Q$2:$Q$1001,MATCH(ROWS($O$2:O110),$O$2:$O$1001,0),0),1)),INDEX($T$2:$T$1001,MATCH(ROWS($O$2:O110),$O$2:$O$1001,0),0)))</f>
        <v>0</v>
      </c>
      <c r="B110" s="4">
        <f>IF(OR(INDEX($P$2:$P$1001,MATCH(ROWS($O$2:O110),$O$2:$O$1001,0),1)&gt;=100000,INDEX($V$1005:$AE$1005,1,MATCH(COLUMNS($V$1006:V1006),$V$1006:$AE$1006,0))&gt;=100000), " ",IF(INDEX($V$2:$AE$1001,MATCH(ROWS($O$2:O110),$O$2:$O$1001,0),MATCH(COLUMNS($V$1006:V1006),$V$1006:$AE$1006,0)), HYPERLINK("#",""), HYPERLINK(CONCATENATE("#Metadata!", ADDRESS(INDEX($Q$2:$Q$1001,MATCH(ROWS($O$2:O110),$O$2:$O$1001,0),0), INDEX($V$1004:$AE$1004,1,MATCH(COLUMNS($V$1006:V1006),$V$1006:$AE$1006,0)))),"Fix")))</f>
        <v>0</v>
      </c>
      <c r="C110" s="4">
        <f>IF(OR(INDEX($P$2:$P$1001,MATCH(ROWS($O$2:O110),$O$2:$O$1001,0),1)&gt;=100000,INDEX($V$1005:$AE$1005,1,MATCH(COLUMNS($V$1006:W1006),$V$1006:$AE$1006,0))&gt;=100000), " ",IF(INDEX($V$2:$AE$1001,MATCH(ROWS($O$2:O110),$O$2:$O$1001,0),MATCH(COLUMNS($V$1006:W1006),$V$1006:$AE$1006,0)), HYPERLINK("#",""), HYPERLINK(CONCATENATE("#Metadata!", ADDRESS(INDEX($Q$2:$Q$1001,MATCH(ROWS($O$2:O110),$O$2:$O$1001,0),0), INDEX($V$1004:$AE$1004,1,MATCH(COLUMNS($V$1006:W1006),$V$1006:$AE$1006,0)))),"Fix")))</f>
        <v>0</v>
      </c>
      <c r="D110" s="4">
        <f>IF(OR(INDEX($P$2:$P$1001,MATCH(ROWS($O$2:O110),$O$2:$O$1001,0),1)&gt;=100000,INDEX($V$1005:$AE$1005,1,MATCH(COLUMNS($V$1006:X1006),$V$1006:$AE$1006,0))&gt;=100000), " ",IF(INDEX($V$2:$AE$1001,MATCH(ROWS($O$2:O110),$O$2:$O$1001,0),MATCH(COLUMNS($V$1006:X1006),$V$1006:$AE$1006,0)), HYPERLINK("#",""), HYPERLINK(CONCATENATE("#Metadata!", ADDRESS(INDEX($Q$2:$Q$1001,MATCH(ROWS($O$2:O110),$O$2:$O$1001,0),0), INDEX($V$1004:$AE$1004,1,MATCH(COLUMNS($V$1006:X1006),$V$1006:$AE$1006,0)))),"Fix")))</f>
        <v>0</v>
      </c>
      <c r="E110" s="4">
        <f>IF(OR(INDEX($P$2:$P$1001,MATCH(ROWS($O$2:O110),$O$2:$O$1001,0),1)&gt;=100000,INDEX($V$1005:$AE$1005,1,MATCH(COLUMNS($V$1006:Y1006),$V$1006:$AE$1006,0))&gt;=100000), " ",IF(INDEX($V$2:$AE$1001,MATCH(ROWS($O$2:O110),$O$2:$O$1001,0),MATCH(COLUMNS($V$1006:Y1006),$V$1006:$AE$1006,0)), HYPERLINK("#",""), HYPERLINK(CONCATENATE("#Metadata!", ADDRESS(INDEX($Q$2:$Q$1001,MATCH(ROWS($O$2:O110),$O$2:$O$1001,0),0), INDEX($V$1004:$AE$1004,1,MATCH(COLUMNS($V$1006:Y1006),$V$1006:$AE$1006,0)))),"Fix")))</f>
        <v>0</v>
      </c>
      <c r="F110" s="4">
        <f>IF(OR(INDEX($P$2:$P$1001,MATCH(ROWS($O$2:O110),$O$2:$O$1001,0),1)&gt;=100000,INDEX($V$1005:$AE$1005,1,MATCH(COLUMNS($V$1006:Z1006),$V$1006:$AE$1006,0))&gt;=100000), " ",IF(INDEX($V$2:$AE$1001,MATCH(ROWS($O$2:O110),$O$2:$O$1001,0),MATCH(COLUMNS($V$1006:Z1006),$V$1006:$AE$1006,0)), HYPERLINK("#",""), HYPERLINK(CONCATENATE("#Metadata!", ADDRESS(INDEX($Q$2:$Q$1001,MATCH(ROWS($O$2:O110),$O$2:$O$1001,0),0), INDEX($V$1004:$AE$1004,1,MATCH(COLUMNS($V$1006:Z1006),$V$1006:$AE$1006,0)))),"Fix")))</f>
        <v>0</v>
      </c>
      <c r="G110" s="4">
        <f>IF(OR(INDEX($P$2:$P$1001,MATCH(ROWS($O$2:O110),$O$2:$O$1001,0),1)&gt;=100000,INDEX($V$1005:$AE$1005,1,MATCH(COLUMNS($V$1006:AA1006),$V$1006:$AE$1006,0))&gt;=100000), " ",IF(INDEX($V$2:$AE$1001,MATCH(ROWS($O$2:O110),$O$2:$O$1001,0),MATCH(COLUMNS($V$1006:AA1006),$V$1006:$AE$1006,0)), HYPERLINK("#",""), HYPERLINK(CONCATENATE("#Metadata!", ADDRESS(INDEX($Q$2:$Q$1001,MATCH(ROWS($O$2:O110),$O$2:$O$1001,0),0), INDEX($V$1004:$AE$1004,1,MATCH(COLUMNS($V$1006:AA1006),$V$1006:$AE$1006,0)))),"Fix")))</f>
        <v>0</v>
      </c>
      <c r="H110" s="4">
        <f>IF(OR(INDEX($P$2:$P$1001,MATCH(ROWS($O$2:O110),$O$2:$O$1001,0),1)&gt;=100000,INDEX($V$1005:$AE$1005,1,MATCH(COLUMNS($V$1006:AB1006),$V$1006:$AE$1006,0))&gt;=100000), " ",IF(INDEX($V$2:$AE$1001,MATCH(ROWS($O$2:O110),$O$2:$O$1001,0),MATCH(COLUMNS($V$1006:AB1006),$V$1006:$AE$1006,0)), HYPERLINK("#",""), HYPERLINK(CONCATENATE("#Metadata!", ADDRESS(INDEX($Q$2:$Q$1001,MATCH(ROWS($O$2:O110),$O$2:$O$1001,0),0), INDEX($V$1004:$AE$1004,1,MATCH(COLUMNS($V$1006:AB1006),$V$1006:$AE$1006,0)))),"Fix")))</f>
        <v>0</v>
      </c>
      <c r="I110" s="4">
        <f>IF(OR(INDEX($P$2:$P$1001,MATCH(ROWS($O$2:O110),$O$2:$O$1001,0),1)&gt;=100000,INDEX($V$1005:$AE$1005,1,MATCH(COLUMNS($V$1006:AC1006),$V$1006:$AE$1006,0))&gt;=100000), " ",IF(INDEX($V$2:$AE$1001,MATCH(ROWS($O$2:O110),$O$2:$O$1001,0),MATCH(COLUMNS($V$1006:AC1006),$V$1006:$AE$1006,0)), HYPERLINK("#",""), HYPERLINK(CONCATENATE("#Metadata!", ADDRESS(INDEX($Q$2:$Q$1001,MATCH(ROWS($O$2:O110),$O$2:$O$1001,0),0), INDEX($V$1004:$AE$1004,1,MATCH(COLUMNS($V$1006:AC1006),$V$1006:$AE$1006,0)))),"Fix")))</f>
        <v>0</v>
      </c>
      <c r="J110" s="4">
        <f>IF(OR(INDEX($P$2:$P$1001,MATCH(ROWS($O$2:O110),$O$2:$O$1001,0),1)&gt;=100000,INDEX($V$1005:$AE$1005,1,MATCH(COLUMNS($V$1006:AD1006),$V$1006:$AE$1006,0))&gt;=100000), " ",IF(INDEX($V$2:$AE$1001,MATCH(ROWS($O$2:O110),$O$2:$O$1001,0),MATCH(COLUMNS($V$1006:AD1006),$V$1006:$AE$1006,0)), HYPERLINK("#",""), HYPERLINK(CONCATENATE("#Metadata!", ADDRESS(INDEX($Q$2:$Q$1001,MATCH(ROWS($O$2:O110),$O$2:$O$1001,0),0), INDEX($V$1004:$AE$1004,1,MATCH(COLUMNS($V$1006:AD1006),$V$1006:$AE$1006,0)))),"Fix")))</f>
        <v>0</v>
      </c>
      <c r="K110" s="4">
        <f>IF(OR(INDEX($P$2:$P$1001,MATCH(ROWS($O$2:O110),$O$2:$O$1001,0),1)&gt;=100000,INDEX($V$1005:$AE$1005,1,MATCH(COLUMNS($V$1006:AE1006),$V$1006:$AE$1006,0))&gt;=100000), " ",IF(INDEX($V$2:$AE$1001,MATCH(ROWS($O$2:O110),$O$2:$O$1001,0),MATCH(COLUMNS($V$1006:AE1006),$V$1006:$AE$1006,0)), HYPERLINK("#",""), HYPERLINK(CONCATENATE("#Metadata!", ADDRESS(INDEX($Q$2:$Q$1001,MATCH(ROWS($O$2:O110),$O$2:$O$1001,0),0), INDEX($V$1004:$AE$1004,1,MATCH(COLUMNS($V$1006:AE1006),$V$1006:$AE$1006,0)))),"Fix")))</f>
        <v>0</v>
      </c>
      <c r="O110">
        <v>0</v>
      </c>
      <c r="P110">
        <v>0</v>
      </c>
      <c r="Q110">
        <v>0</v>
      </c>
      <c r="R110">
        <f>IF(S110,TRUE,AND(V110:AE110))</f>
        <v>0</v>
      </c>
      <c r="S110">
        <f>COUNTBLANK(Metadata!B110:K110)=COLUMNS(Metadata!B110:K110)</f>
        <v>0</v>
      </c>
      <c r="T110">
        <v>0</v>
      </c>
      <c r="V110">
        <f>AND(IF(Metadata!B110="",FALSE,TRUE),COUNTIF(Metadata!B:B, Metadata!B110) = 1,NOT(ISERROR(SUMPRODUCT(SEARCH(MID(Metadata!B110,ROW(INDIRECT("1:"&amp;LEN(Metadata!B110))), 1),"0123456789abcdefghijklmnopqrstuvwxyzABCDEFGHIJKLMNOPQRSTUVWXYZ.")))))</f>
        <v>0</v>
      </c>
      <c r="W110">
        <f>AND(IF(Metadata!C110="",FALSE,TRUE),exact(Metadata!C110,"urban biome"))</f>
        <v>0</v>
      </c>
      <c r="X110">
        <f>AND(IF(Metadata!D110="",FALSE,TRUE),exact(Metadata!D110,"animal-associated habitat"))</f>
        <v>0</v>
      </c>
      <c r="Y110">
        <f>OR(AND(IF(Metadata!E110="",FALSE,TRUE),OR(exact(Metadata!E110,"not applicable"),exact(Metadata!E110,"missing: not collected"),exact(Metadata!E110,"missing: not provided"),exact(Metadata!E110,"missing: restricted access"))),AND(IF(Metadata!E110="",FALSE,ISNUMBER(VALUE(Metadata!E110))),Metadata!E110&gt;0))</f>
        <v>0</v>
      </c>
      <c r="Z110">
        <f>AND(IF(Metadata!F110="",FALSE,TRUE),exact(Metadata!F110,"weeks"))</f>
        <v>0</v>
      </c>
      <c r="AA110">
        <f>AND(IF(Metadata!G110="",FALSE,TRUE),exact(Metadata!G110,"mouse"))</f>
        <v>0</v>
      </c>
      <c r="AB110">
        <f>AND(IF(Metadata!H110="",FALSE,TRUE),exact(Metadata!H110,"Mus musculus"))</f>
        <v>0</v>
      </c>
      <c r="AC110">
        <f>AND(IF(Metadata!I110="",FALSE,TRUE),exact(Metadata!I110,"10090"))</f>
        <v>0</v>
      </c>
      <c r="AD110">
        <f>OR(AND(IF(Metadata!J110="",FALSE,TRUE),OR(exact(Metadata!J110,"not applicable"),exact(Metadata!J110,"missing: not collected"),exact(Metadata!J110,"missing: not provided"),exact(Metadata!J110,"missing: restricted access"))),AND(IF(Metadata!J110="",FALSE,ISNUMBER(VALUE(Metadata!J110))),Metadata!J110&gt;0))</f>
        <v>0</v>
      </c>
      <c r="AE110">
        <f>AND(IF(Metadata!K110="",FALSE,TRUE),exact(Metadata!K110,"g"))</f>
        <v>0</v>
      </c>
    </row>
    <row r="111" spans="1:31">
      <c r="A111" s="5">
        <f>IF(B111=" "," ",HYPERLINK(CONCATENATE("#metadata!",ADDRESS(INDEX($Q$2:$Q$1001,MATCH(ROWS($O$2:O111),$O$2:$O$1001,0),0),1)),INDEX($T$2:$T$1001,MATCH(ROWS($O$2:O111),$O$2:$O$1001,0),0)))</f>
        <v>0</v>
      </c>
      <c r="B111" s="4">
        <f>IF(OR(INDEX($P$2:$P$1001,MATCH(ROWS($O$2:O111),$O$2:$O$1001,0),1)&gt;=100000,INDEX($V$1005:$AE$1005,1,MATCH(COLUMNS($V$1006:V1006),$V$1006:$AE$1006,0))&gt;=100000), " ",IF(INDEX($V$2:$AE$1001,MATCH(ROWS($O$2:O111),$O$2:$O$1001,0),MATCH(COLUMNS($V$1006:V1006),$V$1006:$AE$1006,0)), HYPERLINK("#",""), HYPERLINK(CONCATENATE("#Metadata!", ADDRESS(INDEX($Q$2:$Q$1001,MATCH(ROWS($O$2:O111),$O$2:$O$1001,0),0), INDEX($V$1004:$AE$1004,1,MATCH(COLUMNS($V$1006:V1006),$V$1006:$AE$1006,0)))),"Fix")))</f>
        <v>0</v>
      </c>
      <c r="C111" s="4">
        <f>IF(OR(INDEX($P$2:$P$1001,MATCH(ROWS($O$2:O111),$O$2:$O$1001,0),1)&gt;=100000,INDEX($V$1005:$AE$1005,1,MATCH(COLUMNS($V$1006:W1006),$V$1006:$AE$1006,0))&gt;=100000), " ",IF(INDEX($V$2:$AE$1001,MATCH(ROWS($O$2:O111),$O$2:$O$1001,0),MATCH(COLUMNS($V$1006:W1006),$V$1006:$AE$1006,0)), HYPERLINK("#",""), HYPERLINK(CONCATENATE("#Metadata!", ADDRESS(INDEX($Q$2:$Q$1001,MATCH(ROWS($O$2:O111),$O$2:$O$1001,0),0), INDEX($V$1004:$AE$1004,1,MATCH(COLUMNS($V$1006:W1006),$V$1006:$AE$1006,0)))),"Fix")))</f>
        <v>0</v>
      </c>
      <c r="D111" s="4">
        <f>IF(OR(INDEX($P$2:$P$1001,MATCH(ROWS($O$2:O111),$O$2:$O$1001,0),1)&gt;=100000,INDEX($V$1005:$AE$1005,1,MATCH(COLUMNS($V$1006:X1006),$V$1006:$AE$1006,0))&gt;=100000), " ",IF(INDEX($V$2:$AE$1001,MATCH(ROWS($O$2:O111),$O$2:$O$1001,0),MATCH(COLUMNS($V$1006:X1006),$V$1006:$AE$1006,0)), HYPERLINK("#",""), HYPERLINK(CONCATENATE("#Metadata!", ADDRESS(INDEX($Q$2:$Q$1001,MATCH(ROWS($O$2:O111),$O$2:$O$1001,0),0), INDEX($V$1004:$AE$1004,1,MATCH(COLUMNS($V$1006:X1006),$V$1006:$AE$1006,0)))),"Fix")))</f>
        <v>0</v>
      </c>
      <c r="E111" s="4">
        <f>IF(OR(INDEX($P$2:$P$1001,MATCH(ROWS($O$2:O111),$O$2:$O$1001,0),1)&gt;=100000,INDEX($V$1005:$AE$1005,1,MATCH(COLUMNS($V$1006:Y1006),$V$1006:$AE$1006,0))&gt;=100000), " ",IF(INDEX($V$2:$AE$1001,MATCH(ROWS($O$2:O111),$O$2:$O$1001,0),MATCH(COLUMNS($V$1006:Y1006),$V$1006:$AE$1006,0)), HYPERLINK("#",""), HYPERLINK(CONCATENATE("#Metadata!", ADDRESS(INDEX($Q$2:$Q$1001,MATCH(ROWS($O$2:O111),$O$2:$O$1001,0),0), INDEX($V$1004:$AE$1004,1,MATCH(COLUMNS($V$1006:Y1006),$V$1006:$AE$1006,0)))),"Fix")))</f>
        <v>0</v>
      </c>
      <c r="F111" s="4">
        <f>IF(OR(INDEX($P$2:$P$1001,MATCH(ROWS($O$2:O111),$O$2:$O$1001,0),1)&gt;=100000,INDEX($V$1005:$AE$1005,1,MATCH(COLUMNS($V$1006:Z1006),$V$1006:$AE$1006,0))&gt;=100000), " ",IF(INDEX($V$2:$AE$1001,MATCH(ROWS($O$2:O111),$O$2:$O$1001,0),MATCH(COLUMNS($V$1006:Z1006),$V$1006:$AE$1006,0)), HYPERLINK("#",""), HYPERLINK(CONCATENATE("#Metadata!", ADDRESS(INDEX($Q$2:$Q$1001,MATCH(ROWS($O$2:O111),$O$2:$O$1001,0),0), INDEX($V$1004:$AE$1004,1,MATCH(COLUMNS($V$1006:Z1006),$V$1006:$AE$1006,0)))),"Fix")))</f>
        <v>0</v>
      </c>
      <c r="G111" s="4">
        <f>IF(OR(INDEX($P$2:$P$1001,MATCH(ROWS($O$2:O111),$O$2:$O$1001,0),1)&gt;=100000,INDEX($V$1005:$AE$1005,1,MATCH(COLUMNS($V$1006:AA1006),$V$1006:$AE$1006,0))&gt;=100000), " ",IF(INDEX($V$2:$AE$1001,MATCH(ROWS($O$2:O111),$O$2:$O$1001,0),MATCH(COLUMNS($V$1006:AA1006),$V$1006:$AE$1006,0)), HYPERLINK("#",""), HYPERLINK(CONCATENATE("#Metadata!", ADDRESS(INDEX($Q$2:$Q$1001,MATCH(ROWS($O$2:O111),$O$2:$O$1001,0),0), INDEX($V$1004:$AE$1004,1,MATCH(COLUMNS($V$1006:AA1006),$V$1006:$AE$1006,0)))),"Fix")))</f>
        <v>0</v>
      </c>
      <c r="H111" s="4">
        <f>IF(OR(INDEX($P$2:$P$1001,MATCH(ROWS($O$2:O111),$O$2:$O$1001,0),1)&gt;=100000,INDEX($V$1005:$AE$1005,1,MATCH(COLUMNS($V$1006:AB1006),$V$1006:$AE$1006,0))&gt;=100000), " ",IF(INDEX($V$2:$AE$1001,MATCH(ROWS($O$2:O111),$O$2:$O$1001,0),MATCH(COLUMNS($V$1006:AB1006),$V$1006:$AE$1006,0)), HYPERLINK("#",""), HYPERLINK(CONCATENATE("#Metadata!", ADDRESS(INDEX($Q$2:$Q$1001,MATCH(ROWS($O$2:O111),$O$2:$O$1001,0),0), INDEX($V$1004:$AE$1004,1,MATCH(COLUMNS($V$1006:AB1006),$V$1006:$AE$1006,0)))),"Fix")))</f>
        <v>0</v>
      </c>
      <c r="I111" s="4">
        <f>IF(OR(INDEX($P$2:$P$1001,MATCH(ROWS($O$2:O111),$O$2:$O$1001,0),1)&gt;=100000,INDEX($V$1005:$AE$1005,1,MATCH(COLUMNS($V$1006:AC1006),$V$1006:$AE$1006,0))&gt;=100000), " ",IF(INDEX($V$2:$AE$1001,MATCH(ROWS($O$2:O111),$O$2:$O$1001,0),MATCH(COLUMNS($V$1006:AC1006),$V$1006:$AE$1006,0)), HYPERLINK("#",""), HYPERLINK(CONCATENATE("#Metadata!", ADDRESS(INDEX($Q$2:$Q$1001,MATCH(ROWS($O$2:O111),$O$2:$O$1001,0),0), INDEX($V$1004:$AE$1004,1,MATCH(COLUMNS($V$1006:AC1006),$V$1006:$AE$1006,0)))),"Fix")))</f>
        <v>0</v>
      </c>
      <c r="J111" s="4">
        <f>IF(OR(INDEX($P$2:$P$1001,MATCH(ROWS($O$2:O111),$O$2:$O$1001,0),1)&gt;=100000,INDEX($V$1005:$AE$1005,1,MATCH(COLUMNS($V$1006:AD1006),$V$1006:$AE$1006,0))&gt;=100000), " ",IF(INDEX($V$2:$AE$1001,MATCH(ROWS($O$2:O111),$O$2:$O$1001,0),MATCH(COLUMNS($V$1006:AD1006),$V$1006:$AE$1006,0)), HYPERLINK("#",""), HYPERLINK(CONCATENATE("#Metadata!", ADDRESS(INDEX($Q$2:$Q$1001,MATCH(ROWS($O$2:O111),$O$2:$O$1001,0),0), INDEX($V$1004:$AE$1004,1,MATCH(COLUMNS($V$1006:AD1006),$V$1006:$AE$1006,0)))),"Fix")))</f>
        <v>0</v>
      </c>
      <c r="K111" s="4">
        <f>IF(OR(INDEX($P$2:$P$1001,MATCH(ROWS($O$2:O111),$O$2:$O$1001,0),1)&gt;=100000,INDEX($V$1005:$AE$1005,1,MATCH(COLUMNS($V$1006:AE1006),$V$1006:$AE$1006,0))&gt;=100000), " ",IF(INDEX($V$2:$AE$1001,MATCH(ROWS($O$2:O111),$O$2:$O$1001,0),MATCH(COLUMNS($V$1006:AE1006),$V$1006:$AE$1006,0)), HYPERLINK("#",""), HYPERLINK(CONCATENATE("#Metadata!", ADDRESS(INDEX($Q$2:$Q$1001,MATCH(ROWS($O$2:O111),$O$2:$O$1001,0),0), INDEX($V$1004:$AE$1004,1,MATCH(COLUMNS($V$1006:AE1006),$V$1006:$AE$1006,0)))),"Fix")))</f>
        <v>0</v>
      </c>
      <c r="O111">
        <v>0</v>
      </c>
      <c r="P111">
        <v>0</v>
      </c>
      <c r="Q111">
        <v>0</v>
      </c>
      <c r="R111">
        <f>IF(S111,TRUE,AND(V111:AE111))</f>
        <v>0</v>
      </c>
      <c r="S111">
        <f>COUNTBLANK(Metadata!B111:K111)=COLUMNS(Metadata!B111:K111)</f>
        <v>0</v>
      </c>
      <c r="T111">
        <v>0</v>
      </c>
      <c r="V111">
        <f>AND(IF(Metadata!B111="",FALSE,TRUE),COUNTIF(Metadata!B:B, Metadata!B111) = 1,NOT(ISERROR(SUMPRODUCT(SEARCH(MID(Metadata!B111,ROW(INDIRECT("1:"&amp;LEN(Metadata!B111))), 1),"0123456789abcdefghijklmnopqrstuvwxyzABCDEFGHIJKLMNOPQRSTUVWXYZ.")))))</f>
        <v>0</v>
      </c>
      <c r="W111">
        <f>AND(IF(Metadata!C111="",FALSE,TRUE),exact(Metadata!C111,"urban biome"))</f>
        <v>0</v>
      </c>
      <c r="X111">
        <f>AND(IF(Metadata!D111="",FALSE,TRUE),exact(Metadata!D111,"animal-associated habitat"))</f>
        <v>0</v>
      </c>
      <c r="Y111">
        <f>OR(AND(IF(Metadata!E111="",FALSE,TRUE),OR(exact(Metadata!E111,"not applicable"),exact(Metadata!E111,"missing: not collected"),exact(Metadata!E111,"missing: not provided"),exact(Metadata!E111,"missing: restricted access"))),AND(IF(Metadata!E111="",FALSE,ISNUMBER(VALUE(Metadata!E111))),Metadata!E111&gt;0))</f>
        <v>0</v>
      </c>
      <c r="Z111">
        <f>AND(IF(Metadata!F111="",FALSE,TRUE),exact(Metadata!F111,"weeks"))</f>
        <v>0</v>
      </c>
      <c r="AA111">
        <f>AND(IF(Metadata!G111="",FALSE,TRUE),exact(Metadata!G111,"mouse"))</f>
        <v>0</v>
      </c>
      <c r="AB111">
        <f>AND(IF(Metadata!H111="",FALSE,TRUE),exact(Metadata!H111,"Mus musculus"))</f>
        <v>0</v>
      </c>
      <c r="AC111">
        <f>AND(IF(Metadata!I111="",FALSE,TRUE),exact(Metadata!I111,"10090"))</f>
        <v>0</v>
      </c>
      <c r="AD111">
        <f>OR(AND(IF(Metadata!J111="",FALSE,TRUE),OR(exact(Metadata!J111,"not applicable"),exact(Metadata!J111,"missing: not collected"),exact(Metadata!J111,"missing: not provided"),exact(Metadata!J111,"missing: restricted access"))),AND(IF(Metadata!J111="",FALSE,ISNUMBER(VALUE(Metadata!J111))),Metadata!J111&gt;0))</f>
        <v>0</v>
      </c>
      <c r="AE111">
        <f>AND(IF(Metadata!K111="",FALSE,TRUE),exact(Metadata!K111,"g"))</f>
        <v>0</v>
      </c>
    </row>
    <row r="112" spans="1:31">
      <c r="A112" s="5">
        <f>IF(B112=" "," ",HYPERLINK(CONCATENATE("#metadata!",ADDRESS(INDEX($Q$2:$Q$1001,MATCH(ROWS($O$2:O112),$O$2:$O$1001,0),0),1)),INDEX($T$2:$T$1001,MATCH(ROWS($O$2:O112),$O$2:$O$1001,0),0)))</f>
        <v>0</v>
      </c>
      <c r="B112" s="4">
        <f>IF(OR(INDEX($P$2:$P$1001,MATCH(ROWS($O$2:O112),$O$2:$O$1001,0),1)&gt;=100000,INDEX($V$1005:$AE$1005,1,MATCH(COLUMNS($V$1006:V1006),$V$1006:$AE$1006,0))&gt;=100000), " ",IF(INDEX($V$2:$AE$1001,MATCH(ROWS($O$2:O112),$O$2:$O$1001,0),MATCH(COLUMNS($V$1006:V1006),$V$1006:$AE$1006,0)), HYPERLINK("#",""), HYPERLINK(CONCATENATE("#Metadata!", ADDRESS(INDEX($Q$2:$Q$1001,MATCH(ROWS($O$2:O112),$O$2:$O$1001,0),0), INDEX($V$1004:$AE$1004,1,MATCH(COLUMNS($V$1006:V1006),$V$1006:$AE$1006,0)))),"Fix")))</f>
        <v>0</v>
      </c>
      <c r="C112" s="4">
        <f>IF(OR(INDEX($P$2:$P$1001,MATCH(ROWS($O$2:O112),$O$2:$O$1001,0),1)&gt;=100000,INDEX($V$1005:$AE$1005,1,MATCH(COLUMNS($V$1006:W1006),$V$1006:$AE$1006,0))&gt;=100000), " ",IF(INDEX($V$2:$AE$1001,MATCH(ROWS($O$2:O112),$O$2:$O$1001,0),MATCH(COLUMNS($V$1006:W1006),$V$1006:$AE$1006,0)), HYPERLINK("#",""), HYPERLINK(CONCATENATE("#Metadata!", ADDRESS(INDEX($Q$2:$Q$1001,MATCH(ROWS($O$2:O112),$O$2:$O$1001,0),0), INDEX($V$1004:$AE$1004,1,MATCH(COLUMNS($V$1006:W1006),$V$1006:$AE$1006,0)))),"Fix")))</f>
        <v>0</v>
      </c>
      <c r="D112" s="4">
        <f>IF(OR(INDEX($P$2:$P$1001,MATCH(ROWS($O$2:O112),$O$2:$O$1001,0),1)&gt;=100000,INDEX($V$1005:$AE$1005,1,MATCH(COLUMNS($V$1006:X1006),$V$1006:$AE$1006,0))&gt;=100000), " ",IF(INDEX($V$2:$AE$1001,MATCH(ROWS($O$2:O112),$O$2:$O$1001,0),MATCH(COLUMNS($V$1006:X1006),$V$1006:$AE$1006,0)), HYPERLINK("#",""), HYPERLINK(CONCATENATE("#Metadata!", ADDRESS(INDEX($Q$2:$Q$1001,MATCH(ROWS($O$2:O112),$O$2:$O$1001,0),0), INDEX($V$1004:$AE$1004,1,MATCH(COLUMNS($V$1006:X1006),$V$1006:$AE$1006,0)))),"Fix")))</f>
        <v>0</v>
      </c>
      <c r="E112" s="4">
        <f>IF(OR(INDEX($P$2:$P$1001,MATCH(ROWS($O$2:O112),$O$2:$O$1001,0),1)&gt;=100000,INDEX($V$1005:$AE$1005,1,MATCH(COLUMNS($V$1006:Y1006),$V$1006:$AE$1006,0))&gt;=100000), " ",IF(INDEX($V$2:$AE$1001,MATCH(ROWS($O$2:O112),$O$2:$O$1001,0),MATCH(COLUMNS($V$1006:Y1006),$V$1006:$AE$1006,0)), HYPERLINK("#",""), HYPERLINK(CONCATENATE("#Metadata!", ADDRESS(INDEX($Q$2:$Q$1001,MATCH(ROWS($O$2:O112),$O$2:$O$1001,0),0), INDEX($V$1004:$AE$1004,1,MATCH(COLUMNS($V$1006:Y1006),$V$1006:$AE$1006,0)))),"Fix")))</f>
        <v>0</v>
      </c>
      <c r="F112" s="4">
        <f>IF(OR(INDEX($P$2:$P$1001,MATCH(ROWS($O$2:O112),$O$2:$O$1001,0),1)&gt;=100000,INDEX($V$1005:$AE$1005,1,MATCH(COLUMNS($V$1006:Z1006),$V$1006:$AE$1006,0))&gt;=100000), " ",IF(INDEX($V$2:$AE$1001,MATCH(ROWS($O$2:O112),$O$2:$O$1001,0),MATCH(COLUMNS($V$1006:Z1006),$V$1006:$AE$1006,0)), HYPERLINK("#",""), HYPERLINK(CONCATENATE("#Metadata!", ADDRESS(INDEX($Q$2:$Q$1001,MATCH(ROWS($O$2:O112),$O$2:$O$1001,0),0), INDEX($V$1004:$AE$1004,1,MATCH(COLUMNS($V$1006:Z1006),$V$1006:$AE$1006,0)))),"Fix")))</f>
        <v>0</v>
      </c>
      <c r="G112" s="4">
        <f>IF(OR(INDEX($P$2:$P$1001,MATCH(ROWS($O$2:O112),$O$2:$O$1001,0),1)&gt;=100000,INDEX($V$1005:$AE$1005,1,MATCH(COLUMNS($V$1006:AA1006),$V$1006:$AE$1006,0))&gt;=100000), " ",IF(INDEX($V$2:$AE$1001,MATCH(ROWS($O$2:O112),$O$2:$O$1001,0),MATCH(COLUMNS($V$1006:AA1006),$V$1006:$AE$1006,0)), HYPERLINK("#",""), HYPERLINK(CONCATENATE("#Metadata!", ADDRESS(INDEX($Q$2:$Q$1001,MATCH(ROWS($O$2:O112),$O$2:$O$1001,0),0), INDEX($V$1004:$AE$1004,1,MATCH(COLUMNS($V$1006:AA1006),$V$1006:$AE$1006,0)))),"Fix")))</f>
        <v>0</v>
      </c>
      <c r="H112" s="4">
        <f>IF(OR(INDEX($P$2:$P$1001,MATCH(ROWS($O$2:O112),$O$2:$O$1001,0),1)&gt;=100000,INDEX($V$1005:$AE$1005,1,MATCH(COLUMNS($V$1006:AB1006),$V$1006:$AE$1006,0))&gt;=100000), " ",IF(INDEX($V$2:$AE$1001,MATCH(ROWS($O$2:O112),$O$2:$O$1001,0),MATCH(COLUMNS($V$1006:AB1006),$V$1006:$AE$1006,0)), HYPERLINK("#",""), HYPERLINK(CONCATENATE("#Metadata!", ADDRESS(INDEX($Q$2:$Q$1001,MATCH(ROWS($O$2:O112),$O$2:$O$1001,0),0), INDEX($V$1004:$AE$1004,1,MATCH(COLUMNS($V$1006:AB1006),$V$1006:$AE$1006,0)))),"Fix")))</f>
        <v>0</v>
      </c>
      <c r="I112" s="4">
        <f>IF(OR(INDEX($P$2:$P$1001,MATCH(ROWS($O$2:O112),$O$2:$O$1001,0),1)&gt;=100000,INDEX($V$1005:$AE$1005,1,MATCH(COLUMNS($V$1006:AC1006),$V$1006:$AE$1006,0))&gt;=100000), " ",IF(INDEX($V$2:$AE$1001,MATCH(ROWS($O$2:O112),$O$2:$O$1001,0),MATCH(COLUMNS($V$1006:AC1006),$V$1006:$AE$1006,0)), HYPERLINK("#",""), HYPERLINK(CONCATENATE("#Metadata!", ADDRESS(INDEX($Q$2:$Q$1001,MATCH(ROWS($O$2:O112),$O$2:$O$1001,0),0), INDEX($V$1004:$AE$1004,1,MATCH(COLUMNS($V$1006:AC1006),$V$1006:$AE$1006,0)))),"Fix")))</f>
        <v>0</v>
      </c>
      <c r="J112" s="4">
        <f>IF(OR(INDEX($P$2:$P$1001,MATCH(ROWS($O$2:O112),$O$2:$O$1001,0),1)&gt;=100000,INDEX($V$1005:$AE$1005,1,MATCH(COLUMNS($V$1006:AD1006),$V$1006:$AE$1006,0))&gt;=100000), " ",IF(INDEX($V$2:$AE$1001,MATCH(ROWS($O$2:O112),$O$2:$O$1001,0),MATCH(COLUMNS($V$1006:AD1006),$V$1006:$AE$1006,0)), HYPERLINK("#",""), HYPERLINK(CONCATENATE("#Metadata!", ADDRESS(INDEX($Q$2:$Q$1001,MATCH(ROWS($O$2:O112),$O$2:$O$1001,0),0), INDEX($V$1004:$AE$1004,1,MATCH(COLUMNS($V$1006:AD1006),$V$1006:$AE$1006,0)))),"Fix")))</f>
        <v>0</v>
      </c>
      <c r="K112" s="4">
        <f>IF(OR(INDEX($P$2:$P$1001,MATCH(ROWS($O$2:O112),$O$2:$O$1001,0),1)&gt;=100000,INDEX($V$1005:$AE$1005,1,MATCH(COLUMNS($V$1006:AE1006),$V$1006:$AE$1006,0))&gt;=100000), " ",IF(INDEX($V$2:$AE$1001,MATCH(ROWS($O$2:O112),$O$2:$O$1001,0),MATCH(COLUMNS($V$1006:AE1006),$V$1006:$AE$1006,0)), HYPERLINK("#",""), HYPERLINK(CONCATENATE("#Metadata!", ADDRESS(INDEX($Q$2:$Q$1001,MATCH(ROWS($O$2:O112),$O$2:$O$1001,0),0), INDEX($V$1004:$AE$1004,1,MATCH(COLUMNS($V$1006:AE1006),$V$1006:$AE$1006,0)))),"Fix")))</f>
        <v>0</v>
      </c>
      <c r="O112">
        <v>0</v>
      </c>
      <c r="P112">
        <v>0</v>
      </c>
      <c r="Q112">
        <v>0</v>
      </c>
      <c r="R112">
        <f>IF(S112,TRUE,AND(V112:AE112))</f>
        <v>0</v>
      </c>
      <c r="S112">
        <f>COUNTBLANK(Metadata!B112:K112)=COLUMNS(Metadata!B112:K112)</f>
        <v>0</v>
      </c>
      <c r="T112">
        <v>0</v>
      </c>
      <c r="V112">
        <f>AND(IF(Metadata!B112="",FALSE,TRUE),COUNTIF(Metadata!B:B, Metadata!B112) = 1,NOT(ISERROR(SUMPRODUCT(SEARCH(MID(Metadata!B112,ROW(INDIRECT("1:"&amp;LEN(Metadata!B112))), 1),"0123456789abcdefghijklmnopqrstuvwxyzABCDEFGHIJKLMNOPQRSTUVWXYZ.")))))</f>
        <v>0</v>
      </c>
      <c r="W112">
        <f>AND(IF(Metadata!C112="",FALSE,TRUE),exact(Metadata!C112,"urban biome"))</f>
        <v>0</v>
      </c>
      <c r="X112">
        <f>AND(IF(Metadata!D112="",FALSE,TRUE),exact(Metadata!D112,"animal-associated habitat"))</f>
        <v>0</v>
      </c>
      <c r="Y112">
        <f>OR(AND(IF(Metadata!E112="",FALSE,TRUE),OR(exact(Metadata!E112,"not applicable"),exact(Metadata!E112,"missing: not collected"),exact(Metadata!E112,"missing: not provided"),exact(Metadata!E112,"missing: restricted access"))),AND(IF(Metadata!E112="",FALSE,ISNUMBER(VALUE(Metadata!E112))),Metadata!E112&gt;0))</f>
        <v>0</v>
      </c>
      <c r="Z112">
        <f>AND(IF(Metadata!F112="",FALSE,TRUE),exact(Metadata!F112,"weeks"))</f>
        <v>0</v>
      </c>
      <c r="AA112">
        <f>AND(IF(Metadata!G112="",FALSE,TRUE),exact(Metadata!G112,"mouse"))</f>
        <v>0</v>
      </c>
      <c r="AB112">
        <f>AND(IF(Metadata!H112="",FALSE,TRUE),exact(Metadata!H112,"Mus musculus"))</f>
        <v>0</v>
      </c>
      <c r="AC112">
        <f>AND(IF(Metadata!I112="",FALSE,TRUE),exact(Metadata!I112,"10090"))</f>
        <v>0</v>
      </c>
      <c r="AD112">
        <f>OR(AND(IF(Metadata!J112="",FALSE,TRUE),OR(exact(Metadata!J112,"not applicable"),exact(Metadata!J112,"missing: not collected"),exact(Metadata!J112,"missing: not provided"),exact(Metadata!J112,"missing: restricted access"))),AND(IF(Metadata!J112="",FALSE,ISNUMBER(VALUE(Metadata!J112))),Metadata!J112&gt;0))</f>
        <v>0</v>
      </c>
      <c r="AE112">
        <f>AND(IF(Metadata!K112="",FALSE,TRUE),exact(Metadata!K112,"g"))</f>
        <v>0</v>
      </c>
    </row>
    <row r="113" spans="1:31">
      <c r="A113" s="5">
        <f>IF(B113=" "," ",HYPERLINK(CONCATENATE("#metadata!",ADDRESS(INDEX($Q$2:$Q$1001,MATCH(ROWS($O$2:O113),$O$2:$O$1001,0),0),1)),INDEX($T$2:$T$1001,MATCH(ROWS($O$2:O113),$O$2:$O$1001,0),0)))</f>
        <v>0</v>
      </c>
      <c r="B113" s="4">
        <f>IF(OR(INDEX($P$2:$P$1001,MATCH(ROWS($O$2:O113),$O$2:$O$1001,0),1)&gt;=100000,INDEX($V$1005:$AE$1005,1,MATCH(COLUMNS($V$1006:V1006),$V$1006:$AE$1006,0))&gt;=100000), " ",IF(INDEX($V$2:$AE$1001,MATCH(ROWS($O$2:O113),$O$2:$O$1001,0),MATCH(COLUMNS($V$1006:V1006),$V$1006:$AE$1006,0)), HYPERLINK("#",""), HYPERLINK(CONCATENATE("#Metadata!", ADDRESS(INDEX($Q$2:$Q$1001,MATCH(ROWS($O$2:O113),$O$2:$O$1001,0),0), INDEX($V$1004:$AE$1004,1,MATCH(COLUMNS($V$1006:V1006),$V$1006:$AE$1006,0)))),"Fix")))</f>
        <v>0</v>
      </c>
      <c r="C113" s="4">
        <f>IF(OR(INDEX($P$2:$P$1001,MATCH(ROWS($O$2:O113),$O$2:$O$1001,0),1)&gt;=100000,INDEX($V$1005:$AE$1005,1,MATCH(COLUMNS($V$1006:W1006),$V$1006:$AE$1006,0))&gt;=100000), " ",IF(INDEX($V$2:$AE$1001,MATCH(ROWS($O$2:O113),$O$2:$O$1001,0),MATCH(COLUMNS($V$1006:W1006),$V$1006:$AE$1006,0)), HYPERLINK("#",""), HYPERLINK(CONCATENATE("#Metadata!", ADDRESS(INDEX($Q$2:$Q$1001,MATCH(ROWS($O$2:O113),$O$2:$O$1001,0),0), INDEX($V$1004:$AE$1004,1,MATCH(COLUMNS($V$1006:W1006),$V$1006:$AE$1006,0)))),"Fix")))</f>
        <v>0</v>
      </c>
      <c r="D113" s="4">
        <f>IF(OR(INDEX($P$2:$P$1001,MATCH(ROWS($O$2:O113),$O$2:$O$1001,0),1)&gt;=100000,INDEX($V$1005:$AE$1005,1,MATCH(COLUMNS($V$1006:X1006),$V$1006:$AE$1006,0))&gt;=100000), " ",IF(INDEX($V$2:$AE$1001,MATCH(ROWS($O$2:O113),$O$2:$O$1001,0),MATCH(COLUMNS($V$1006:X1006),$V$1006:$AE$1006,0)), HYPERLINK("#",""), HYPERLINK(CONCATENATE("#Metadata!", ADDRESS(INDEX($Q$2:$Q$1001,MATCH(ROWS($O$2:O113),$O$2:$O$1001,0),0), INDEX($V$1004:$AE$1004,1,MATCH(COLUMNS($V$1006:X1006),$V$1006:$AE$1006,0)))),"Fix")))</f>
        <v>0</v>
      </c>
      <c r="E113" s="4">
        <f>IF(OR(INDEX($P$2:$P$1001,MATCH(ROWS($O$2:O113),$O$2:$O$1001,0),1)&gt;=100000,INDEX($V$1005:$AE$1005,1,MATCH(COLUMNS($V$1006:Y1006),$V$1006:$AE$1006,0))&gt;=100000), " ",IF(INDEX($V$2:$AE$1001,MATCH(ROWS($O$2:O113),$O$2:$O$1001,0),MATCH(COLUMNS($V$1006:Y1006),$V$1006:$AE$1006,0)), HYPERLINK("#",""), HYPERLINK(CONCATENATE("#Metadata!", ADDRESS(INDEX($Q$2:$Q$1001,MATCH(ROWS($O$2:O113),$O$2:$O$1001,0),0), INDEX($V$1004:$AE$1004,1,MATCH(COLUMNS($V$1006:Y1006),$V$1006:$AE$1006,0)))),"Fix")))</f>
        <v>0</v>
      </c>
      <c r="F113" s="4">
        <f>IF(OR(INDEX($P$2:$P$1001,MATCH(ROWS($O$2:O113),$O$2:$O$1001,0),1)&gt;=100000,INDEX($V$1005:$AE$1005,1,MATCH(COLUMNS($V$1006:Z1006),$V$1006:$AE$1006,0))&gt;=100000), " ",IF(INDEX($V$2:$AE$1001,MATCH(ROWS($O$2:O113),$O$2:$O$1001,0),MATCH(COLUMNS($V$1006:Z1006),$V$1006:$AE$1006,0)), HYPERLINK("#",""), HYPERLINK(CONCATENATE("#Metadata!", ADDRESS(INDEX($Q$2:$Q$1001,MATCH(ROWS($O$2:O113),$O$2:$O$1001,0),0), INDEX($V$1004:$AE$1004,1,MATCH(COLUMNS($V$1006:Z1006),$V$1006:$AE$1006,0)))),"Fix")))</f>
        <v>0</v>
      </c>
      <c r="G113" s="4">
        <f>IF(OR(INDEX($P$2:$P$1001,MATCH(ROWS($O$2:O113),$O$2:$O$1001,0),1)&gt;=100000,INDEX($V$1005:$AE$1005,1,MATCH(COLUMNS($V$1006:AA1006),$V$1006:$AE$1006,0))&gt;=100000), " ",IF(INDEX($V$2:$AE$1001,MATCH(ROWS($O$2:O113),$O$2:$O$1001,0),MATCH(COLUMNS($V$1006:AA1006),$V$1006:$AE$1006,0)), HYPERLINK("#",""), HYPERLINK(CONCATENATE("#Metadata!", ADDRESS(INDEX($Q$2:$Q$1001,MATCH(ROWS($O$2:O113),$O$2:$O$1001,0),0), INDEX($V$1004:$AE$1004,1,MATCH(COLUMNS($V$1006:AA1006),$V$1006:$AE$1006,0)))),"Fix")))</f>
        <v>0</v>
      </c>
      <c r="H113" s="4">
        <f>IF(OR(INDEX($P$2:$P$1001,MATCH(ROWS($O$2:O113),$O$2:$O$1001,0),1)&gt;=100000,INDEX($V$1005:$AE$1005,1,MATCH(COLUMNS($V$1006:AB1006),$V$1006:$AE$1006,0))&gt;=100000), " ",IF(INDEX($V$2:$AE$1001,MATCH(ROWS($O$2:O113),$O$2:$O$1001,0),MATCH(COLUMNS($V$1006:AB1006),$V$1006:$AE$1006,0)), HYPERLINK("#",""), HYPERLINK(CONCATENATE("#Metadata!", ADDRESS(INDEX($Q$2:$Q$1001,MATCH(ROWS($O$2:O113),$O$2:$O$1001,0),0), INDEX($V$1004:$AE$1004,1,MATCH(COLUMNS($V$1006:AB1006),$V$1006:$AE$1006,0)))),"Fix")))</f>
        <v>0</v>
      </c>
      <c r="I113" s="4">
        <f>IF(OR(INDEX($P$2:$P$1001,MATCH(ROWS($O$2:O113),$O$2:$O$1001,0),1)&gt;=100000,INDEX($V$1005:$AE$1005,1,MATCH(COLUMNS($V$1006:AC1006),$V$1006:$AE$1006,0))&gt;=100000), " ",IF(INDEX($V$2:$AE$1001,MATCH(ROWS($O$2:O113),$O$2:$O$1001,0),MATCH(COLUMNS($V$1006:AC1006),$V$1006:$AE$1006,0)), HYPERLINK("#",""), HYPERLINK(CONCATENATE("#Metadata!", ADDRESS(INDEX($Q$2:$Q$1001,MATCH(ROWS($O$2:O113),$O$2:$O$1001,0),0), INDEX($V$1004:$AE$1004,1,MATCH(COLUMNS($V$1006:AC1006),$V$1006:$AE$1006,0)))),"Fix")))</f>
        <v>0</v>
      </c>
      <c r="J113" s="4">
        <f>IF(OR(INDEX($P$2:$P$1001,MATCH(ROWS($O$2:O113),$O$2:$O$1001,0),1)&gt;=100000,INDEX($V$1005:$AE$1005,1,MATCH(COLUMNS($V$1006:AD1006),$V$1006:$AE$1006,0))&gt;=100000), " ",IF(INDEX($V$2:$AE$1001,MATCH(ROWS($O$2:O113),$O$2:$O$1001,0),MATCH(COLUMNS($V$1006:AD1006),$V$1006:$AE$1006,0)), HYPERLINK("#",""), HYPERLINK(CONCATENATE("#Metadata!", ADDRESS(INDEX($Q$2:$Q$1001,MATCH(ROWS($O$2:O113),$O$2:$O$1001,0),0), INDEX($V$1004:$AE$1004,1,MATCH(COLUMNS($V$1006:AD1006),$V$1006:$AE$1006,0)))),"Fix")))</f>
        <v>0</v>
      </c>
      <c r="K113" s="4">
        <f>IF(OR(INDEX($P$2:$P$1001,MATCH(ROWS($O$2:O113),$O$2:$O$1001,0),1)&gt;=100000,INDEX($V$1005:$AE$1005,1,MATCH(COLUMNS($V$1006:AE1006),$V$1006:$AE$1006,0))&gt;=100000), " ",IF(INDEX($V$2:$AE$1001,MATCH(ROWS($O$2:O113),$O$2:$O$1001,0),MATCH(COLUMNS($V$1006:AE1006),$V$1006:$AE$1006,0)), HYPERLINK("#",""), HYPERLINK(CONCATENATE("#Metadata!", ADDRESS(INDEX($Q$2:$Q$1001,MATCH(ROWS($O$2:O113),$O$2:$O$1001,0),0), INDEX($V$1004:$AE$1004,1,MATCH(COLUMNS($V$1006:AE1006),$V$1006:$AE$1006,0)))),"Fix")))</f>
        <v>0</v>
      </c>
      <c r="O113">
        <v>0</v>
      </c>
      <c r="P113">
        <v>0</v>
      </c>
      <c r="Q113">
        <v>0</v>
      </c>
      <c r="R113">
        <f>IF(S113,TRUE,AND(V113:AE113))</f>
        <v>0</v>
      </c>
      <c r="S113">
        <f>COUNTBLANK(Metadata!B113:K113)=COLUMNS(Metadata!B113:K113)</f>
        <v>0</v>
      </c>
      <c r="T113">
        <v>0</v>
      </c>
      <c r="V113">
        <f>AND(IF(Metadata!B113="",FALSE,TRUE),COUNTIF(Metadata!B:B, Metadata!B113) = 1,NOT(ISERROR(SUMPRODUCT(SEARCH(MID(Metadata!B113,ROW(INDIRECT("1:"&amp;LEN(Metadata!B113))), 1),"0123456789abcdefghijklmnopqrstuvwxyzABCDEFGHIJKLMNOPQRSTUVWXYZ.")))))</f>
        <v>0</v>
      </c>
      <c r="W113">
        <f>AND(IF(Metadata!C113="",FALSE,TRUE),exact(Metadata!C113,"urban biome"))</f>
        <v>0</v>
      </c>
      <c r="X113">
        <f>AND(IF(Metadata!D113="",FALSE,TRUE),exact(Metadata!D113,"animal-associated habitat"))</f>
        <v>0</v>
      </c>
      <c r="Y113">
        <f>OR(AND(IF(Metadata!E113="",FALSE,TRUE),OR(exact(Metadata!E113,"not applicable"),exact(Metadata!E113,"missing: not collected"),exact(Metadata!E113,"missing: not provided"),exact(Metadata!E113,"missing: restricted access"))),AND(IF(Metadata!E113="",FALSE,ISNUMBER(VALUE(Metadata!E113))),Metadata!E113&gt;0))</f>
        <v>0</v>
      </c>
      <c r="Z113">
        <f>AND(IF(Metadata!F113="",FALSE,TRUE),exact(Metadata!F113,"weeks"))</f>
        <v>0</v>
      </c>
      <c r="AA113">
        <f>AND(IF(Metadata!G113="",FALSE,TRUE),exact(Metadata!G113,"mouse"))</f>
        <v>0</v>
      </c>
      <c r="AB113">
        <f>AND(IF(Metadata!H113="",FALSE,TRUE),exact(Metadata!H113,"Mus musculus"))</f>
        <v>0</v>
      </c>
      <c r="AC113">
        <f>AND(IF(Metadata!I113="",FALSE,TRUE),exact(Metadata!I113,"10090"))</f>
        <v>0</v>
      </c>
      <c r="AD113">
        <f>OR(AND(IF(Metadata!J113="",FALSE,TRUE),OR(exact(Metadata!J113,"not applicable"),exact(Metadata!J113,"missing: not collected"),exact(Metadata!J113,"missing: not provided"),exact(Metadata!J113,"missing: restricted access"))),AND(IF(Metadata!J113="",FALSE,ISNUMBER(VALUE(Metadata!J113))),Metadata!J113&gt;0))</f>
        <v>0</v>
      </c>
      <c r="AE113">
        <f>AND(IF(Metadata!K113="",FALSE,TRUE),exact(Metadata!K113,"g"))</f>
        <v>0</v>
      </c>
    </row>
    <row r="114" spans="1:31">
      <c r="A114" s="5">
        <f>IF(B114=" "," ",HYPERLINK(CONCATENATE("#metadata!",ADDRESS(INDEX($Q$2:$Q$1001,MATCH(ROWS($O$2:O114),$O$2:$O$1001,0),0),1)),INDEX($T$2:$T$1001,MATCH(ROWS($O$2:O114),$O$2:$O$1001,0),0)))</f>
        <v>0</v>
      </c>
      <c r="B114" s="4">
        <f>IF(OR(INDEX($P$2:$P$1001,MATCH(ROWS($O$2:O114),$O$2:$O$1001,0),1)&gt;=100000,INDEX($V$1005:$AE$1005,1,MATCH(COLUMNS($V$1006:V1006),$V$1006:$AE$1006,0))&gt;=100000), " ",IF(INDEX($V$2:$AE$1001,MATCH(ROWS($O$2:O114),$O$2:$O$1001,0),MATCH(COLUMNS($V$1006:V1006),$V$1006:$AE$1006,0)), HYPERLINK("#",""), HYPERLINK(CONCATENATE("#Metadata!", ADDRESS(INDEX($Q$2:$Q$1001,MATCH(ROWS($O$2:O114),$O$2:$O$1001,0),0), INDEX($V$1004:$AE$1004,1,MATCH(COLUMNS($V$1006:V1006),$V$1006:$AE$1006,0)))),"Fix")))</f>
        <v>0</v>
      </c>
      <c r="C114" s="4">
        <f>IF(OR(INDEX($P$2:$P$1001,MATCH(ROWS($O$2:O114),$O$2:$O$1001,0),1)&gt;=100000,INDEX($V$1005:$AE$1005,1,MATCH(COLUMNS($V$1006:W1006),$V$1006:$AE$1006,0))&gt;=100000), " ",IF(INDEX($V$2:$AE$1001,MATCH(ROWS($O$2:O114),$O$2:$O$1001,0),MATCH(COLUMNS($V$1006:W1006),$V$1006:$AE$1006,0)), HYPERLINK("#",""), HYPERLINK(CONCATENATE("#Metadata!", ADDRESS(INDEX($Q$2:$Q$1001,MATCH(ROWS($O$2:O114),$O$2:$O$1001,0),0), INDEX($V$1004:$AE$1004,1,MATCH(COLUMNS($V$1006:W1006),$V$1006:$AE$1006,0)))),"Fix")))</f>
        <v>0</v>
      </c>
      <c r="D114" s="4">
        <f>IF(OR(INDEX($P$2:$P$1001,MATCH(ROWS($O$2:O114),$O$2:$O$1001,0),1)&gt;=100000,INDEX($V$1005:$AE$1005,1,MATCH(COLUMNS($V$1006:X1006),$V$1006:$AE$1006,0))&gt;=100000), " ",IF(INDEX($V$2:$AE$1001,MATCH(ROWS($O$2:O114),$O$2:$O$1001,0),MATCH(COLUMNS($V$1006:X1006),$V$1006:$AE$1006,0)), HYPERLINK("#",""), HYPERLINK(CONCATENATE("#Metadata!", ADDRESS(INDEX($Q$2:$Q$1001,MATCH(ROWS($O$2:O114),$O$2:$O$1001,0),0), INDEX($V$1004:$AE$1004,1,MATCH(COLUMNS($V$1006:X1006),$V$1006:$AE$1006,0)))),"Fix")))</f>
        <v>0</v>
      </c>
      <c r="E114" s="4">
        <f>IF(OR(INDEX($P$2:$P$1001,MATCH(ROWS($O$2:O114),$O$2:$O$1001,0),1)&gt;=100000,INDEX($V$1005:$AE$1005,1,MATCH(COLUMNS($V$1006:Y1006),$V$1006:$AE$1006,0))&gt;=100000), " ",IF(INDEX($V$2:$AE$1001,MATCH(ROWS($O$2:O114),$O$2:$O$1001,0),MATCH(COLUMNS($V$1006:Y1006),$V$1006:$AE$1006,0)), HYPERLINK("#",""), HYPERLINK(CONCATENATE("#Metadata!", ADDRESS(INDEX($Q$2:$Q$1001,MATCH(ROWS($O$2:O114),$O$2:$O$1001,0),0), INDEX($V$1004:$AE$1004,1,MATCH(COLUMNS($V$1006:Y1006),$V$1006:$AE$1006,0)))),"Fix")))</f>
        <v>0</v>
      </c>
      <c r="F114" s="4">
        <f>IF(OR(INDEX($P$2:$P$1001,MATCH(ROWS($O$2:O114),$O$2:$O$1001,0),1)&gt;=100000,INDEX($V$1005:$AE$1005,1,MATCH(COLUMNS($V$1006:Z1006),$V$1006:$AE$1006,0))&gt;=100000), " ",IF(INDEX($V$2:$AE$1001,MATCH(ROWS($O$2:O114),$O$2:$O$1001,0),MATCH(COLUMNS($V$1006:Z1006),$V$1006:$AE$1006,0)), HYPERLINK("#",""), HYPERLINK(CONCATENATE("#Metadata!", ADDRESS(INDEX($Q$2:$Q$1001,MATCH(ROWS($O$2:O114),$O$2:$O$1001,0),0), INDEX($V$1004:$AE$1004,1,MATCH(COLUMNS($V$1006:Z1006),$V$1006:$AE$1006,0)))),"Fix")))</f>
        <v>0</v>
      </c>
      <c r="G114" s="4">
        <f>IF(OR(INDEX($P$2:$P$1001,MATCH(ROWS($O$2:O114),$O$2:$O$1001,0),1)&gt;=100000,INDEX($V$1005:$AE$1005,1,MATCH(COLUMNS($V$1006:AA1006),$V$1006:$AE$1006,0))&gt;=100000), " ",IF(INDEX($V$2:$AE$1001,MATCH(ROWS($O$2:O114),$O$2:$O$1001,0),MATCH(COLUMNS($V$1006:AA1006),$V$1006:$AE$1006,0)), HYPERLINK("#",""), HYPERLINK(CONCATENATE("#Metadata!", ADDRESS(INDEX($Q$2:$Q$1001,MATCH(ROWS($O$2:O114),$O$2:$O$1001,0),0), INDEX($V$1004:$AE$1004,1,MATCH(COLUMNS($V$1006:AA1006),$V$1006:$AE$1006,0)))),"Fix")))</f>
        <v>0</v>
      </c>
      <c r="H114" s="4">
        <f>IF(OR(INDEX($P$2:$P$1001,MATCH(ROWS($O$2:O114),$O$2:$O$1001,0),1)&gt;=100000,INDEX($V$1005:$AE$1005,1,MATCH(COLUMNS($V$1006:AB1006),$V$1006:$AE$1006,0))&gt;=100000), " ",IF(INDEX($V$2:$AE$1001,MATCH(ROWS($O$2:O114),$O$2:$O$1001,0),MATCH(COLUMNS($V$1006:AB1006),$V$1006:$AE$1006,0)), HYPERLINK("#",""), HYPERLINK(CONCATENATE("#Metadata!", ADDRESS(INDEX($Q$2:$Q$1001,MATCH(ROWS($O$2:O114),$O$2:$O$1001,0),0), INDEX($V$1004:$AE$1004,1,MATCH(COLUMNS($V$1006:AB1006),$V$1006:$AE$1006,0)))),"Fix")))</f>
        <v>0</v>
      </c>
      <c r="I114" s="4">
        <f>IF(OR(INDEX($P$2:$P$1001,MATCH(ROWS($O$2:O114),$O$2:$O$1001,0),1)&gt;=100000,INDEX($V$1005:$AE$1005,1,MATCH(COLUMNS($V$1006:AC1006),$V$1006:$AE$1006,0))&gt;=100000), " ",IF(INDEX($V$2:$AE$1001,MATCH(ROWS($O$2:O114),$O$2:$O$1001,0),MATCH(COLUMNS($V$1006:AC1006),$V$1006:$AE$1006,0)), HYPERLINK("#",""), HYPERLINK(CONCATENATE("#Metadata!", ADDRESS(INDEX($Q$2:$Q$1001,MATCH(ROWS($O$2:O114),$O$2:$O$1001,0),0), INDEX($V$1004:$AE$1004,1,MATCH(COLUMNS($V$1006:AC1006),$V$1006:$AE$1006,0)))),"Fix")))</f>
        <v>0</v>
      </c>
      <c r="J114" s="4">
        <f>IF(OR(INDEX($P$2:$P$1001,MATCH(ROWS($O$2:O114),$O$2:$O$1001,0),1)&gt;=100000,INDEX($V$1005:$AE$1005,1,MATCH(COLUMNS($V$1006:AD1006),$V$1006:$AE$1006,0))&gt;=100000), " ",IF(INDEX($V$2:$AE$1001,MATCH(ROWS($O$2:O114),$O$2:$O$1001,0),MATCH(COLUMNS($V$1006:AD1006),$V$1006:$AE$1006,0)), HYPERLINK("#",""), HYPERLINK(CONCATENATE("#Metadata!", ADDRESS(INDEX($Q$2:$Q$1001,MATCH(ROWS($O$2:O114),$O$2:$O$1001,0),0), INDEX($V$1004:$AE$1004,1,MATCH(COLUMNS($V$1006:AD1006),$V$1006:$AE$1006,0)))),"Fix")))</f>
        <v>0</v>
      </c>
      <c r="K114" s="4">
        <f>IF(OR(INDEX($P$2:$P$1001,MATCH(ROWS($O$2:O114),$O$2:$O$1001,0),1)&gt;=100000,INDEX($V$1005:$AE$1005,1,MATCH(COLUMNS($V$1006:AE1006),$V$1006:$AE$1006,0))&gt;=100000), " ",IF(INDEX($V$2:$AE$1001,MATCH(ROWS($O$2:O114),$O$2:$O$1001,0),MATCH(COLUMNS($V$1006:AE1006),$V$1006:$AE$1006,0)), HYPERLINK("#",""), HYPERLINK(CONCATENATE("#Metadata!", ADDRESS(INDEX($Q$2:$Q$1001,MATCH(ROWS($O$2:O114),$O$2:$O$1001,0),0), INDEX($V$1004:$AE$1004,1,MATCH(COLUMNS($V$1006:AE1006),$V$1006:$AE$1006,0)))),"Fix")))</f>
        <v>0</v>
      </c>
      <c r="O114">
        <v>0</v>
      </c>
      <c r="P114">
        <v>0</v>
      </c>
      <c r="Q114">
        <v>0</v>
      </c>
      <c r="R114">
        <f>IF(S114,TRUE,AND(V114:AE114))</f>
        <v>0</v>
      </c>
      <c r="S114">
        <f>COUNTBLANK(Metadata!B114:K114)=COLUMNS(Metadata!B114:K114)</f>
        <v>0</v>
      </c>
      <c r="T114">
        <v>0</v>
      </c>
      <c r="V114">
        <f>AND(IF(Metadata!B114="",FALSE,TRUE),COUNTIF(Metadata!B:B, Metadata!B114) = 1,NOT(ISERROR(SUMPRODUCT(SEARCH(MID(Metadata!B114,ROW(INDIRECT("1:"&amp;LEN(Metadata!B114))), 1),"0123456789abcdefghijklmnopqrstuvwxyzABCDEFGHIJKLMNOPQRSTUVWXYZ.")))))</f>
        <v>0</v>
      </c>
      <c r="W114">
        <f>AND(IF(Metadata!C114="",FALSE,TRUE),exact(Metadata!C114,"urban biome"))</f>
        <v>0</v>
      </c>
      <c r="X114">
        <f>AND(IF(Metadata!D114="",FALSE,TRUE),exact(Metadata!D114,"animal-associated habitat"))</f>
        <v>0</v>
      </c>
      <c r="Y114">
        <f>OR(AND(IF(Metadata!E114="",FALSE,TRUE),OR(exact(Metadata!E114,"not applicable"),exact(Metadata!E114,"missing: not collected"),exact(Metadata!E114,"missing: not provided"),exact(Metadata!E114,"missing: restricted access"))),AND(IF(Metadata!E114="",FALSE,ISNUMBER(VALUE(Metadata!E114))),Metadata!E114&gt;0))</f>
        <v>0</v>
      </c>
      <c r="Z114">
        <f>AND(IF(Metadata!F114="",FALSE,TRUE),exact(Metadata!F114,"weeks"))</f>
        <v>0</v>
      </c>
      <c r="AA114">
        <f>AND(IF(Metadata!G114="",FALSE,TRUE),exact(Metadata!G114,"mouse"))</f>
        <v>0</v>
      </c>
      <c r="AB114">
        <f>AND(IF(Metadata!H114="",FALSE,TRUE),exact(Metadata!H114,"Mus musculus"))</f>
        <v>0</v>
      </c>
      <c r="AC114">
        <f>AND(IF(Metadata!I114="",FALSE,TRUE),exact(Metadata!I114,"10090"))</f>
        <v>0</v>
      </c>
      <c r="AD114">
        <f>OR(AND(IF(Metadata!J114="",FALSE,TRUE),OR(exact(Metadata!J114,"not applicable"),exact(Metadata!J114,"missing: not collected"),exact(Metadata!J114,"missing: not provided"),exact(Metadata!J114,"missing: restricted access"))),AND(IF(Metadata!J114="",FALSE,ISNUMBER(VALUE(Metadata!J114))),Metadata!J114&gt;0))</f>
        <v>0</v>
      </c>
      <c r="AE114">
        <f>AND(IF(Metadata!K114="",FALSE,TRUE),exact(Metadata!K114,"g"))</f>
        <v>0</v>
      </c>
    </row>
    <row r="115" spans="1:31">
      <c r="A115" s="5">
        <f>IF(B115=" "," ",HYPERLINK(CONCATENATE("#metadata!",ADDRESS(INDEX($Q$2:$Q$1001,MATCH(ROWS($O$2:O115),$O$2:$O$1001,0),0),1)),INDEX($T$2:$T$1001,MATCH(ROWS($O$2:O115),$O$2:$O$1001,0),0)))</f>
        <v>0</v>
      </c>
      <c r="B115" s="4">
        <f>IF(OR(INDEX($P$2:$P$1001,MATCH(ROWS($O$2:O115),$O$2:$O$1001,0),1)&gt;=100000,INDEX($V$1005:$AE$1005,1,MATCH(COLUMNS($V$1006:V1006),$V$1006:$AE$1006,0))&gt;=100000), " ",IF(INDEX($V$2:$AE$1001,MATCH(ROWS($O$2:O115),$O$2:$O$1001,0),MATCH(COLUMNS($V$1006:V1006),$V$1006:$AE$1006,0)), HYPERLINK("#",""), HYPERLINK(CONCATENATE("#Metadata!", ADDRESS(INDEX($Q$2:$Q$1001,MATCH(ROWS($O$2:O115),$O$2:$O$1001,0),0), INDEX($V$1004:$AE$1004,1,MATCH(COLUMNS($V$1006:V1006),$V$1006:$AE$1006,0)))),"Fix")))</f>
        <v>0</v>
      </c>
      <c r="C115" s="4">
        <f>IF(OR(INDEX($P$2:$P$1001,MATCH(ROWS($O$2:O115),$O$2:$O$1001,0),1)&gt;=100000,INDEX($V$1005:$AE$1005,1,MATCH(COLUMNS($V$1006:W1006),$V$1006:$AE$1006,0))&gt;=100000), " ",IF(INDEX($V$2:$AE$1001,MATCH(ROWS($O$2:O115),$O$2:$O$1001,0),MATCH(COLUMNS($V$1006:W1006),$V$1006:$AE$1006,0)), HYPERLINK("#",""), HYPERLINK(CONCATENATE("#Metadata!", ADDRESS(INDEX($Q$2:$Q$1001,MATCH(ROWS($O$2:O115),$O$2:$O$1001,0),0), INDEX($V$1004:$AE$1004,1,MATCH(COLUMNS($V$1006:W1006),$V$1006:$AE$1006,0)))),"Fix")))</f>
        <v>0</v>
      </c>
      <c r="D115" s="4">
        <f>IF(OR(INDEX($P$2:$P$1001,MATCH(ROWS($O$2:O115),$O$2:$O$1001,0),1)&gt;=100000,INDEX($V$1005:$AE$1005,1,MATCH(COLUMNS($V$1006:X1006),$V$1006:$AE$1006,0))&gt;=100000), " ",IF(INDEX($V$2:$AE$1001,MATCH(ROWS($O$2:O115),$O$2:$O$1001,0),MATCH(COLUMNS($V$1006:X1006),$V$1006:$AE$1006,0)), HYPERLINK("#",""), HYPERLINK(CONCATENATE("#Metadata!", ADDRESS(INDEX($Q$2:$Q$1001,MATCH(ROWS($O$2:O115),$O$2:$O$1001,0),0), INDEX($V$1004:$AE$1004,1,MATCH(COLUMNS($V$1006:X1006),$V$1006:$AE$1006,0)))),"Fix")))</f>
        <v>0</v>
      </c>
      <c r="E115" s="4">
        <f>IF(OR(INDEX($P$2:$P$1001,MATCH(ROWS($O$2:O115),$O$2:$O$1001,0),1)&gt;=100000,INDEX($V$1005:$AE$1005,1,MATCH(COLUMNS($V$1006:Y1006),$V$1006:$AE$1006,0))&gt;=100000), " ",IF(INDEX($V$2:$AE$1001,MATCH(ROWS($O$2:O115),$O$2:$O$1001,0),MATCH(COLUMNS($V$1006:Y1006),$V$1006:$AE$1006,0)), HYPERLINK("#",""), HYPERLINK(CONCATENATE("#Metadata!", ADDRESS(INDEX($Q$2:$Q$1001,MATCH(ROWS($O$2:O115),$O$2:$O$1001,0),0), INDEX($V$1004:$AE$1004,1,MATCH(COLUMNS($V$1006:Y1006),$V$1006:$AE$1006,0)))),"Fix")))</f>
        <v>0</v>
      </c>
      <c r="F115" s="4">
        <f>IF(OR(INDEX($P$2:$P$1001,MATCH(ROWS($O$2:O115),$O$2:$O$1001,0),1)&gt;=100000,INDEX($V$1005:$AE$1005,1,MATCH(COLUMNS($V$1006:Z1006),$V$1006:$AE$1006,0))&gt;=100000), " ",IF(INDEX($V$2:$AE$1001,MATCH(ROWS($O$2:O115),$O$2:$O$1001,0),MATCH(COLUMNS($V$1006:Z1006),$V$1006:$AE$1006,0)), HYPERLINK("#",""), HYPERLINK(CONCATENATE("#Metadata!", ADDRESS(INDEX($Q$2:$Q$1001,MATCH(ROWS($O$2:O115),$O$2:$O$1001,0),0), INDEX($V$1004:$AE$1004,1,MATCH(COLUMNS($V$1006:Z1006),$V$1006:$AE$1006,0)))),"Fix")))</f>
        <v>0</v>
      </c>
      <c r="G115" s="4">
        <f>IF(OR(INDEX($P$2:$P$1001,MATCH(ROWS($O$2:O115),$O$2:$O$1001,0),1)&gt;=100000,INDEX($V$1005:$AE$1005,1,MATCH(COLUMNS($V$1006:AA1006),$V$1006:$AE$1006,0))&gt;=100000), " ",IF(INDEX($V$2:$AE$1001,MATCH(ROWS($O$2:O115),$O$2:$O$1001,0),MATCH(COLUMNS($V$1006:AA1006),$V$1006:$AE$1006,0)), HYPERLINK("#",""), HYPERLINK(CONCATENATE("#Metadata!", ADDRESS(INDEX($Q$2:$Q$1001,MATCH(ROWS($O$2:O115),$O$2:$O$1001,0),0), INDEX($V$1004:$AE$1004,1,MATCH(COLUMNS($V$1006:AA1006),$V$1006:$AE$1006,0)))),"Fix")))</f>
        <v>0</v>
      </c>
      <c r="H115" s="4">
        <f>IF(OR(INDEX($P$2:$P$1001,MATCH(ROWS($O$2:O115),$O$2:$O$1001,0),1)&gt;=100000,INDEX($V$1005:$AE$1005,1,MATCH(COLUMNS($V$1006:AB1006),$V$1006:$AE$1006,0))&gt;=100000), " ",IF(INDEX($V$2:$AE$1001,MATCH(ROWS($O$2:O115),$O$2:$O$1001,0),MATCH(COLUMNS($V$1006:AB1006),$V$1006:$AE$1006,0)), HYPERLINK("#",""), HYPERLINK(CONCATENATE("#Metadata!", ADDRESS(INDEX($Q$2:$Q$1001,MATCH(ROWS($O$2:O115),$O$2:$O$1001,0),0), INDEX($V$1004:$AE$1004,1,MATCH(COLUMNS($V$1006:AB1006),$V$1006:$AE$1006,0)))),"Fix")))</f>
        <v>0</v>
      </c>
      <c r="I115" s="4">
        <f>IF(OR(INDEX($P$2:$P$1001,MATCH(ROWS($O$2:O115),$O$2:$O$1001,0),1)&gt;=100000,INDEX($V$1005:$AE$1005,1,MATCH(COLUMNS($V$1006:AC1006),$V$1006:$AE$1006,0))&gt;=100000), " ",IF(INDEX($V$2:$AE$1001,MATCH(ROWS($O$2:O115),$O$2:$O$1001,0),MATCH(COLUMNS($V$1006:AC1006),$V$1006:$AE$1006,0)), HYPERLINK("#",""), HYPERLINK(CONCATENATE("#Metadata!", ADDRESS(INDEX($Q$2:$Q$1001,MATCH(ROWS($O$2:O115),$O$2:$O$1001,0),0), INDEX($V$1004:$AE$1004,1,MATCH(COLUMNS($V$1006:AC1006),$V$1006:$AE$1006,0)))),"Fix")))</f>
        <v>0</v>
      </c>
      <c r="J115" s="4">
        <f>IF(OR(INDEX($P$2:$P$1001,MATCH(ROWS($O$2:O115),$O$2:$O$1001,0),1)&gt;=100000,INDEX($V$1005:$AE$1005,1,MATCH(COLUMNS($V$1006:AD1006),$V$1006:$AE$1006,0))&gt;=100000), " ",IF(INDEX($V$2:$AE$1001,MATCH(ROWS($O$2:O115),$O$2:$O$1001,0),MATCH(COLUMNS($V$1006:AD1006),$V$1006:$AE$1006,0)), HYPERLINK("#",""), HYPERLINK(CONCATENATE("#Metadata!", ADDRESS(INDEX($Q$2:$Q$1001,MATCH(ROWS($O$2:O115),$O$2:$O$1001,0),0), INDEX($V$1004:$AE$1004,1,MATCH(COLUMNS($V$1006:AD1006),$V$1006:$AE$1006,0)))),"Fix")))</f>
        <v>0</v>
      </c>
      <c r="K115" s="4">
        <f>IF(OR(INDEX($P$2:$P$1001,MATCH(ROWS($O$2:O115),$O$2:$O$1001,0),1)&gt;=100000,INDEX($V$1005:$AE$1005,1,MATCH(COLUMNS($V$1006:AE1006),$V$1006:$AE$1006,0))&gt;=100000), " ",IF(INDEX($V$2:$AE$1001,MATCH(ROWS($O$2:O115),$O$2:$O$1001,0),MATCH(COLUMNS($V$1006:AE1006),$V$1006:$AE$1006,0)), HYPERLINK("#",""), HYPERLINK(CONCATENATE("#Metadata!", ADDRESS(INDEX($Q$2:$Q$1001,MATCH(ROWS($O$2:O115),$O$2:$O$1001,0),0), INDEX($V$1004:$AE$1004,1,MATCH(COLUMNS($V$1006:AE1006),$V$1006:$AE$1006,0)))),"Fix")))</f>
        <v>0</v>
      </c>
      <c r="O115">
        <v>0</v>
      </c>
      <c r="P115">
        <v>0</v>
      </c>
      <c r="Q115">
        <v>0</v>
      </c>
      <c r="R115">
        <f>IF(S115,TRUE,AND(V115:AE115))</f>
        <v>0</v>
      </c>
      <c r="S115">
        <f>COUNTBLANK(Metadata!B115:K115)=COLUMNS(Metadata!B115:K115)</f>
        <v>0</v>
      </c>
      <c r="T115">
        <v>0</v>
      </c>
      <c r="V115">
        <f>AND(IF(Metadata!B115="",FALSE,TRUE),COUNTIF(Metadata!B:B, Metadata!B115) = 1,NOT(ISERROR(SUMPRODUCT(SEARCH(MID(Metadata!B115,ROW(INDIRECT("1:"&amp;LEN(Metadata!B115))), 1),"0123456789abcdefghijklmnopqrstuvwxyzABCDEFGHIJKLMNOPQRSTUVWXYZ.")))))</f>
        <v>0</v>
      </c>
      <c r="W115">
        <f>AND(IF(Metadata!C115="",FALSE,TRUE),exact(Metadata!C115,"urban biome"))</f>
        <v>0</v>
      </c>
      <c r="X115">
        <f>AND(IF(Metadata!D115="",FALSE,TRUE),exact(Metadata!D115,"animal-associated habitat"))</f>
        <v>0</v>
      </c>
      <c r="Y115">
        <f>OR(AND(IF(Metadata!E115="",FALSE,TRUE),OR(exact(Metadata!E115,"not applicable"),exact(Metadata!E115,"missing: not collected"),exact(Metadata!E115,"missing: not provided"),exact(Metadata!E115,"missing: restricted access"))),AND(IF(Metadata!E115="",FALSE,ISNUMBER(VALUE(Metadata!E115))),Metadata!E115&gt;0))</f>
        <v>0</v>
      </c>
      <c r="Z115">
        <f>AND(IF(Metadata!F115="",FALSE,TRUE),exact(Metadata!F115,"weeks"))</f>
        <v>0</v>
      </c>
      <c r="AA115">
        <f>AND(IF(Metadata!G115="",FALSE,TRUE),exact(Metadata!G115,"mouse"))</f>
        <v>0</v>
      </c>
      <c r="AB115">
        <f>AND(IF(Metadata!H115="",FALSE,TRUE),exact(Metadata!H115,"Mus musculus"))</f>
        <v>0</v>
      </c>
      <c r="AC115">
        <f>AND(IF(Metadata!I115="",FALSE,TRUE),exact(Metadata!I115,"10090"))</f>
        <v>0</v>
      </c>
      <c r="AD115">
        <f>OR(AND(IF(Metadata!J115="",FALSE,TRUE),OR(exact(Metadata!J115,"not applicable"),exact(Metadata!J115,"missing: not collected"),exact(Metadata!J115,"missing: not provided"),exact(Metadata!J115,"missing: restricted access"))),AND(IF(Metadata!J115="",FALSE,ISNUMBER(VALUE(Metadata!J115))),Metadata!J115&gt;0))</f>
        <v>0</v>
      </c>
      <c r="AE115">
        <f>AND(IF(Metadata!K115="",FALSE,TRUE),exact(Metadata!K115,"g"))</f>
        <v>0</v>
      </c>
    </row>
    <row r="116" spans="1:31">
      <c r="A116" s="5">
        <f>IF(B116=" "," ",HYPERLINK(CONCATENATE("#metadata!",ADDRESS(INDEX($Q$2:$Q$1001,MATCH(ROWS($O$2:O116),$O$2:$O$1001,0),0),1)),INDEX($T$2:$T$1001,MATCH(ROWS($O$2:O116),$O$2:$O$1001,0),0)))</f>
        <v>0</v>
      </c>
      <c r="B116" s="4">
        <f>IF(OR(INDEX($P$2:$P$1001,MATCH(ROWS($O$2:O116),$O$2:$O$1001,0),1)&gt;=100000,INDEX($V$1005:$AE$1005,1,MATCH(COLUMNS($V$1006:V1006),$V$1006:$AE$1006,0))&gt;=100000), " ",IF(INDEX($V$2:$AE$1001,MATCH(ROWS($O$2:O116),$O$2:$O$1001,0),MATCH(COLUMNS($V$1006:V1006),$V$1006:$AE$1006,0)), HYPERLINK("#",""), HYPERLINK(CONCATENATE("#Metadata!", ADDRESS(INDEX($Q$2:$Q$1001,MATCH(ROWS($O$2:O116),$O$2:$O$1001,0),0), INDEX($V$1004:$AE$1004,1,MATCH(COLUMNS($V$1006:V1006),$V$1006:$AE$1006,0)))),"Fix")))</f>
        <v>0</v>
      </c>
      <c r="C116" s="4">
        <f>IF(OR(INDEX($P$2:$P$1001,MATCH(ROWS($O$2:O116),$O$2:$O$1001,0),1)&gt;=100000,INDEX($V$1005:$AE$1005,1,MATCH(COLUMNS($V$1006:W1006),$V$1006:$AE$1006,0))&gt;=100000), " ",IF(INDEX($V$2:$AE$1001,MATCH(ROWS($O$2:O116),$O$2:$O$1001,0),MATCH(COLUMNS($V$1006:W1006),$V$1006:$AE$1006,0)), HYPERLINK("#",""), HYPERLINK(CONCATENATE("#Metadata!", ADDRESS(INDEX($Q$2:$Q$1001,MATCH(ROWS($O$2:O116),$O$2:$O$1001,0),0), INDEX($V$1004:$AE$1004,1,MATCH(COLUMNS($V$1006:W1006),$V$1006:$AE$1006,0)))),"Fix")))</f>
        <v>0</v>
      </c>
      <c r="D116" s="4">
        <f>IF(OR(INDEX($P$2:$P$1001,MATCH(ROWS($O$2:O116),$O$2:$O$1001,0),1)&gt;=100000,INDEX($V$1005:$AE$1005,1,MATCH(COLUMNS($V$1006:X1006),$V$1006:$AE$1006,0))&gt;=100000), " ",IF(INDEX($V$2:$AE$1001,MATCH(ROWS($O$2:O116),$O$2:$O$1001,0),MATCH(COLUMNS($V$1006:X1006),$V$1006:$AE$1006,0)), HYPERLINK("#",""), HYPERLINK(CONCATENATE("#Metadata!", ADDRESS(INDEX($Q$2:$Q$1001,MATCH(ROWS($O$2:O116),$O$2:$O$1001,0),0), INDEX($V$1004:$AE$1004,1,MATCH(COLUMNS($V$1006:X1006),$V$1006:$AE$1006,0)))),"Fix")))</f>
        <v>0</v>
      </c>
      <c r="E116" s="4">
        <f>IF(OR(INDEX($P$2:$P$1001,MATCH(ROWS($O$2:O116),$O$2:$O$1001,0),1)&gt;=100000,INDEX($V$1005:$AE$1005,1,MATCH(COLUMNS($V$1006:Y1006),$V$1006:$AE$1006,0))&gt;=100000), " ",IF(INDEX($V$2:$AE$1001,MATCH(ROWS($O$2:O116),$O$2:$O$1001,0),MATCH(COLUMNS($V$1006:Y1006),$V$1006:$AE$1006,0)), HYPERLINK("#",""), HYPERLINK(CONCATENATE("#Metadata!", ADDRESS(INDEX($Q$2:$Q$1001,MATCH(ROWS($O$2:O116),$O$2:$O$1001,0),0), INDEX($V$1004:$AE$1004,1,MATCH(COLUMNS($V$1006:Y1006),$V$1006:$AE$1006,0)))),"Fix")))</f>
        <v>0</v>
      </c>
      <c r="F116" s="4">
        <f>IF(OR(INDEX($P$2:$P$1001,MATCH(ROWS($O$2:O116),$O$2:$O$1001,0),1)&gt;=100000,INDEX($V$1005:$AE$1005,1,MATCH(COLUMNS($V$1006:Z1006),$V$1006:$AE$1006,0))&gt;=100000), " ",IF(INDEX($V$2:$AE$1001,MATCH(ROWS($O$2:O116),$O$2:$O$1001,0),MATCH(COLUMNS($V$1006:Z1006),$V$1006:$AE$1006,0)), HYPERLINK("#",""), HYPERLINK(CONCATENATE("#Metadata!", ADDRESS(INDEX($Q$2:$Q$1001,MATCH(ROWS($O$2:O116),$O$2:$O$1001,0),0), INDEX($V$1004:$AE$1004,1,MATCH(COLUMNS($V$1006:Z1006),$V$1006:$AE$1006,0)))),"Fix")))</f>
        <v>0</v>
      </c>
      <c r="G116" s="4">
        <f>IF(OR(INDEX($P$2:$P$1001,MATCH(ROWS($O$2:O116),$O$2:$O$1001,0),1)&gt;=100000,INDEX($V$1005:$AE$1005,1,MATCH(COLUMNS($V$1006:AA1006),$V$1006:$AE$1006,0))&gt;=100000), " ",IF(INDEX($V$2:$AE$1001,MATCH(ROWS($O$2:O116),$O$2:$O$1001,0),MATCH(COLUMNS($V$1006:AA1006),$V$1006:$AE$1006,0)), HYPERLINK("#",""), HYPERLINK(CONCATENATE("#Metadata!", ADDRESS(INDEX($Q$2:$Q$1001,MATCH(ROWS($O$2:O116),$O$2:$O$1001,0),0), INDEX($V$1004:$AE$1004,1,MATCH(COLUMNS($V$1006:AA1006),$V$1006:$AE$1006,0)))),"Fix")))</f>
        <v>0</v>
      </c>
      <c r="H116" s="4">
        <f>IF(OR(INDEX($P$2:$P$1001,MATCH(ROWS($O$2:O116),$O$2:$O$1001,0),1)&gt;=100000,INDEX($V$1005:$AE$1005,1,MATCH(COLUMNS($V$1006:AB1006),$V$1006:$AE$1006,0))&gt;=100000), " ",IF(INDEX($V$2:$AE$1001,MATCH(ROWS($O$2:O116),$O$2:$O$1001,0),MATCH(COLUMNS($V$1006:AB1006),$V$1006:$AE$1006,0)), HYPERLINK("#",""), HYPERLINK(CONCATENATE("#Metadata!", ADDRESS(INDEX($Q$2:$Q$1001,MATCH(ROWS($O$2:O116),$O$2:$O$1001,0),0), INDEX($V$1004:$AE$1004,1,MATCH(COLUMNS($V$1006:AB1006),$V$1006:$AE$1006,0)))),"Fix")))</f>
        <v>0</v>
      </c>
      <c r="I116" s="4">
        <f>IF(OR(INDEX($P$2:$P$1001,MATCH(ROWS($O$2:O116),$O$2:$O$1001,0),1)&gt;=100000,INDEX($V$1005:$AE$1005,1,MATCH(COLUMNS($V$1006:AC1006),$V$1006:$AE$1006,0))&gt;=100000), " ",IF(INDEX($V$2:$AE$1001,MATCH(ROWS($O$2:O116),$O$2:$O$1001,0),MATCH(COLUMNS($V$1006:AC1006),$V$1006:$AE$1006,0)), HYPERLINK("#",""), HYPERLINK(CONCATENATE("#Metadata!", ADDRESS(INDEX($Q$2:$Q$1001,MATCH(ROWS($O$2:O116),$O$2:$O$1001,0),0), INDEX($V$1004:$AE$1004,1,MATCH(COLUMNS($V$1006:AC1006),$V$1006:$AE$1006,0)))),"Fix")))</f>
        <v>0</v>
      </c>
      <c r="J116" s="4">
        <f>IF(OR(INDEX($P$2:$P$1001,MATCH(ROWS($O$2:O116),$O$2:$O$1001,0),1)&gt;=100000,INDEX($V$1005:$AE$1005,1,MATCH(COLUMNS($V$1006:AD1006),$V$1006:$AE$1006,0))&gt;=100000), " ",IF(INDEX($V$2:$AE$1001,MATCH(ROWS($O$2:O116),$O$2:$O$1001,0),MATCH(COLUMNS($V$1006:AD1006),$V$1006:$AE$1006,0)), HYPERLINK("#",""), HYPERLINK(CONCATENATE("#Metadata!", ADDRESS(INDEX($Q$2:$Q$1001,MATCH(ROWS($O$2:O116),$O$2:$O$1001,0),0), INDEX($V$1004:$AE$1004,1,MATCH(COLUMNS($V$1006:AD1006),$V$1006:$AE$1006,0)))),"Fix")))</f>
        <v>0</v>
      </c>
      <c r="K116" s="4">
        <f>IF(OR(INDEX($P$2:$P$1001,MATCH(ROWS($O$2:O116),$O$2:$O$1001,0),1)&gt;=100000,INDEX($V$1005:$AE$1005,1,MATCH(COLUMNS($V$1006:AE1006),$V$1006:$AE$1006,0))&gt;=100000), " ",IF(INDEX($V$2:$AE$1001,MATCH(ROWS($O$2:O116),$O$2:$O$1001,0),MATCH(COLUMNS($V$1006:AE1006),$V$1006:$AE$1006,0)), HYPERLINK("#",""), HYPERLINK(CONCATENATE("#Metadata!", ADDRESS(INDEX($Q$2:$Q$1001,MATCH(ROWS($O$2:O116),$O$2:$O$1001,0),0), INDEX($V$1004:$AE$1004,1,MATCH(COLUMNS($V$1006:AE1006),$V$1006:$AE$1006,0)))),"Fix")))</f>
        <v>0</v>
      </c>
      <c r="O116">
        <v>0</v>
      </c>
      <c r="P116">
        <v>0</v>
      </c>
      <c r="Q116">
        <v>0</v>
      </c>
      <c r="R116">
        <f>IF(S116,TRUE,AND(V116:AE116))</f>
        <v>0</v>
      </c>
      <c r="S116">
        <f>COUNTBLANK(Metadata!B116:K116)=COLUMNS(Metadata!B116:K116)</f>
        <v>0</v>
      </c>
      <c r="T116">
        <v>0</v>
      </c>
      <c r="V116">
        <f>AND(IF(Metadata!B116="",FALSE,TRUE),COUNTIF(Metadata!B:B, Metadata!B116) = 1,NOT(ISERROR(SUMPRODUCT(SEARCH(MID(Metadata!B116,ROW(INDIRECT("1:"&amp;LEN(Metadata!B116))), 1),"0123456789abcdefghijklmnopqrstuvwxyzABCDEFGHIJKLMNOPQRSTUVWXYZ.")))))</f>
        <v>0</v>
      </c>
      <c r="W116">
        <f>AND(IF(Metadata!C116="",FALSE,TRUE),exact(Metadata!C116,"urban biome"))</f>
        <v>0</v>
      </c>
      <c r="X116">
        <f>AND(IF(Metadata!D116="",FALSE,TRUE),exact(Metadata!D116,"animal-associated habitat"))</f>
        <v>0</v>
      </c>
      <c r="Y116">
        <f>OR(AND(IF(Metadata!E116="",FALSE,TRUE),OR(exact(Metadata!E116,"not applicable"),exact(Metadata!E116,"missing: not collected"),exact(Metadata!E116,"missing: not provided"),exact(Metadata!E116,"missing: restricted access"))),AND(IF(Metadata!E116="",FALSE,ISNUMBER(VALUE(Metadata!E116))),Metadata!E116&gt;0))</f>
        <v>0</v>
      </c>
      <c r="Z116">
        <f>AND(IF(Metadata!F116="",FALSE,TRUE),exact(Metadata!F116,"weeks"))</f>
        <v>0</v>
      </c>
      <c r="AA116">
        <f>AND(IF(Metadata!G116="",FALSE,TRUE),exact(Metadata!G116,"mouse"))</f>
        <v>0</v>
      </c>
      <c r="AB116">
        <f>AND(IF(Metadata!H116="",FALSE,TRUE),exact(Metadata!H116,"Mus musculus"))</f>
        <v>0</v>
      </c>
      <c r="AC116">
        <f>AND(IF(Metadata!I116="",FALSE,TRUE),exact(Metadata!I116,"10090"))</f>
        <v>0</v>
      </c>
      <c r="AD116">
        <f>OR(AND(IF(Metadata!J116="",FALSE,TRUE),OR(exact(Metadata!J116,"not applicable"),exact(Metadata!J116,"missing: not collected"),exact(Metadata!J116,"missing: not provided"),exact(Metadata!J116,"missing: restricted access"))),AND(IF(Metadata!J116="",FALSE,ISNUMBER(VALUE(Metadata!J116))),Metadata!J116&gt;0))</f>
        <v>0</v>
      </c>
      <c r="AE116">
        <f>AND(IF(Metadata!K116="",FALSE,TRUE),exact(Metadata!K116,"g"))</f>
        <v>0</v>
      </c>
    </row>
    <row r="117" spans="1:31">
      <c r="A117" s="5">
        <f>IF(B117=" "," ",HYPERLINK(CONCATENATE("#metadata!",ADDRESS(INDEX($Q$2:$Q$1001,MATCH(ROWS($O$2:O117),$O$2:$O$1001,0),0),1)),INDEX($T$2:$T$1001,MATCH(ROWS($O$2:O117),$O$2:$O$1001,0),0)))</f>
        <v>0</v>
      </c>
      <c r="B117" s="4">
        <f>IF(OR(INDEX($P$2:$P$1001,MATCH(ROWS($O$2:O117),$O$2:$O$1001,0),1)&gt;=100000,INDEX($V$1005:$AE$1005,1,MATCH(COLUMNS($V$1006:V1006),$V$1006:$AE$1006,0))&gt;=100000), " ",IF(INDEX($V$2:$AE$1001,MATCH(ROWS($O$2:O117),$O$2:$O$1001,0),MATCH(COLUMNS($V$1006:V1006),$V$1006:$AE$1006,0)), HYPERLINK("#",""), HYPERLINK(CONCATENATE("#Metadata!", ADDRESS(INDEX($Q$2:$Q$1001,MATCH(ROWS($O$2:O117),$O$2:$O$1001,0),0), INDEX($V$1004:$AE$1004,1,MATCH(COLUMNS($V$1006:V1006),$V$1006:$AE$1006,0)))),"Fix")))</f>
        <v>0</v>
      </c>
      <c r="C117" s="4">
        <f>IF(OR(INDEX($P$2:$P$1001,MATCH(ROWS($O$2:O117),$O$2:$O$1001,0),1)&gt;=100000,INDEX($V$1005:$AE$1005,1,MATCH(COLUMNS($V$1006:W1006),$V$1006:$AE$1006,0))&gt;=100000), " ",IF(INDEX($V$2:$AE$1001,MATCH(ROWS($O$2:O117),$O$2:$O$1001,0),MATCH(COLUMNS($V$1006:W1006),$V$1006:$AE$1006,0)), HYPERLINK("#",""), HYPERLINK(CONCATENATE("#Metadata!", ADDRESS(INDEX($Q$2:$Q$1001,MATCH(ROWS($O$2:O117),$O$2:$O$1001,0),0), INDEX($V$1004:$AE$1004,1,MATCH(COLUMNS($V$1006:W1006),$V$1006:$AE$1006,0)))),"Fix")))</f>
        <v>0</v>
      </c>
      <c r="D117" s="4">
        <f>IF(OR(INDEX($P$2:$P$1001,MATCH(ROWS($O$2:O117),$O$2:$O$1001,0),1)&gt;=100000,INDEX($V$1005:$AE$1005,1,MATCH(COLUMNS($V$1006:X1006),$V$1006:$AE$1006,0))&gt;=100000), " ",IF(INDEX($V$2:$AE$1001,MATCH(ROWS($O$2:O117),$O$2:$O$1001,0),MATCH(COLUMNS($V$1006:X1006),$V$1006:$AE$1006,0)), HYPERLINK("#",""), HYPERLINK(CONCATENATE("#Metadata!", ADDRESS(INDEX($Q$2:$Q$1001,MATCH(ROWS($O$2:O117),$O$2:$O$1001,0),0), INDEX($V$1004:$AE$1004,1,MATCH(COLUMNS($V$1006:X1006),$V$1006:$AE$1006,0)))),"Fix")))</f>
        <v>0</v>
      </c>
      <c r="E117" s="4">
        <f>IF(OR(INDEX($P$2:$P$1001,MATCH(ROWS($O$2:O117),$O$2:$O$1001,0),1)&gt;=100000,INDEX($V$1005:$AE$1005,1,MATCH(COLUMNS($V$1006:Y1006),$V$1006:$AE$1006,0))&gt;=100000), " ",IF(INDEX($V$2:$AE$1001,MATCH(ROWS($O$2:O117),$O$2:$O$1001,0),MATCH(COLUMNS($V$1006:Y1006),$V$1006:$AE$1006,0)), HYPERLINK("#",""), HYPERLINK(CONCATENATE("#Metadata!", ADDRESS(INDEX($Q$2:$Q$1001,MATCH(ROWS($O$2:O117),$O$2:$O$1001,0),0), INDEX($V$1004:$AE$1004,1,MATCH(COLUMNS($V$1006:Y1006),$V$1006:$AE$1006,0)))),"Fix")))</f>
        <v>0</v>
      </c>
      <c r="F117" s="4">
        <f>IF(OR(INDEX($P$2:$P$1001,MATCH(ROWS($O$2:O117),$O$2:$O$1001,0),1)&gt;=100000,INDEX($V$1005:$AE$1005,1,MATCH(COLUMNS($V$1006:Z1006),$V$1006:$AE$1006,0))&gt;=100000), " ",IF(INDEX($V$2:$AE$1001,MATCH(ROWS($O$2:O117),$O$2:$O$1001,0),MATCH(COLUMNS($V$1006:Z1006),$V$1006:$AE$1006,0)), HYPERLINK("#",""), HYPERLINK(CONCATENATE("#Metadata!", ADDRESS(INDEX($Q$2:$Q$1001,MATCH(ROWS($O$2:O117),$O$2:$O$1001,0),0), INDEX($V$1004:$AE$1004,1,MATCH(COLUMNS($V$1006:Z1006),$V$1006:$AE$1006,0)))),"Fix")))</f>
        <v>0</v>
      </c>
      <c r="G117" s="4">
        <f>IF(OR(INDEX($P$2:$P$1001,MATCH(ROWS($O$2:O117),$O$2:$O$1001,0),1)&gt;=100000,INDEX($V$1005:$AE$1005,1,MATCH(COLUMNS($V$1006:AA1006),$V$1006:$AE$1006,0))&gt;=100000), " ",IF(INDEX($V$2:$AE$1001,MATCH(ROWS($O$2:O117),$O$2:$O$1001,0),MATCH(COLUMNS($V$1006:AA1006),$V$1006:$AE$1006,0)), HYPERLINK("#",""), HYPERLINK(CONCATENATE("#Metadata!", ADDRESS(INDEX($Q$2:$Q$1001,MATCH(ROWS($O$2:O117),$O$2:$O$1001,0),0), INDEX($V$1004:$AE$1004,1,MATCH(COLUMNS($V$1006:AA1006),$V$1006:$AE$1006,0)))),"Fix")))</f>
        <v>0</v>
      </c>
      <c r="H117" s="4">
        <f>IF(OR(INDEX($P$2:$P$1001,MATCH(ROWS($O$2:O117),$O$2:$O$1001,0),1)&gt;=100000,INDEX($V$1005:$AE$1005,1,MATCH(COLUMNS($V$1006:AB1006),$V$1006:$AE$1006,0))&gt;=100000), " ",IF(INDEX($V$2:$AE$1001,MATCH(ROWS($O$2:O117),$O$2:$O$1001,0),MATCH(COLUMNS($V$1006:AB1006),$V$1006:$AE$1006,0)), HYPERLINK("#",""), HYPERLINK(CONCATENATE("#Metadata!", ADDRESS(INDEX($Q$2:$Q$1001,MATCH(ROWS($O$2:O117),$O$2:$O$1001,0),0), INDEX($V$1004:$AE$1004,1,MATCH(COLUMNS($V$1006:AB1006),$V$1006:$AE$1006,0)))),"Fix")))</f>
        <v>0</v>
      </c>
      <c r="I117" s="4">
        <f>IF(OR(INDEX($P$2:$P$1001,MATCH(ROWS($O$2:O117),$O$2:$O$1001,0),1)&gt;=100000,INDEX($V$1005:$AE$1005,1,MATCH(COLUMNS($V$1006:AC1006),$V$1006:$AE$1006,0))&gt;=100000), " ",IF(INDEX($V$2:$AE$1001,MATCH(ROWS($O$2:O117),$O$2:$O$1001,0),MATCH(COLUMNS($V$1006:AC1006),$V$1006:$AE$1006,0)), HYPERLINK("#",""), HYPERLINK(CONCATENATE("#Metadata!", ADDRESS(INDEX($Q$2:$Q$1001,MATCH(ROWS($O$2:O117),$O$2:$O$1001,0),0), INDEX($V$1004:$AE$1004,1,MATCH(COLUMNS($V$1006:AC1006),$V$1006:$AE$1006,0)))),"Fix")))</f>
        <v>0</v>
      </c>
      <c r="J117" s="4">
        <f>IF(OR(INDEX($P$2:$P$1001,MATCH(ROWS($O$2:O117),$O$2:$O$1001,0),1)&gt;=100000,INDEX($V$1005:$AE$1005,1,MATCH(COLUMNS($V$1006:AD1006),$V$1006:$AE$1006,0))&gt;=100000), " ",IF(INDEX($V$2:$AE$1001,MATCH(ROWS($O$2:O117),$O$2:$O$1001,0),MATCH(COLUMNS($V$1006:AD1006),$V$1006:$AE$1006,0)), HYPERLINK("#",""), HYPERLINK(CONCATENATE("#Metadata!", ADDRESS(INDEX($Q$2:$Q$1001,MATCH(ROWS($O$2:O117),$O$2:$O$1001,0),0), INDEX($V$1004:$AE$1004,1,MATCH(COLUMNS($V$1006:AD1006),$V$1006:$AE$1006,0)))),"Fix")))</f>
        <v>0</v>
      </c>
      <c r="K117" s="4">
        <f>IF(OR(INDEX($P$2:$P$1001,MATCH(ROWS($O$2:O117),$O$2:$O$1001,0),1)&gt;=100000,INDEX($V$1005:$AE$1005,1,MATCH(COLUMNS($V$1006:AE1006),$V$1006:$AE$1006,0))&gt;=100000), " ",IF(INDEX($V$2:$AE$1001,MATCH(ROWS($O$2:O117),$O$2:$O$1001,0),MATCH(COLUMNS($V$1006:AE1006),$V$1006:$AE$1006,0)), HYPERLINK("#",""), HYPERLINK(CONCATENATE("#Metadata!", ADDRESS(INDEX($Q$2:$Q$1001,MATCH(ROWS($O$2:O117),$O$2:$O$1001,0),0), INDEX($V$1004:$AE$1004,1,MATCH(COLUMNS($V$1006:AE1006),$V$1006:$AE$1006,0)))),"Fix")))</f>
        <v>0</v>
      </c>
      <c r="O117">
        <v>0</v>
      </c>
      <c r="P117">
        <v>0</v>
      </c>
      <c r="Q117">
        <v>0</v>
      </c>
      <c r="R117">
        <f>IF(S117,TRUE,AND(V117:AE117))</f>
        <v>0</v>
      </c>
      <c r="S117">
        <f>COUNTBLANK(Metadata!B117:K117)=COLUMNS(Metadata!B117:K117)</f>
        <v>0</v>
      </c>
      <c r="T117">
        <v>0</v>
      </c>
      <c r="V117">
        <f>AND(IF(Metadata!B117="",FALSE,TRUE),COUNTIF(Metadata!B:B, Metadata!B117) = 1,NOT(ISERROR(SUMPRODUCT(SEARCH(MID(Metadata!B117,ROW(INDIRECT("1:"&amp;LEN(Metadata!B117))), 1),"0123456789abcdefghijklmnopqrstuvwxyzABCDEFGHIJKLMNOPQRSTUVWXYZ.")))))</f>
        <v>0</v>
      </c>
      <c r="W117">
        <f>AND(IF(Metadata!C117="",FALSE,TRUE),exact(Metadata!C117,"urban biome"))</f>
        <v>0</v>
      </c>
      <c r="X117">
        <f>AND(IF(Metadata!D117="",FALSE,TRUE),exact(Metadata!D117,"animal-associated habitat"))</f>
        <v>0</v>
      </c>
      <c r="Y117">
        <f>OR(AND(IF(Metadata!E117="",FALSE,TRUE),OR(exact(Metadata!E117,"not applicable"),exact(Metadata!E117,"missing: not collected"),exact(Metadata!E117,"missing: not provided"),exact(Metadata!E117,"missing: restricted access"))),AND(IF(Metadata!E117="",FALSE,ISNUMBER(VALUE(Metadata!E117))),Metadata!E117&gt;0))</f>
        <v>0</v>
      </c>
      <c r="Z117">
        <f>AND(IF(Metadata!F117="",FALSE,TRUE),exact(Metadata!F117,"weeks"))</f>
        <v>0</v>
      </c>
      <c r="AA117">
        <f>AND(IF(Metadata!G117="",FALSE,TRUE),exact(Metadata!G117,"mouse"))</f>
        <v>0</v>
      </c>
      <c r="AB117">
        <f>AND(IF(Metadata!H117="",FALSE,TRUE),exact(Metadata!H117,"Mus musculus"))</f>
        <v>0</v>
      </c>
      <c r="AC117">
        <f>AND(IF(Metadata!I117="",FALSE,TRUE),exact(Metadata!I117,"10090"))</f>
        <v>0</v>
      </c>
      <c r="AD117">
        <f>OR(AND(IF(Metadata!J117="",FALSE,TRUE),OR(exact(Metadata!J117,"not applicable"),exact(Metadata!J117,"missing: not collected"),exact(Metadata!J117,"missing: not provided"),exact(Metadata!J117,"missing: restricted access"))),AND(IF(Metadata!J117="",FALSE,ISNUMBER(VALUE(Metadata!J117))),Metadata!J117&gt;0))</f>
        <v>0</v>
      </c>
      <c r="AE117">
        <f>AND(IF(Metadata!K117="",FALSE,TRUE),exact(Metadata!K117,"g"))</f>
        <v>0</v>
      </c>
    </row>
    <row r="118" spans="1:31">
      <c r="A118" s="5">
        <f>IF(B118=" "," ",HYPERLINK(CONCATENATE("#metadata!",ADDRESS(INDEX($Q$2:$Q$1001,MATCH(ROWS($O$2:O118),$O$2:$O$1001,0),0),1)),INDEX($T$2:$T$1001,MATCH(ROWS($O$2:O118),$O$2:$O$1001,0),0)))</f>
        <v>0</v>
      </c>
      <c r="B118" s="4">
        <f>IF(OR(INDEX($P$2:$P$1001,MATCH(ROWS($O$2:O118),$O$2:$O$1001,0),1)&gt;=100000,INDEX($V$1005:$AE$1005,1,MATCH(COLUMNS($V$1006:V1006),$V$1006:$AE$1006,0))&gt;=100000), " ",IF(INDEX($V$2:$AE$1001,MATCH(ROWS($O$2:O118),$O$2:$O$1001,0),MATCH(COLUMNS($V$1006:V1006),$V$1006:$AE$1006,0)), HYPERLINK("#",""), HYPERLINK(CONCATENATE("#Metadata!", ADDRESS(INDEX($Q$2:$Q$1001,MATCH(ROWS($O$2:O118),$O$2:$O$1001,0),0), INDEX($V$1004:$AE$1004,1,MATCH(COLUMNS($V$1006:V1006),$V$1006:$AE$1006,0)))),"Fix")))</f>
        <v>0</v>
      </c>
      <c r="C118" s="4">
        <f>IF(OR(INDEX($P$2:$P$1001,MATCH(ROWS($O$2:O118),$O$2:$O$1001,0),1)&gt;=100000,INDEX($V$1005:$AE$1005,1,MATCH(COLUMNS($V$1006:W1006),$V$1006:$AE$1006,0))&gt;=100000), " ",IF(INDEX($V$2:$AE$1001,MATCH(ROWS($O$2:O118),$O$2:$O$1001,0),MATCH(COLUMNS($V$1006:W1006),$V$1006:$AE$1006,0)), HYPERLINK("#",""), HYPERLINK(CONCATENATE("#Metadata!", ADDRESS(INDEX($Q$2:$Q$1001,MATCH(ROWS($O$2:O118),$O$2:$O$1001,0),0), INDEX($V$1004:$AE$1004,1,MATCH(COLUMNS($V$1006:W1006),$V$1006:$AE$1006,0)))),"Fix")))</f>
        <v>0</v>
      </c>
      <c r="D118" s="4">
        <f>IF(OR(INDEX($P$2:$P$1001,MATCH(ROWS($O$2:O118),$O$2:$O$1001,0),1)&gt;=100000,INDEX($V$1005:$AE$1005,1,MATCH(COLUMNS($V$1006:X1006),$V$1006:$AE$1006,0))&gt;=100000), " ",IF(INDEX($V$2:$AE$1001,MATCH(ROWS($O$2:O118),$O$2:$O$1001,0),MATCH(COLUMNS($V$1006:X1006),$V$1006:$AE$1006,0)), HYPERLINK("#",""), HYPERLINK(CONCATENATE("#Metadata!", ADDRESS(INDEX($Q$2:$Q$1001,MATCH(ROWS($O$2:O118),$O$2:$O$1001,0),0), INDEX($V$1004:$AE$1004,1,MATCH(COLUMNS($V$1006:X1006),$V$1006:$AE$1006,0)))),"Fix")))</f>
        <v>0</v>
      </c>
      <c r="E118" s="4">
        <f>IF(OR(INDEX($P$2:$P$1001,MATCH(ROWS($O$2:O118),$O$2:$O$1001,0),1)&gt;=100000,INDEX($V$1005:$AE$1005,1,MATCH(COLUMNS($V$1006:Y1006),$V$1006:$AE$1006,0))&gt;=100000), " ",IF(INDEX($V$2:$AE$1001,MATCH(ROWS($O$2:O118),$O$2:$O$1001,0),MATCH(COLUMNS($V$1006:Y1006),$V$1006:$AE$1006,0)), HYPERLINK("#",""), HYPERLINK(CONCATENATE("#Metadata!", ADDRESS(INDEX($Q$2:$Q$1001,MATCH(ROWS($O$2:O118),$O$2:$O$1001,0),0), INDEX($V$1004:$AE$1004,1,MATCH(COLUMNS($V$1006:Y1006),$V$1006:$AE$1006,0)))),"Fix")))</f>
        <v>0</v>
      </c>
      <c r="F118" s="4">
        <f>IF(OR(INDEX($P$2:$P$1001,MATCH(ROWS($O$2:O118),$O$2:$O$1001,0),1)&gt;=100000,INDEX($V$1005:$AE$1005,1,MATCH(COLUMNS($V$1006:Z1006),$V$1006:$AE$1006,0))&gt;=100000), " ",IF(INDEX($V$2:$AE$1001,MATCH(ROWS($O$2:O118),$O$2:$O$1001,0),MATCH(COLUMNS($V$1006:Z1006),$V$1006:$AE$1006,0)), HYPERLINK("#",""), HYPERLINK(CONCATENATE("#Metadata!", ADDRESS(INDEX($Q$2:$Q$1001,MATCH(ROWS($O$2:O118),$O$2:$O$1001,0),0), INDEX($V$1004:$AE$1004,1,MATCH(COLUMNS($V$1006:Z1006),$V$1006:$AE$1006,0)))),"Fix")))</f>
        <v>0</v>
      </c>
      <c r="G118" s="4">
        <f>IF(OR(INDEX($P$2:$P$1001,MATCH(ROWS($O$2:O118),$O$2:$O$1001,0),1)&gt;=100000,INDEX($V$1005:$AE$1005,1,MATCH(COLUMNS($V$1006:AA1006),$V$1006:$AE$1006,0))&gt;=100000), " ",IF(INDEX($V$2:$AE$1001,MATCH(ROWS($O$2:O118),$O$2:$O$1001,0),MATCH(COLUMNS($V$1006:AA1006),$V$1006:$AE$1006,0)), HYPERLINK("#",""), HYPERLINK(CONCATENATE("#Metadata!", ADDRESS(INDEX($Q$2:$Q$1001,MATCH(ROWS($O$2:O118),$O$2:$O$1001,0),0), INDEX($V$1004:$AE$1004,1,MATCH(COLUMNS($V$1006:AA1006),$V$1006:$AE$1006,0)))),"Fix")))</f>
        <v>0</v>
      </c>
      <c r="H118" s="4">
        <f>IF(OR(INDEX($P$2:$P$1001,MATCH(ROWS($O$2:O118),$O$2:$O$1001,0),1)&gt;=100000,INDEX($V$1005:$AE$1005,1,MATCH(COLUMNS($V$1006:AB1006),$V$1006:$AE$1006,0))&gt;=100000), " ",IF(INDEX($V$2:$AE$1001,MATCH(ROWS($O$2:O118),$O$2:$O$1001,0),MATCH(COLUMNS($V$1006:AB1006),$V$1006:$AE$1006,0)), HYPERLINK("#",""), HYPERLINK(CONCATENATE("#Metadata!", ADDRESS(INDEX($Q$2:$Q$1001,MATCH(ROWS($O$2:O118),$O$2:$O$1001,0),0), INDEX($V$1004:$AE$1004,1,MATCH(COLUMNS($V$1006:AB1006),$V$1006:$AE$1006,0)))),"Fix")))</f>
        <v>0</v>
      </c>
      <c r="I118" s="4">
        <f>IF(OR(INDEX($P$2:$P$1001,MATCH(ROWS($O$2:O118),$O$2:$O$1001,0),1)&gt;=100000,INDEX($V$1005:$AE$1005,1,MATCH(COLUMNS($V$1006:AC1006),$V$1006:$AE$1006,0))&gt;=100000), " ",IF(INDEX($V$2:$AE$1001,MATCH(ROWS($O$2:O118),$O$2:$O$1001,0),MATCH(COLUMNS($V$1006:AC1006),$V$1006:$AE$1006,0)), HYPERLINK("#",""), HYPERLINK(CONCATENATE("#Metadata!", ADDRESS(INDEX($Q$2:$Q$1001,MATCH(ROWS($O$2:O118),$O$2:$O$1001,0),0), INDEX($V$1004:$AE$1004,1,MATCH(COLUMNS($V$1006:AC1006),$V$1006:$AE$1006,0)))),"Fix")))</f>
        <v>0</v>
      </c>
      <c r="J118" s="4">
        <f>IF(OR(INDEX($P$2:$P$1001,MATCH(ROWS($O$2:O118),$O$2:$O$1001,0),1)&gt;=100000,INDEX($V$1005:$AE$1005,1,MATCH(COLUMNS($V$1006:AD1006),$V$1006:$AE$1006,0))&gt;=100000), " ",IF(INDEX($V$2:$AE$1001,MATCH(ROWS($O$2:O118),$O$2:$O$1001,0),MATCH(COLUMNS($V$1006:AD1006),$V$1006:$AE$1006,0)), HYPERLINK("#",""), HYPERLINK(CONCATENATE("#Metadata!", ADDRESS(INDEX($Q$2:$Q$1001,MATCH(ROWS($O$2:O118),$O$2:$O$1001,0),0), INDEX($V$1004:$AE$1004,1,MATCH(COLUMNS($V$1006:AD1006),$V$1006:$AE$1006,0)))),"Fix")))</f>
        <v>0</v>
      </c>
      <c r="K118" s="4">
        <f>IF(OR(INDEX($P$2:$P$1001,MATCH(ROWS($O$2:O118),$O$2:$O$1001,0),1)&gt;=100000,INDEX($V$1005:$AE$1005,1,MATCH(COLUMNS($V$1006:AE1006),$V$1006:$AE$1006,0))&gt;=100000), " ",IF(INDEX($V$2:$AE$1001,MATCH(ROWS($O$2:O118),$O$2:$O$1001,0),MATCH(COLUMNS($V$1006:AE1006),$V$1006:$AE$1006,0)), HYPERLINK("#",""), HYPERLINK(CONCATENATE("#Metadata!", ADDRESS(INDEX($Q$2:$Q$1001,MATCH(ROWS($O$2:O118),$O$2:$O$1001,0),0), INDEX($V$1004:$AE$1004,1,MATCH(COLUMNS($V$1006:AE1006),$V$1006:$AE$1006,0)))),"Fix")))</f>
        <v>0</v>
      </c>
      <c r="O118">
        <v>0</v>
      </c>
      <c r="P118">
        <v>0</v>
      </c>
      <c r="Q118">
        <v>0</v>
      </c>
      <c r="R118">
        <f>IF(S118,TRUE,AND(V118:AE118))</f>
        <v>0</v>
      </c>
      <c r="S118">
        <f>COUNTBLANK(Metadata!B118:K118)=COLUMNS(Metadata!B118:K118)</f>
        <v>0</v>
      </c>
      <c r="T118">
        <v>0</v>
      </c>
      <c r="V118">
        <f>AND(IF(Metadata!B118="",FALSE,TRUE),COUNTIF(Metadata!B:B, Metadata!B118) = 1,NOT(ISERROR(SUMPRODUCT(SEARCH(MID(Metadata!B118,ROW(INDIRECT("1:"&amp;LEN(Metadata!B118))), 1),"0123456789abcdefghijklmnopqrstuvwxyzABCDEFGHIJKLMNOPQRSTUVWXYZ.")))))</f>
        <v>0</v>
      </c>
      <c r="W118">
        <f>AND(IF(Metadata!C118="",FALSE,TRUE),exact(Metadata!C118,"urban biome"))</f>
        <v>0</v>
      </c>
      <c r="X118">
        <f>AND(IF(Metadata!D118="",FALSE,TRUE),exact(Metadata!D118,"animal-associated habitat"))</f>
        <v>0</v>
      </c>
      <c r="Y118">
        <f>OR(AND(IF(Metadata!E118="",FALSE,TRUE),OR(exact(Metadata!E118,"not applicable"),exact(Metadata!E118,"missing: not collected"),exact(Metadata!E118,"missing: not provided"),exact(Metadata!E118,"missing: restricted access"))),AND(IF(Metadata!E118="",FALSE,ISNUMBER(VALUE(Metadata!E118))),Metadata!E118&gt;0))</f>
        <v>0</v>
      </c>
      <c r="Z118">
        <f>AND(IF(Metadata!F118="",FALSE,TRUE),exact(Metadata!F118,"weeks"))</f>
        <v>0</v>
      </c>
      <c r="AA118">
        <f>AND(IF(Metadata!G118="",FALSE,TRUE),exact(Metadata!G118,"mouse"))</f>
        <v>0</v>
      </c>
      <c r="AB118">
        <f>AND(IF(Metadata!H118="",FALSE,TRUE),exact(Metadata!H118,"Mus musculus"))</f>
        <v>0</v>
      </c>
      <c r="AC118">
        <f>AND(IF(Metadata!I118="",FALSE,TRUE),exact(Metadata!I118,"10090"))</f>
        <v>0</v>
      </c>
      <c r="AD118">
        <f>OR(AND(IF(Metadata!J118="",FALSE,TRUE),OR(exact(Metadata!J118,"not applicable"),exact(Metadata!J118,"missing: not collected"),exact(Metadata!J118,"missing: not provided"),exact(Metadata!J118,"missing: restricted access"))),AND(IF(Metadata!J118="",FALSE,ISNUMBER(VALUE(Metadata!J118))),Metadata!J118&gt;0))</f>
        <v>0</v>
      </c>
      <c r="AE118">
        <f>AND(IF(Metadata!K118="",FALSE,TRUE),exact(Metadata!K118,"g"))</f>
        <v>0</v>
      </c>
    </row>
    <row r="119" spans="1:31">
      <c r="A119" s="5">
        <f>IF(B119=" "," ",HYPERLINK(CONCATENATE("#metadata!",ADDRESS(INDEX($Q$2:$Q$1001,MATCH(ROWS($O$2:O119),$O$2:$O$1001,0),0),1)),INDEX($T$2:$T$1001,MATCH(ROWS($O$2:O119),$O$2:$O$1001,0),0)))</f>
        <v>0</v>
      </c>
      <c r="B119" s="4">
        <f>IF(OR(INDEX($P$2:$P$1001,MATCH(ROWS($O$2:O119),$O$2:$O$1001,0),1)&gt;=100000,INDEX($V$1005:$AE$1005,1,MATCH(COLUMNS($V$1006:V1006),$V$1006:$AE$1006,0))&gt;=100000), " ",IF(INDEX($V$2:$AE$1001,MATCH(ROWS($O$2:O119),$O$2:$O$1001,0),MATCH(COLUMNS($V$1006:V1006),$V$1006:$AE$1006,0)), HYPERLINK("#",""), HYPERLINK(CONCATENATE("#Metadata!", ADDRESS(INDEX($Q$2:$Q$1001,MATCH(ROWS($O$2:O119),$O$2:$O$1001,0),0), INDEX($V$1004:$AE$1004,1,MATCH(COLUMNS($V$1006:V1006),$V$1006:$AE$1006,0)))),"Fix")))</f>
        <v>0</v>
      </c>
      <c r="C119" s="4">
        <f>IF(OR(INDEX($P$2:$P$1001,MATCH(ROWS($O$2:O119),$O$2:$O$1001,0),1)&gt;=100000,INDEX($V$1005:$AE$1005,1,MATCH(COLUMNS($V$1006:W1006),$V$1006:$AE$1006,0))&gt;=100000), " ",IF(INDEX($V$2:$AE$1001,MATCH(ROWS($O$2:O119),$O$2:$O$1001,0),MATCH(COLUMNS($V$1006:W1006),$V$1006:$AE$1006,0)), HYPERLINK("#",""), HYPERLINK(CONCATENATE("#Metadata!", ADDRESS(INDEX($Q$2:$Q$1001,MATCH(ROWS($O$2:O119),$O$2:$O$1001,0),0), INDEX($V$1004:$AE$1004,1,MATCH(COLUMNS($V$1006:W1006),$V$1006:$AE$1006,0)))),"Fix")))</f>
        <v>0</v>
      </c>
      <c r="D119" s="4">
        <f>IF(OR(INDEX($P$2:$P$1001,MATCH(ROWS($O$2:O119),$O$2:$O$1001,0),1)&gt;=100000,INDEX($V$1005:$AE$1005,1,MATCH(COLUMNS($V$1006:X1006),$V$1006:$AE$1006,0))&gt;=100000), " ",IF(INDEX($V$2:$AE$1001,MATCH(ROWS($O$2:O119),$O$2:$O$1001,0),MATCH(COLUMNS($V$1006:X1006),$V$1006:$AE$1006,0)), HYPERLINK("#",""), HYPERLINK(CONCATENATE("#Metadata!", ADDRESS(INDEX($Q$2:$Q$1001,MATCH(ROWS($O$2:O119),$O$2:$O$1001,0),0), INDEX($V$1004:$AE$1004,1,MATCH(COLUMNS($V$1006:X1006),$V$1006:$AE$1006,0)))),"Fix")))</f>
        <v>0</v>
      </c>
      <c r="E119" s="4">
        <f>IF(OR(INDEX($P$2:$P$1001,MATCH(ROWS($O$2:O119),$O$2:$O$1001,0),1)&gt;=100000,INDEX($V$1005:$AE$1005,1,MATCH(COLUMNS($V$1006:Y1006),$V$1006:$AE$1006,0))&gt;=100000), " ",IF(INDEX($V$2:$AE$1001,MATCH(ROWS($O$2:O119),$O$2:$O$1001,0),MATCH(COLUMNS($V$1006:Y1006),$V$1006:$AE$1006,0)), HYPERLINK("#",""), HYPERLINK(CONCATENATE("#Metadata!", ADDRESS(INDEX($Q$2:$Q$1001,MATCH(ROWS($O$2:O119),$O$2:$O$1001,0),0), INDEX($V$1004:$AE$1004,1,MATCH(COLUMNS($V$1006:Y1006),$V$1006:$AE$1006,0)))),"Fix")))</f>
        <v>0</v>
      </c>
      <c r="F119" s="4">
        <f>IF(OR(INDEX($P$2:$P$1001,MATCH(ROWS($O$2:O119),$O$2:$O$1001,0),1)&gt;=100000,INDEX($V$1005:$AE$1005,1,MATCH(COLUMNS($V$1006:Z1006),$V$1006:$AE$1006,0))&gt;=100000), " ",IF(INDEX($V$2:$AE$1001,MATCH(ROWS($O$2:O119),$O$2:$O$1001,0),MATCH(COLUMNS($V$1006:Z1006),$V$1006:$AE$1006,0)), HYPERLINK("#",""), HYPERLINK(CONCATENATE("#Metadata!", ADDRESS(INDEX($Q$2:$Q$1001,MATCH(ROWS($O$2:O119),$O$2:$O$1001,0),0), INDEX($V$1004:$AE$1004,1,MATCH(COLUMNS($V$1006:Z1006),$V$1006:$AE$1006,0)))),"Fix")))</f>
        <v>0</v>
      </c>
      <c r="G119" s="4">
        <f>IF(OR(INDEX($P$2:$P$1001,MATCH(ROWS($O$2:O119),$O$2:$O$1001,0),1)&gt;=100000,INDEX($V$1005:$AE$1005,1,MATCH(COLUMNS($V$1006:AA1006),$V$1006:$AE$1006,0))&gt;=100000), " ",IF(INDEX($V$2:$AE$1001,MATCH(ROWS($O$2:O119),$O$2:$O$1001,0),MATCH(COLUMNS($V$1006:AA1006),$V$1006:$AE$1006,0)), HYPERLINK("#",""), HYPERLINK(CONCATENATE("#Metadata!", ADDRESS(INDEX($Q$2:$Q$1001,MATCH(ROWS($O$2:O119),$O$2:$O$1001,0),0), INDEX($V$1004:$AE$1004,1,MATCH(COLUMNS($V$1006:AA1006),$V$1006:$AE$1006,0)))),"Fix")))</f>
        <v>0</v>
      </c>
      <c r="H119" s="4">
        <f>IF(OR(INDEX($P$2:$P$1001,MATCH(ROWS($O$2:O119),$O$2:$O$1001,0),1)&gt;=100000,INDEX($V$1005:$AE$1005,1,MATCH(COLUMNS($V$1006:AB1006),$V$1006:$AE$1006,0))&gt;=100000), " ",IF(INDEX($V$2:$AE$1001,MATCH(ROWS($O$2:O119),$O$2:$O$1001,0),MATCH(COLUMNS($V$1006:AB1006),$V$1006:$AE$1006,0)), HYPERLINK("#",""), HYPERLINK(CONCATENATE("#Metadata!", ADDRESS(INDEX($Q$2:$Q$1001,MATCH(ROWS($O$2:O119),$O$2:$O$1001,0),0), INDEX($V$1004:$AE$1004,1,MATCH(COLUMNS($V$1006:AB1006),$V$1006:$AE$1006,0)))),"Fix")))</f>
        <v>0</v>
      </c>
      <c r="I119" s="4">
        <f>IF(OR(INDEX($P$2:$P$1001,MATCH(ROWS($O$2:O119),$O$2:$O$1001,0),1)&gt;=100000,INDEX($V$1005:$AE$1005,1,MATCH(COLUMNS($V$1006:AC1006),$V$1006:$AE$1006,0))&gt;=100000), " ",IF(INDEX($V$2:$AE$1001,MATCH(ROWS($O$2:O119),$O$2:$O$1001,0),MATCH(COLUMNS($V$1006:AC1006),$V$1006:$AE$1006,0)), HYPERLINK("#",""), HYPERLINK(CONCATENATE("#Metadata!", ADDRESS(INDEX($Q$2:$Q$1001,MATCH(ROWS($O$2:O119),$O$2:$O$1001,0),0), INDEX($V$1004:$AE$1004,1,MATCH(COLUMNS($V$1006:AC1006),$V$1006:$AE$1006,0)))),"Fix")))</f>
        <v>0</v>
      </c>
      <c r="J119" s="4">
        <f>IF(OR(INDEX($P$2:$P$1001,MATCH(ROWS($O$2:O119),$O$2:$O$1001,0),1)&gt;=100000,INDEX($V$1005:$AE$1005,1,MATCH(COLUMNS($V$1006:AD1006),$V$1006:$AE$1006,0))&gt;=100000), " ",IF(INDEX($V$2:$AE$1001,MATCH(ROWS($O$2:O119),$O$2:$O$1001,0),MATCH(COLUMNS($V$1006:AD1006),$V$1006:$AE$1006,0)), HYPERLINK("#",""), HYPERLINK(CONCATENATE("#Metadata!", ADDRESS(INDEX($Q$2:$Q$1001,MATCH(ROWS($O$2:O119),$O$2:$O$1001,0),0), INDEX($V$1004:$AE$1004,1,MATCH(COLUMNS($V$1006:AD1006),$V$1006:$AE$1006,0)))),"Fix")))</f>
        <v>0</v>
      </c>
      <c r="K119" s="4">
        <f>IF(OR(INDEX($P$2:$P$1001,MATCH(ROWS($O$2:O119),$O$2:$O$1001,0),1)&gt;=100000,INDEX($V$1005:$AE$1005,1,MATCH(COLUMNS($V$1006:AE1006),$V$1006:$AE$1006,0))&gt;=100000), " ",IF(INDEX($V$2:$AE$1001,MATCH(ROWS($O$2:O119),$O$2:$O$1001,0),MATCH(COLUMNS($V$1006:AE1006),$V$1006:$AE$1006,0)), HYPERLINK("#",""), HYPERLINK(CONCATENATE("#Metadata!", ADDRESS(INDEX($Q$2:$Q$1001,MATCH(ROWS($O$2:O119),$O$2:$O$1001,0),0), INDEX($V$1004:$AE$1004,1,MATCH(COLUMNS($V$1006:AE1006),$V$1006:$AE$1006,0)))),"Fix")))</f>
        <v>0</v>
      </c>
      <c r="O119">
        <v>0</v>
      </c>
      <c r="P119">
        <v>0</v>
      </c>
      <c r="Q119">
        <v>0</v>
      </c>
      <c r="R119">
        <f>IF(S119,TRUE,AND(V119:AE119))</f>
        <v>0</v>
      </c>
      <c r="S119">
        <f>COUNTBLANK(Metadata!B119:K119)=COLUMNS(Metadata!B119:K119)</f>
        <v>0</v>
      </c>
      <c r="T119">
        <v>0</v>
      </c>
      <c r="V119">
        <f>AND(IF(Metadata!B119="",FALSE,TRUE),COUNTIF(Metadata!B:B, Metadata!B119) = 1,NOT(ISERROR(SUMPRODUCT(SEARCH(MID(Metadata!B119,ROW(INDIRECT("1:"&amp;LEN(Metadata!B119))), 1),"0123456789abcdefghijklmnopqrstuvwxyzABCDEFGHIJKLMNOPQRSTUVWXYZ.")))))</f>
        <v>0</v>
      </c>
      <c r="W119">
        <f>AND(IF(Metadata!C119="",FALSE,TRUE),exact(Metadata!C119,"urban biome"))</f>
        <v>0</v>
      </c>
      <c r="X119">
        <f>AND(IF(Metadata!D119="",FALSE,TRUE),exact(Metadata!D119,"animal-associated habitat"))</f>
        <v>0</v>
      </c>
      <c r="Y119">
        <f>OR(AND(IF(Metadata!E119="",FALSE,TRUE),OR(exact(Metadata!E119,"not applicable"),exact(Metadata!E119,"missing: not collected"),exact(Metadata!E119,"missing: not provided"),exact(Metadata!E119,"missing: restricted access"))),AND(IF(Metadata!E119="",FALSE,ISNUMBER(VALUE(Metadata!E119))),Metadata!E119&gt;0))</f>
        <v>0</v>
      </c>
      <c r="Z119">
        <f>AND(IF(Metadata!F119="",FALSE,TRUE),exact(Metadata!F119,"weeks"))</f>
        <v>0</v>
      </c>
      <c r="AA119">
        <f>AND(IF(Metadata!G119="",FALSE,TRUE),exact(Metadata!G119,"mouse"))</f>
        <v>0</v>
      </c>
      <c r="AB119">
        <f>AND(IF(Metadata!H119="",FALSE,TRUE),exact(Metadata!H119,"Mus musculus"))</f>
        <v>0</v>
      </c>
      <c r="AC119">
        <f>AND(IF(Metadata!I119="",FALSE,TRUE),exact(Metadata!I119,"10090"))</f>
        <v>0</v>
      </c>
      <c r="AD119">
        <f>OR(AND(IF(Metadata!J119="",FALSE,TRUE),OR(exact(Metadata!J119,"not applicable"),exact(Metadata!J119,"missing: not collected"),exact(Metadata!J119,"missing: not provided"),exact(Metadata!J119,"missing: restricted access"))),AND(IF(Metadata!J119="",FALSE,ISNUMBER(VALUE(Metadata!J119))),Metadata!J119&gt;0))</f>
        <v>0</v>
      </c>
      <c r="AE119">
        <f>AND(IF(Metadata!K119="",FALSE,TRUE),exact(Metadata!K119,"g"))</f>
        <v>0</v>
      </c>
    </row>
    <row r="120" spans="1:31">
      <c r="A120" s="5">
        <f>IF(B120=" "," ",HYPERLINK(CONCATENATE("#metadata!",ADDRESS(INDEX($Q$2:$Q$1001,MATCH(ROWS($O$2:O120),$O$2:$O$1001,0),0),1)),INDEX($T$2:$T$1001,MATCH(ROWS($O$2:O120),$O$2:$O$1001,0),0)))</f>
        <v>0</v>
      </c>
      <c r="B120" s="4">
        <f>IF(OR(INDEX($P$2:$P$1001,MATCH(ROWS($O$2:O120),$O$2:$O$1001,0),1)&gt;=100000,INDEX($V$1005:$AE$1005,1,MATCH(COLUMNS($V$1006:V1006),$V$1006:$AE$1006,0))&gt;=100000), " ",IF(INDEX($V$2:$AE$1001,MATCH(ROWS($O$2:O120),$O$2:$O$1001,0),MATCH(COLUMNS($V$1006:V1006),$V$1006:$AE$1006,0)), HYPERLINK("#",""), HYPERLINK(CONCATENATE("#Metadata!", ADDRESS(INDEX($Q$2:$Q$1001,MATCH(ROWS($O$2:O120),$O$2:$O$1001,0),0), INDEX($V$1004:$AE$1004,1,MATCH(COLUMNS($V$1006:V1006),$V$1006:$AE$1006,0)))),"Fix")))</f>
        <v>0</v>
      </c>
      <c r="C120" s="4">
        <f>IF(OR(INDEX($P$2:$P$1001,MATCH(ROWS($O$2:O120),$O$2:$O$1001,0),1)&gt;=100000,INDEX($V$1005:$AE$1005,1,MATCH(COLUMNS($V$1006:W1006),$V$1006:$AE$1006,0))&gt;=100000), " ",IF(INDEX($V$2:$AE$1001,MATCH(ROWS($O$2:O120),$O$2:$O$1001,0),MATCH(COLUMNS($V$1006:W1006),$V$1006:$AE$1006,0)), HYPERLINK("#",""), HYPERLINK(CONCATENATE("#Metadata!", ADDRESS(INDEX($Q$2:$Q$1001,MATCH(ROWS($O$2:O120),$O$2:$O$1001,0),0), INDEX($V$1004:$AE$1004,1,MATCH(COLUMNS($V$1006:W1006),$V$1006:$AE$1006,0)))),"Fix")))</f>
        <v>0</v>
      </c>
      <c r="D120" s="4">
        <f>IF(OR(INDEX($P$2:$P$1001,MATCH(ROWS($O$2:O120),$O$2:$O$1001,0),1)&gt;=100000,INDEX($V$1005:$AE$1005,1,MATCH(COLUMNS($V$1006:X1006),$V$1006:$AE$1006,0))&gt;=100000), " ",IF(INDEX($V$2:$AE$1001,MATCH(ROWS($O$2:O120),$O$2:$O$1001,0),MATCH(COLUMNS($V$1006:X1006),$V$1006:$AE$1006,0)), HYPERLINK("#",""), HYPERLINK(CONCATENATE("#Metadata!", ADDRESS(INDEX($Q$2:$Q$1001,MATCH(ROWS($O$2:O120),$O$2:$O$1001,0),0), INDEX($V$1004:$AE$1004,1,MATCH(COLUMNS($V$1006:X1006),$V$1006:$AE$1006,0)))),"Fix")))</f>
        <v>0</v>
      </c>
      <c r="E120" s="4">
        <f>IF(OR(INDEX($P$2:$P$1001,MATCH(ROWS($O$2:O120),$O$2:$O$1001,0),1)&gt;=100000,INDEX($V$1005:$AE$1005,1,MATCH(COLUMNS($V$1006:Y1006),$V$1006:$AE$1006,0))&gt;=100000), " ",IF(INDEX($V$2:$AE$1001,MATCH(ROWS($O$2:O120),$O$2:$O$1001,0),MATCH(COLUMNS($V$1006:Y1006),$V$1006:$AE$1006,0)), HYPERLINK("#",""), HYPERLINK(CONCATENATE("#Metadata!", ADDRESS(INDEX($Q$2:$Q$1001,MATCH(ROWS($O$2:O120),$O$2:$O$1001,0),0), INDEX($V$1004:$AE$1004,1,MATCH(COLUMNS($V$1006:Y1006),$V$1006:$AE$1006,0)))),"Fix")))</f>
        <v>0</v>
      </c>
      <c r="F120" s="4">
        <f>IF(OR(INDEX($P$2:$P$1001,MATCH(ROWS($O$2:O120),$O$2:$O$1001,0),1)&gt;=100000,INDEX($V$1005:$AE$1005,1,MATCH(COLUMNS($V$1006:Z1006),$V$1006:$AE$1006,0))&gt;=100000), " ",IF(INDEX($V$2:$AE$1001,MATCH(ROWS($O$2:O120),$O$2:$O$1001,0),MATCH(COLUMNS($V$1006:Z1006),$V$1006:$AE$1006,0)), HYPERLINK("#",""), HYPERLINK(CONCATENATE("#Metadata!", ADDRESS(INDEX($Q$2:$Q$1001,MATCH(ROWS($O$2:O120),$O$2:$O$1001,0),0), INDEX($V$1004:$AE$1004,1,MATCH(COLUMNS($V$1006:Z1006),$V$1006:$AE$1006,0)))),"Fix")))</f>
        <v>0</v>
      </c>
      <c r="G120" s="4">
        <f>IF(OR(INDEX($P$2:$P$1001,MATCH(ROWS($O$2:O120),$O$2:$O$1001,0),1)&gt;=100000,INDEX($V$1005:$AE$1005,1,MATCH(COLUMNS($V$1006:AA1006),$V$1006:$AE$1006,0))&gt;=100000), " ",IF(INDEX($V$2:$AE$1001,MATCH(ROWS($O$2:O120),$O$2:$O$1001,0),MATCH(COLUMNS($V$1006:AA1006),$V$1006:$AE$1006,0)), HYPERLINK("#",""), HYPERLINK(CONCATENATE("#Metadata!", ADDRESS(INDEX($Q$2:$Q$1001,MATCH(ROWS($O$2:O120),$O$2:$O$1001,0),0), INDEX($V$1004:$AE$1004,1,MATCH(COLUMNS($V$1006:AA1006),$V$1006:$AE$1006,0)))),"Fix")))</f>
        <v>0</v>
      </c>
      <c r="H120" s="4">
        <f>IF(OR(INDEX($P$2:$P$1001,MATCH(ROWS($O$2:O120),$O$2:$O$1001,0),1)&gt;=100000,INDEX($V$1005:$AE$1005,1,MATCH(COLUMNS($V$1006:AB1006),$V$1006:$AE$1006,0))&gt;=100000), " ",IF(INDEX($V$2:$AE$1001,MATCH(ROWS($O$2:O120),$O$2:$O$1001,0),MATCH(COLUMNS($V$1006:AB1006),$V$1006:$AE$1006,0)), HYPERLINK("#",""), HYPERLINK(CONCATENATE("#Metadata!", ADDRESS(INDEX($Q$2:$Q$1001,MATCH(ROWS($O$2:O120),$O$2:$O$1001,0),0), INDEX($V$1004:$AE$1004,1,MATCH(COLUMNS($V$1006:AB1006),$V$1006:$AE$1006,0)))),"Fix")))</f>
        <v>0</v>
      </c>
      <c r="I120" s="4">
        <f>IF(OR(INDEX($P$2:$P$1001,MATCH(ROWS($O$2:O120),$O$2:$O$1001,0),1)&gt;=100000,INDEX($V$1005:$AE$1005,1,MATCH(COLUMNS($V$1006:AC1006),$V$1006:$AE$1006,0))&gt;=100000), " ",IF(INDEX($V$2:$AE$1001,MATCH(ROWS($O$2:O120),$O$2:$O$1001,0),MATCH(COLUMNS($V$1006:AC1006),$V$1006:$AE$1006,0)), HYPERLINK("#",""), HYPERLINK(CONCATENATE("#Metadata!", ADDRESS(INDEX($Q$2:$Q$1001,MATCH(ROWS($O$2:O120),$O$2:$O$1001,0),0), INDEX($V$1004:$AE$1004,1,MATCH(COLUMNS($V$1006:AC1006),$V$1006:$AE$1006,0)))),"Fix")))</f>
        <v>0</v>
      </c>
      <c r="J120" s="4">
        <f>IF(OR(INDEX($P$2:$P$1001,MATCH(ROWS($O$2:O120),$O$2:$O$1001,0),1)&gt;=100000,INDEX($V$1005:$AE$1005,1,MATCH(COLUMNS($V$1006:AD1006),$V$1006:$AE$1006,0))&gt;=100000), " ",IF(INDEX($V$2:$AE$1001,MATCH(ROWS($O$2:O120),$O$2:$O$1001,0),MATCH(COLUMNS($V$1006:AD1006),$V$1006:$AE$1006,0)), HYPERLINK("#",""), HYPERLINK(CONCATENATE("#Metadata!", ADDRESS(INDEX($Q$2:$Q$1001,MATCH(ROWS($O$2:O120),$O$2:$O$1001,0),0), INDEX($V$1004:$AE$1004,1,MATCH(COLUMNS($V$1006:AD1006),$V$1006:$AE$1006,0)))),"Fix")))</f>
        <v>0</v>
      </c>
      <c r="K120" s="4">
        <f>IF(OR(INDEX($P$2:$P$1001,MATCH(ROWS($O$2:O120),$O$2:$O$1001,0),1)&gt;=100000,INDEX($V$1005:$AE$1005,1,MATCH(COLUMNS($V$1006:AE1006),$V$1006:$AE$1006,0))&gt;=100000), " ",IF(INDEX($V$2:$AE$1001,MATCH(ROWS($O$2:O120),$O$2:$O$1001,0),MATCH(COLUMNS($V$1006:AE1006),$V$1006:$AE$1006,0)), HYPERLINK("#",""), HYPERLINK(CONCATENATE("#Metadata!", ADDRESS(INDEX($Q$2:$Q$1001,MATCH(ROWS($O$2:O120),$O$2:$O$1001,0),0), INDEX($V$1004:$AE$1004,1,MATCH(COLUMNS($V$1006:AE1006),$V$1006:$AE$1006,0)))),"Fix")))</f>
        <v>0</v>
      </c>
      <c r="O120">
        <v>0</v>
      </c>
      <c r="P120">
        <v>0</v>
      </c>
      <c r="Q120">
        <v>0</v>
      </c>
      <c r="R120">
        <f>IF(S120,TRUE,AND(V120:AE120))</f>
        <v>0</v>
      </c>
      <c r="S120">
        <f>COUNTBLANK(Metadata!B120:K120)=COLUMNS(Metadata!B120:K120)</f>
        <v>0</v>
      </c>
      <c r="T120">
        <v>0</v>
      </c>
      <c r="V120">
        <f>AND(IF(Metadata!B120="",FALSE,TRUE),COUNTIF(Metadata!B:B, Metadata!B120) = 1,NOT(ISERROR(SUMPRODUCT(SEARCH(MID(Metadata!B120,ROW(INDIRECT("1:"&amp;LEN(Metadata!B120))), 1),"0123456789abcdefghijklmnopqrstuvwxyzABCDEFGHIJKLMNOPQRSTUVWXYZ.")))))</f>
        <v>0</v>
      </c>
      <c r="W120">
        <f>AND(IF(Metadata!C120="",FALSE,TRUE),exact(Metadata!C120,"urban biome"))</f>
        <v>0</v>
      </c>
      <c r="X120">
        <f>AND(IF(Metadata!D120="",FALSE,TRUE),exact(Metadata!D120,"animal-associated habitat"))</f>
        <v>0</v>
      </c>
      <c r="Y120">
        <f>OR(AND(IF(Metadata!E120="",FALSE,TRUE),OR(exact(Metadata!E120,"not applicable"),exact(Metadata!E120,"missing: not collected"),exact(Metadata!E120,"missing: not provided"),exact(Metadata!E120,"missing: restricted access"))),AND(IF(Metadata!E120="",FALSE,ISNUMBER(VALUE(Metadata!E120))),Metadata!E120&gt;0))</f>
        <v>0</v>
      </c>
      <c r="Z120">
        <f>AND(IF(Metadata!F120="",FALSE,TRUE),exact(Metadata!F120,"weeks"))</f>
        <v>0</v>
      </c>
      <c r="AA120">
        <f>AND(IF(Metadata!G120="",FALSE,TRUE),exact(Metadata!G120,"mouse"))</f>
        <v>0</v>
      </c>
      <c r="AB120">
        <f>AND(IF(Metadata!H120="",FALSE,TRUE),exact(Metadata!H120,"Mus musculus"))</f>
        <v>0</v>
      </c>
      <c r="AC120">
        <f>AND(IF(Metadata!I120="",FALSE,TRUE),exact(Metadata!I120,"10090"))</f>
        <v>0</v>
      </c>
      <c r="AD120">
        <f>OR(AND(IF(Metadata!J120="",FALSE,TRUE),OR(exact(Metadata!J120,"not applicable"),exact(Metadata!J120,"missing: not collected"),exact(Metadata!J120,"missing: not provided"),exact(Metadata!J120,"missing: restricted access"))),AND(IF(Metadata!J120="",FALSE,ISNUMBER(VALUE(Metadata!J120))),Metadata!J120&gt;0))</f>
        <v>0</v>
      </c>
      <c r="AE120">
        <f>AND(IF(Metadata!K120="",FALSE,TRUE),exact(Metadata!K120,"g"))</f>
        <v>0</v>
      </c>
    </row>
    <row r="121" spans="1:31">
      <c r="A121" s="5">
        <f>IF(B121=" "," ",HYPERLINK(CONCATENATE("#metadata!",ADDRESS(INDEX($Q$2:$Q$1001,MATCH(ROWS($O$2:O121),$O$2:$O$1001,0),0),1)),INDEX($T$2:$T$1001,MATCH(ROWS($O$2:O121),$O$2:$O$1001,0),0)))</f>
        <v>0</v>
      </c>
      <c r="B121" s="4">
        <f>IF(OR(INDEX($P$2:$P$1001,MATCH(ROWS($O$2:O121),$O$2:$O$1001,0),1)&gt;=100000,INDEX($V$1005:$AE$1005,1,MATCH(COLUMNS($V$1006:V1006),$V$1006:$AE$1006,0))&gt;=100000), " ",IF(INDEX($V$2:$AE$1001,MATCH(ROWS($O$2:O121),$O$2:$O$1001,0),MATCH(COLUMNS($V$1006:V1006),$V$1006:$AE$1006,0)), HYPERLINK("#",""), HYPERLINK(CONCATENATE("#Metadata!", ADDRESS(INDEX($Q$2:$Q$1001,MATCH(ROWS($O$2:O121),$O$2:$O$1001,0),0), INDEX($V$1004:$AE$1004,1,MATCH(COLUMNS($V$1006:V1006),$V$1006:$AE$1006,0)))),"Fix")))</f>
        <v>0</v>
      </c>
      <c r="C121" s="4">
        <f>IF(OR(INDEX($P$2:$P$1001,MATCH(ROWS($O$2:O121),$O$2:$O$1001,0),1)&gt;=100000,INDEX($V$1005:$AE$1005,1,MATCH(COLUMNS($V$1006:W1006),$V$1006:$AE$1006,0))&gt;=100000), " ",IF(INDEX($V$2:$AE$1001,MATCH(ROWS($O$2:O121),$O$2:$O$1001,0),MATCH(COLUMNS($V$1006:W1006),$V$1006:$AE$1006,0)), HYPERLINK("#",""), HYPERLINK(CONCATENATE("#Metadata!", ADDRESS(INDEX($Q$2:$Q$1001,MATCH(ROWS($O$2:O121),$O$2:$O$1001,0),0), INDEX($V$1004:$AE$1004,1,MATCH(COLUMNS($V$1006:W1006),$V$1006:$AE$1006,0)))),"Fix")))</f>
        <v>0</v>
      </c>
      <c r="D121" s="4">
        <f>IF(OR(INDEX($P$2:$P$1001,MATCH(ROWS($O$2:O121),$O$2:$O$1001,0),1)&gt;=100000,INDEX($V$1005:$AE$1005,1,MATCH(COLUMNS($V$1006:X1006),$V$1006:$AE$1006,0))&gt;=100000), " ",IF(INDEX($V$2:$AE$1001,MATCH(ROWS($O$2:O121),$O$2:$O$1001,0),MATCH(COLUMNS($V$1006:X1006),$V$1006:$AE$1006,0)), HYPERLINK("#",""), HYPERLINK(CONCATENATE("#Metadata!", ADDRESS(INDEX($Q$2:$Q$1001,MATCH(ROWS($O$2:O121),$O$2:$O$1001,0),0), INDEX($V$1004:$AE$1004,1,MATCH(COLUMNS($V$1006:X1006),$V$1006:$AE$1006,0)))),"Fix")))</f>
        <v>0</v>
      </c>
      <c r="E121" s="4">
        <f>IF(OR(INDEX($P$2:$P$1001,MATCH(ROWS($O$2:O121),$O$2:$O$1001,0),1)&gt;=100000,INDEX($V$1005:$AE$1005,1,MATCH(COLUMNS($V$1006:Y1006),$V$1006:$AE$1006,0))&gt;=100000), " ",IF(INDEX($V$2:$AE$1001,MATCH(ROWS($O$2:O121),$O$2:$O$1001,0),MATCH(COLUMNS($V$1006:Y1006),$V$1006:$AE$1006,0)), HYPERLINK("#",""), HYPERLINK(CONCATENATE("#Metadata!", ADDRESS(INDEX($Q$2:$Q$1001,MATCH(ROWS($O$2:O121),$O$2:$O$1001,0),0), INDEX($V$1004:$AE$1004,1,MATCH(COLUMNS($V$1006:Y1006),$V$1006:$AE$1006,0)))),"Fix")))</f>
        <v>0</v>
      </c>
      <c r="F121" s="4">
        <f>IF(OR(INDEX($P$2:$P$1001,MATCH(ROWS($O$2:O121),$O$2:$O$1001,0),1)&gt;=100000,INDEX($V$1005:$AE$1005,1,MATCH(COLUMNS($V$1006:Z1006),$V$1006:$AE$1006,0))&gt;=100000), " ",IF(INDEX($V$2:$AE$1001,MATCH(ROWS($O$2:O121),$O$2:$O$1001,0),MATCH(COLUMNS($V$1006:Z1006),$V$1006:$AE$1006,0)), HYPERLINK("#",""), HYPERLINK(CONCATENATE("#Metadata!", ADDRESS(INDEX($Q$2:$Q$1001,MATCH(ROWS($O$2:O121),$O$2:$O$1001,0),0), INDEX($V$1004:$AE$1004,1,MATCH(COLUMNS($V$1006:Z1006),$V$1006:$AE$1006,0)))),"Fix")))</f>
        <v>0</v>
      </c>
      <c r="G121" s="4">
        <f>IF(OR(INDEX($P$2:$P$1001,MATCH(ROWS($O$2:O121),$O$2:$O$1001,0),1)&gt;=100000,INDEX($V$1005:$AE$1005,1,MATCH(COLUMNS($V$1006:AA1006),$V$1006:$AE$1006,0))&gt;=100000), " ",IF(INDEX($V$2:$AE$1001,MATCH(ROWS($O$2:O121),$O$2:$O$1001,0),MATCH(COLUMNS($V$1006:AA1006),$V$1006:$AE$1006,0)), HYPERLINK("#",""), HYPERLINK(CONCATENATE("#Metadata!", ADDRESS(INDEX($Q$2:$Q$1001,MATCH(ROWS($O$2:O121),$O$2:$O$1001,0),0), INDEX($V$1004:$AE$1004,1,MATCH(COLUMNS($V$1006:AA1006),$V$1006:$AE$1006,0)))),"Fix")))</f>
        <v>0</v>
      </c>
      <c r="H121" s="4">
        <f>IF(OR(INDEX($P$2:$P$1001,MATCH(ROWS($O$2:O121),$O$2:$O$1001,0),1)&gt;=100000,INDEX($V$1005:$AE$1005,1,MATCH(COLUMNS($V$1006:AB1006),$V$1006:$AE$1006,0))&gt;=100000), " ",IF(INDEX($V$2:$AE$1001,MATCH(ROWS($O$2:O121),$O$2:$O$1001,0),MATCH(COLUMNS($V$1006:AB1006),$V$1006:$AE$1006,0)), HYPERLINK("#",""), HYPERLINK(CONCATENATE("#Metadata!", ADDRESS(INDEX($Q$2:$Q$1001,MATCH(ROWS($O$2:O121),$O$2:$O$1001,0),0), INDEX($V$1004:$AE$1004,1,MATCH(COLUMNS($V$1006:AB1006),$V$1006:$AE$1006,0)))),"Fix")))</f>
        <v>0</v>
      </c>
      <c r="I121" s="4">
        <f>IF(OR(INDEX($P$2:$P$1001,MATCH(ROWS($O$2:O121),$O$2:$O$1001,0),1)&gt;=100000,INDEX($V$1005:$AE$1005,1,MATCH(COLUMNS($V$1006:AC1006),$V$1006:$AE$1006,0))&gt;=100000), " ",IF(INDEX($V$2:$AE$1001,MATCH(ROWS($O$2:O121),$O$2:$O$1001,0),MATCH(COLUMNS($V$1006:AC1006),$V$1006:$AE$1006,0)), HYPERLINK("#",""), HYPERLINK(CONCATENATE("#Metadata!", ADDRESS(INDEX($Q$2:$Q$1001,MATCH(ROWS($O$2:O121),$O$2:$O$1001,0),0), INDEX($V$1004:$AE$1004,1,MATCH(COLUMNS($V$1006:AC1006),$V$1006:$AE$1006,0)))),"Fix")))</f>
        <v>0</v>
      </c>
      <c r="J121" s="4">
        <f>IF(OR(INDEX($P$2:$P$1001,MATCH(ROWS($O$2:O121),$O$2:$O$1001,0),1)&gt;=100000,INDEX($V$1005:$AE$1005,1,MATCH(COLUMNS($V$1006:AD1006),$V$1006:$AE$1006,0))&gt;=100000), " ",IF(INDEX($V$2:$AE$1001,MATCH(ROWS($O$2:O121),$O$2:$O$1001,0),MATCH(COLUMNS($V$1006:AD1006),$V$1006:$AE$1006,0)), HYPERLINK("#",""), HYPERLINK(CONCATENATE("#Metadata!", ADDRESS(INDEX($Q$2:$Q$1001,MATCH(ROWS($O$2:O121),$O$2:$O$1001,0),0), INDEX($V$1004:$AE$1004,1,MATCH(COLUMNS($V$1006:AD1006),$V$1006:$AE$1006,0)))),"Fix")))</f>
        <v>0</v>
      </c>
      <c r="K121" s="4">
        <f>IF(OR(INDEX($P$2:$P$1001,MATCH(ROWS($O$2:O121),$O$2:$O$1001,0),1)&gt;=100000,INDEX($V$1005:$AE$1005,1,MATCH(COLUMNS($V$1006:AE1006),$V$1006:$AE$1006,0))&gt;=100000), " ",IF(INDEX($V$2:$AE$1001,MATCH(ROWS($O$2:O121),$O$2:$O$1001,0),MATCH(COLUMNS($V$1006:AE1006),$V$1006:$AE$1006,0)), HYPERLINK("#",""), HYPERLINK(CONCATENATE("#Metadata!", ADDRESS(INDEX($Q$2:$Q$1001,MATCH(ROWS($O$2:O121),$O$2:$O$1001,0),0), INDEX($V$1004:$AE$1004,1,MATCH(COLUMNS($V$1006:AE1006),$V$1006:$AE$1006,0)))),"Fix")))</f>
        <v>0</v>
      </c>
      <c r="O121">
        <v>0</v>
      </c>
      <c r="P121">
        <v>0</v>
      </c>
      <c r="Q121">
        <v>0</v>
      </c>
      <c r="R121">
        <f>IF(S121,TRUE,AND(V121:AE121))</f>
        <v>0</v>
      </c>
      <c r="S121">
        <f>COUNTBLANK(Metadata!B121:K121)=COLUMNS(Metadata!B121:K121)</f>
        <v>0</v>
      </c>
      <c r="T121">
        <v>0</v>
      </c>
      <c r="V121">
        <f>AND(IF(Metadata!B121="",FALSE,TRUE),COUNTIF(Metadata!B:B, Metadata!B121) = 1,NOT(ISERROR(SUMPRODUCT(SEARCH(MID(Metadata!B121,ROW(INDIRECT("1:"&amp;LEN(Metadata!B121))), 1),"0123456789abcdefghijklmnopqrstuvwxyzABCDEFGHIJKLMNOPQRSTUVWXYZ.")))))</f>
        <v>0</v>
      </c>
      <c r="W121">
        <f>AND(IF(Metadata!C121="",FALSE,TRUE),exact(Metadata!C121,"urban biome"))</f>
        <v>0</v>
      </c>
      <c r="X121">
        <f>AND(IF(Metadata!D121="",FALSE,TRUE),exact(Metadata!D121,"animal-associated habitat"))</f>
        <v>0</v>
      </c>
      <c r="Y121">
        <f>OR(AND(IF(Metadata!E121="",FALSE,TRUE),OR(exact(Metadata!E121,"not applicable"),exact(Metadata!E121,"missing: not collected"),exact(Metadata!E121,"missing: not provided"),exact(Metadata!E121,"missing: restricted access"))),AND(IF(Metadata!E121="",FALSE,ISNUMBER(VALUE(Metadata!E121))),Metadata!E121&gt;0))</f>
        <v>0</v>
      </c>
      <c r="Z121">
        <f>AND(IF(Metadata!F121="",FALSE,TRUE),exact(Metadata!F121,"weeks"))</f>
        <v>0</v>
      </c>
      <c r="AA121">
        <f>AND(IF(Metadata!G121="",FALSE,TRUE),exact(Metadata!G121,"mouse"))</f>
        <v>0</v>
      </c>
      <c r="AB121">
        <f>AND(IF(Metadata!H121="",FALSE,TRUE),exact(Metadata!H121,"Mus musculus"))</f>
        <v>0</v>
      </c>
      <c r="AC121">
        <f>AND(IF(Metadata!I121="",FALSE,TRUE),exact(Metadata!I121,"10090"))</f>
        <v>0</v>
      </c>
      <c r="AD121">
        <f>OR(AND(IF(Metadata!J121="",FALSE,TRUE),OR(exact(Metadata!J121,"not applicable"),exact(Metadata!J121,"missing: not collected"),exact(Metadata!J121,"missing: not provided"),exact(Metadata!J121,"missing: restricted access"))),AND(IF(Metadata!J121="",FALSE,ISNUMBER(VALUE(Metadata!J121))),Metadata!J121&gt;0))</f>
        <v>0</v>
      </c>
      <c r="AE121">
        <f>AND(IF(Metadata!K121="",FALSE,TRUE),exact(Metadata!K121,"g"))</f>
        <v>0</v>
      </c>
    </row>
    <row r="122" spans="1:31">
      <c r="A122" s="5">
        <f>IF(B122=" "," ",HYPERLINK(CONCATENATE("#metadata!",ADDRESS(INDEX($Q$2:$Q$1001,MATCH(ROWS($O$2:O122),$O$2:$O$1001,0),0),1)),INDEX($T$2:$T$1001,MATCH(ROWS($O$2:O122),$O$2:$O$1001,0),0)))</f>
        <v>0</v>
      </c>
      <c r="B122" s="4">
        <f>IF(OR(INDEX($P$2:$P$1001,MATCH(ROWS($O$2:O122),$O$2:$O$1001,0),1)&gt;=100000,INDEX($V$1005:$AE$1005,1,MATCH(COLUMNS($V$1006:V1006),$V$1006:$AE$1006,0))&gt;=100000), " ",IF(INDEX($V$2:$AE$1001,MATCH(ROWS($O$2:O122),$O$2:$O$1001,0),MATCH(COLUMNS($V$1006:V1006),$V$1006:$AE$1006,0)), HYPERLINK("#",""), HYPERLINK(CONCATENATE("#Metadata!", ADDRESS(INDEX($Q$2:$Q$1001,MATCH(ROWS($O$2:O122),$O$2:$O$1001,0),0), INDEX($V$1004:$AE$1004,1,MATCH(COLUMNS($V$1006:V1006),$V$1006:$AE$1006,0)))),"Fix")))</f>
        <v>0</v>
      </c>
      <c r="C122" s="4">
        <f>IF(OR(INDEX($P$2:$P$1001,MATCH(ROWS($O$2:O122),$O$2:$O$1001,0),1)&gt;=100000,INDEX($V$1005:$AE$1005,1,MATCH(COLUMNS($V$1006:W1006),$V$1006:$AE$1006,0))&gt;=100000), " ",IF(INDEX($V$2:$AE$1001,MATCH(ROWS($O$2:O122),$O$2:$O$1001,0),MATCH(COLUMNS($V$1006:W1006),$V$1006:$AE$1006,0)), HYPERLINK("#",""), HYPERLINK(CONCATENATE("#Metadata!", ADDRESS(INDEX($Q$2:$Q$1001,MATCH(ROWS($O$2:O122),$O$2:$O$1001,0),0), INDEX($V$1004:$AE$1004,1,MATCH(COLUMNS($V$1006:W1006),$V$1006:$AE$1006,0)))),"Fix")))</f>
        <v>0</v>
      </c>
      <c r="D122" s="4">
        <f>IF(OR(INDEX($P$2:$P$1001,MATCH(ROWS($O$2:O122),$O$2:$O$1001,0),1)&gt;=100000,INDEX($V$1005:$AE$1005,1,MATCH(COLUMNS($V$1006:X1006),$V$1006:$AE$1006,0))&gt;=100000), " ",IF(INDEX($V$2:$AE$1001,MATCH(ROWS($O$2:O122),$O$2:$O$1001,0),MATCH(COLUMNS($V$1006:X1006),$V$1006:$AE$1006,0)), HYPERLINK("#",""), HYPERLINK(CONCATENATE("#Metadata!", ADDRESS(INDEX($Q$2:$Q$1001,MATCH(ROWS($O$2:O122),$O$2:$O$1001,0),0), INDEX($V$1004:$AE$1004,1,MATCH(COLUMNS($V$1006:X1006),$V$1006:$AE$1006,0)))),"Fix")))</f>
        <v>0</v>
      </c>
      <c r="E122" s="4">
        <f>IF(OR(INDEX($P$2:$P$1001,MATCH(ROWS($O$2:O122),$O$2:$O$1001,0),1)&gt;=100000,INDEX($V$1005:$AE$1005,1,MATCH(COLUMNS($V$1006:Y1006),$V$1006:$AE$1006,0))&gt;=100000), " ",IF(INDEX($V$2:$AE$1001,MATCH(ROWS($O$2:O122),$O$2:$O$1001,0),MATCH(COLUMNS($V$1006:Y1006),$V$1006:$AE$1006,0)), HYPERLINK("#",""), HYPERLINK(CONCATENATE("#Metadata!", ADDRESS(INDEX($Q$2:$Q$1001,MATCH(ROWS($O$2:O122),$O$2:$O$1001,0),0), INDEX($V$1004:$AE$1004,1,MATCH(COLUMNS($V$1006:Y1006),$V$1006:$AE$1006,0)))),"Fix")))</f>
        <v>0</v>
      </c>
      <c r="F122" s="4">
        <f>IF(OR(INDEX($P$2:$P$1001,MATCH(ROWS($O$2:O122),$O$2:$O$1001,0),1)&gt;=100000,INDEX($V$1005:$AE$1005,1,MATCH(COLUMNS($V$1006:Z1006),$V$1006:$AE$1006,0))&gt;=100000), " ",IF(INDEX($V$2:$AE$1001,MATCH(ROWS($O$2:O122),$O$2:$O$1001,0),MATCH(COLUMNS($V$1006:Z1006),$V$1006:$AE$1006,0)), HYPERLINK("#",""), HYPERLINK(CONCATENATE("#Metadata!", ADDRESS(INDEX($Q$2:$Q$1001,MATCH(ROWS($O$2:O122),$O$2:$O$1001,0),0), INDEX($V$1004:$AE$1004,1,MATCH(COLUMNS($V$1006:Z1006),$V$1006:$AE$1006,0)))),"Fix")))</f>
        <v>0</v>
      </c>
      <c r="G122" s="4">
        <f>IF(OR(INDEX($P$2:$P$1001,MATCH(ROWS($O$2:O122),$O$2:$O$1001,0),1)&gt;=100000,INDEX($V$1005:$AE$1005,1,MATCH(COLUMNS($V$1006:AA1006),$V$1006:$AE$1006,0))&gt;=100000), " ",IF(INDEX($V$2:$AE$1001,MATCH(ROWS($O$2:O122),$O$2:$O$1001,0),MATCH(COLUMNS($V$1006:AA1006),$V$1006:$AE$1006,0)), HYPERLINK("#",""), HYPERLINK(CONCATENATE("#Metadata!", ADDRESS(INDEX($Q$2:$Q$1001,MATCH(ROWS($O$2:O122),$O$2:$O$1001,0),0), INDEX($V$1004:$AE$1004,1,MATCH(COLUMNS($V$1006:AA1006),$V$1006:$AE$1006,0)))),"Fix")))</f>
        <v>0</v>
      </c>
      <c r="H122" s="4">
        <f>IF(OR(INDEX($P$2:$P$1001,MATCH(ROWS($O$2:O122),$O$2:$O$1001,0),1)&gt;=100000,INDEX($V$1005:$AE$1005,1,MATCH(COLUMNS($V$1006:AB1006),$V$1006:$AE$1006,0))&gt;=100000), " ",IF(INDEX($V$2:$AE$1001,MATCH(ROWS($O$2:O122),$O$2:$O$1001,0),MATCH(COLUMNS($V$1006:AB1006),$V$1006:$AE$1006,0)), HYPERLINK("#",""), HYPERLINK(CONCATENATE("#Metadata!", ADDRESS(INDEX($Q$2:$Q$1001,MATCH(ROWS($O$2:O122),$O$2:$O$1001,0),0), INDEX($V$1004:$AE$1004,1,MATCH(COLUMNS($V$1006:AB1006),$V$1006:$AE$1006,0)))),"Fix")))</f>
        <v>0</v>
      </c>
      <c r="I122" s="4">
        <f>IF(OR(INDEX($P$2:$P$1001,MATCH(ROWS($O$2:O122),$O$2:$O$1001,0),1)&gt;=100000,INDEX($V$1005:$AE$1005,1,MATCH(COLUMNS($V$1006:AC1006),$V$1006:$AE$1006,0))&gt;=100000), " ",IF(INDEX($V$2:$AE$1001,MATCH(ROWS($O$2:O122),$O$2:$O$1001,0),MATCH(COLUMNS($V$1006:AC1006),$V$1006:$AE$1006,0)), HYPERLINK("#",""), HYPERLINK(CONCATENATE("#Metadata!", ADDRESS(INDEX($Q$2:$Q$1001,MATCH(ROWS($O$2:O122),$O$2:$O$1001,0),0), INDEX($V$1004:$AE$1004,1,MATCH(COLUMNS($V$1006:AC1006),$V$1006:$AE$1006,0)))),"Fix")))</f>
        <v>0</v>
      </c>
      <c r="J122" s="4">
        <f>IF(OR(INDEX($P$2:$P$1001,MATCH(ROWS($O$2:O122),$O$2:$O$1001,0),1)&gt;=100000,INDEX($V$1005:$AE$1005,1,MATCH(COLUMNS($V$1006:AD1006),$V$1006:$AE$1006,0))&gt;=100000), " ",IF(INDEX($V$2:$AE$1001,MATCH(ROWS($O$2:O122),$O$2:$O$1001,0),MATCH(COLUMNS($V$1006:AD1006),$V$1006:$AE$1006,0)), HYPERLINK("#",""), HYPERLINK(CONCATENATE("#Metadata!", ADDRESS(INDEX($Q$2:$Q$1001,MATCH(ROWS($O$2:O122),$O$2:$O$1001,0),0), INDEX($V$1004:$AE$1004,1,MATCH(COLUMNS($V$1006:AD1006),$V$1006:$AE$1006,0)))),"Fix")))</f>
        <v>0</v>
      </c>
      <c r="K122" s="4">
        <f>IF(OR(INDEX($P$2:$P$1001,MATCH(ROWS($O$2:O122),$O$2:$O$1001,0),1)&gt;=100000,INDEX($V$1005:$AE$1005,1,MATCH(COLUMNS($V$1006:AE1006),$V$1006:$AE$1006,0))&gt;=100000), " ",IF(INDEX($V$2:$AE$1001,MATCH(ROWS($O$2:O122),$O$2:$O$1001,0),MATCH(COLUMNS($V$1006:AE1006),$V$1006:$AE$1006,0)), HYPERLINK("#",""), HYPERLINK(CONCATENATE("#Metadata!", ADDRESS(INDEX($Q$2:$Q$1001,MATCH(ROWS($O$2:O122),$O$2:$O$1001,0),0), INDEX($V$1004:$AE$1004,1,MATCH(COLUMNS($V$1006:AE1006),$V$1006:$AE$1006,0)))),"Fix")))</f>
        <v>0</v>
      </c>
      <c r="O122">
        <v>0</v>
      </c>
      <c r="P122">
        <v>0</v>
      </c>
      <c r="Q122">
        <v>0</v>
      </c>
      <c r="R122">
        <f>IF(S122,TRUE,AND(V122:AE122))</f>
        <v>0</v>
      </c>
      <c r="S122">
        <f>COUNTBLANK(Metadata!B122:K122)=COLUMNS(Metadata!B122:K122)</f>
        <v>0</v>
      </c>
      <c r="T122">
        <v>0</v>
      </c>
      <c r="V122">
        <f>AND(IF(Metadata!B122="",FALSE,TRUE),COUNTIF(Metadata!B:B, Metadata!B122) = 1,NOT(ISERROR(SUMPRODUCT(SEARCH(MID(Metadata!B122,ROW(INDIRECT("1:"&amp;LEN(Metadata!B122))), 1),"0123456789abcdefghijklmnopqrstuvwxyzABCDEFGHIJKLMNOPQRSTUVWXYZ.")))))</f>
        <v>0</v>
      </c>
      <c r="W122">
        <f>AND(IF(Metadata!C122="",FALSE,TRUE),exact(Metadata!C122,"urban biome"))</f>
        <v>0</v>
      </c>
      <c r="X122">
        <f>AND(IF(Metadata!D122="",FALSE,TRUE),exact(Metadata!D122,"animal-associated habitat"))</f>
        <v>0</v>
      </c>
      <c r="Y122">
        <f>OR(AND(IF(Metadata!E122="",FALSE,TRUE),OR(exact(Metadata!E122,"not applicable"),exact(Metadata!E122,"missing: not collected"),exact(Metadata!E122,"missing: not provided"),exact(Metadata!E122,"missing: restricted access"))),AND(IF(Metadata!E122="",FALSE,ISNUMBER(VALUE(Metadata!E122))),Metadata!E122&gt;0))</f>
        <v>0</v>
      </c>
      <c r="Z122">
        <f>AND(IF(Metadata!F122="",FALSE,TRUE),exact(Metadata!F122,"weeks"))</f>
        <v>0</v>
      </c>
      <c r="AA122">
        <f>AND(IF(Metadata!G122="",FALSE,TRUE),exact(Metadata!G122,"mouse"))</f>
        <v>0</v>
      </c>
      <c r="AB122">
        <f>AND(IF(Metadata!H122="",FALSE,TRUE),exact(Metadata!H122,"Mus musculus"))</f>
        <v>0</v>
      </c>
      <c r="AC122">
        <f>AND(IF(Metadata!I122="",FALSE,TRUE),exact(Metadata!I122,"10090"))</f>
        <v>0</v>
      </c>
      <c r="AD122">
        <f>OR(AND(IF(Metadata!J122="",FALSE,TRUE),OR(exact(Metadata!J122,"not applicable"),exact(Metadata!J122,"missing: not collected"),exact(Metadata!J122,"missing: not provided"),exact(Metadata!J122,"missing: restricted access"))),AND(IF(Metadata!J122="",FALSE,ISNUMBER(VALUE(Metadata!J122))),Metadata!J122&gt;0))</f>
        <v>0</v>
      </c>
      <c r="AE122">
        <f>AND(IF(Metadata!K122="",FALSE,TRUE),exact(Metadata!K122,"g"))</f>
        <v>0</v>
      </c>
    </row>
    <row r="123" spans="1:31">
      <c r="A123" s="5">
        <f>IF(B123=" "," ",HYPERLINK(CONCATENATE("#metadata!",ADDRESS(INDEX($Q$2:$Q$1001,MATCH(ROWS($O$2:O123),$O$2:$O$1001,0),0),1)),INDEX($T$2:$T$1001,MATCH(ROWS($O$2:O123),$O$2:$O$1001,0),0)))</f>
        <v>0</v>
      </c>
      <c r="B123" s="4">
        <f>IF(OR(INDEX($P$2:$P$1001,MATCH(ROWS($O$2:O123),$O$2:$O$1001,0),1)&gt;=100000,INDEX($V$1005:$AE$1005,1,MATCH(COLUMNS($V$1006:V1006),$V$1006:$AE$1006,0))&gt;=100000), " ",IF(INDEX($V$2:$AE$1001,MATCH(ROWS($O$2:O123),$O$2:$O$1001,0),MATCH(COLUMNS($V$1006:V1006),$V$1006:$AE$1006,0)), HYPERLINK("#",""), HYPERLINK(CONCATENATE("#Metadata!", ADDRESS(INDEX($Q$2:$Q$1001,MATCH(ROWS($O$2:O123),$O$2:$O$1001,0),0), INDEX($V$1004:$AE$1004,1,MATCH(COLUMNS($V$1006:V1006),$V$1006:$AE$1006,0)))),"Fix")))</f>
        <v>0</v>
      </c>
      <c r="C123" s="4">
        <f>IF(OR(INDEX($P$2:$P$1001,MATCH(ROWS($O$2:O123),$O$2:$O$1001,0),1)&gt;=100000,INDEX($V$1005:$AE$1005,1,MATCH(COLUMNS($V$1006:W1006),$V$1006:$AE$1006,0))&gt;=100000), " ",IF(INDEX($V$2:$AE$1001,MATCH(ROWS($O$2:O123),$O$2:$O$1001,0),MATCH(COLUMNS($V$1006:W1006),$V$1006:$AE$1006,0)), HYPERLINK("#",""), HYPERLINK(CONCATENATE("#Metadata!", ADDRESS(INDEX($Q$2:$Q$1001,MATCH(ROWS($O$2:O123),$O$2:$O$1001,0),0), INDEX($V$1004:$AE$1004,1,MATCH(COLUMNS($V$1006:W1006),$V$1006:$AE$1006,0)))),"Fix")))</f>
        <v>0</v>
      </c>
      <c r="D123" s="4">
        <f>IF(OR(INDEX($P$2:$P$1001,MATCH(ROWS($O$2:O123),$O$2:$O$1001,0),1)&gt;=100000,INDEX($V$1005:$AE$1005,1,MATCH(COLUMNS($V$1006:X1006),$V$1006:$AE$1006,0))&gt;=100000), " ",IF(INDEX($V$2:$AE$1001,MATCH(ROWS($O$2:O123),$O$2:$O$1001,0),MATCH(COLUMNS($V$1006:X1006),$V$1006:$AE$1006,0)), HYPERLINK("#",""), HYPERLINK(CONCATENATE("#Metadata!", ADDRESS(INDEX($Q$2:$Q$1001,MATCH(ROWS($O$2:O123),$O$2:$O$1001,0),0), INDEX($V$1004:$AE$1004,1,MATCH(COLUMNS($V$1006:X1006),$V$1006:$AE$1006,0)))),"Fix")))</f>
        <v>0</v>
      </c>
      <c r="E123" s="4">
        <f>IF(OR(INDEX($P$2:$P$1001,MATCH(ROWS($O$2:O123),$O$2:$O$1001,0),1)&gt;=100000,INDEX($V$1005:$AE$1005,1,MATCH(COLUMNS($V$1006:Y1006),$V$1006:$AE$1006,0))&gt;=100000), " ",IF(INDEX($V$2:$AE$1001,MATCH(ROWS($O$2:O123),$O$2:$O$1001,0),MATCH(COLUMNS($V$1006:Y1006),$V$1006:$AE$1006,0)), HYPERLINK("#",""), HYPERLINK(CONCATENATE("#Metadata!", ADDRESS(INDEX($Q$2:$Q$1001,MATCH(ROWS($O$2:O123),$O$2:$O$1001,0),0), INDEX($V$1004:$AE$1004,1,MATCH(COLUMNS($V$1006:Y1006),$V$1006:$AE$1006,0)))),"Fix")))</f>
        <v>0</v>
      </c>
      <c r="F123" s="4">
        <f>IF(OR(INDEX($P$2:$P$1001,MATCH(ROWS($O$2:O123),$O$2:$O$1001,0),1)&gt;=100000,INDEX($V$1005:$AE$1005,1,MATCH(COLUMNS($V$1006:Z1006),$V$1006:$AE$1006,0))&gt;=100000), " ",IF(INDEX($V$2:$AE$1001,MATCH(ROWS($O$2:O123),$O$2:$O$1001,0),MATCH(COLUMNS($V$1006:Z1006),$V$1006:$AE$1006,0)), HYPERLINK("#",""), HYPERLINK(CONCATENATE("#Metadata!", ADDRESS(INDEX($Q$2:$Q$1001,MATCH(ROWS($O$2:O123),$O$2:$O$1001,0),0), INDEX($V$1004:$AE$1004,1,MATCH(COLUMNS($V$1006:Z1006),$V$1006:$AE$1006,0)))),"Fix")))</f>
        <v>0</v>
      </c>
      <c r="G123" s="4">
        <f>IF(OR(INDEX($P$2:$P$1001,MATCH(ROWS($O$2:O123),$O$2:$O$1001,0),1)&gt;=100000,INDEX($V$1005:$AE$1005,1,MATCH(COLUMNS($V$1006:AA1006),$V$1006:$AE$1006,0))&gt;=100000), " ",IF(INDEX($V$2:$AE$1001,MATCH(ROWS($O$2:O123),$O$2:$O$1001,0),MATCH(COLUMNS($V$1006:AA1006),$V$1006:$AE$1006,0)), HYPERLINK("#",""), HYPERLINK(CONCATENATE("#Metadata!", ADDRESS(INDEX($Q$2:$Q$1001,MATCH(ROWS($O$2:O123),$O$2:$O$1001,0),0), INDEX($V$1004:$AE$1004,1,MATCH(COLUMNS($V$1006:AA1006),$V$1006:$AE$1006,0)))),"Fix")))</f>
        <v>0</v>
      </c>
      <c r="H123" s="4">
        <f>IF(OR(INDEX($P$2:$P$1001,MATCH(ROWS($O$2:O123),$O$2:$O$1001,0),1)&gt;=100000,INDEX($V$1005:$AE$1005,1,MATCH(COLUMNS($V$1006:AB1006),$V$1006:$AE$1006,0))&gt;=100000), " ",IF(INDEX($V$2:$AE$1001,MATCH(ROWS($O$2:O123),$O$2:$O$1001,0),MATCH(COLUMNS($V$1006:AB1006),$V$1006:$AE$1006,0)), HYPERLINK("#",""), HYPERLINK(CONCATENATE("#Metadata!", ADDRESS(INDEX($Q$2:$Q$1001,MATCH(ROWS($O$2:O123),$O$2:$O$1001,0),0), INDEX($V$1004:$AE$1004,1,MATCH(COLUMNS($V$1006:AB1006),$V$1006:$AE$1006,0)))),"Fix")))</f>
        <v>0</v>
      </c>
      <c r="I123" s="4">
        <f>IF(OR(INDEX($P$2:$P$1001,MATCH(ROWS($O$2:O123),$O$2:$O$1001,0),1)&gt;=100000,INDEX($V$1005:$AE$1005,1,MATCH(COLUMNS($V$1006:AC1006),$V$1006:$AE$1006,0))&gt;=100000), " ",IF(INDEX($V$2:$AE$1001,MATCH(ROWS($O$2:O123),$O$2:$O$1001,0),MATCH(COLUMNS($V$1006:AC1006),$V$1006:$AE$1006,0)), HYPERLINK("#",""), HYPERLINK(CONCATENATE("#Metadata!", ADDRESS(INDEX($Q$2:$Q$1001,MATCH(ROWS($O$2:O123),$O$2:$O$1001,0),0), INDEX($V$1004:$AE$1004,1,MATCH(COLUMNS($V$1006:AC1006),$V$1006:$AE$1006,0)))),"Fix")))</f>
        <v>0</v>
      </c>
      <c r="J123" s="4">
        <f>IF(OR(INDEX($P$2:$P$1001,MATCH(ROWS($O$2:O123),$O$2:$O$1001,0),1)&gt;=100000,INDEX($V$1005:$AE$1005,1,MATCH(COLUMNS($V$1006:AD1006),$V$1006:$AE$1006,0))&gt;=100000), " ",IF(INDEX($V$2:$AE$1001,MATCH(ROWS($O$2:O123),$O$2:$O$1001,0),MATCH(COLUMNS($V$1006:AD1006),$V$1006:$AE$1006,0)), HYPERLINK("#",""), HYPERLINK(CONCATENATE("#Metadata!", ADDRESS(INDEX($Q$2:$Q$1001,MATCH(ROWS($O$2:O123),$O$2:$O$1001,0),0), INDEX($V$1004:$AE$1004,1,MATCH(COLUMNS($V$1006:AD1006),$V$1006:$AE$1006,0)))),"Fix")))</f>
        <v>0</v>
      </c>
      <c r="K123" s="4">
        <f>IF(OR(INDEX($P$2:$P$1001,MATCH(ROWS($O$2:O123),$O$2:$O$1001,0),1)&gt;=100000,INDEX($V$1005:$AE$1005,1,MATCH(COLUMNS($V$1006:AE1006),$V$1006:$AE$1006,0))&gt;=100000), " ",IF(INDEX($V$2:$AE$1001,MATCH(ROWS($O$2:O123),$O$2:$O$1001,0),MATCH(COLUMNS($V$1006:AE1006),$V$1006:$AE$1006,0)), HYPERLINK("#",""), HYPERLINK(CONCATENATE("#Metadata!", ADDRESS(INDEX($Q$2:$Q$1001,MATCH(ROWS($O$2:O123),$O$2:$O$1001,0),0), INDEX($V$1004:$AE$1004,1,MATCH(COLUMNS($V$1006:AE1006),$V$1006:$AE$1006,0)))),"Fix")))</f>
        <v>0</v>
      </c>
      <c r="O123">
        <v>0</v>
      </c>
      <c r="P123">
        <v>0</v>
      </c>
      <c r="Q123">
        <v>0</v>
      </c>
      <c r="R123">
        <f>IF(S123,TRUE,AND(V123:AE123))</f>
        <v>0</v>
      </c>
      <c r="S123">
        <f>COUNTBLANK(Metadata!B123:K123)=COLUMNS(Metadata!B123:K123)</f>
        <v>0</v>
      </c>
      <c r="T123">
        <v>0</v>
      </c>
      <c r="V123">
        <f>AND(IF(Metadata!B123="",FALSE,TRUE),COUNTIF(Metadata!B:B, Metadata!B123) = 1,NOT(ISERROR(SUMPRODUCT(SEARCH(MID(Metadata!B123,ROW(INDIRECT("1:"&amp;LEN(Metadata!B123))), 1),"0123456789abcdefghijklmnopqrstuvwxyzABCDEFGHIJKLMNOPQRSTUVWXYZ.")))))</f>
        <v>0</v>
      </c>
      <c r="W123">
        <f>AND(IF(Metadata!C123="",FALSE,TRUE),exact(Metadata!C123,"urban biome"))</f>
        <v>0</v>
      </c>
      <c r="X123">
        <f>AND(IF(Metadata!D123="",FALSE,TRUE),exact(Metadata!D123,"animal-associated habitat"))</f>
        <v>0</v>
      </c>
      <c r="Y123">
        <f>OR(AND(IF(Metadata!E123="",FALSE,TRUE),OR(exact(Metadata!E123,"not applicable"),exact(Metadata!E123,"missing: not collected"),exact(Metadata!E123,"missing: not provided"),exact(Metadata!E123,"missing: restricted access"))),AND(IF(Metadata!E123="",FALSE,ISNUMBER(VALUE(Metadata!E123))),Metadata!E123&gt;0))</f>
        <v>0</v>
      </c>
      <c r="Z123">
        <f>AND(IF(Metadata!F123="",FALSE,TRUE),exact(Metadata!F123,"weeks"))</f>
        <v>0</v>
      </c>
      <c r="AA123">
        <f>AND(IF(Metadata!G123="",FALSE,TRUE),exact(Metadata!G123,"mouse"))</f>
        <v>0</v>
      </c>
      <c r="AB123">
        <f>AND(IF(Metadata!H123="",FALSE,TRUE),exact(Metadata!H123,"Mus musculus"))</f>
        <v>0</v>
      </c>
      <c r="AC123">
        <f>AND(IF(Metadata!I123="",FALSE,TRUE),exact(Metadata!I123,"10090"))</f>
        <v>0</v>
      </c>
      <c r="AD123">
        <f>OR(AND(IF(Metadata!J123="",FALSE,TRUE),OR(exact(Metadata!J123,"not applicable"),exact(Metadata!J123,"missing: not collected"),exact(Metadata!J123,"missing: not provided"),exact(Metadata!J123,"missing: restricted access"))),AND(IF(Metadata!J123="",FALSE,ISNUMBER(VALUE(Metadata!J123))),Metadata!J123&gt;0))</f>
        <v>0</v>
      </c>
      <c r="AE123">
        <f>AND(IF(Metadata!K123="",FALSE,TRUE),exact(Metadata!K123,"g"))</f>
        <v>0</v>
      </c>
    </row>
    <row r="124" spans="1:31">
      <c r="A124" s="5">
        <f>IF(B124=" "," ",HYPERLINK(CONCATENATE("#metadata!",ADDRESS(INDEX($Q$2:$Q$1001,MATCH(ROWS($O$2:O124),$O$2:$O$1001,0),0),1)),INDEX($T$2:$T$1001,MATCH(ROWS($O$2:O124),$O$2:$O$1001,0),0)))</f>
        <v>0</v>
      </c>
      <c r="B124" s="4">
        <f>IF(OR(INDEX($P$2:$P$1001,MATCH(ROWS($O$2:O124),$O$2:$O$1001,0),1)&gt;=100000,INDEX($V$1005:$AE$1005,1,MATCH(COLUMNS($V$1006:V1006),$V$1006:$AE$1006,0))&gt;=100000), " ",IF(INDEX($V$2:$AE$1001,MATCH(ROWS($O$2:O124),$O$2:$O$1001,0),MATCH(COLUMNS($V$1006:V1006),$V$1006:$AE$1006,0)), HYPERLINK("#",""), HYPERLINK(CONCATENATE("#Metadata!", ADDRESS(INDEX($Q$2:$Q$1001,MATCH(ROWS($O$2:O124),$O$2:$O$1001,0),0), INDEX($V$1004:$AE$1004,1,MATCH(COLUMNS($V$1006:V1006),$V$1006:$AE$1006,0)))),"Fix")))</f>
        <v>0</v>
      </c>
      <c r="C124" s="4">
        <f>IF(OR(INDEX($P$2:$P$1001,MATCH(ROWS($O$2:O124),$O$2:$O$1001,0),1)&gt;=100000,INDEX($V$1005:$AE$1005,1,MATCH(COLUMNS($V$1006:W1006),$V$1006:$AE$1006,0))&gt;=100000), " ",IF(INDEX($V$2:$AE$1001,MATCH(ROWS($O$2:O124),$O$2:$O$1001,0),MATCH(COLUMNS($V$1006:W1006),$V$1006:$AE$1006,0)), HYPERLINK("#",""), HYPERLINK(CONCATENATE("#Metadata!", ADDRESS(INDEX($Q$2:$Q$1001,MATCH(ROWS($O$2:O124),$O$2:$O$1001,0),0), INDEX($V$1004:$AE$1004,1,MATCH(COLUMNS($V$1006:W1006),$V$1006:$AE$1006,0)))),"Fix")))</f>
        <v>0</v>
      </c>
      <c r="D124" s="4">
        <f>IF(OR(INDEX($P$2:$P$1001,MATCH(ROWS($O$2:O124),$O$2:$O$1001,0),1)&gt;=100000,INDEX($V$1005:$AE$1005,1,MATCH(COLUMNS($V$1006:X1006),$V$1006:$AE$1006,0))&gt;=100000), " ",IF(INDEX($V$2:$AE$1001,MATCH(ROWS($O$2:O124),$O$2:$O$1001,0),MATCH(COLUMNS($V$1006:X1006),$V$1006:$AE$1006,0)), HYPERLINK("#",""), HYPERLINK(CONCATENATE("#Metadata!", ADDRESS(INDEX($Q$2:$Q$1001,MATCH(ROWS($O$2:O124),$O$2:$O$1001,0),0), INDEX($V$1004:$AE$1004,1,MATCH(COLUMNS($V$1006:X1006),$V$1006:$AE$1006,0)))),"Fix")))</f>
        <v>0</v>
      </c>
      <c r="E124" s="4">
        <f>IF(OR(INDEX($P$2:$P$1001,MATCH(ROWS($O$2:O124),$O$2:$O$1001,0),1)&gt;=100000,INDEX($V$1005:$AE$1005,1,MATCH(COLUMNS($V$1006:Y1006),$V$1006:$AE$1006,0))&gt;=100000), " ",IF(INDEX($V$2:$AE$1001,MATCH(ROWS($O$2:O124),$O$2:$O$1001,0),MATCH(COLUMNS($V$1006:Y1006),$V$1006:$AE$1006,0)), HYPERLINK("#",""), HYPERLINK(CONCATENATE("#Metadata!", ADDRESS(INDEX($Q$2:$Q$1001,MATCH(ROWS($O$2:O124),$O$2:$O$1001,0),0), INDEX($V$1004:$AE$1004,1,MATCH(COLUMNS($V$1006:Y1006),$V$1006:$AE$1006,0)))),"Fix")))</f>
        <v>0</v>
      </c>
      <c r="F124" s="4">
        <f>IF(OR(INDEX($P$2:$P$1001,MATCH(ROWS($O$2:O124),$O$2:$O$1001,0),1)&gt;=100000,INDEX($V$1005:$AE$1005,1,MATCH(COLUMNS($V$1006:Z1006),$V$1006:$AE$1006,0))&gt;=100000), " ",IF(INDEX($V$2:$AE$1001,MATCH(ROWS($O$2:O124),$O$2:$O$1001,0),MATCH(COLUMNS($V$1006:Z1006),$V$1006:$AE$1006,0)), HYPERLINK("#",""), HYPERLINK(CONCATENATE("#Metadata!", ADDRESS(INDEX($Q$2:$Q$1001,MATCH(ROWS($O$2:O124),$O$2:$O$1001,0),0), INDEX($V$1004:$AE$1004,1,MATCH(COLUMNS($V$1006:Z1006),$V$1006:$AE$1006,0)))),"Fix")))</f>
        <v>0</v>
      </c>
      <c r="G124" s="4">
        <f>IF(OR(INDEX($P$2:$P$1001,MATCH(ROWS($O$2:O124),$O$2:$O$1001,0),1)&gt;=100000,INDEX($V$1005:$AE$1005,1,MATCH(COLUMNS($V$1006:AA1006),$V$1006:$AE$1006,0))&gt;=100000), " ",IF(INDEX($V$2:$AE$1001,MATCH(ROWS($O$2:O124),$O$2:$O$1001,0),MATCH(COLUMNS($V$1006:AA1006),$V$1006:$AE$1006,0)), HYPERLINK("#",""), HYPERLINK(CONCATENATE("#Metadata!", ADDRESS(INDEX($Q$2:$Q$1001,MATCH(ROWS($O$2:O124),$O$2:$O$1001,0),0), INDEX($V$1004:$AE$1004,1,MATCH(COLUMNS($V$1006:AA1006),$V$1006:$AE$1006,0)))),"Fix")))</f>
        <v>0</v>
      </c>
      <c r="H124" s="4">
        <f>IF(OR(INDEX($P$2:$P$1001,MATCH(ROWS($O$2:O124),$O$2:$O$1001,0),1)&gt;=100000,INDEX($V$1005:$AE$1005,1,MATCH(COLUMNS($V$1006:AB1006),$V$1006:$AE$1006,0))&gt;=100000), " ",IF(INDEX($V$2:$AE$1001,MATCH(ROWS($O$2:O124),$O$2:$O$1001,0),MATCH(COLUMNS($V$1006:AB1006),$V$1006:$AE$1006,0)), HYPERLINK("#",""), HYPERLINK(CONCATENATE("#Metadata!", ADDRESS(INDEX($Q$2:$Q$1001,MATCH(ROWS($O$2:O124),$O$2:$O$1001,0),0), INDEX($V$1004:$AE$1004,1,MATCH(COLUMNS($V$1006:AB1006),$V$1006:$AE$1006,0)))),"Fix")))</f>
        <v>0</v>
      </c>
      <c r="I124" s="4">
        <f>IF(OR(INDEX($P$2:$P$1001,MATCH(ROWS($O$2:O124),$O$2:$O$1001,0),1)&gt;=100000,INDEX($V$1005:$AE$1005,1,MATCH(COLUMNS($V$1006:AC1006),$V$1006:$AE$1006,0))&gt;=100000), " ",IF(INDEX($V$2:$AE$1001,MATCH(ROWS($O$2:O124),$O$2:$O$1001,0),MATCH(COLUMNS($V$1006:AC1006),$V$1006:$AE$1006,0)), HYPERLINK("#",""), HYPERLINK(CONCATENATE("#Metadata!", ADDRESS(INDEX($Q$2:$Q$1001,MATCH(ROWS($O$2:O124),$O$2:$O$1001,0),0), INDEX($V$1004:$AE$1004,1,MATCH(COLUMNS($V$1006:AC1006),$V$1006:$AE$1006,0)))),"Fix")))</f>
        <v>0</v>
      </c>
      <c r="J124" s="4">
        <f>IF(OR(INDEX($P$2:$P$1001,MATCH(ROWS($O$2:O124),$O$2:$O$1001,0),1)&gt;=100000,INDEX($V$1005:$AE$1005,1,MATCH(COLUMNS($V$1006:AD1006),$V$1006:$AE$1006,0))&gt;=100000), " ",IF(INDEX($V$2:$AE$1001,MATCH(ROWS($O$2:O124),$O$2:$O$1001,0),MATCH(COLUMNS($V$1006:AD1006),$V$1006:$AE$1006,0)), HYPERLINK("#",""), HYPERLINK(CONCATENATE("#Metadata!", ADDRESS(INDEX($Q$2:$Q$1001,MATCH(ROWS($O$2:O124),$O$2:$O$1001,0),0), INDEX($V$1004:$AE$1004,1,MATCH(COLUMNS($V$1006:AD1006),$V$1006:$AE$1006,0)))),"Fix")))</f>
        <v>0</v>
      </c>
      <c r="K124" s="4">
        <f>IF(OR(INDEX($P$2:$P$1001,MATCH(ROWS($O$2:O124),$O$2:$O$1001,0),1)&gt;=100000,INDEX($V$1005:$AE$1005,1,MATCH(COLUMNS($V$1006:AE1006),$V$1006:$AE$1006,0))&gt;=100000), " ",IF(INDEX($V$2:$AE$1001,MATCH(ROWS($O$2:O124),$O$2:$O$1001,0),MATCH(COLUMNS($V$1006:AE1006),$V$1006:$AE$1006,0)), HYPERLINK("#",""), HYPERLINK(CONCATENATE("#Metadata!", ADDRESS(INDEX($Q$2:$Q$1001,MATCH(ROWS($O$2:O124),$O$2:$O$1001,0),0), INDEX($V$1004:$AE$1004,1,MATCH(COLUMNS($V$1006:AE1006),$V$1006:$AE$1006,0)))),"Fix")))</f>
        <v>0</v>
      </c>
      <c r="O124">
        <v>0</v>
      </c>
      <c r="P124">
        <v>0</v>
      </c>
      <c r="Q124">
        <v>0</v>
      </c>
      <c r="R124">
        <f>IF(S124,TRUE,AND(V124:AE124))</f>
        <v>0</v>
      </c>
      <c r="S124">
        <f>COUNTBLANK(Metadata!B124:K124)=COLUMNS(Metadata!B124:K124)</f>
        <v>0</v>
      </c>
      <c r="T124">
        <v>0</v>
      </c>
      <c r="V124">
        <f>AND(IF(Metadata!B124="",FALSE,TRUE),COUNTIF(Metadata!B:B, Metadata!B124) = 1,NOT(ISERROR(SUMPRODUCT(SEARCH(MID(Metadata!B124,ROW(INDIRECT("1:"&amp;LEN(Metadata!B124))), 1),"0123456789abcdefghijklmnopqrstuvwxyzABCDEFGHIJKLMNOPQRSTUVWXYZ.")))))</f>
        <v>0</v>
      </c>
      <c r="W124">
        <f>AND(IF(Metadata!C124="",FALSE,TRUE),exact(Metadata!C124,"urban biome"))</f>
        <v>0</v>
      </c>
      <c r="X124">
        <f>AND(IF(Metadata!D124="",FALSE,TRUE),exact(Metadata!D124,"animal-associated habitat"))</f>
        <v>0</v>
      </c>
      <c r="Y124">
        <f>OR(AND(IF(Metadata!E124="",FALSE,TRUE),OR(exact(Metadata!E124,"not applicable"),exact(Metadata!E124,"missing: not collected"),exact(Metadata!E124,"missing: not provided"),exact(Metadata!E124,"missing: restricted access"))),AND(IF(Metadata!E124="",FALSE,ISNUMBER(VALUE(Metadata!E124))),Metadata!E124&gt;0))</f>
        <v>0</v>
      </c>
      <c r="Z124">
        <f>AND(IF(Metadata!F124="",FALSE,TRUE),exact(Metadata!F124,"weeks"))</f>
        <v>0</v>
      </c>
      <c r="AA124">
        <f>AND(IF(Metadata!G124="",FALSE,TRUE),exact(Metadata!G124,"mouse"))</f>
        <v>0</v>
      </c>
      <c r="AB124">
        <f>AND(IF(Metadata!H124="",FALSE,TRUE),exact(Metadata!H124,"Mus musculus"))</f>
        <v>0</v>
      </c>
      <c r="AC124">
        <f>AND(IF(Metadata!I124="",FALSE,TRUE),exact(Metadata!I124,"10090"))</f>
        <v>0</v>
      </c>
      <c r="AD124">
        <f>OR(AND(IF(Metadata!J124="",FALSE,TRUE),OR(exact(Metadata!J124,"not applicable"),exact(Metadata!J124,"missing: not collected"),exact(Metadata!J124,"missing: not provided"),exact(Metadata!J124,"missing: restricted access"))),AND(IF(Metadata!J124="",FALSE,ISNUMBER(VALUE(Metadata!J124))),Metadata!J124&gt;0))</f>
        <v>0</v>
      </c>
      <c r="AE124">
        <f>AND(IF(Metadata!K124="",FALSE,TRUE),exact(Metadata!K124,"g"))</f>
        <v>0</v>
      </c>
    </row>
    <row r="125" spans="1:31">
      <c r="A125" s="5">
        <f>IF(B125=" "," ",HYPERLINK(CONCATENATE("#metadata!",ADDRESS(INDEX($Q$2:$Q$1001,MATCH(ROWS($O$2:O125),$O$2:$O$1001,0),0),1)),INDEX($T$2:$T$1001,MATCH(ROWS($O$2:O125),$O$2:$O$1001,0),0)))</f>
        <v>0</v>
      </c>
      <c r="B125" s="4">
        <f>IF(OR(INDEX($P$2:$P$1001,MATCH(ROWS($O$2:O125),$O$2:$O$1001,0),1)&gt;=100000,INDEX($V$1005:$AE$1005,1,MATCH(COLUMNS($V$1006:V1006),$V$1006:$AE$1006,0))&gt;=100000), " ",IF(INDEX($V$2:$AE$1001,MATCH(ROWS($O$2:O125),$O$2:$O$1001,0),MATCH(COLUMNS($V$1006:V1006),$V$1006:$AE$1006,0)), HYPERLINK("#",""), HYPERLINK(CONCATENATE("#Metadata!", ADDRESS(INDEX($Q$2:$Q$1001,MATCH(ROWS($O$2:O125),$O$2:$O$1001,0),0), INDEX($V$1004:$AE$1004,1,MATCH(COLUMNS($V$1006:V1006),$V$1006:$AE$1006,0)))),"Fix")))</f>
        <v>0</v>
      </c>
      <c r="C125" s="4">
        <f>IF(OR(INDEX($P$2:$P$1001,MATCH(ROWS($O$2:O125),$O$2:$O$1001,0),1)&gt;=100000,INDEX($V$1005:$AE$1005,1,MATCH(COLUMNS($V$1006:W1006),$V$1006:$AE$1006,0))&gt;=100000), " ",IF(INDEX($V$2:$AE$1001,MATCH(ROWS($O$2:O125),$O$2:$O$1001,0),MATCH(COLUMNS($V$1006:W1006),$V$1006:$AE$1006,0)), HYPERLINK("#",""), HYPERLINK(CONCATENATE("#Metadata!", ADDRESS(INDEX($Q$2:$Q$1001,MATCH(ROWS($O$2:O125),$O$2:$O$1001,0),0), INDEX($V$1004:$AE$1004,1,MATCH(COLUMNS($V$1006:W1006),$V$1006:$AE$1006,0)))),"Fix")))</f>
        <v>0</v>
      </c>
      <c r="D125" s="4">
        <f>IF(OR(INDEX($P$2:$P$1001,MATCH(ROWS($O$2:O125),$O$2:$O$1001,0),1)&gt;=100000,INDEX($V$1005:$AE$1005,1,MATCH(COLUMNS($V$1006:X1006),$V$1006:$AE$1006,0))&gt;=100000), " ",IF(INDEX($V$2:$AE$1001,MATCH(ROWS($O$2:O125),$O$2:$O$1001,0),MATCH(COLUMNS($V$1006:X1006),$V$1006:$AE$1006,0)), HYPERLINK("#",""), HYPERLINK(CONCATENATE("#Metadata!", ADDRESS(INDEX($Q$2:$Q$1001,MATCH(ROWS($O$2:O125),$O$2:$O$1001,0),0), INDEX($V$1004:$AE$1004,1,MATCH(COLUMNS($V$1006:X1006),$V$1006:$AE$1006,0)))),"Fix")))</f>
        <v>0</v>
      </c>
      <c r="E125" s="4">
        <f>IF(OR(INDEX($P$2:$P$1001,MATCH(ROWS($O$2:O125),$O$2:$O$1001,0),1)&gt;=100000,INDEX($V$1005:$AE$1005,1,MATCH(COLUMNS($V$1006:Y1006),$V$1006:$AE$1006,0))&gt;=100000), " ",IF(INDEX($V$2:$AE$1001,MATCH(ROWS($O$2:O125),$O$2:$O$1001,0),MATCH(COLUMNS($V$1006:Y1006),$V$1006:$AE$1006,0)), HYPERLINK("#",""), HYPERLINK(CONCATENATE("#Metadata!", ADDRESS(INDEX($Q$2:$Q$1001,MATCH(ROWS($O$2:O125),$O$2:$O$1001,0),0), INDEX($V$1004:$AE$1004,1,MATCH(COLUMNS($V$1006:Y1006),$V$1006:$AE$1006,0)))),"Fix")))</f>
        <v>0</v>
      </c>
      <c r="F125" s="4">
        <f>IF(OR(INDEX($P$2:$P$1001,MATCH(ROWS($O$2:O125),$O$2:$O$1001,0),1)&gt;=100000,INDEX($V$1005:$AE$1005,1,MATCH(COLUMNS($V$1006:Z1006),$V$1006:$AE$1006,0))&gt;=100000), " ",IF(INDEX($V$2:$AE$1001,MATCH(ROWS($O$2:O125),$O$2:$O$1001,0),MATCH(COLUMNS($V$1006:Z1006),$V$1006:$AE$1006,0)), HYPERLINK("#",""), HYPERLINK(CONCATENATE("#Metadata!", ADDRESS(INDEX($Q$2:$Q$1001,MATCH(ROWS($O$2:O125),$O$2:$O$1001,0),0), INDEX($V$1004:$AE$1004,1,MATCH(COLUMNS($V$1006:Z1006),$V$1006:$AE$1006,0)))),"Fix")))</f>
        <v>0</v>
      </c>
      <c r="G125" s="4">
        <f>IF(OR(INDEX($P$2:$P$1001,MATCH(ROWS($O$2:O125),$O$2:$O$1001,0),1)&gt;=100000,INDEX($V$1005:$AE$1005,1,MATCH(COLUMNS($V$1006:AA1006),$V$1006:$AE$1006,0))&gt;=100000), " ",IF(INDEX($V$2:$AE$1001,MATCH(ROWS($O$2:O125),$O$2:$O$1001,0),MATCH(COLUMNS($V$1006:AA1006),$V$1006:$AE$1006,0)), HYPERLINK("#",""), HYPERLINK(CONCATENATE("#Metadata!", ADDRESS(INDEX($Q$2:$Q$1001,MATCH(ROWS($O$2:O125),$O$2:$O$1001,0),0), INDEX($V$1004:$AE$1004,1,MATCH(COLUMNS($V$1006:AA1006),$V$1006:$AE$1006,0)))),"Fix")))</f>
        <v>0</v>
      </c>
      <c r="H125" s="4">
        <f>IF(OR(INDEX($P$2:$P$1001,MATCH(ROWS($O$2:O125),$O$2:$O$1001,0),1)&gt;=100000,INDEX($V$1005:$AE$1005,1,MATCH(COLUMNS($V$1006:AB1006),$V$1006:$AE$1006,0))&gt;=100000), " ",IF(INDEX($V$2:$AE$1001,MATCH(ROWS($O$2:O125),$O$2:$O$1001,0),MATCH(COLUMNS($V$1006:AB1006),$V$1006:$AE$1006,0)), HYPERLINK("#",""), HYPERLINK(CONCATENATE("#Metadata!", ADDRESS(INDEX($Q$2:$Q$1001,MATCH(ROWS($O$2:O125),$O$2:$O$1001,0),0), INDEX($V$1004:$AE$1004,1,MATCH(COLUMNS($V$1006:AB1006),$V$1006:$AE$1006,0)))),"Fix")))</f>
        <v>0</v>
      </c>
      <c r="I125" s="4">
        <f>IF(OR(INDEX($P$2:$P$1001,MATCH(ROWS($O$2:O125),$O$2:$O$1001,0),1)&gt;=100000,INDEX($V$1005:$AE$1005,1,MATCH(COLUMNS($V$1006:AC1006),$V$1006:$AE$1006,0))&gt;=100000), " ",IF(INDEX($V$2:$AE$1001,MATCH(ROWS($O$2:O125),$O$2:$O$1001,0),MATCH(COLUMNS($V$1006:AC1006),$V$1006:$AE$1006,0)), HYPERLINK("#",""), HYPERLINK(CONCATENATE("#Metadata!", ADDRESS(INDEX($Q$2:$Q$1001,MATCH(ROWS($O$2:O125),$O$2:$O$1001,0),0), INDEX($V$1004:$AE$1004,1,MATCH(COLUMNS($V$1006:AC1006),$V$1006:$AE$1006,0)))),"Fix")))</f>
        <v>0</v>
      </c>
      <c r="J125" s="4">
        <f>IF(OR(INDEX($P$2:$P$1001,MATCH(ROWS($O$2:O125),$O$2:$O$1001,0),1)&gt;=100000,INDEX($V$1005:$AE$1005,1,MATCH(COLUMNS($V$1006:AD1006),$V$1006:$AE$1006,0))&gt;=100000), " ",IF(INDEX($V$2:$AE$1001,MATCH(ROWS($O$2:O125),$O$2:$O$1001,0),MATCH(COLUMNS($V$1006:AD1006),$V$1006:$AE$1006,0)), HYPERLINK("#",""), HYPERLINK(CONCATENATE("#Metadata!", ADDRESS(INDEX($Q$2:$Q$1001,MATCH(ROWS($O$2:O125),$O$2:$O$1001,0),0), INDEX($V$1004:$AE$1004,1,MATCH(COLUMNS($V$1006:AD1006),$V$1006:$AE$1006,0)))),"Fix")))</f>
        <v>0</v>
      </c>
      <c r="K125" s="4">
        <f>IF(OR(INDEX($P$2:$P$1001,MATCH(ROWS($O$2:O125),$O$2:$O$1001,0),1)&gt;=100000,INDEX($V$1005:$AE$1005,1,MATCH(COLUMNS($V$1006:AE1006),$V$1006:$AE$1006,0))&gt;=100000), " ",IF(INDEX($V$2:$AE$1001,MATCH(ROWS($O$2:O125),$O$2:$O$1001,0),MATCH(COLUMNS($V$1006:AE1006),$V$1006:$AE$1006,0)), HYPERLINK("#",""), HYPERLINK(CONCATENATE("#Metadata!", ADDRESS(INDEX($Q$2:$Q$1001,MATCH(ROWS($O$2:O125),$O$2:$O$1001,0),0), INDEX($V$1004:$AE$1004,1,MATCH(COLUMNS($V$1006:AE1006),$V$1006:$AE$1006,0)))),"Fix")))</f>
        <v>0</v>
      </c>
      <c r="O125">
        <v>0</v>
      </c>
      <c r="P125">
        <v>0</v>
      </c>
      <c r="Q125">
        <v>0</v>
      </c>
      <c r="R125">
        <f>IF(S125,TRUE,AND(V125:AE125))</f>
        <v>0</v>
      </c>
      <c r="S125">
        <f>COUNTBLANK(Metadata!B125:K125)=COLUMNS(Metadata!B125:K125)</f>
        <v>0</v>
      </c>
      <c r="T125">
        <v>0</v>
      </c>
      <c r="V125">
        <f>AND(IF(Metadata!B125="",FALSE,TRUE),COUNTIF(Metadata!B:B, Metadata!B125) = 1,NOT(ISERROR(SUMPRODUCT(SEARCH(MID(Metadata!B125,ROW(INDIRECT("1:"&amp;LEN(Metadata!B125))), 1),"0123456789abcdefghijklmnopqrstuvwxyzABCDEFGHIJKLMNOPQRSTUVWXYZ.")))))</f>
        <v>0</v>
      </c>
      <c r="W125">
        <f>AND(IF(Metadata!C125="",FALSE,TRUE),exact(Metadata!C125,"urban biome"))</f>
        <v>0</v>
      </c>
      <c r="X125">
        <f>AND(IF(Metadata!D125="",FALSE,TRUE),exact(Metadata!D125,"animal-associated habitat"))</f>
        <v>0</v>
      </c>
      <c r="Y125">
        <f>OR(AND(IF(Metadata!E125="",FALSE,TRUE),OR(exact(Metadata!E125,"not applicable"),exact(Metadata!E125,"missing: not collected"),exact(Metadata!E125,"missing: not provided"),exact(Metadata!E125,"missing: restricted access"))),AND(IF(Metadata!E125="",FALSE,ISNUMBER(VALUE(Metadata!E125))),Metadata!E125&gt;0))</f>
        <v>0</v>
      </c>
      <c r="Z125">
        <f>AND(IF(Metadata!F125="",FALSE,TRUE),exact(Metadata!F125,"weeks"))</f>
        <v>0</v>
      </c>
      <c r="AA125">
        <f>AND(IF(Metadata!G125="",FALSE,TRUE),exact(Metadata!G125,"mouse"))</f>
        <v>0</v>
      </c>
      <c r="AB125">
        <f>AND(IF(Metadata!H125="",FALSE,TRUE),exact(Metadata!H125,"Mus musculus"))</f>
        <v>0</v>
      </c>
      <c r="AC125">
        <f>AND(IF(Metadata!I125="",FALSE,TRUE),exact(Metadata!I125,"10090"))</f>
        <v>0</v>
      </c>
      <c r="AD125">
        <f>OR(AND(IF(Metadata!J125="",FALSE,TRUE),OR(exact(Metadata!J125,"not applicable"),exact(Metadata!J125,"missing: not collected"),exact(Metadata!J125,"missing: not provided"),exact(Metadata!J125,"missing: restricted access"))),AND(IF(Metadata!J125="",FALSE,ISNUMBER(VALUE(Metadata!J125))),Metadata!J125&gt;0))</f>
        <v>0</v>
      </c>
      <c r="AE125">
        <f>AND(IF(Metadata!K125="",FALSE,TRUE),exact(Metadata!K125,"g"))</f>
        <v>0</v>
      </c>
    </row>
    <row r="126" spans="1:31">
      <c r="A126" s="5">
        <f>IF(B126=" "," ",HYPERLINK(CONCATENATE("#metadata!",ADDRESS(INDEX($Q$2:$Q$1001,MATCH(ROWS($O$2:O126),$O$2:$O$1001,0),0),1)),INDEX($T$2:$T$1001,MATCH(ROWS($O$2:O126),$O$2:$O$1001,0),0)))</f>
        <v>0</v>
      </c>
      <c r="B126" s="4">
        <f>IF(OR(INDEX($P$2:$P$1001,MATCH(ROWS($O$2:O126),$O$2:$O$1001,0),1)&gt;=100000,INDEX($V$1005:$AE$1005,1,MATCH(COLUMNS($V$1006:V1006),$V$1006:$AE$1006,0))&gt;=100000), " ",IF(INDEX($V$2:$AE$1001,MATCH(ROWS($O$2:O126),$O$2:$O$1001,0),MATCH(COLUMNS($V$1006:V1006),$V$1006:$AE$1006,0)), HYPERLINK("#",""), HYPERLINK(CONCATENATE("#Metadata!", ADDRESS(INDEX($Q$2:$Q$1001,MATCH(ROWS($O$2:O126),$O$2:$O$1001,0),0), INDEX($V$1004:$AE$1004,1,MATCH(COLUMNS($V$1006:V1006),$V$1006:$AE$1006,0)))),"Fix")))</f>
        <v>0</v>
      </c>
      <c r="C126" s="4">
        <f>IF(OR(INDEX($P$2:$P$1001,MATCH(ROWS($O$2:O126),$O$2:$O$1001,0),1)&gt;=100000,INDEX($V$1005:$AE$1005,1,MATCH(COLUMNS($V$1006:W1006),$V$1006:$AE$1006,0))&gt;=100000), " ",IF(INDEX($V$2:$AE$1001,MATCH(ROWS($O$2:O126),$O$2:$O$1001,0),MATCH(COLUMNS($V$1006:W1006),$V$1006:$AE$1006,0)), HYPERLINK("#",""), HYPERLINK(CONCATENATE("#Metadata!", ADDRESS(INDEX($Q$2:$Q$1001,MATCH(ROWS($O$2:O126),$O$2:$O$1001,0),0), INDEX($V$1004:$AE$1004,1,MATCH(COLUMNS($V$1006:W1006),$V$1006:$AE$1006,0)))),"Fix")))</f>
        <v>0</v>
      </c>
      <c r="D126" s="4">
        <f>IF(OR(INDEX($P$2:$P$1001,MATCH(ROWS($O$2:O126),$O$2:$O$1001,0),1)&gt;=100000,INDEX($V$1005:$AE$1005,1,MATCH(COLUMNS($V$1006:X1006),$V$1006:$AE$1006,0))&gt;=100000), " ",IF(INDEX($V$2:$AE$1001,MATCH(ROWS($O$2:O126),$O$2:$O$1001,0),MATCH(COLUMNS($V$1006:X1006),$V$1006:$AE$1006,0)), HYPERLINK("#",""), HYPERLINK(CONCATENATE("#Metadata!", ADDRESS(INDEX($Q$2:$Q$1001,MATCH(ROWS($O$2:O126),$O$2:$O$1001,0),0), INDEX($V$1004:$AE$1004,1,MATCH(COLUMNS($V$1006:X1006),$V$1006:$AE$1006,0)))),"Fix")))</f>
        <v>0</v>
      </c>
      <c r="E126" s="4">
        <f>IF(OR(INDEX($P$2:$P$1001,MATCH(ROWS($O$2:O126),$O$2:$O$1001,0),1)&gt;=100000,INDEX($V$1005:$AE$1005,1,MATCH(COLUMNS($V$1006:Y1006),$V$1006:$AE$1006,0))&gt;=100000), " ",IF(INDEX($V$2:$AE$1001,MATCH(ROWS($O$2:O126),$O$2:$O$1001,0),MATCH(COLUMNS($V$1006:Y1006),$V$1006:$AE$1006,0)), HYPERLINK("#",""), HYPERLINK(CONCATENATE("#Metadata!", ADDRESS(INDEX($Q$2:$Q$1001,MATCH(ROWS($O$2:O126),$O$2:$O$1001,0),0), INDEX($V$1004:$AE$1004,1,MATCH(COLUMNS($V$1006:Y1006),$V$1006:$AE$1006,0)))),"Fix")))</f>
        <v>0</v>
      </c>
      <c r="F126" s="4">
        <f>IF(OR(INDEX($P$2:$P$1001,MATCH(ROWS($O$2:O126),$O$2:$O$1001,0),1)&gt;=100000,INDEX($V$1005:$AE$1005,1,MATCH(COLUMNS($V$1006:Z1006),$V$1006:$AE$1006,0))&gt;=100000), " ",IF(INDEX($V$2:$AE$1001,MATCH(ROWS($O$2:O126),$O$2:$O$1001,0),MATCH(COLUMNS($V$1006:Z1006),$V$1006:$AE$1006,0)), HYPERLINK("#",""), HYPERLINK(CONCATENATE("#Metadata!", ADDRESS(INDEX($Q$2:$Q$1001,MATCH(ROWS($O$2:O126),$O$2:$O$1001,0),0), INDEX($V$1004:$AE$1004,1,MATCH(COLUMNS($V$1006:Z1006),$V$1006:$AE$1006,0)))),"Fix")))</f>
        <v>0</v>
      </c>
      <c r="G126" s="4">
        <f>IF(OR(INDEX($P$2:$P$1001,MATCH(ROWS($O$2:O126),$O$2:$O$1001,0),1)&gt;=100000,INDEX($V$1005:$AE$1005,1,MATCH(COLUMNS($V$1006:AA1006),$V$1006:$AE$1006,0))&gt;=100000), " ",IF(INDEX($V$2:$AE$1001,MATCH(ROWS($O$2:O126),$O$2:$O$1001,0),MATCH(COLUMNS($V$1006:AA1006),$V$1006:$AE$1006,0)), HYPERLINK("#",""), HYPERLINK(CONCATENATE("#Metadata!", ADDRESS(INDEX($Q$2:$Q$1001,MATCH(ROWS($O$2:O126),$O$2:$O$1001,0),0), INDEX($V$1004:$AE$1004,1,MATCH(COLUMNS($V$1006:AA1006),$V$1006:$AE$1006,0)))),"Fix")))</f>
        <v>0</v>
      </c>
      <c r="H126" s="4">
        <f>IF(OR(INDEX($P$2:$P$1001,MATCH(ROWS($O$2:O126),$O$2:$O$1001,0),1)&gt;=100000,INDEX($V$1005:$AE$1005,1,MATCH(COLUMNS($V$1006:AB1006),$V$1006:$AE$1006,0))&gt;=100000), " ",IF(INDEX($V$2:$AE$1001,MATCH(ROWS($O$2:O126),$O$2:$O$1001,0),MATCH(COLUMNS($V$1006:AB1006),$V$1006:$AE$1006,0)), HYPERLINK("#",""), HYPERLINK(CONCATENATE("#Metadata!", ADDRESS(INDEX($Q$2:$Q$1001,MATCH(ROWS($O$2:O126),$O$2:$O$1001,0),0), INDEX($V$1004:$AE$1004,1,MATCH(COLUMNS($V$1006:AB1006),$V$1006:$AE$1006,0)))),"Fix")))</f>
        <v>0</v>
      </c>
      <c r="I126" s="4">
        <f>IF(OR(INDEX($P$2:$P$1001,MATCH(ROWS($O$2:O126),$O$2:$O$1001,0),1)&gt;=100000,INDEX($V$1005:$AE$1005,1,MATCH(COLUMNS($V$1006:AC1006),$V$1006:$AE$1006,0))&gt;=100000), " ",IF(INDEX($V$2:$AE$1001,MATCH(ROWS($O$2:O126),$O$2:$O$1001,0),MATCH(COLUMNS($V$1006:AC1006),$V$1006:$AE$1006,0)), HYPERLINK("#",""), HYPERLINK(CONCATENATE("#Metadata!", ADDRESS(INDEX($Q$2:$Q$1001,MATCH(ROWS($O$2:O126),$O$2:$O$1001,0),0), INDEX($V$1004:$AE$1004,1,MATCH(COLUMNS($V$1006:AC1006),$V$1006:$AE$1006,0)))),"Fix")))</f>
        <v>0</v>
      </c>
      <c r="J126" s="4">
        <f>IF(OR(INDEX($P$2:$P$1001,MATCH(ROWS($O$2:O126),$O$2:$O$1001,0),1)&gt;=100000,INDEX($V$1005:$AE$1005,1,MATCH(COLUMNS($V$1006:AD1006),$V$1006:$AE$1006,0))&gt;=100000), " ",IF(INDEX($V$2:$AE$1001,MATCH(ROWS($O$2:O126),$O$2:$O$1001,0),MATCH(COLUMNS($V$1006:AD1006),$V$1006:$AE$1006,0)), HYPERLINK("#",""), HYPERLINK(CONCATENATE("#Metadata!", ADDRESS(INDEX($Q$2:$Q$1001,MATCH(ROWS($O$2:O126),$O$2:$O$1001,0),0), INDEX($V$1004:$AE$1004,1,MATCH(COLUMNS($V$1006:AD1006),$V$1006:$AE$1006,0)))),"Fix")))</f>
        <v>0</v>
      </c>
      <c r="K126" s="4">
        <f>IF(OR(INDEX($P$2:$P$1001,MATCH(ROWS($O$2:O126),$O$2:$O$1001,0),1)&gt;=100000,INDEX($V$1005:$AE$1005,1,MATCH(COLUMNS($V$1006:AE1006),$V$1006:$AE$1006,0))&gt;=100000), " ",IF(INDEX($V$2:$AE$1001,MATCH(ROWS($O$2:O126),$O$2:$O$1001,0),MATCH(COLUMNS($V$1006:AE1006),$V$1006:$AE$1006,0)), HYPERLINK("#",""), HYPERLINK(CONCATENATE("#Metadata!", ADDRESS(INDEX($Q$2:$Q$1001,MATCH(ROWS($O$2:O126),$O$2:$O$1001,0),0), INDEX($V$1004:$AE$1004,1,MATCH(COLUMNS($V$1006:AE1006),$V$1006:$AE$1006,0)))),"Fix")))</f>
        <v>0</v>
      </c>
      <c r="O126">
        <v>0</v>
      </c>
      <c r="P126">
        <v>0</v>
      </c>
      <c r="Q126">
        <v>0</v>
      </c>
      <c r="R126">
        <f>IF(S126,TRUE,AND(V126:AE126))</f>
        <v>0</v>
      </c>
      <c r="S126">
        <f>COUNTBLANK(Metadata!B126:K126)=COLUMNS(Metadata!B126:K126)</f>
        <v>0</v>
      </c>
      <c r="T126">
        <v>0</v>
      </c>
      <c r="V126">
        <f>AND(IF(Metadata!B126="",FALSE,TRUE),COUNTIF(Metadata!B:B, Metadata!B126) = 1,NOT(ISERROR(SUMPRODUCT(SEARCH(MID(Metadata!B126,ROW(INDIRECT("1:"&amp;LEN(Metadata!B126))), 1),"0123456789abcdefghijklmnopqrstuvwxyzABCDEFGHIJKLMNOPQRSTUVWXYZ.")))))</f>
        <v>0</v>
      </c>
      <c r="W126">
        <f>AND(IF(Metadata!C126="",FALSE,TRUE),exact(Metadata!C126,"urban biome"))</f>
        <v>0</v>
      </c>
      <c r="X126">
        <f>AND(IF(Metadata!D126="",FALSE,TRUE),exact(Metadata!D126,"animal-associated habitat"))</f>
        <v>0</v>
      </c>
      <c r="Y126">
        <f>OR(AND(IF(Metadata!E126="",FALSE,TRUE),OR(exact(Metadata!E126,"not applicable"),exact(Metadata!E126,"missing: not collected"),exact(Metadata!E126,"missing: not provided"),exact(Metadata!E126,"missing: restricted access"))),AND(IF(Metadata!E126="",FALSE,ISNUMBER(VALUE(Metadata!E126))),Metadata!E126&gt;0))</f>
        <v>0</v>
      </c>
      <c r="Z126">
        <f>AND(IF(Metadata!F126="",FALSE,TRUE),exact(Metadata!F126,"weeks"))</f>
        <v>0</v>
      </c>
      <c r="AA126">
        <f>AND(IF(Metadata!G126="",FALSE,TRUE),exact(Metadata!G126,"mouse"))</f>
        <v>0</v>
      </c>
      <c r="AB126">
        <f>AND(IF(Metadata!H126="",FALSE,TRUE),exact(Metadata!H126,"Mus musculus"))</f>
        <v>0</v>
      </c>
      <c r="AC126">
        <f>AND(IF(Metadata!I126="",FALSE,TRUE),exact(Metadata!I126,"10090"))</f>
        <v>0</v>
      </c>
      <c r="AD126">
        <f>OR(AND(IF(Metadata!J126="",FALSE,TRUE),OR(exact(Metadata!J126,"not applicable"),exact(Metadata!J126,"missing: not collected"),exact(Metadata!J126,"missing: not provided"),exact(Metadata!J126,"missing: restricted access"))),AND(IF(Metadata!J126="",FALSE,ISNUMBER(VALUE(Metadata!J126))),Metadata!J126&gt;0))</f>
        <v>0</v>
      </c>
      <c r="AE126">
        <f>AND(IF(Metadata!K126="",FALSE,TRUE),exact(Metadata!K126,"g"))</f>
        <v>0</v>
      </c>
    </row>
    <row r="127" spans="1:31">
      <c r="A127" s="5">
        <f>IF(B127=" "," ",HYPERLINK(CONCATENATE("#metadata!",ADDRESS(INDEX($Q$2:$Q$1001,MATCH(ROWS($O$2:O127),$O$2:$O$1001,0),0),1)),INDEX($T$2:$T$1001,MATCH(ROWS($O$2:O127),$O$2:$O$1001,0),0)))</f>
        <v>0</v>
      </c>
      <c r="B127" s="4">
        <f>IF(OR(INDEX($P$2:$P$1001,MATCH(ROWS($O$2:O127),$O$2:$O$1001,0),1)&gt;=100000,INDEX($V$1005:$AE$1005,1,MATCH(COLUMNS($V$1006:V1006),$V$1006:$AE$1006,0))&gt;=100000), " ",IF(INDEX($V$2:$AE$1001,MATCH(ROWS($O$2:O127),$O$2:$O$1001,0),MATCH(COLUMNS($V$1006:V1006),$V$1006:$AE$1006,0)), HYPERLINK("#",""), HYPERLINK(CONCATENATE("#Metadata!", ADDRESS(INDEX($Q$2:$Q$1001,MATCH(ROWS($O$2:O127),$O$2:$O$1001,0),0), INDEX($V$1004:$AE$1004,1,MATCH(COLUMNS($V$1006:V1006),$V$1006:$AE$1006,0)))),"Fix")))</f>
        <v>0</v>
      </c>
      <c r="C127" s="4">
        <f>IF(OR(INDEX($P$2:$P$1001,MATCH(ROWS($O$2:O127),$O$2:$O$1001,0),1)&gt;=100000,INDEX($V$1005:$AE$1005,1,MATCH(COLUMNS($V$1006:W1006),$V$1006:$AE$1006,0))&gt;=100000), " ",IF(INDEX($V$2:$AE$1001,MATCH(ROWS($O$2:O127),$O$2:$O$1001,0),MATCH(COLUMNS($V$1006:W1006),$V$1006:$AE$1006,0)), HYPERLINK("#",""), HYPERLINK(CONCATENATE("#Metadata!", ADDRESS(INDEX($Q$2:$Q$1001,MATCH(ROWS($O$2:O127),$O$2:$O$1001,0),0), INDEX($V$1004:$AE$1004,1,MATCH(COLUMNS($V$1006:W1006),$V$1006:$AE$1006,0)))),"Fix")))</f>
        <v>0</v>
      </c>
      <c r="D127" s="4">
        <f>IF(OR(INDEX($P$2:$P$1001,MATCH(ROWS($O$2:O127),$O$2:$O$1001,0),1)&gt;=100000,INDEX($V$1005:$AE$1005,1,MATCH(COLUMNS($V$1006:X1006),$V$1006:$AE$1006,0))&gt;=100000), " ",IF(INDEX($V$2:$AE$1001,MATCH(ROWS($O$2:O127),$O$2:$O$1001,0),MATCH(COLUMNS($V$1006:X1006),$V$1006:$AE$1006,0)), HYPERLINK("#",""), HYPERLINK(CONCATENATE("#Metadata!", ADDRESS(INDEX($Q$2:$Q$1001,MATCH(ROWS($O$2:O127),$O$2:$O$1001,0),0), INDEX($V$1004:$AE$1004,1,MATCH(COLUMNS($V$1006:X1006),$V$1006:$AE$1006,0)))),"Fix")))</f>
        <v>0</v>
      </c>
      <c r="E127" s="4">
        <f>IF(OR(INDEX($P$2:$P$1001,MATCH(ROWS($O$2:O127),$O$2:$O$1001,0),1)&gt;=100000,INDEX($V$1005:$AE$1005,1,MATCH(COLUMNS($V$1006:Y1006),$V$1006:$AE$1006,0))&gt;=100000), " ",IF(INDEX($V$2:$AE$1001,MATCH(ROWS($O$2:O127),$O$2:$O$1001,0),MATCH(COLUMNS($V$1006:Y1006),$V$1006:$AE$1006,0)), HYPERLINK("#",""), HYPERLINK(CONCATENATE("#Metadata!", ADDRESS(INDEX($Q$2:$Q$1001,MATCH(ROWS($O$2:O127),$O$2:$O$1001,0),0), INDEX($V$1004:$AE$1004,1,MATCH(COLUMNS($V$1006:Y1006),$V$1006:$AE$1006,0)))),"Fix")))</f>
        <v>0</v>
      </c>
      <c r="F127" s="4">
        <f>IF(OR(INDEX($P$2:$P$1001,MATCH(ROWS($O$2:O127),$O$2:$O$1001,0),1)&gt;=100000,INDEX($V$1005:$AE$1005,1,MATCH(COLUMNS($V$1006:Z1006),$V$1006:$AE$1006,0))&gt;=100000), " ",IF(INDEX($V$2:$AE$1001,MATCH(ROWS($O$2:O127),$O$2:$O$1001,0),MATCH(COLUMNS($V$1006:Z1006),$V$1006:$AE$1006,0)), HYPERLINK("#",""), HYPERLINK(CONCATENATE("#Metadata!", ADDRESS(INDEX($Q$2:$Q$1001,MATCH(ROWS($O$2:O127),$O$2:$O$1001,0),0), INDEX($V$1004:$AE$1004,1,MATCH(COLUMNS($V$1006:Z1006),$V$1006:$AE$1006,0)))),"Fix")))</f>
        <v>0</v>
      </c>
      <c r="G127" s="4">
        <f>IF(OR(INDEX($P$2:$P$1001,MATCH(ROWS($O$2:O127),$O$2:$O$1001,0),1)&gt;=100000,INDEX($V$1005:$AE$1005,1,MATCH(COLUMNS($V$1006:AA1006),$V$1006:$AE$1006,0))&gt;=100000), " ",IF(INDEX($V$2:$AE$1001,MATCH(ROWS($O$2:O127),$O$2:$O$1001,0),MATCH(COLUMNS($V$1006:AA1006),$V$1006:$AE$1006,0)), HYPERLINK("#",""), HYPERLINK(CONCATENATE("#Metadata!", ADDRESS(INDEX($Q$2:$Q$1001,MATCH(ROWS($O$2:O127),$O$2:$O$1001,0),0), INDEX($V$1004:$AE$1004,1,MATCH(COLUMNS($V$1006:AA1006),$V$1006:$AE$1006,0)))),"Fix")))</f>
        <v>0</v>
      </c>
      <c r="H127" s="4">
        <f>IF(OR(INDEX($P$2:$P$1001,MATCH(ROWS($O$2:O127),$O$2:$O$1001,0),1)&gt;=100000,INDEX($V$1005:$AE$1005,1,MATCH(COLUMNS($V$1006:AB1006),$V$1006:$AE$1006,0))&gt;=100000), " ",IF(INDEX($V$2:$AE$1001,MATCH(ROWS($O$2:O127),$O$2:$O$1001,0),MATCH(COLUMNS($V$1006:AB1006),$V$1006:$AE$1006,0)), HYPERLINK("#",""), HYPERLINK(CONCATENATE("#Metadata!", ADDRESS(INDEX($Q$2:$Q$1001,MATCH(ROWS($O$2:O127),$O$2:$O$1001,0),0), INDEX($V$1004:$AE$1004,1,MATCH(COLUMNS($V$1006:AB1006),$V$1006:$AE$1006,0)))),"Fix")))</f>
        <v>0</v>
      </c>
      <c r="I127" s="4">
        <f>IF(OR(INDEX($P$2:$P$1001,MATCH(ROWS($O$2:O127),$O$2:$O$1001,0),1)&gt;=100000,INDEX($V$1005:$AE$1005,1,MATCH(COLUMNS($V$1006:AC1006),$V$1006:$AE$1006,0))&gt;=100000), " ",IF(INDEX($V$2:$AE$1001,MATCH(ROWS($O$2:O127),$O$2:$O$1001,0),MATCH(COLUMNS($V$1006:AC1006),$V$1006:$AE$1006,0)), HYPERLINK("#",""), HYPERLINK(CONCATENATE("#Metadata!", ADDRESS(INDEX($Q$2:$Q$1001,MATCH(ROWS($O$2:O127),$O$2:$O$1001,0),0), INDEX($V$1004:$AE$1004,1,MATCH(COLUMNS($V$1006:AC1006),$V$1006:$AE$1006,0)))),"Fix")))</f>
        <v>0</v>
      </c>
      <c r="J127" s="4">
        <f>IF(OR(INDEX($P$2:$P$1001,MATCH(ROWS($O$2:O127),$O$2:$O$1001,0),1)&gt;=100000,INDEX($V$1005:$AE$1005,1,MATCH(COLUMNS($V$1006:AD1006),$V$1006:$AE$1006,0))&gt;=100000), " ",IF(INDEX($V$2:$AE$1001,MATCH(ROWS($O$2:O127),$O$2:$O$1001,0),MATCH(COLUMNS($V$1006:AD1006),$V$1006:$AE$1006,0)), HYPERLINK("#",""), HYPERLINK(CONCATENATE("#Metadata!", ADDRESS(INDEX($Q$2:$Q$1001,MATCH(ROWS($O$2:O127),$O$2:$O$1001,0),0), INDEX($V$1004:$AE$1004,1,MATCH(COLUMNS($V$1006:AD1006),$V$1006:$AE$1006,0)))),"Fix")))</f>
        <v>0</v>
      </c>
      <c r="K127" s="4">
        <f>IF(OR(INDEX($P$2:$P$1001,MATCH(ROWS($O$2:O127),$O$2:$O$1001,0),1)&gt;=100000,INDEX($V$1005:$AE$1005,1,MATCH(COLUMNS($V$1006:AE1006),$V$1006:$AE$1006,0))&gt;=100000), " ",IF(INDEX($V$2:$AE$1001,MATCH(ROWS($O$2:O127),$O$2:$O$1001,0),MATCH(COLUMNS($V$1006:AE1006),$V$1006:$AE$1006,0)), HYPERLINK("#",""), HYPERLINK(CONCATENATE("#Metadata!", ADDRESS(INDEX($Q$2:$Q$1001,MATCH(ROWS($O$2:O127),$O$2:$O$1001,0),0), INDEX($V$1004:$AE$1004,1,MATCH(COLUMNS($V$1006:AE1006),$V$1006:$AE$1006,0)))),"Fix")))</f>
        <v>0</v>
      </c>
      <c r="O127">
        <v>0</v>
      </c>
      <c r="P127">
        <v>0</v>
      </c>
      <c r="Q127">
        <v>0</v>
      </c>
      <c r="R127">
        <f>IF(S127,TRUE,AND(V127:AE127))</f>
        <v>0</v>
      </c>
      <c r="S127">
        <f>COUNTBLANK(Metadata!B127:K127)=COLUMNS(Metadata!B127:K127)</f>
        <v>0</v>
      </c>
      <c r="T127">
        <v>0</v>
      </c>
      <c r="V127">
        <f>AND(IF(Metadata!B127="",FALSE,TRUE),COUNTIF(Metadata!B:B, Metadata!B127) = 1,NOT(ISERROR(SUMPRODUCT(SEARCH(MID(Metadata!B127,ROW(INDIRECT("1:"&amp;LEN(Metadata!B127))), 1),"0123456789abcdefghijklmnopqrstuvwxyzABCDEFGHIJKLMNOPQRSTUVWXYZ.")))))</f>
        <v>0</v>
      </c>
      <c r="W127">
        <f>AND(IF(Metadata!C127="",FALSE,TRUE),exact(Metadata!C127,"urban biome"))</f>
        <v>0</v>
      </c>
      <c r="X127">
        <f>AND(IF(Metadata!D127="",FALSE,TRUE),exact(Metadata!D127,"animal-associated habitat"))</f>
        <v>0</v>
      </c>
      <c r="Y127">
        <f>OR(AND(IF(Metadata!E127="",FALSE,TRUE),OR(exact(Metadata!E127,"not applicable"),exact(Metadata!E127,"missing: not collected"),exact(Metadata!E127,"missing: not provided"),exact(Metadata!E127,"missing: restricted access"))),AND(IF(Metadata!E127="",FALSE,ISNUMBER(VALUE(Metadata!E127))),Metadata!E127&gt;0))</f>
        <v>0</v>
      </c>
      <c r="Z127">
        <f>AND(IF(Metadata!F127="",FALSE,TRUE),exact(Metadata!F127,"weeks"))</f>
        <v>0</v>
      </c>
      <c r="AA127">
        <f>AND(IF(Metadata!G127="",FALSE,TRUE),exact(Metadata!G127,"mouse"))</f>
        <v>0</v>
      </c>
      <c r="AB127">
        <f>AND(IF(Metadata!H127="",FALSE,TRUE),exact(Metadata!H127,"Mus musculus"))</f>
        <v>0</v>
      </c>
      <c r="AC127">
        <f>AND(IF(Metadata!I127="",FALSE,TRUE),exact(Metadata!I127,"10090"))</f>
        <v>0</v>
      </c>
      <c r="AD127">
        <f>OR(AND(IF(Metadata!J127="",FALSE,TRUE),OR(exact(Metadata!J127,"not applicable"),exact(Metadata!J127,"missing: not collected"),exact(Metadata!J127,"missing: not provided"),exact(Metadata!J127,"missing: restricted access"))),AND(IF(Metadata!J127="",FALSE,ISNUMBER(VALUE(Metadata!J127))),Metadata!J127&gt;0))</f>
        <v>0</v>
      </c>
      <c r="AE127">
        <f>AND(IF(Metadata!K127="",FALSE,TRUE),exact(Metadata!K127,"g"))</f>
        <v>0</v>
      </c>
    </row>
    <row r="128" spans="1:31">
      <c r="A128" s="5">
        <f>IF(B128=" "," ",HYPERLINK(CONCATENATE("#metadata!",ADDRESS(INDEX($Q$2:$Q$1001,MATCH(ROWS($O$2:O128),$O$2:$O$1001,0),0),1)),INDEX($T$2:$T$1001,MATCH(ROWS($O$2:O128),$O$2:$O$1001,0),0)))</f>
        <v>0</v>
      </c>
      <c r="B128" s="4">
        <f>IF(OR(INDEX($P$2:$P$1001,MATCH(ROWS($O$2:O128),$O$2:$O$1001,0),1)&gt;=100000,INDEX($V$1005:$AE$1005,1,MATCH(COLUMNS($V$1006:V1006),$V$1006:$AE$1006,0))&gt;=100000), " ",IF(INDEX($V$2:$AE$1001,MATCH(ROWS($O$2:O128),$O$2:$O$1001,0),MATCH(COLUMNS($V$1006:V1006),$V$1006:$AE$1006,0)), HYPERLINK("#",""), HYPERLINK(CONCATENATE("#Metadata!", ADDRESS(INDEX($Q$2:$Q$1001,MATCH(ROWS($O$2:O128),$O$2:$O$1001,0),0), INDEX($V$1004:$AE$1004,1,MATCH(COLUMNS($V$1006:V1006),$V$1006:$AE$1006,0)))),"Fix")))</f>
        <v>0</v>
      </c>
      <c r="C128" s="4">
        <f>IF(OR(INDEX($P$2:$P$1001,MATCH(ROWS($O$2:O128),$O$2:$O$1001,0),1)&gt;=100000,INDEX($V$1005:$AE$1005,1,MATCH(COLUMNS($V$1006:W1006),$V$1006:$AE$1006,0))&gt;=100000), " ",IF(INDEX($V$2:$AE$1001,MATCH(ROWS($O$2:O128),$O$2:$O$1001,0),MATCH(COLUMNS($V$1006:W1006),$V$1006:$AE$1006,0)), HYPERLINK("#",""), HYPERLINK(CONCATENATE("#Metadata!", ADDRESS(INDEX($Q$2:$Q$1001,MATCH(ROWS($O$2:O128),$O$2:$O$1001,0),0), INDEX($V$1004:$AE$1004,1,MATCH(COLUMNS($V$1006:W1006),$V$1006:$AE$1006,0)))),"Fix")))</f>
        <v>0</v>
      </c>
      <c r="D128" s="4">
        <f>IF(OR(INDEX($P$2:$P$1001,MATCH(ROWS($O$2:O128),$O$2:$O$1001,0),1)&gt;=100000,INDEX($V$1005:$AE$1005,1,MATCH(COLUMNS($V$1006:X1006),$V$1006:$AE$1006,0))&gt;=100000), " ",IF(INDEX($V$2:$AE$1001,MATCH(ROWS($O$2:O128),$O$2:$O$1001,0),MATCH(COLUMNS($V$1006:X1006),$V$1006:$AE$1006,0)), HYPERLINK("#",""), HYPERLINK(CONCATENATE("#Metadata!", ADDRESS(INDEX($Q$2:$Q$1001,MATCH(ROWS($O$2:O128),$O$2:$O$1001,0),0), INDEX($V$1004:$AE$1004,1,MATCH(COLUMNS($V$1006:X1006),$V$1006:$AE$1006,0)))),"Fix")))</f>
        <v>0</v>
      </c>
      <c r="E128" s="4">
        <f>IF(OR(INDEX($P$2:$P$1001,MATCH(ROWS($O$2:O128),$O$2:$O$1001,0),1)&gt;=100000,INDEX($V$1005:$AE$1005,1,MATCH(COLUMNS($V$1006:Y1006),$V$1006:$AE$1006,0))&gt;=100000), " ",IF(INDEX($V$2:$AE$1001,MATCH(ROWS($O$2:O128),$O$2:$O$1001,0),MATCH(COLUMNS($V$1006:Y1006),$V$1006:$AE$1006,0)), HYPERLINK("#",""), HYPERLINK(CONCATENATE("#Metadata!", ADDRESS(INDEX($Q$2:$Q$1001,MATCH(ROWS($O$2:O128),$O$2:$O$1001,0),0), INDEX($V$1004:$AE$1004,1,MATCH(COLUMNS($V$1006:Y1006),$V$1006:$AE$1006,0)))),"Fix")))</f>
        <v>0</v>
      </c>
      <c r="F128" s="4">
        <f>IF(OR(INDEX($P$2:$P$1001,MATCH(ROWS($O$2:O128),$O$2:$O$1001,0),1)&gt;=100000,INDEX($V$1005:$AE$1005,1,MATCH(COLUMNS($V$1006:Z1006),$V$1006:$AE$1006,0))&gt;=100000), " ",IF(INDEX($V$2:$AE$1001,MATCH(ROWS($O$2:O128),$O$2:$O$1001,0),MATCH(COLUMNS($V$1006:Z1006),$V$1006:$AE$1006,0)), HYPERLINK("#",""), HYPERLINK(CONCATENATE("#Metadata!", ADDRESS(INDEX($Q$2:$Q$1001,MATCH(ROWS($O$2:O128),$O$2:$O$1001,0),0), INDEX($V$1004:$AE$1004,1,MATCH(COLUMNS($V$1006:Z1006),$V$1006:$AE$1006,0)))),"Fix")))</f>
        <v>0</v>
      </c>
      <c r="G128" s="4">
        <f>IF(OR(INDEX($P$2:$P$1001,MATCH(ROWS($O$2:O128),$O$2:$O$1001,0),1)&gt;=100000,INDEX($V$1005:$AE$1005,1,MATCH(COLUMNS($V$1006:AA1006),$V$1006:$AE$1006,0))&gt;=100000), " ",IF(INDEX($V$2:$AE$1001,MATCH(ROWS($O$2:O128),$O$2:$O$1001,0),MATCH(COLUMNS($V$1006:AA1006),$V$1006:$AE$1006,0)), HYPERLINK("#",""), HYPERLINK(CONCATENATE("#Metadata!", ADDRESS(INDEX($Q$2:$Q$1001,MATCH(ROWS($O$2:O128),$O$2:$O$1001,0),0), INDEX($V$1004:$AE$1004,1,MATCH(COLUMNS($V$1006:AA1006),$V$1006:$AE$1006,0)))),"Fix")))</f>
        <v>0</v>
      </c>
      <c r="H128" s="4">
        <f>IF(OR(INDEX($P$2:$P$1001,MATCH(ROWS($O$2:O128),$O$2:$O$1001,0),1)&gt;=100000,INDEX($V$1005:$AE$1005,1,MATCH(COLUMNS($V$1006:AB1006),$V$1006:$AE$1006,0))&gt;=100000), " ",IF(INDEX($V$2:$AE$1001,MATCH(ROWS($O$2:O128),$O$2:$O$1001,0),MATCH(COLUMNS($V$1006:AB1006),$V$1006:$AE$1006,0)), HYPERLINK("#",""), HYPERLINK(CONCATENATE("#Metadata!", ADDRESS(INDEX($Q$2:$Q$1001,MATCH(ROWS($O$2:O128),$O$2:$O$1001,0),0), INDEX($V$1004:$AE$1004,1,MATCH(COLUMNS($V$1006:AB1006),$V$1006:$AE$1006,0)))),"Fix")))</f>
        <v>0</v>
      </c>
      <c r="I128" s="4">
        <f>IF(OR(INDEX($P$2:$P$1001,MATCH(ROWS($O$2:O128),$O$2:$O$1001,0),1)&gt;=100000,INDEX($V$1005:$AE$1005,1,MATCH(COLUMNS($V$1006:AC1006),$V$1006:$AE$1006,0))&gt;=100000), " ",IF(INDEX($V$2:$AE$1001,MATCH(ROWS($O$2:O128),$O$2:$O$1001,0),MATCH(COLUMNS($V$1006:AC1006),$V$1006:$AE$1006,0)), HYPERLINK("#",""), HYPERLINK(CONCATENATE("#Metadata!", ADDRESS(INDEX($Q$2:$Q$1001,MATCH(ROWS($O$2:O128),$O$2:$O$1001,0),0), INDEX($V$1004:$AE$1004,1,MATCH(COLUMNS($V$1006:AC1006),$V$1006:$AE$1006,0)))),"Fix")))</f>
        <v>0</v>
      </c>
      <c r="J128" s="4">
        <f>IF(OR(INDEX($P$2:$P$1001,MATCH(ROWS($O$2:O128),$O$2:$O$1001,0),1)&gt;=100000,INDEX($V$1005:$AE$1005,1,MATCH(COLUMNS($V$1006:AD1006),$V$1006:$AE$1006,0))&gt;=100000), " ",IF(INDEX($V$2:$AE$1001,MATCH(ROWS($O$2:O128),$O$2:$O$1001,0),MATCH(COLUMNS($V$1006:AD1006),$V$1006:$AE$1006,0)), HYPERLINK("#",""), HYPERLINK(CONCATENATE("#Metadata!", ADDRESS(INDEX($Q$2:$Q$1001,MATCH(ROWS($O$2:O128),$O$2:$O$1001,0),0), INDEX($V$1004:$AE$1004,1,MATCH(COLUMNS($V$1006:AD1006),$V$1006:$AE$1006,0)))),"Fix")))</f>
        <v>0</v>
      </c>
      <c r="K128" s="4">
        <f>IF(OR(INDEX($P$2:$P$1001,MATCH(ROWS($O$2:O128),$O$2:$O$1001,0),1)&gt;=100000,INDEX($V$1005:$AE$1005,1,MATCH(COLUMNS($V$1006:AE1006),$V$1006:$AE$1006,0))&gt;=100000), " ",IF(INDEX($V$2:$AE$1001,MATCH(ROWS($O$2:O128),$O$2:$O$1001,0),MATCH(COLUMNS($V$1006:AE1006),$V$1006:$AE$1006,0)), HYPERLINK("#",""), HYPERLINK(CONCATENATE("#Metadata!", ADDRESS(INDEX($Q$2:$Q$1001,MATCH(ROWS($O$2:O128),$O$2:$O$1001,0),0), INDEX($V$1004:$AE$1004,1,MATCH(COLUMNS($V$1006:AE1006),$V$1006:$AE$1006,0)))),"Fix")))</f>
        <v>0</v>
      </c>
      <c r="O128">
        <v>0</v>
      </c>
      <c r="P128">
        <v>0</v>
      </c>
      <c r="Q128">
        <v>0</v>
      </c>
      <c r="R128">
        <f>IF(S128,TRUE,AND(V128:AE128))</f>
        <v>0</v>
      </c>
      <c r="S128">
        <f>COUNTBLANK(Metadata!B128:K128)=COLUMNS(Metadata!B128:K128)</f>
        <v>0</v>
      </c>
      <c r="T128">
        <v>0</v>
      </c>
      <c r="V128">
        <f>AND(IF(Metadata!B128="",FALSE,TRUE),COUNTIF(Metadata!B:B, Metadata!B128) = 1,NOT(ISERROR(SUMPRODUCT(SEARCH(MID(Metadata!B128,ROW(INDIRECT("1:"&amp;LEN(Metadata!B128))), 1),"0123456789abcdefghijklmnopqrstuvwxyzABCDEFGHIJKLMNOPQRSTUVWXYZ.")))))</f>
        <v>0</v>
      </c>
      <c r="W128">
        <f>AND(IF(Metadata!C128="",FALSE,TRUE),exact(Metadata!C128,"urban biome"))</f>
        <v>0</v>
      </c>
      <c r="X128">
        <f>AND(IF(Metadata!D128="",FALSE,TRUE),exact(Metadata!D128,"animal-associated habitat"))</f>
        <v>0</v>
      </c>
      <c r="Y128">
        <f>OR(AND(IF(Metadata!E128="",FALSE,TRUE),OR(exact(Metadata!E128,"not applicable"),exact(Metadata!E128,"missing: not collected"),exact(Metadata!E128,"missing: not provided"),exact(Metadata!E128,"missing: restricted access"))),AND(IF(Metadata!E128="",FALSE,ISNUMBER(VALUE(Metadata!E128))),Metadata!E128&gt;0))</f>
        <v>0</v>
      </c>
      <c r="Z128">
        <f>AND(IF(Metadata!F128="",FALSE,TRUE),exact(Metadata!F128,"weeks"))</f>
        <v>0</v>
      </c>
      <c r="AA128">
        <f>AND(IF(Metadata!G128="",FALSE,TRUE),exact(Metadata!G128,"mouse"))</f>
        <v>0</v>
      </c>
      <c r="AB128">
        <f>AND(IF(Metadata!H128="",FALSE,TRUE),exact(Metadata!H128,"Mus musculus"))</f>
        <v>0</v>
      </c>
      <c r="AC128">
        <f>AND(IF(Metadata!I128="",FALSE,TRUE),exact(Metadata!I128,"10090"))</f>
        <v>0</v>
      </c>
      <c r="AD128">
        <f>OR(AND(IF(Metadata!J128="",FALSE,TRUE),OR(exact(Metadata!J128,"not applicable"),exact(Metadata!J128,"missing: not collected"),exact(Metadata!J128,"missing: not provided"),exact(Metadata!J128,"missing: restricted access"))),AND(IF(Metadata!J128="",FALSE,ISNUMBER(VALUE(Metadata!J128))),Metadata!J128&gt;0))</f>
        <v>0</v>
      </c>
      <c r="AE128">
        <f>AND(IF(Metadata!K128="",FALSE,TRUE),exact(Metadata!K128,"g"))</f>
        <v>0</v>
      </c>
    </row>
    <row r="129" spans="1:31">
      <c r="A129" s="5">
        <f>IF(B129=" "," ",HYPERLINK(CONCATENATE("#metadata!",ADDRESS(INDEX($Q$2:$Q$1001,MATCH(ROWS($O$2:O129),$O$2:$O$1001,0),0),1)),INDEX($T$2:$T$1001,MATCH(ROWS($O$2:O129),$O$2:$O$1001,0),0)))</f>
        <v>0</v>
      </c>
      <c r="B129" s="4">
        <f>IF(OR(INDEX($P$2:$P$1001,MATCH(ROWS($O$2:O129),$O$2:$O$1001,0),1)&gt;=100000,INDEX($V$1005:$AE$1005,1,MATCH(COLUMNS($V$1006:V1006),$V$1006:$AE$1006,0))&gt;=100000), " ",IF(INDEX($V$2:$AE$1001,MATCH(ROWS($O$2:O129),$O$2:$O$1001,0),MATCH(COLUMNS($V$1006:V1006),$V$1006:$AE$1006,0)), HYPERLINK("#",""), HYPERLINK(CONCATENATE("#Metadata!", ADDRESS(INDEX($Q$2:$Q$1001,MATCH(ROWS($O$2:O129),$O$2:$O$1001,0),0), INDEX($V$1004:$AE$1004,1,MATCH(COLUMNS($V$1006:V1006),$V$1006:$AE$1006,0)))),"Fix")))</f>
        <v>0</v>
      </c>
      <c r="C129" s="4">
        <f>IF(OR(INDEX($P$2:$P$1001,MATCH(ROWS($O$2:O129),$O$2:$O$1001,0),1)&gt;=100000,INDEX($V$1005:$AE$1005,1,MATCH(COLUMNS($V$1006:W1006),$V$1006:$AE$1006,0))&gt;=100000), " ",IF(INDEX($V$2:$AE$1001,MATCH(ROWS($O$2:O129),$O$2:$O$1001,0),MATCH(COLUMNS($V$1006:W1006),$V$1006:$AE$1006,0)), HYPERLINK("#",""), HYPERLINK(CONCATENATE("#Metadata!", ADDRESS(INDEX($Q$2:$Q$1001,MATCH(ROWS($O$2:O129),$O$2:$O$1001,0),0), INDEX($V$1004:$AE$1004,1,MATCH(COLUMNS($V$1006:W1006),$V$1006:$AE$1006,0)))),"Fix")))</f>
        <v>0</v>
      </c>
      <c r="D129" s="4">
        <f>IF(OR(INDEX($P$2:$P$1001,MATCH(ROWS($O$2:O129),$O$2:$O$1001,0),1)&gt;=100000,INDEX($V$1005:$AE$1005,1,MATCH(COLUMNS($V$1006:X1006),$V$1006:$AE$1006,0))&gt;=100000), " ",IF(INDEX($V$2:$AE$1001,MATCH(ROWS($O$2:O129),$O$2:$O$1001,0),MATCH(COLUMNS($V$1006:X1006),$V$1006:$AE$1006,0)), HYPERLINK("#",""), HYPERLINK(CONCATENATE("#Metadata!", ADDRESS(INDEX($Q$2:$Q$1001,MATCH(ROWS($O$2:O129),$O$2:$O$1001,0),0), INDEX($V$1004:$AE$1004,1,MATCH(COLUMNS($V$1006:X1006),$V$1006:$AE$1006,0)))),"Fix")))</f>
        <v>0</v>
      </c>
      <c r="E129" s="4">
        <f>IF(OR(INDEX($P$2:$P$1001,MATCH(ROWS($O$2:O129),$O$2:$O$1001,0),1)&gt;=100000,INDEX($V$1005:$AE$1005,1,MATCH(COLUMNS($V$1006:Y1006),$V$1006:$AE$1006,0))&gt;=100000), " ",IF(INDEX($V$2:$AE$1001,MATCH(ROWS($O$2:O129),$O$2:$O$1001,0),MATCH(COLUMNS($V$1006:Y1006),$V$1006:$AE$1006,0)), HYPERLINK("#",""), HYPERLINK(CONCATENATE("#Metadata!", ADDRESS(INDEX($Q$2:$Q$1001,MATCH(ROWS($O$2:O129),$O$2:$O$1001,0),0), INDEX($V$1004:$AE$1004,1,MATCH(COLUMNS($V$1006:Y1006),$V$1006:$AE$1006,0)))),"Fix")))</f>
        <v>0</v>
      </c>
      <c r="F129" s="4">
        <f>IF(OR(INDEX($P$2:$P$1001,MATCH(ROWS($O$2:O129),$O$2:$O$1001,0),1)&gt;=100000,INDEX($V$1005:$AE$1005,1,MATCH(COLUMNS($V$1006:Z1006),$V$1006:$AE$1006,0))&gt;=100000), " ",IF(INDEX($V$2:$AE$1001,MATCH(ROWS($O$2:O129),$O$2:$O$1001,0),MATCH(COLUMNS($V$1006:Z1006),$V$1006:$AE$1006,0)), HYPERLINK("#",""), HYPERLINK(CONCATENATE("#Metadata!", ADDRESS(INDEX($Q$2:$Q$1001,MATCH(ROWS($O$2:O129),$O$2:$O$1001,0),0), INDEX($V$1004:$AE$1004,1,MATCH(COLUMNS($V$1006:Z1006),$V$1006:$AE$1006,0)))),"Fix")))</f>
        <v>0</v>
      </c>
      <c r="G129" s="4">
        <f>IF(OR(INDEX($P$2:$P$1001,MATCH(ROWS($O$2:O129),$O$2:$O$1001,0),1)&gt;=100000,INDEX($V$1005:$AE$1005,1,MATCH(COLUMNS($V$1006:AA1006),$V$1006:$AE$1006,0))&gt;=100000), " ",IF(INDEX($V$2:$AE$1001,MATCH(ROWS($O$2:O129),$O$2:$O$1001,0),MATCH(COLUMNS($V$1006:AA1006),$V$1006:$AE$1006,0)), HYPERLINK("#",""), HYPERLINK(CONCATENATE("#Metadata!", ADDRESS(INDEX($Q$2:$Q$1001,MATCH(ROWS($O$2:O129),$O$2:$O$1001,0),0), INDEX($V$1004:$AE$1004,1,MATCH(COLUMNS($V$1006:AA1006),$V$1006:$AE$1006,0)))),"Fix")))</f>
        <v>0</v>
      </c>
      <c r="H129" s="4">
        <f>IF(OR(INDEX($P$2:$P$1001,MATCH(ROWS($O$2:O129),$O$2:$O$1001,0),1)&gt;=100000,INDEX($V$1005:$AE$1005,1,MATCH(COLUMNS($V$1006:AB1006),$V$1006:$AE$1006,0))&gt;=100000), " ",IF(INDEX($V$2:$AE$1001,MATCH(ROWS($O$2:O129),$O$2:$O$1001,0),MATCH(COLUMNS($V$1006:AB1006),$V$1006:$AE$1006,0)), HYPERLINK("#",""), HYPERLINK(CONCATENATE("#Metadata!", ADDRESS(INDEX($Q$2:$Q$1001,MATCH(ROWS($O$2:O129),$O$2:$O$1001,0),0), INDEX($V$1004:$AE$1004,1,MATCH(COLUMNS($V$1006:AB1006),$V$1006:$AE$1006,0)))),"Fix")))</f>
        <v>0</v>
      </c>
      <c r="I129" s="4">
        <f>IF(OR(INDEX($P$2:$P$1001,MATCH(ROWS($O$2:O129),$O$2:$O$1001,0),1)&gt;=100000,INDEX($V$1005:$AE$1005,1,MATCH(COLUMNS($V$1006:AC1006),$V$1006:$AE$1006,0))&gt;=100000), " ",IF(INDEX($V$2:$AE$1001,MATCH(ROWS($O$2:O129),$O$2:$O$1001,0),MATCH(COLUMNS($V$1006:AC1006),$V$1006:$AE$1006,0)), HYPERLINK("#",""), HYPERLINK(CONCATENATE("#Metadata!", ADDRESS(INDEX($Q$2:$Q$1001,MATCH(ROWS($O$2:O129),$O$2:$O$1001,0),0), INDEX($V$1004:$AE$1004,1,MATCH(COLUMNS($V$1006:AC1006),$V$1006:$AE$1006,0)))),"Fix")))</f>
        <v>0</v>
      </c>
      <c r="J129" s="4">
        <f>IF(OR(INDEX($P$2:$P$1001,MATCH(ROWS($O$2:O129),$O$2:$O$1001,0),1)&gt;=100000,INDEX($V$1005:$AE$1005,1,MATCH(COLUMNS($V$1006:AD1006),$V$1006:$AE$1006,0))&gt;=100000), " ",IF(INDEX($V$2:$AE$1001,MATCH(ROWS($O$2:O129),$O$2:$O$1001,0),MATCH(COLUMNS($V$1006:AD1006),$V$1006:$AE$1006,0)), HYPERLINK("#",""), HYPERLINK(CONCATENATE("#Metadata!", ADDRESS(INDEX($Q$2:$Q$1001,MATCH(ROWS($O$2:O129),$O$2:$O$1001,0),0), INDEX($V$1004:$AE$1004,1,MATCH(COLUMNS($V$1006:AD1006),$V$1006:$AE$1006,0)))),"Fix")))</f>
        <v>0</v>
      </c>
      <c r="K129" s="4">
        <f>IF(OR(INDEX($P$2:$P$1001,MATCH(ROWS($O$2:O129),$O$2:$O$1001,0),1)&gt;=100000,INDEX($V$1005:$AE$1005,1,MATCH(COLUMNS($V$1006:AE1006),$V$1006:$AE$1006,0))&gt;=100000), " ",IF(INDEX($V$2:$AE$1001,MATCH(ROWS($O$2:O129),$O$2:$O$1001,0),MATCH(COLUMNS($V$1006:AE1006),$V$1006:$AE$1006,0)), HYPERLINK("#",""), HYPERLINK(CONCATENATE("#Metadata!", ADDRESS(INDEX($Q$2:$Q$1001,MATCH(ROWS($O$2:O129),$O$2:$O$1001,0),0), INDEX($V$1004:$AE$1004,1,MATCH(COLUMNS($V$1006:AE1006),$V$1006:$AE$1006,0)))),"Fix")))</f>
        <v>0</v>
      </c>
      <c r="O129">
        <v>0</v>
      </c>
      <c r="P129">
        <v>0</v>
      </c>
      <c r="Q129">
        <v>0</v>
      </c>
      <c r="R129">
        <f>IF(S129,TRUE,AND(V129:AE129))</f>
        <v>0</v>
      </c>
      <c r="S129">
        <f>COUNTBLANK(Metadata!B129:K129)=COLUMNS(Metadata!B129:K129)</f>
        <v>0</v>
      </c>
      <c r="T129">
        <v>0</v>
      </c>
      <c r="V129">
        <f>AND(IF(Metadata!B129="",FALSE,TRUE),COUNTIF(Metadata!B:B, Metadata!B129) = 1,NOT(ISERROR(SUMPRODUCT(SEARCH(MID(Metadata!B129,ROW(INDIRECT("1:"&amp;LEN(Metadata!B129))), 1),"0123456789abcdefghijklmnopqrstuvwxyzABCDEFGHIJKLMNOPQRSTUVWXYZ.")))))</f>
        <v>0</v>
      </c>
      <c r="W129">
        <f>AND(IF(Metadata!C129="",FALSE,TRUE),exact(Metadata!C129,"urban biome"))</f>
        <v>0</v>
      </c>
      <c r="X129">
        <f>AND(IF(Metadata!D129="",FALSE,TRUE),exact(Metadata!D129,"animal-associated habitat"))</f>
        <v>0</v>
      </c>
      <c r="Y129">
        <f>OR(AND(IF(Metadata!E129="",FALSE,TRUE),OR(exact(Metadata!E129,"not applicable"),exact(Metadata!E129,"missing: not collected"),exact(Metadata!E129,"missing: not provided"),exact(Metadata!E129,"missing: restricted access"))),AND(IF(Metadata!E129="",FALSE,ISNUMBER(VALUE(Metadata!E129))),Metadata!E129&gt;0))</f>
        <v>0</v>
      </c>
      <c r="Z129">
        <f>AND(IF(Metadata!F129="",FALSE,TRUE),exact(Metadata!F129,"weeks"))</f>
        <v>0</v>
      </c>
      <c r="AA129">
        <f>AND(IF(Metadata!G129="",FALSE,TRUE),exact(Metadata!G129,"mouse"))</f>
        <v>0</v>
      </c>
      <c r="AB129">
        <f>AND(IF(Metadata!H129="",FALSE,TRUE),exact(Metadata!H129,"Mus musculus"))</f>
        <v>0</v>
      </c>
      <c r="AC129">
        <f>AND(IF(Metadata!I129="",FALSE,TRUE),exact(Metadata!I129,"10090"))</f>
        <v>0</v>
      </c>
      <c r="AD129">
        <f>OR(AND(IF(Metadata!J129="",FALSE,TRUE),OR(exact(Metadata!J129,"not applicable"),exact(Metadata!J129,"missing: not collected"),exact(Metadata!J129,"missing: not provided"),exact(Metadata!J129,"missing: restricted access"))),AND(IF(Metadata!J129="",FALSE,ISNUMBER(VALUE(Metadata!J129))),Metadata!J129&gt;0))</f>
        <v>0</v>
      </c>
      <c r="AE129">
        <f>AND(IF(Metadata!K129="",FALSE,TRUE),exact(Metadata!K129,"g"))</f>
        <v>0</v>
      </c>
    </row>
    <row r="130" spans="1:31">
      <c r="A130" s="5">
        <f>IF(B130=" "," ",HYPERLINK(CONCATENATE("#metadata!",ADDRESS(INDEX($Q$2:$Q$1001,MATCH(ROWS($O$2:O130),$O$2:$O$1001,0),0),1)),INDEX($T$2:$T$1001,MATCH(ROWS($O$2:O130),$O$2:$O$1001,0),0)))</f>
        <v>0</v>
      </c>
      <c r="B130" s="4">
        <f>IF(OR(INDEX($P$2:$P$1001,MATCH(ROWS($O$2:O130),$O$2:$O$1001,0),1)&gt;=100000,INDEX($V$1005:$AE$1005,1,MATCH(COLUMNS($V$1006:V1006),$V$1006:$AE$1006,0))&gt;=100000), " ",IF(INDEX($V$2:$AE$1001,MATCH(ROWS($O$2:O130),$O$2:$O$1001,0),MATCH(COLUMNS($V$1006:V1006),$V$1006:$AE$1006,0)), HYPERLINK("#",""), HYPERLINK(CONCATENATE("#Metadata!", ADDRESS(INDEX($Q$2:$Q$1001,MATCH(ROWS($O$2:O130),$O$2:$O$1001,0),0), INDEX($V$1004:$AE$1004,1,MATCH(COLUMNS($V$1006:V1006),$V$1006:$AE$1006,0)))),"Fix")))</f>
        <v>0</v>
      </c>
      <c r="C130" s="4">
        <f>IF(OR(INDEX($P$2:$P$1001,MATCH(ROWS($O$2:O130),$O$2:$O$1001,0),1)&gt;=100000,INDEX($V$1005:$AE$1005,1,MATCH(COLUMNS($V$1006:W1006),$V$1006:$AE$1006,0))&gt;=100000), " ",IF(INDEX($V$2:$AE$1001,MATCH(ROWS($O$2:O130),$O$2:$O$1001,0),MATCH(COLUMNS($V$1006:W1006),$V$1006:$AE$1006,0)), HYPERLINK("#",""), HYPERLINK(CONCATENATE("#Metadata!", ADDRESS(INDEX($Q$2:$Q$1001,MATCH(ROWS($O$2:O130),$O$2:$O$1001,0),0), INDEX($V$1004:$AE$1004,1,MATCH(COLUMNS($V$1006:W1006),$V$1006:$AE$1006,0)))),"Fix")))</f>
        <v>0</v>
      </c>
      <c r="D130" s="4">
        <f>IF(OR(INDEX($P$2:$P$1001,MATCH(ROWS($O$2:O130),$O$2:$O$1001,0),1)&gt;=100000,INDEX($V$1005:$AE$1005,1,MATCH(COLUMNS($V$1006:X1006),$V$1006:$AE$1006,0))&gt;=100000), " ",IF(INDEX($V$2:$AE$1001,MATCH(ROWS($O$2:O130),$O$2:$O$1001,0),MATCH(COLUMNS($V$1006:X1006),$V$1006:$AE$1006,0)), HYPERLINK("#",""), HYPERLINK(CONCATENATE("#Metadata!", ADDRESS(INDEX($Q$2:$Q$1001,MATCH(ROWS($O$2:O130),$O$2:$O$1001,0),0), INDEX($V$1004:$AE$1004,1,MATCH(COLUMNS($V$1006:X1006),$V$1006:$AE$1006,0)))),"Fix")))</f>
        <v>0</v>
      </c>
      <c r="E130" s="4">
        <f>IF(OR(INDEX($P$2:$P$1001,MATCH(ROWS($O$2:O130),$O$2:$O$1001,0),1)&gt;=100000,INDEX($V$1005:$AE$1005,1,MATCH(COLUMNS($V$1006:Y1006),$V$1006:$AE$1006,0))&gt;=100000), " ",IF(INDEX($V$2:$AE$1001,MATCH(ROWS($O$2:O130),$O$2:$O$1001,0),MATCH(COLUMNS($V$1006:Y1006),$V$1006:$AE$1006,0)), HYPERLINK("#",""), HYPERLINK(CONCATENATE("#Metadata!", ADDRESS(INDEX($Q$2:$Q$1001,MATCH(ROWS($O$2:O130),$O$2:$O$1001,0),0), INDEX($V$1004:$AE$1004,1,MATCH(COLUMNS($V$1006:Y1006),$V$1006:$AE$1006,0)))),"Fix")))</f>
        <v>0</v>
      </c>
      <c r="F130" s="4">
        <f>IF(OR(INDEX($P$2:$P$1001,MATCH(ROWS($O$2:O130),$O$2:$O$1001,0),1)&gt;=100000,INDEX($V$1005:$AE$1005,1,MATCH(COLUMNS($V$1006:Z1006),$V$1006:$AE$1006,0))&gt;=100000), " ",IF(INDEX($V$2:$AE$1001,MATCH(ROWS($O$2:O130),$O$2:$O$1001,0),MATCH(COLUMNS($V$1006:Z1006),$V$1006:$AE$1006,0)), HYPERLINK("#",""), HYPERLINK(CONCATENATE("#Metadata!", ADDRESS(INDEX($Q$2:$Q$1001,MATCH(ROWS($O$2:O130),$O$2:$O$1001,0),0), INDEX($V$1004:$AE$1004,1,MATCH(COLUMNS($V$1006:Z1006),$V$1006:$AE$1006,0)))),"Fix")))</f>
        <v>0</v>
      </c>
      <c r="G130" s="4">
        <f>IF(OR(INDEX($P$2:$P$1001,MATCH(ROWS($O$2:O130),$O$2:$O$1001,0),1)&gt;=100000,INDEX($V$1005:$AE$1005,1,MATCH(COLUMNS($V$1006:AA1006),$V$1006:$AE$1006,0))&gt;=100000), " ",IF(INDEX($V$2:$AE$1001,MATCH(ROWS($O$2:O130),$O$2:$O$1001,0),MATCH(COLUMNS($V$1006:AA1006),$V$1006:$AE$1006,0)), HYPERLINK("#",""), HYPERLINK(CONCATENATE("#Metadata!", ADDRESS(INDEX($Q$2:$Q$1001,MATCH(ROWS($O$2:O130),$O$2:$O$1001,0),0), INDEX($V$1004:$AE$1004,1,MATCH(COLUMNS($V$1006:AA1006),$V$1006:$AE$1006,0)))),"Fix")))</f>
        <v>0</v>
      </c>
      <c r="H130" s="4">
        <f>IF(OR(INDEX($P$2:$P$1001,MATCH(ROWS($O$2:O130),$O$2:$O$1001,0),1)&gt;=100000,INDEX($V$1005:$AE$1005,1,MATCH(COLUMNS($V$1006:AB1006),$V$1006:$AE$1006,0))&gt;=100000), " ",IF(INDEX($V$2:$AE$1001,MATCH(ROWS($O$2:O130),$O$2:$O$1001,0),MATCH(COLUMNS($V$1006:AB1006),$V$1006:$AE$1006,0)), HYPERLINK("#",""), HYPERLINK(CONCATENATE("#Metadata!", ADDRESS(INDEX($Q$2:$Q$1001,MATCH(ROWS($O$2:O130),$O$2:$O$1001,0),0), INDEX($V$1004:$AE$1004,1,MATCH(COLUMNS($V$1006:AB1006),$V$1006:$AE$1006,0)))),"Fix")))</f>
        <v>0</v>
      </c>
      <c r="I130" s="4">
        <f>IF(OR(INDEX($P$2:$P$1001,MATCH(ROWS($O$2:O130),$O$2:$O$1001,0),1)&gt;=100000,INDEX($V$1005:$AE$1005,1,MATCH(COLUMNS($V$1006:AC1006),$V$1006:$AE$1006,0))&gt;=100000), " ",IF(INDEX($V$2:$AE$1001,MATCH(ROWS($O$2:O130),$O$2:$O$1001,0),MATCH(COLUMNS($V$1006:AC1006),$V$1006:$AE$1006,0)), HYPERLINK("#",""), HYPERLINK(CONCATENATE("#Metadata!", ADDRESS(INDEX($Q$2:$Q$1001,MATCH(ROWS($O$2:O130),$O$2:$O$1001,0),0), INDEX($V$1004:$AE$1004,1,MATCH(COLUMNS($V$1006:AC1006),$V$1006:$AE$1006,0)))),"Fix")))</f>
        <v>0</v>
      </c>
      <c r="J130" s="4">
        <f>IF(OR(INDEX($P$2:$P$1001,MATCH(ROWS($O$2:O130),$O$2:$O$1001,0),1)&gt;=100000,INDEX($V$1005:$AE$1005,1,MATCH(COLUMNS($V$1006:AD1006),$V$1006:$AE$1006,0))&gt;=100000), " ",IF(INDEX($V$2:$AE$1001,MATCH(ROWS($O$2:O130),$O$2:$O$1001,0),MATCH(COLUMNS($V$1006:AD1006),$V$1006:$AE$1006,0)), HYPERLINK("#",""), HYPERLINK(CONCATENATE("#Metadata!", ADDRESS(INDEX($Q$2:$Q$1001,MATCH(ROWS($O$2:O130),$O$2:$O$1001,0),0), INDEX($V$1004:$AE$1004,1,MATCH(COLUMNS($V$1006:AD1006),$V$1006:$AE$1006,0)))),"Fix")))</f>
        <v>0</v>
      </c>
      <c r="K130" s="4">
        <f>IF(OR(INDEX($P$2:$P$1001,MATCH(ROWS($O$2:O130),$O$2:$O$1001,0),1)&gt;=100000,INDEX($V$1005:$AE$1005,1,MATCH(COLUMNS($V$1006:AE1006),$V$1006:$AE$1006,0))&gt;=100000), " ",IF(INDEX($V$2:$AE$1001,MATCH(ROWS($O$2:O130),$O$2:$O$1001,0),MATCH(COLUMNS($V$1006:AE1006),$V$1006:$AE$1006,0)), HYPERLINK("#",""), HYPERLINK(CONCATENATE("#Metadata!", ADDRESS(INDEX($Q$2:$Q$1001,MATCH(ROWS($O$2:O130),$O$2:$O$1001,0),0), INDEX($V$1004:$AE$1004,1,MATCH(COLUMNS($V$1006:AE1006),$V$1006:$AE$1006,0)))),"Fix")))</f>
        <v>0</v>
      </c>
      <c r="O130">
        <v>0</v>
      </c>
      <c r="P130">
        <v>0</v>
      </c>
      <c r="Q130">
        <v>0</v>
      </c>
      <c r="R130">
        <f>IF(S130,TRUE,AND(V130:AE130))</f>
        <v>0</v>
      </c>
      <c r="S130">
        <f>COUNTBLANK(Metadata!B130:K130)=COLUMNS(Metadata!B130:K130)</f>
        <v>0</v>
      </c>
      <c r="T130">
        <v>0</v>
      </c>
      <c r="V130">
        <f>AND(IF(Metadata!B130="",FALSE,TRUE),COUNTIF(Metadata!B:B, Metadata!B130) = 1,NOT(ISERROR(SUMPRODUCT(SEARCH(MID(Metadata!B130,ROW(INDIRECT("1:"&amp;LEN(Metadata!B130))), 1),"0123456789abcdefghijklmnopqrstuvwxyzABCDEFGHIJKLMNOPQRSTUVWXYZ.")))))</f>
        <v>0</v>
      </c>
      <c r="W130">
        <f>AND(IF(Metadata!C130="",FALSE,TRUE),exact(Metadata!C130,"urban biome"))</f>
        <v>0</v>
      </c>
      <c r="X130">
        <f>AND(IF(Metadata!D130="",FALSE,TRUE),exact(Metadata!D130,"animal-associated habitat"))</f>
        <v>0</v>
      </c>
      <c r="Y130">
        <f>OR(AND(IF(Metadata!E130="",FALSE,TRUE),OR(exact(Metadata!E130,"not applicable"),exact(Metadata!E130,"missing: not collected"),exact(Metadata!E130,"missing: not provided"),exact(Metadata!E130,"missing: restricted access"))),AND(IF(Metadata!E130="",FALSE,ISNUMBER(VALUE(Metadata!E130))),Metadata!E130&gt;0))</f>
        <v>0</v>
      </c>
      <c r="Z130">
        <f>AND(IF(Metadata!F130="",FALSE,TRUE),exact(Metadata!F130,"weeks"))</f>
        <v>0</v>
      </c>
      <c r="AA130">
        <f>AND(IF(Metadata!G130="",FALSE,TRUE),exact(Metadata!G130,"mouse"))</f>
        <v>0</v>
      </c>
      <c r="AB130">
        <f>AND(IF(Metadata!H130="",FALSE,TRUE),exact(Metadata!H130,"Mus musculus"))</f>
        <v>0</v>
      </c>
      <c r="AC130">
        <f>AND(IF(Metadata!I130="",FALSE,TRUE),exact(Metadata!I130,"10090"))</f>
        <v>0</v>
      </c>
      <c r="AD130">
        <f>OR(AND(IF(Metadata!J130="",FALSE,TRUE),OR(exact(Metadata!J130,"not applicable"),exact(Metadata!J130,"missing: not collected"),exact(Metadata!J130,"missing: not provided"),exact(Metadata!J130,"missing: restricted access"))),AND(IF(Metadata!J130="",FALSE,ISNUMBER(VALUE(Metadata!J130))),Metadata!J130&gt;0))</f>
        <v>0</v>
      </c>
      <c r="AE130">
        <f>AND(IF(Metadata!K130="",FALSE,TRUE),exact(Metadata!K130,"g"))</f>
        <v>0</v>
      </c>
    </row>
    <row r="131" spans="1:31">
      <c r="A131" s="5">
        <f>IF(B131=" "," ",HYPERLINK(CONCATENATE("#metadata!",ADDRESS(INDEX($Q$2:$Q$1001,MATCH(ROWS($O$2:O131),$O$2:$O$1001,0),0),1)),INDEX($T$2:$T$1001,MATCH(ROWS($O$2:O131),$O$2:$O$1001,0),0)))</f>
        <v>0</v>
      </c>
      <c r="B131" s="4">
        <f>IF(OR(INDEX($P$2:$P$1001,MATCH(ROWS($O$2:O131),$O$2:$O$1001,0),1)&gt;=100000,INDEX($V$1005:$AE$1005,1,MATCH(COLUMNS($V$1006:V1006),$V$1006:$AE$1006,0))&gt;=100000), " ",IF(INDEX($V$2:$AE$1001,MATCH(ROWS($O$2:O131),$O$2:$O$1001,0),MATCH(COLUMNS($V$1006:V1006),$V$1006:$AE$1006,0)), HYPERLINK("#",""), HYPERLINK(CONCATENATE("#Metadata!", ADDRESS(INDEX($Q$2:$Q$1001,MATCH(ROWS($O$2:O131),$O$2:$O$1001,0),0), INDEX($V$1004:$AE$1004,1,MATCH(COLUMNS($V$1006:V1006),$V$1006:$AE$1006,0)))),"Fix")))</f>
        <v>0</v>
      </c>
      <c r="C131" s="4">
        <f>IF(OR(INDEX($P$2:$P$1001,MATCH(ROWS($O$2:O131),$O$2:$O$1001,0),1)&gt;=100000,INDEX($V$1005:$AE$1005,1,MATCH(COLUMNS($V$1006:W1006),$V$1006:$AE$1006,0))&gt;=100000), " ",IF(INDEX($V$2:$AE$1001,MATCH(ROWS($O$2:O131),$O$2:$O$1001,0),MATCH(COLUMNS($V$1006:W1006),$V$1006:$AE$1006,0)), HYPERLINK("#",""), HYPERLINK(CONCATENATE("#Metadata!", ADDRESS(INDEX($Q$2:$Q$1001,MATCH(ROWS($O$2:O131),$O$2:$O$1001,0),0), INDEX($V$1004:$AE$1004,1,MATCH(COLUMNS($V$1006:W1006),$V$1006:$AE$1006,0)))),"Fix")))</f>
        <v>0</v>
      </c>
      <c r="D131" s="4">
        <f>IF(OR(INDEX($P$2:$P$1001,MATCH(ROWS($O$2:O131),$O$2:$O$1001,0),1)&gt;=100000,INDEX($V$1005:$AE$1005,1,MATCH(COLUMNS($V$1006:X1006),$V$1006:$AE$1006,0))&gt;=100000), " ",IF(INDEX($V$2:$AE$1001,MATCH(ROWS($O$2:O131),$O$2:$O$1001,0),MATCH(COLUMNS($V$1006:X1006),$V$1006:$AE$1006,0)), HYPERLINK("#",""), HYPERLINK(CONCATENATE("#Metadata!", ADDRESS(INDEX($Q$2:$Q$1001,MATCH(ROWS($O$2:O131),$O$2:$O$1001,0),0), INDEX($V$1004:$AE$1004,1,MATCH(COLUMNS($V$1006:X1006),$V$1006:$AE$1006,0)))),"Fix")))</f>
        <v>0</v>
      </c>
      <c r="E131" s="4">
        <f>IF(OR(INDEX($P$2:$P$1001,MATCH(ROWS($O$2:O131),$O$2:$O$1001,0),1)&gt;=100000,INDEX($V$1005:$AE$1005,1,MATCH(COLUMNS($V$1006:Y1006),$V$1006:$AE$1006,0))&gt;=100000), " ",IF(INDEX($V$2:$AE$1001,MATCH(ROWS($O$2:O131),$O$2:$O$1001,0),MATCH(COLUMNS($V$1006:Y1006),$V$1006:$AE$1006,0)), HYPERLINK("#",""), HYPERLINK(CONCATENATE("#Metadata!", ADDRESS(INDEX($Q$2:$Q$1001,MATCH(ROWS($O$2:O131),$O$2:$O$1001,0),0), INDEX($V$1004:$AE$1004,1,MATCH(COLUMNS($V$1006:Y1006),$V$1006:$AE$1006,0)))),"Fix")))</f>
        <v>0</v>
      </c>
      <c r="F131" s="4">
        <f>IF(OR(INDEX($P$2:$P$1001,MATCH(ROWS($O$2:O131),$O$2:$O$1001,0),1)&gt;=100000,INDEX($V$1005:$AE$1005,1,MATCH(COLUMNS($V$1006:Z1006),$V$1006:$AE$1006,0))&gt;=100000), " ",IF(INDEX($V$2:$AE$1001,MATCH(ROWS($O$2:O131),$O$2:$O$1001,0),MATCH(COLUMNS($V$1006:Z1006),$V$1006:$AE$1006,0)), HYPERLINK("#",""), HYPERLINK(CONCATENATE("#Metadata!", ADDRESS(INDEX($Q$2:$Q$1001,MATCH(ROWS($O$2:O131),$O$2:$O$1001,0),0), INDEX($V$1004:$AE$1004,1,MATCH(COLUMNS($V$1006:Z1006),$V$1006:$AE$1006,0)))),"Fix")))</f>
        <v>0</v>
      </c>
      <c r="G131" s="4">
        <f>IF(OR(INDEX($P$2:$P$1001,MATCH(ROWS($O$2:O131),$O$2:$O$1001,0),1)&gt;=100000,INDEX($V$1005:$AE$1005,1,MATCH(COLUMNS($V$1006:AA1006),$V$1006:$AE$1006,0))&gt;=100000), " ",IF(INDEX($V$2:$AE$1001,MATCH(ROWS($O$2:O131),$O$2:$O$1001,0),MATCH(COLUMNS($V$1006:AA1006),$V$1006:$AE$1006,0)), HYPERLINK("#",""), HYPERLINK(CONCATENATE("#Metadata!", ADDRESS(INDEX($Q$2:$Q$1001,MATCH(ROWS($O$2:O131),$O$2:$O$1001,0),0), INDEX($V$1004:$AE$1004,1,MATCH(COLUMNS($V$1006:AA1006),$V$1006:$AE$1006,0)))),"Fix")))</f>
        <v>0</v>
      </c>
      <c r="H131" s="4">
        <f>IF(OR(INDEX($P$2:$P$1001,MATCH(ROWS($O$2:O131),$O$2:$O$1001,0),1)&gt;=100000,INDEX($V$1005:$AE$1005,1,MATCH(COLUMNS($V$1006:AB1006),$V$1006:$AE$1006,0))&gt;=100000), " ",IF(INDEX($V$2:$AE$1001,MATCH(ROWS($O$2:O131),$O$2:$O$1001,0),MATCH(COLUMNS($V$1006:AB1006),$V$1006:$AE$1006,0)), HYPERLINK("#",""), HYPERLINK(CONCATENATE("#Metadata!", ADDRESS(INDEX($Q$2:$Q$1001,MATCH(ROWS($O$2:O131),$O$2:$O$1001,0),0), INDEX($V$1004:$AE$1004,1,MATCH(COLUMNS($V$1006:AB1006),$V$1006:$AE$1006,0)))),"Fix")))</f>
        <v>0</v>
      </c>
      <c r="I131" s="4">
        <f>IF(OR(INDEX($P$2:$P$1001,MATCH(ROWS($O$2:O131),$O$2:$O$1001,0),1)&gt;=100000,INDEX($V$1005:$AE$1005,1,MATCH(COLUMNS($V$1006:AC1006),$V$1006:$AE$1006,0))&gt;=100000), " ",IF(INDEX($V$2:$AE$1001,MATCH(ROWS($O$2:O131),$O$2:$O$1001,0),MATCH(COLUMNS($V$1006:AC1006),$V$1006:$AE$1006,0)), HYPERLINK("#",""), HYPERLINK(CONCATENATE("#Metadata!", ADDRESS(INDEX($Q$2:$Q$1001,MATCH(ROWS($O$2:O131),$O$2:$O$1001,0),0), INDEX($V$1004:$AE$1004,1,MATCH(COLUMNS($V$1006:AC1006),$V$1006:$AE$1006,0)))),"Fix")))</f>
        <v>0</v>
      </c>
      <c r="J131" s="4">
        <f>IF(OR(INDEX($P$2:$P$1001,MATCH(ROWS($O$2:O131),$O$2:$O$1001,0),1)&gt;=100000,INDEX($V$1005:$AE$1005,1,MATCH(COLUMNS($V$1006:AD1006),$V$1006:$AE$1006,0))&gt;=100000), " ",IF(INDEX($V$2:$AE$1001,MATCH(ROWS($O$2:O131),$O$2:$O$1001,0),MATCH(COLUMNS($V$1006:AD1006),$V$1006:$AE$1006,0)), HYPERLINK("#",""), HYPERLINK(CONCATENATE("#Metadata!", ADDRESS(INDEX($Q$2:$Q$1001,MATCH(ROWS($O$2:O131),$O$2:$O$1001,0),0), INDEX($V$1004:$AE$1004,1,MATCH(COLUMNS($V$1006:AD1006),$V$1006:$AE$1006,0)))),"Fix")))</f>
        <v>0</v>
      </c>
      <c r="K131" s="4">
        <f>IF(OR(INDEX($P$2:$P$1001,MATCH(ROWS($O$2:O131),$O$2:$O$1001,0),1)&gt;=100000,INDEX($V$1005:$AE$1005,1,MATCH(COLUMNS($V$1006:AE1006),$V$1006:$AE$1006,0))&gt;=100000), " ",IF(INDEX($V$2:$AE$1001,MATCH(ROWS($O$2:O131),$O$2:$O$1001,0),MATCH(COLUMNS($V$1006:AE1006),$V$1006:$AE$1006,0)), HYPERLINK("#",""), HYPERLINK(CONCATENATE("#Metadata!", ADDRESS(INDEX($Q$2:$Q$1001,MATCH(ROWS($O$2:O131),$O$2:$O$1001,0),0), INDEX($V$1004:$AE$1004,1,MATCH(COLUMNS($V$1006:AE1006),$V$1006:$AE$1006,0)))),"Fix")))</f>
        <v>0</v>
      </c>
      <c r="O131">
        <v>0</v>
      </c>
      <c r="P131">
        <v>0</v>
      </c>
      <c r="Q131">
        <v>0</v>
      </c>
      <c r="R131">
        <f>IF(S131,TRUE,AND(V131:AE131))</f>
        <v>0</v>
      </c>
      <c r="S131">
        <f>COUNTBLANK(Metadata!B131:K131)=COLUMNS(Metadata!B131:K131)</f>
        <v>0</v>
      </c>
      <c r="T131">
        <v>0</v>
      </c>
      <c r="V131">
        <f>AND(IF(Metadata!B131="",FALSE,TRUE),COUNTIF(Metadata!B:B, Metadata!B131) = 1,NOT(ISERROR(SUMPRODUCT(SEARCH(MID(Metadata!B131,ROW(INDIRECT("1:"&amp;LEN(Metadata!B131))), 1),"0123456789abcdefghijklmnopqrstuvwxyzABCDEFGHIJKLMNOPQRSTUVWXYZ.")))))</f>
        <v>0</v>
      </c>
      <c r="W131">
        <f>AND(IF(Metadata!C131="",FALSE,TRUE),exact(Metadata!C131,"urban biome"))</f>
        <v>0</v>
      </c>
      <c r="X131">
        <f>AND(IF(Metadata!D131="",FALSE,TRUE),exact(Metadata!D131,"animal-associated habitat"))</f>
        <v>0</v>
      </c>
      <c r="Y131">
        <f>OR(AND(IF(Metadata!E131="",FALSE,TRUE),OR(exact(Metadata!E131,"not applicable"),exact(Metadata!E131,"missing: not collected"),exact(Metadata!E131,"missing: not provided"),exact(Metadata!E131,"missing: restricted access"))),AND(IF(Metadata!E131="",FALSE,ISNUMBER(VALUE(Metadata!E131))),Metadata!E131&gt;0))</f>
        <v>0</v>
      </c>
      <c r="Z131">
        <f>AND(IF(Metadata!F131="",FALSE,TRUE),exact(Metadata!F131,"weeks"))</f>
        <v>0</v>
      </c>
      <c r="AA131">
        <f>AND(IF(Metadata!G131="",FALSE,TRUE),exact(Metadata!G131,"mouse"))</f>
        <v>0</v>
      </c>
      <c r="AB131">
        <f>AND(IF(Metadata!H131="",FALSE,TRUE),exact(Metadata!H131,"Mus musculus"))</f>
        <v>0</v>
      </c>
      <c r="AC131">
        <f>AND(IF(Metadata!I131="",FALSE,TRUE),exact(Metadata!I131,"10090"))</f>
        <v>0</v>
      </c>
      <c r="AD131">
        <f>OR(AND(IF(Metadata!J131="",FALSE,TRUE),OR(exact(Metadata!J131,"not applicable"),exact(Metadata!J131,"missing: not collected"),exact(Metadata!J131,"missing: not provided"),exact(Metadata!J131,"missing: restricted access"))),AND(IF(Metadata!J131="",FALSE,ISNUMBER(VALUE(Metadata!J131))),Metadata!J131&gt;0))</f>
        <v>0</v>
      </c>
      <c r="AE131">
        <f>AND(IF(Metadata!K131="",FALSE,TRUE),exact(Metadata!K131,"g"))</f>
        <v>0</v>
      </c>
    </row>
    <row r="132" spans="1:31">
      <c r="A132" s="5">
        <f>IF(B132=" "," ",HYPERLINK(CONCATENATE("#metadata!",ADDRESS(INDEX($Q$2:$Q$1001,MATCH(ROWS($O$2:O132),$O$2:$O$1001,0),0),1)),INDEX($T$2:$T$1001,MATCH(ROWS($O$2:O132),$O$2:$O$1001,0),0)))</f>
        <v>0</v>
      </c>
      <c r="B132" s="4">
        <f>IF(OR(INDEX($P$2:$P$1001,MATCH(ROWS($O$2:O132),$O$2:$O$1001,0),1)&gt;=100000,INDEX($V$1005:$AE$1005,1,MATCH(COLUMNS($V$1006:V1006),$V$1006:$AE$1006,0))&gt;=100000), " ",IF(INDEX($V$2:$AE$1001,MATCH(ROWS($O$2:O132),$O$2:$O$1001,0),MATCH(COLUMNS($V$1006:V1006),$V$1006:$AE$1006,0)), HYPERLINK("#",""), HYPERLINK(CONCATENATE("#Metadata!", ADDRESS(INDEX($Q$2:$Q$1001,MATCH(ROWS($O$2:O132),$O$2:$O$1001,0),0), INDEX($V$1004:$AE$1004,1,MATCH(COLUMNS($V$1006:V1006),$V$1006:$AE$1006,0)))),"Fix")))</f>
        <v>0</v>
      </c>
      <c r="C132" s="4">
        <f>IF(OR(INDEX($P$2:$P$1001,MATCH(ROWS($O$2:O132),$O$2:$O$1001,0),1)&gt;=100000,INDEX($V$1005:$AE$1005,1,MATCH(COLUMNS($V$1006:W1006),$V$1006:$AE$1006,0))&gt;=100000), " ",IF(INDEX($V$2:$AE$1001,MATCH(ROWS($O$2:O132),$O$2:$O$1001,0),MATCH(COLUMNS($V$1006:W1006),$V$1006:$AE$1006,0)), HYPERLINK("#",""), HYPERLINK(CONCATENATE("#Metadata!", ADDRESS(INDEX($Q$2:$Q$1001,MATCH(ROWS($O$2:O132),$O$2:$O$1001,0),0), INDEX($V$1004:$AE$1004,1,MATCH(COLUMNS($V$1006:W1006),$V$1006:$AE$1006,0)))),"Fix")))</f>
        <v>0</v>
      </c>
      <c r="D132" s="4">
        <f>IF(OR(INDEX($P$2:$P$1001,MATCH(ROWS($O$2:O132),$O$2:$O$1001,0),1)&gt;=100000,INDEX($V$1005:$AE$1005,1,MATCH(COLUMNS($V$1006:X1006),$V$1006:$AE$1006,0))&gt;=100000), " ",IF(INDEX($V$2:$AE$1001,MATCH(ROWS($O$2:O132),$O$2:$O$1001,0),MATCH(COLUMNS($V$1006:X1006),$V$1006:$AE$1006,0)), HYPERLINK("#",""), HYPERLINK(CONCATENATE("#Metadata!", ADDRESS(INDEX($Q$2:$Q$1001,MATCH(ROWS($O$2:O132),$O$2:$O$1001,0),0), INDEX($V$1004:$AE$1004,1,MATCH(COLUMNS($V$1006:X1006),$V$1006:$AE$1006,0)))),"Fix")))</f>
        <v>0</v>
      </c>
      <c r="E132" s="4">
        <f>IF(OR(INDEX($P$2:$P$1001,MATCH(ROWS($O$2:O132),$O$2:$O$1001,0),1)&gt;=100000,INDEX($V$1005:$AE$1005,1,MATCH(COLUMNS($V$1006:Y1006),$V$1006:$AE$1006,0))&gt;=100000), " ",IF(INDEX($V$2:$AE$1001,MATCH(ROWS($O$2:O132),$O$2:$O$1001,0),MATCH(COLUMNS($V$1006:Y1006),$V$1006:$AE$1006,0)), HYPERLINK("#",""), HYPERLINK(CONCATENATE("#Metadata!", ADDRESS(INDEX($Q$2:$Q$1001,MATCH(ROWS($O$2:O132),$O$2:$O$1001,0),0), INDEX($V$1004:$AE$1004,1,MATCH(COLUMNS($V$1006:Y1006),$V$1006:$AE$1006,0)))),"Fix")))</f>
        <v>0</v>
      </c>
      <c r="F132" s="4">
        <f>IF(OR(INDEX($P$2:$P$1001,MATCH(ROWS($O$2:O132),$O$2:$O$1001,0),1)&gt;=100000,INDEX($V$1005:$AE$1005,1,MATCH(COLUMNS($V$1006:Z1006),$V$1006:$AE$1006,0))&gt;=100000), " ",IF(INDEX($V$2:$AE$1001,MATCH(ROWS($O$2:O132),$O$2:$O$1001,0),MATCH(COLUMNS($V$1006:Z1006),$V$1006:$AE$1006,0)), HYPERLINK("#",""), HYPERLINK(CONCATENATE("#Metadata!", ADDRESS(INDEX($Q$2:$Q$1001,MATCH(ROWS($O$2:O132),$O$2:$O$1001,0),0), INDEX($V$1004:$AE$1004,1,MATCH(COLUMNS($V$1006:Z1006),$V$1006:$AE$1006,0)))),"Fix")))</f>
        <v>0</v>
      </c>
      <c r="G132" s="4">
        <f>IF(OR(INDEX($P$2:$P$1001,MATCH(ROWS($O$2:O132),$O$2:$O$1001,0),1)&gt;=100000,INDEX($V$1005:$AE$1005,1,MATCH(COLUMNS($V$1006:AA1006),$V$1006:$AE$1006,0))&gt;=100000), " ",IF(INDEX($V$2:$AE$1001,MATCH(ROWS($O$2:O132),$O$2:$O$1001,0),MATCH(COLUMNS($V$1006:AA1006),$V$1006:$AE$1006,0)), HYPERLINK("#",""), HYPERLINK(CONCATENATE("#Metadata!", ADDRESS(INDEX($Q$2:$Q$1001,MATCH(ROWS($O$2:O132),$O$2:$O$1001,0),0), INDEX($V$1004:$AE$1004,1,MATCH(COLUMNS($V$1006:AA1006),$V$1006:$AE$1006,0)))),"Fix")))</f>
        <v>0</v>
      </c>
      <c r="H132" s="4">
        <f>IF(OR(INDEX($P$2:$P$1001,MATCH(ROWS($O$2:O132),$O$2:$O$1001,0),1)&gt;=100000,INDEX($V$1005:$AE$1005,1,MATCH(COLUMNS($V$1006:AB1006),$V$1006:$AE$1006,0))&gt;=100000), " ",IF(INDEX($V$2:$AE$1001,MATCH(ROWS($O$2:O132),$O$2:$O$1001,0),MATCH(COLUMNS($V$1006:AB1006),$V$1006:$AE$1006,0)), HYPERLINK("#",""), HYPERLINK(CONCATENATE("#Metadata!", ADDRESS(INDEX($Q$2:$Q$1001,MATCH(ROWS($O$2:O132),$O$2:$O$1001,0),0), INDEX($V$1004:$AE$1004,1,MATCH(COLUMNS($V$1006:AB1006),$V$1006:$AE$1006,0)))),"Fix")))</f>
        <v>0</v>
      </c>
      <c r="I132" s="4">
        <f>IF(OR(INDEX($P$2:$P$1001,MATCH(ROWS($O$2:O132),$O$2:$O$1001,0),1)&gt;=100000,INDEX($V$1005:$AE$1005,1,MATCH(COLUMNS($V$1006:AC1006),$V$1006:$AE$1006,0))&gt;=100000), " ",IF(INDEX($V$2:$AE$1001,MATCH(ROWS($O$2:O132),$O$2:$O$1001,0),MATCH(COLUMNS($V$1006:AC1006),$V$1006:$AE$1006,0)), HYPERLINK("#",""), HYPERLINK(CONCATENATE("#Metadata!", ADDRESS(INDEX($Q$2:$Q$1001,MATCH(ROWS($O$2:O132),$O$2:$O$1001,0),0), INDEX($V$1004:$AE$1004,1,MATCH(COLUMNS($V$1006:AC1006),$V$1006:$AE$1006,0)))),"Fix")))</f>
        <v>0</v>
      </c>
      <c r="J132" s="4">
        <f>IF(OR(INDEX($P$2:$P$1001,MATCH(ROWS($O$2:O132),$O$2:$O$1001,0),1)&gt;=100000,INDEX($V$1005:$AE$1005,1,MATCH(COLUMNS($V$1006:AD1006),$V$1006:$AE$1006,0))&gt;=100000), " ",IF(INDEX($V$2:$AE$1001,MATCH(ROWS($O$2:O132),$O$2:$O$1001,0),MATCH(COLUMNS($V$1006:AD1006),$V$1006:$AE$1006,0)), HYPERLINK("#",""), HYPERLINK(CONCATENATE("#Metadata!", ADDRESS(INDEX($Q$2:$Q$1001,MATCH(ROWS($O$2:O132),$O$2:$O$1001,0),0), INDEX($V$1004:$AE$1004,1,MATCH(COLUMNS($V$1006:AD1006),$V$1006:$AE$1006,0)))),"Fix")))</f>
        <v>0</v>
      </c>
      <c r="K132" s="4">
        <f>IF(OR(INDEX($P$2:$P$1001,MATCH(ROWS($O$2:O132),$O$2:$O$1001,0),1)&gt;=100000,INDEX($V$1005:$AE$1005,1,MATCH(COLUMNS($V$1006:AE1006),$V$1006:$AE$1006,0))&gt;=100000), " ",IF(INDEX($V$2:$AE$1001,MATCH(ROWS($O$2:O132),$O$2:$O$1001,0),MATCH(COLUMNS($V$1006:AE1006),$V$1006:$AE$1006,0)), HYPERLINK("#",""), HYPERLINK(CONCATENATE("#Metadata!", ADDRESS(INDEX($Q$2:$Q$1001,MATCH(ROWS($O$2:O132),$O$2:$O$1001,0),0), INDEX($V$1004:$AE$1004,1,MATCH(COLUMNS($V$1006:AE1006),$V$1006:$AE$1006,0)))),"Fix")))</f>
        <v>0</v>
      </c>
      <c r="O132">
        <v>0</v>
      </c>
      <c r="P132">
        <v>0</v>
      </c>
      <c r="Q132">
        <v>0</v>
      </c>
      <c r="R132">
        <f>IF(S132,TRUE,AND(V132:AE132))</f>
        <v>0</v>
      </c>
      <c r="S132">
        <f>COUNTBLANK(Metadata!B132:K132)=COLUMNS(Metadata!B132:K132)</f>
        <v>0</v>
      </c>
      <c r="T132">
        <v>0</v>
      </c>
      <c r="V132">
        <f>AND(IF(Metadata!B132="",FALSE,TRUE),COUNTIF(Metadata!B:B, Metadata!B132) = 1,NOT(ISERROR(SUMPRODUCT(SEARCH(MID(Metadata!B132,ROW(INDIRECT("1:"&amp;LEN(Metadata!B132))), 1),"0123456789abcdefghijklmnopqrstuvwxyzABCDEFGHIJKLMNOPQRSTUVWXYZ.")))))</f>
        <v>0</v>
      </c>
      <c r="W132">
        <f>AND(IF(Metadata!C132="",FALSE,TRUE),exact(Metadata!C132,"urban biome"))</f>
        <v>0</v>
      </c>
      <c r="X132">
        <f>AND(IF(Metadata!D132="",FALSE,TRUE),exact(Metadata!D132,"animal-associated habitat"))</f>
        <v>0</v>
      </c>
      <c r="Y132">
        <f>OR(AND(IF(Metadata!E132="",FALSE,TRUE),OR(exact(Metadata!E132,"not applicable"),exact(Metadata!E132,"missing: not collected"),exact(Metadata!E132,"missing: not provided"),exact(Metadata!E132,"missing: restricted access"))),AND(IF(Metadata!E132="",FALSE,ISNUMBER(VALUE(Metadata!E132))),Metadata!E132&gt;0))</f>
        <v>0</v>
      </c>
      <c r="Z132">
        <f>AND(IF(Metadata!F132="",FALSE,TRUE),exact(Metadata!F132,"weeks"))</f>
        <v>0</v>
      </c>
      <c r="AA132">
        <f>AND(IF(Metadata!G132="",FALSE,TRUE),exact(Metadata!G132,"mouse"))</f>
        <v>0</v>
      </c>
      <c r="AB132">
        <f>AND(IF(Metadata!H132="",FALSE,TRUE),exact(Metadata!H132,"Mus musculus"))</f>
        <v>0</v>
      </c>
      <c r="AC132">
        <f>AND(IF(Metadata!I132="",FALSE,TRUE),exact(Metadata!I132,"10090"))</f>
        <v>0</v>
      </c>
      <c r="AD132">
        <f>OR(AND(IF(Metadata!J132="",FALSE,TRUE),OR(exact(Metadata!J132,"not applicable"),exact(Metadata!J132,"missing: not collected"),exact(Metadata!J132,"missing: not provided"),exact(Metadata!J132,"missing: restricted access"))),AND(IF(Metadata!J132="",FALSE,ISNUMBER(VALUE(Metadata!J132))),Metadata!J132&gt;0))</f>
        <v>0</v>
      </c>
      <c r="AE132">
        <f>AND(IF(Metadata!K132="",FALSE,TRUE),exact(Metadata!K132,"g"))</f>
        <v>0</v>
      </c>
    </row>
    <row r="133" spans="1:31">
      <c r="A133" s="5">
        <f>IF(B133=" "," ",HYPERLINK(CONCATENATE("#metadata!",ADDRESS(INDEX($Q$2:$Q$1001,MATCH(ROWS($O$2:O133),$O$2:$O$1001,0),0),1)),INDEX($T$2:$T$1001,MATCH(ROWS($O$2:O133),$O$2:$O$1001,0),0)))</f>
        <v>0</v>
      </c>
      <c r="B133" s="4">
        <f>IF(OR(INDEX($P$2:$P$1001,MATCH(ROWS($O$2:O133),$O$2:$O$1001,0),1)&gt;=100000,INDEX($V$1005:$AE$1005,1,MATCH(COLUMNS($V$1006:V1006),$V$1006:$AE$1006,0))&gt;=100000), " ",IF(INDEX($V$2:$AE$1001,MATCH(ROWS($O$2:O133),$O$2:$O$1001,0),MATCH(COLUMNS($V$1006:V1006),$V$1006:$AE$1006,0)), HYPERLINK("#",""), HYPERLINK(CONCATENATE("#Metadata!", ADDRESS(INDEX($Q$2:$Q$1001,MATCH(ROWS($O$2:O133),$O$2:$O$1001,0),0), INDEX($V$1004:$AE$1004,1,MATCH(COLUMNS($V$1006:V1006),$V$1006:$AE$1006,0)))),"Fix")))</f>
        <v>0</v>
      </c>
      <c r="C133" s="4">
        <f>IF(OR(INDEX($P$2:$P$1001,MATCH(ROWS($O$2:O133),$O$2:$O$1001,0),1)&gt;=100000,INDEX($V$1005:$AE$1005,1,MATCH(COLUMNS($V$1006:W1006),$V$1006:$AE$1006,0))&gt;=100000), " ",IF(INDEX($V$2:$AE$1001,MATCH(ROWS($O$2:O133),$O$2:$O$1001,0),MATCH(COLUMNS($V$1006:W1006),$V$1006:$AE$1006,0)), HYPERLINK("#",""), HYPERLINK(CONCATENATE("#Metadata!", ADDRESS(INDEX($Q$2:$Q$1001,MATCH(ROWS($O$2:O133),$O$2:$O$1001,0),0), INDEX($V$1004:$AE$1004,1,MATCH(COLUMNS($V$1006:W1006),$V$1006:$AE$1006,0)))),"Fix")))</f>
        <v>0</v>
      </c>
      <c r="D133" s="4">
        <f>IF(OR(INDEX($P$2:$P$1001,MATCH(ROWS($O$2:O133),$O$2:$O$1001,0),1)&gt;=100000,INDEX($V$1005:$AE$1005,1,MATCH(COLUMNS($V$1006:X1006),$V$1006:$AE$1006,0))&gt;=100000), " ",IF(INDEX($V$2:$AE$1001,MATCH(ROWS($O$2:O133),$O$2:$O$1001,0),MATCH(COLUMNS($V$1006:X1006),$V$1006:$AE$1006,0)), HYPERLINK("#",""), HYPERLINK(CONCATENATE("#Metadata!", ADDRESS(INDEX($Q$2:$Q$1001,MATCH(ROWS($O$2:O133),$O$2:$O$1001,0),0), INDEX($V$1004:$AE$1004,1,MATCH(COLUMNS($V$1006:X1006),$V$1006:$AE$1006,0)))),"Fix")))</f>
        <v>0</v>
      </c>
      <c r="E133" s="4">
        <f>IF(OR(INDEX($P$2:$P$1001,MATCH(ROWS($O$2:O133),$O$2:$O$1001,0),1)&gt;=100000,INDEX($V$1005:$AE$1005,1,MATCH(COLUMNS($V$1006:Y1006),$V$1006:$AE$1006,0))&gt;=100000), " ",IF(INDEX($V$2:$AE$1001,MATCH(ROWS($O$2:O133),$O$2:$O$1001,0),MATCH(COLUMNS($V$1006:Y1006),$V$1006:$AE$1006,0)), HYPERLINK("#",""), HYPERLINK(CONCATENATE("#Metadata!", ADDRESS(INDEX($Q$2:$Q$1001,MATCH(ROWS($O$2:O133),$O$2:$O$1001,0),0), INDEX($V$1004:$AE$1004,1,MATCH(COLUMNS($V$1006:Y1006),$V$1006:$AE$1006,0)))),"Fix")))</f>
        <v>0</v>
      </c>
      <c r="F133" s="4">
        <f>IF(OR(INDEX($P$2:$P$1001,MATCH(ROWS($O$2:O133),$O$2:$O$1001,0),1)&gt;=100000,INDEX($V$1005:$AE$1005,1,MATCH(COLUMNS($V$1006:Z1006),$V$1006:$AE$1006,0))&gt;=100000), " ",IF(INDEX($V$2:$AE$1001,MATCH(ROWS($O$2:O133),$O$2:$O$1001,0),MATCH(COLUMNS($V$1006:Z1006),$V$1006:$AE$1006,0)), HYPERLINK("#",""), HYPERLINK(CONCATENATE("#Metadata!", ADDRESS(INDEX($Q$2:$Q$1001,MATCH(ROWS($O$2:O133),$O$2:$O$1001,0),0), INDEX($V$1004:$AE$1004,1,MATCH(COLUMNS($V$1006:Z1006),$V$1006:$AE$1006,0)))),"Fix")))</f>
        <v>0</v>
      </c>
      <c r="G133" s="4">
        <f>IF(OR(INDEX($P$2:$P$1001,MATCH(ROWS($O$2:O133),$O$2:$O$1001,0),1)&gt;=100000,INDEX($V$1005:$AE$1005,1,MATCH(COLUMNS($V$1006:AA1006),$V$1006:$AE$1006,0))&gt;=100000), " ",IF(INDEX($V$2:$AE$1001,MATCH(ROWS($O$2:O133),$O$2:$O$1001,0),MATCH(COLUMNS($V$1006:AA1006),$V$1006:$AE$1006,0)), HYPERLINK("#",""), HYPERLINK(CONCATENATE("#Metadata!", ADDRESS(INDEX($Q$2:$Q$1001,MATCH(ROWS($O$2:O133),$O$2:$O$1001,0),0), INDEX($V$1004:$AE$1004,1,MATCH(COLUMNS($V$1006:AA1006),$V$1006:$AE$1006,0)))),"Fix")))</f>
        <v>0</v>
      </c>
      <c r="H133" s="4">
        <f>IF(OR(INDEX($P$2:$P$1001,MATCH(ROWS($O$2:O133),$O$2:$O$1001,0),1)&gt;=100000,INDEX($V$1005:$AE$1005,1,MATCH(COLUMNS($V$1006:AB1006),$V$1006:$AE$1006,0))&gt;=100000), " ",IF(INDEX($V$2:$AE$1001,MATCH(ROWS($O$2:O133),$O$2:$O$1001,0),MATCH(COLUMNS($V$1006:AB1006),$V$1006:$AE$1006,0)), HYPERLINK("#",""), HYPERLINK(CONCATENATE("#Metadata!", ADDRESS(INDEX($Q$2:$Q$1001,MATCH(ROWS($O$2:O133),$O$2:$O$1001,0),0), INDEX($V$1004:$AE$1004,1,MATCH(COLUMNS($V$1006:AB1006),$V$1006:$AE$1006,0)))),"Fix")))</f>
        <v>0</v>
      </c>
      <c r="I133" s="4">
        <f>IF(OR(INDEX($P$2:$P$1001,MATCH(ROWS($O$2:O133),$O$2:$O$1001,0),1)&gt;=100000,INDEX($V$1005:$AE$1005,1,MATCH(COLUMNS($V$1006:AC1006),$V$1006:$AE$1006,0))&gt;=100000), " ",IF(INDEX($V$2:$AE$1001,MATCH(ROWS($O$2:O133),$O$2:$O$1001,0),MATCH(COLUMNS($V$1006:AC1006),$V$1006:$AE$1006,0)), HYPERLINK("#",""), HYPERLINK(CONCATENATE("#Metadata!", ADDRESS(INDEX($Q$2:$Q$1001,MATCH(ROWS($O$2:O133),$O$2:$O$1001,0),0), INDEX($V$1004:$AE$1004,1,MATCH(COLUMNS($V$1006:AC1006),$V$1006:$AE$1006,0)))),"Fix")))</f>
        <v>0</v>
      </c>
      <c r="J133" s="4">
        <f>IF(OR(INDEX($P$2:$P$1001,MATCH(ROWS($O$2:O133),$O$2:$O$1001,0),1)&gt;=100000,INDEX($V$1005:$AE$1005,1,MATCH(COLUMNS($V$1006:AD1006),$V$1006:$AE$1006,0))&gt;=100000), " ",IF(INDEX($V$2:$AE$1001,MATCH(ROWS($O$2:O133),$O$2:$O$1001,0),MATCH(COLUMNS($V$1006:AD1006),$V$1006:$AE$1006,0)), HYPERLINK("#",""), HYPERLINK(CONCATENATE("#Metadata!", ADDRESS(INDEX($Q$2:$Q$1001,MATCH(ROWS($O$2:O133),$O$2:$O$1001,0),0), INDEX($V$1004:$AE$1004,1,MATCH(COLUMNS($V$1006:AD1006),$V$1006:$AE$1006,0)))),"Fix")))</f>
        <v>0</v>
      </c>
      <c r="K133" s="4">
        <f>IF(OR(INDEX($P$2:$P$1001,MATCH(ROWS($O$2:O133),$O$2:$O$1001,0),1)&gt;=100000,INDEX($V$1005:$AE$1005,1,MATCH(COLUMNS($V$1006:AE1006),$V$1006:$AE$1006,0))&gt;=100000), " ",IF(INDEX($V$2:$AE$1001,MATCH(ROWS($O$2:O133),$O$2:$O$1001,0),MATCH(COLUMNS($V$1006:AE1006),$V$1006:$AE$1006,0)), HYPERLINK("#",""), HYPERLINK(CONCATENATE("#Metadata!", ADDRESS(INDEX($Q$2:$Q$1001,MATCH(ROWS($O$2:O133),$O$2:$O$1001,0),0), INDEX($V$1004:$AE$1004,1,MATCH(COLUMNS($V$1006:AE1006),$V$1006:$AE$1006,0)))),"Fix")))</f>
        <v>0</v>
      </c>
      <c r="O133">
        <v>0</v>
      </c>
      <c r="P133">
        <v>0</v>
      </c>
      <c r="Q133">
        <v>0</v>
      </c>
      <c r="R133">
        <f>IF(S133,TRUE,AND(V133:AE133))</f>
        <v>0</v>
      </c>
      <c r="S133">
        <f>COUNTBLANK(Metadata!B133:K133)=COLUMNS(Metadata!B133:K133)</f>
        <v>0</v>
      </c>
      <c r="T133">
        <v>0</v>
      </c>
      <c r="V133">
        <f>AND(IF(Metadata!B133="",FALSE,TRUE),COUNTIF(Metadata!B:B, Metadata!B133) = 1,NOT(ISERROR(SUMPRODUCT(SEARCH(MID(Metadata!B133,ROW(INDIRECT("1:"&amp;LEN(Metadata!B133))), 1),"0123456789abcdefghijklmnopqrstuvwxyzABCDEFGHIJKLMNOPQRSTUVWXYZ.")))))</f>
        <v>0</v>
      </c>
      <c r="W133">
        <f>AND(IF(Metadata!C133="",FALSE,TRUE),exact(Metadata!C133,"urban biome"))</f>
        <v>0</v>
      </c>
      <c r="X133">
        <f>AND(IF(Metadata!D133="",FALSE,TRUE),exact(Metadata!D133,"animal-associated habitat"))</f>
        <v>0</v>
      </c>
      <c r="Y133">
        <f>OR(AND(IF(Metadata!E133="",FALSE,TRUE),OR(exact(Metadata!E133,"not applicable"),exact(Metadata!E133,"missing: not collected"),exact(Metadata!E133,"missing: not provided"),exact(Metadata!E133,"missing: restricted access"))),AND(IF(Metadata!E133="",FALSE,ISNUMBER(VALUE(Metadata!E133))),Metadata!E133&gt;0))</f>
        <v>0</v>
      </c>
      <c r="Z133">
        <f>AND(IF(Metadata!F133="",FALSE,TRUE),exact(Metadata!F133,"weeks"))</f>
        <v>0</v>
      </c>
      <c r="AA133">
        <f>AND(IF(Metadata!G133="",FALSE,TRUE),exact(Metadata!G133,"mouse"))</f>
        <v>0</v>
      </c>
      <c r="AB133">
        <f>AND(IF(Metadata!H133="",FALSE,TRUE),exact(Metadata!H133,"Mus musculus"))</f>
        <v>0</v>
      </c>
      <c r="AC133">
        <f>AND(IF(Metadata!I133="",FALSE,TRUE),exact(Metadata!I133,"10090"))</f>
        <v>0</v>
      </c>
      <c r="AD133">
        <f>OR(AND(IF(Metadata!J133="",FALSE,TRUE),OR(exact(Metadata!J133,"not applicable"),exact(Metadata!J133,"missing: not collected"),exact(Metadata!J133,"missing: not provided"),exact(Metadata!J133,"missing: restricted access"))),AND(IF(Metadata!J133="",FALSE,ISNUMBER(VALUE(Metadata!J133))),Metadata!J133&gt;0))</f>
        <v>0</v>
      </c>
      <c r="AE133">
        <f>AND(IF(Metadata!K133="",FALSE,TRUE),exact(Metadata!K133,"g"))</f>
        <v>0</v>
      </c>
    </row>
    <row r="134" spans="1:31">
      <c r="A134" s="5">
        <f>IF(B134=" "," ",HYPERLINK(CONCATENATE("#metadata!",ADDRESS(INDEX($Q$2:$Q$1001,MATCH(ROWS($O$2:O134),$O$2:$O$1001,0),0),1)),INDEX($T$2:$T$1001,MATCH(ROWS($O$2:O134),$O$2:$O$1001,0),0)))</f>
        <v>0</v>
      </c>
      <c r="B134" s="4">
        <f>IF(OR(INDEX($P$2:$P$1001,MATCH(ROWS($O$2:O134),$O$2:$O$1001,0),1)&gt;=100000,INDEX($V$1005:$AE$1005,1,MATCH(COLUMNS($V$1006:V1006),$V$1006:$AE$1006,0))&gt;=100000), " ",IF(INDEX($V$2:$AE$1001,MATCH(ROWS($O$2:O134),$O$2:$O$1001,0),MATCH(COLUMNS($V$1006:V1006),$V$1006:$AE$1006,0)), HYPERLINK("#",""), HYPERLINK(CONCATENATE("#Metadata!", ADDRESS(INDEX($Q$2:$Q$1001,MATCH(ROWS($O$2:O134),$O$2:$O$1001,0),0), INDEX($V$1004:$AE$1004,1,MATCH(COLUMNS($V$1006:V1006),$V$1006:$AE$1006,0)))),"Fix")))</f>
        <v>0</v>
      </c>
      <c r="C134" s="4">
        <f>IF(OR(INDEX($P$2:$P$1001,MATCH(ROWS($O$2:O134),$O$2:$O$1001,0),1)&gt;=100000,INDEX($V$1005:$AE$1005,1,MATCH(COLUMNS($V$1006:W1006),$V$1006:$AE$1006,0))&gt;=100000), " ",IF(INDEX($V$2:$AE$1001,MATCH(ROWS($O$2:O134),$O$2:$O$1001,0),MATCH(COLUMNS($V$1006:W1006),$V$1006:$AE$1006,0)), HYPERLINK("#",""), HYPERLINK(CONCATENATE("#Metadata!", ADDRESS(INDEX($Q$2:$Q$1001,MATCH(ROWS($O$2:O134),$O$2:$O$1001,0),0), INDEX($V$1004:$AE$1004,1,MATCH(COLUMNS($V$1006:W1006),$V$1006:$AE$1006,0)))),"Fix")))</f>
        <v>0</v>
      </c>
      <c r="D134" s="4">
        <f>IF(OR(INDEX($P$2:$P$1001,MATCH(ROWS($O$2:O134),$O$2:$O$1001,0),1)&gt;=100000,INDEX($V$1005:$AE$1005,1,MATCH(COLUMNS($V$1006:X1006),$V$1006:$AE$1006,0))&gt;=100000), " ",IF(INDEX($V$2:$AE$1001,MATCH(ROWS($O$2:O134),$O$2:$O$1001,0),MATCH(COLUMNS($V$1006:X1006),$V$1006:$AE$1006,0)), HYPERLINK("#",""), HYPERLINK(CONCATENATE("#Metadata!", ADDRESS(INDEX($Q$2:$Q$1001,MATCH(ROWS($O$2:O134),$O$2:$O$1001,0),0), INDEX($V$1004:$AE$1004,1,MATCH(COLUMNS($V$1006:X1006),$V$1006:$AE$1006,0)))),"Fix")))</f>
        <v>0</v>
      </c>
      <c r="E134" s="4">
        <f>IF(OR(INDEX($P$2:$P$1001,MATCH(ROWS($O$2:O134),$O$2:$O$1001,0),1)&gt;=100000,INDEX($V$1005:$AE$1005,1,MATCH(COLUMNS($V$1006:Y1006),$V$1006:$AE$1006,0))&gt;=100000), " ",IF(INDEX($V$2:$AE$1001,MATCH(ROWS($O$2:O134),$O$2:$O$1001,0),MATCH(COLUMNS($V$1006:Y1006),$V$1006:$AE$1006,0)), HYPERLINK("#",""), HYPERLINK(CONCATENATE("#Metadata!", ADDRESS(INDEX($Q$2:$Q$1001,MATCH(ROWS($O$2:O134),$O$2:$O$1001,0),0), INDEX($V$1004:$AE$1004,1,MATCH(COLUMNS($V$1006:Y1006),$V$1006:$AE$1006,0)))),"Fix")))</f>
        <v>0</v>
      </c>
      <c r="F134" s="4">
        <f>IF(OR(INDEX($P$2:$P$1001,MATCH(ROWS($O$2:O134),$O$2:$O$1001,0),1)&gt;=100000,INDEX($V$1005:$AE$1005,1,MATCH(COLUMNS($V$1006:Z1006),$V$1006:$AE$1006,0))&gt;=100000), " ",IF(INDEX($V$2:$AE$1001,MATCH(ROWS($O$2:O134),$O$2:$O$1001,0),MATCH(COLUMNS($V$1006:Z1006),$V$1006:$AE$1006,0)), HYPERLINK("#",""), HYPERLINK(CONCATENATE("#Metadata!", ADDRESS(INDEX($Q$2:$Q$1001,MATCH(ROWS($O$2:O134),$O$2:$O$1001,0),0), INDEX($V$1004:$AE$1004,1,MATCH(COLUMNS($V$1006:Z1006),$V$1006:$AE$1006,0)))),"Fix")))</f>
        <v>0</v>
      </c>
      <c r="G134" s="4">
        <f>IF(OR(INDEX($P$2:$P$1001,MATCH(ROWS($O$2:O134),$O$2:$O$1001,0),1)&gt;=100000,INDEX($V$1005:$AE$1005,1,MATCH(COLUMNS($V$1006:AA1006),$V$1006:$AE$1006,0))&gt;=100000), " ",IF(INDEX($V$2:$AE$1001,MATCH(ROWS($O$2:O134),$O$2:$O$1001,0),MATCH(COLUMNS($V$1006:AA1006),$V$1006:$AE$1006,0)), HYPERLINK("#",""), HYPERLINK(CONCATENATE("#Metadata!", ADDRESS(INDEX($Q$2:$Q$1001,MATCH(ROWS($O$2:O134),$O$2:$O$1001,0),0), INDEX($V$1004:$AE$1004,1,MATCH(COLUMNS($V$1006:AA1006),$V$1006:$AE$1006,0)))),"Fix")))</f>
        <v>0</v>
      </c>
      <c r="H134" s="4">
        <f>IF(OR(INDEX($P$2:$P$1001,MATCH(ROWS($O$2:O134),$O$2:$O$1001,0),1)&gt;=100000,INDEX($V$1005:$AE$1005,1,MATCH(COLUMNS($V$1006:AB1006),$V$1006:$AE$1006,0))&gt;=100000), " ",IF(INDEX($V$2:$AE$1001,MATCH(ROWS($O$2:O134),$O$2:$O$1001,0),MATCH(COLUMNS($V$1006:AB1006),$V$1006:$AE$1006,0)), HYPERLINK("#",""), HYPERLINK(CONCATENATE("#Metadata!", ADDRESS(INDEX($Q$2:$Q$1001,MATCH(ROWS($O$2:O134),$O$2:$O$1001,0),0), INDEX($V$1004:$AE$1004,1,MATCH(COLUMNS($V$1006:AB1006),$V$1006:$AE$1006,0)))),"Fix")))</f>
        <v>0</v>
      </c>
      <c r="I134" s="4">
        <f>IF(OR(INDEX($P$2:$P$1001,MATCH(ROWS($O$2:O134),$O$2:$O$1001,0),1)&gt;=100000,INDEX($V$1005:$AE$1005,1,MATCH(COLUMNS($V$1006:AC1006),$V$1006:$AE$1006,0))&gt;=100000), " ",IF(INDEX($V$2:$AE$1001,MATCH(ROWS($O$2:O134),$O$2:$O$1001,0),MATCH(COLUMNS($V$1006:AC1006),$V$1006:$AE$1006,0)), HYPERLINK("#",""), HYPERLINK(CONCATENATE("#Metadata!", ADDRESS(INDEX($Q$2:$Q$1001,MATCH(ROWS($O$2:O134),$O$2:$O$1001,0),0), INDEX($V$1004:$AE$1004,1,MATCH(COLUMNS($V$1006:AC1006),$V$1006:$AE$1006,0)))),"Fix")))</f>
        <v>0</v>
      </c>
      <c r="J134" s="4">
        <f>IF(OR(INDEX($P$2:$P$1001,MATCH(ROWS($O$2:O134),$O$2:$O$1001,0),1)&gt;=100000,INDEX($V$1005:$AE$1005,1,MATCH(COLUMNS($V$1006:AD1006),$V$1006:$AE$1006,0))&gt;=100000), " ",IF(INDEX($V$2:$AE$1001,MATCH(ROWS($O$2:O134),$O$2:$O$1001,0),MATCH(COLUMNS($V$1006:AD1006),$V$1006:$AE$1006,0)), HYPERLINK("#",""), HYPERLINK(CONCATENATE("#Metadata!", ADDRESS(INDEX($Q$2:$Q$1001,MATCH(ROWS($O$2:O134),$O$2:$O$1001,0),0), INDEX($V$1004:$AE$1004,1,MATCH(COLUMNS($V$1006:AD1006),$V$1006:$AE$1006,0)))),"Fix")))</f>
        <v>0</v>
      </c>
      <c r="K134" s="4">
        <f>IF(OR(INDEX($P$2:$P$1001,MATCH(ROWS($O$2:O134),$O$2:$O$1001,0),1)&gt;=100000,INDEX($V$1005:$AE$1005,1,MATCH(COLUMNS($V$1006:AE1006),$V$1006:$AE$1006,0))&gt;=100000), " ",IF(INDEX($V$2:$AE$1001,MATCH(ROWS($O$2:O134),$O$2:$O$1001,0),MATCH(COLUMNS($V$1006:AE1006),$V$1006:$AE$1006,0)), HYPERLINK("#",""), HYPERLINK(CONCATENATE("#Metadata!", ADDRESS(INDEX($Q$2:$Q$1001,MATCH(ROWS($O$2:O134),$O$2:$O$1001,0),0), INDEX($V$1004:$AE$1004,1,MATCH(COLUMNS($V$1006:AE1006),$V$1006:$AE$1006,0)))),"Fix")))</f>
        <v>0</v>
      </c>
      <c r="O134">
        <v>0</v>
      </c>
      <c r="P134">
        <v>0</v>
      </c>
      <c r="Q134">
        <v>0</v>
      </c>
      <c r="R134">
        <f>IF(S134,TRUE,AND(V134:AE134))</f>
        <v>0</v>
      </c>
      <c r="S134">
        <f>COUNTBLANK(Metadata!B134:K134)=COLUMNS(Metadata!B134:K134)</f>
        <v>0</v>
      </c>
      <c r="T134">
        <v>0</v>
      </c>
      <c r="V134">
        <f>AND(IF(Metadata!B134="",FALSE,TRUE),COUNTIF(Metadata!B:B, Metadata!B134) = 1,NOT(ISERROR(SUMPRODUCT(SEARCH(MID(Metadata!B134,ROW(INDIRECT("1:"&amp;LEN(Metadata!B134))), 1),"0123456789abcdefghijklmnopqrstuvwxyzABCDEFGHIJKLMNOPQRSTUVWXYZ.")))))</f>
        <v>0</v>
      </c>
      <c r="W134">
        <f>AND(IF(Metadata!C134="",FALSE,TRUE),exact(Metadata!C134,"urban biome"))</f>
        <v>0</v>
      </c>
      <c r="X134">
        <f>AND(IF(Metadata!D134="",FALSE,TRUE),exact(Metadata!D134,"animal-associated habitat"))</f>
        <v>0</v>
      </c>
      <c r="Y134">
        <f>OR(AND(IF(Metadata!E134="",FALSE,TRUE),OR(exact(Metadata!E134,"not applicable"),exact(Metadata!E134,"missing: not collected"),exact(Metadata!E134,"missing: not provided"),exact(Metadata!E134,"missing: restricted access"))),AND(IF(Metadata!E134="",FALSE,ISNUMBER(VALUE(Metadata!E134))),Metadata!E134&gt;0))</f>
        <v>0</v>
      </c>
      <c r="Z134">
        <f>AND(IF(Metadata!F134="",FALSE,TRUE),exact(Metadata!F134,"weeks"))</f>
        <v>0</v>
      </c>
      <c r="AA134">
        <f>AND(IF(Metadata!G134="",FALSE,TRUE),exact(Metadata!G134,"mouse"))</f>
        <v>0</v>
      </c>
      <c r="AB134">
        <f>AND(IF(Metadata!H134="",FALSE,TRUE),exact(Metadata!H134,"Mus musculus"))</f>
        <v>0</v>
      </c>
      <c r="AC134">
        <f>AND(IF(Metadata!I134="",FALSE,TRUE),exact(Metadata!I134,"10090"))</f>
        <v>0</v>
      </c>
      <c r="AD134">
        <f>OR(AND(IF(Metadata!J134="",FALSE,TRUE),OR(exact(Metadata!J134,"not applicable"),exact(Metadata!J134,"missing: not collected"),exact(Metadata!J134,"missing: not provided"),exact(Metadata!J134,"missing: restricted access"))),AND(IF(Metadata!J134="",FALSE,ISNUMBER(VALUE(Metadata!J134))),Metadata!J134&gt;0))</f>
        <v>0</v>
      </c>
      <c r="AE134">
        <f>AND(IF(Metadata!K134="",FALSE,TRUE),exact(Metadata!K134,"g"))</f>
        <v>0</v>
      </c>
    </row>
    <row r="135" spans="1:31">
      <c r="A135" s="5">
        <f>IF(B135=" "," ",HYPERLINK(CONCATENATE("#metadata!",ADDRESS(INDEX($Q$2:$Q$1001,MATCH(ROWS($O$2:O135),$O$2:$O$1001,0),0),1)),INDEX($T$2:$T$1001,MATCH(ROWS($O$2:O135),$O$2:$O$1001,0),0)))</f>
        <v>0</v>
      </c>
      <c r="B135" s="4">
        <f>IF(OR(INDEX($P$2:$P$1001,MATCH(ROWS($O$2:O135),$O$2:$O$1001,0),1)&gt;=100000,INDEX($V$1005:$AE$1005,1,MATCH(COLUMNS($V$1006:V1006),$V$1006:$AE$1006,0))&gt;=100000), " ",IF(INDEX($V$2:$AE$1001,MATCH(ROWS($O$2:O135),$O$2:$O$1001,0),MATCH(COLUMNS($V$1006:V1006),$V$1006:$AE$1006,0)), HYPERLINK("#",""), HYPERLINK(CONCATENATE("#Metadata!", ADDRESS(INDEX($Q$2:$Q$1001,MATCH(ROWS($O$2:O135),$O$2:$O$1001,0),0), INDEX($V$1004:$AE$1004,1,MATCH(COLUMNS($V$1006:V1006),$V$1006:$AE$1006,0)))),"Fix")))</f>
        <v>0</v>
      </c>
      <c r="C135" s="4">
        <f>IF(OR(INDEX($P$2:$P$1001,MATCH(ROWS($O$2:O135),$O$2:$O$1001,0),1)&gt;=100000,INDEX($V$1005:$AE$1005,1,MATCH(COLUMNS($V$1006:W1006),$V$1006:$AE$1006,0))&gt;=100000), " ",IF(INDEX($V$2:$AE$1001,MATCH(ROWS($O$2:O135),$O$2:$O$1001,0),MATCH(COLUMNS($V$1006:W1006),$V$1006:$AE$1006,0)), HYPERLINK("#",""), HYPERLINK(CONCATENATE("#Metadata!", ADDRESS(INDEX($Q$2:$Q$1001,MATCH(ROWS($O$2:O135),$O$2:$O$1001,0),0), INDEX($V$1004:$AE$1004,1,MATCH(COLUMNS($V$1006:W1006),$V$1006:$AE$1006,0)))),"Fix")))</f>
        <v>0</v>
      </c>
      <c r="D135" s="4">
        <f>IF(OR(INDEX($P$2:$P$1001,MATCH(ROWS($O$2:O135),$O$2:$O$1001,0),1)&gt;=100000,INDEX($V$1005:$AE$1005,1,MATCH(COLUMNS($V$1006:X1006),$V$1006:$AE$1006,0))&gt;=100000), " ",IF(INDEX($V$2:$AE$1001,MATCH(ROWS($O$2:O135),$O$2:$O$1001,0),MATCH(COLUMNS($V$1006:X1006),$V$1006:$AE$1006,0)), HYPERLINK("#",""), HYPERLINK(CONCATENATE("#Metadata!", ADDRESS(INDEX($Q$2:$Q$1001,MATCH(ROWS($O$2:O135),$O$2:$O$1001,0),0), INDEX($V$1004:$AE$1004,1,MATCH(COLUMNS($V$1006:X1006),$V$1006:$AE$1006,0)))),"Fix")))</f>
        <v>0</v>
      </c>
      <c r="E135" s="4">
        <f>IF(OR(INDEX($P$2:$P$1001,MATCH(ROWS($O$2:O135),$O$2:$O$1001,0),1)&gt;=100000,INDEX($V$1005:$AE$1005,1,MATCH(COLUMNS($V$1006:Y1006),$V$1006:$AE$1006,0))&gt;=100000), " ",IF(INDEX($V$2:$AE$1001,MATCH(ROWS($O$2:O135),$O$2:$O$1001,0),MATCH(COLUMNS($V$1006:Y1006),$V$1006:$AE$1006,0)), HYPERLINK("#",""), HYPERLINK(CONCATENATE("#Metadata!", ADDRESS(INDEX($Q$2:$Q$1001,MATCH(ROWS($O$2:O135),$O$2:$O$1001,0),0), INDEX($V$1004:$AE$1004,1,MATCH(COLUMNS($V$1006:Y1006),$V$1006:$AE$1006,0)))),"Fix")))</f>
        <v>0</v>
      </c>
      <c r="F135" s="4">
        <f>IF(OR(INDEX($P$2:$P$1001,MATCH(ROWS($O$2:O135),$O$2:$O$1001,0),1)&gt;=100000,INDEX($V$1005:$AE$1005,1,MATCH(COLUMNS($V$1006:Z1006),$V$1006:$AE$1006,0))&gt;=100000), " ",IF(INDEX($V$2:$AE$1001,MATCH(ROWS($O$2:O135),$O$2:$O$1001,0),MATCH(COLUMNS($V$1006:Z1006),$V$1006:$AE$1006,0)), HYPERLINK("#",""), HYPERLINK(CONCATENATE("#Metadata!", ADDRESS(INDEX($Q$2:$Q$1001,MATCH(ROWS($O$2:O135),$O$2:$O$1001,0),0), INDEX($V$1004:$AE$1004,1,MATCH(COLUMNS($V$1006:Z1006),$V$1006:$AE$1006,0)))),"Fix")))</f>
        <v>0</v>
      </c>
      <c r="G135" s="4">
        <f>IF(OR(INDEX($P$2:$P$1001,MATCH(ROWS($O$2:O135),$O$2:$O$1001,0),1)&gt;=100000,INDEX($V$1005:$AE$1005,1,MATCH(COLUMNS($V$1006:AA1006),$V$1006:$AE$1006,0))&gt;=100000), " ",IF(INDEX($V$2:$AE$1001,MATCH(ROWS($O$2:O135),$O$2:$O$1001,0),MATCH(COLUMNS($V$1006:AA1006),$V$1006:$AE$1006,0)), HYPERLINK("#",""), HYPERLINK(CONCATENATE("#Metadata!", ADDRESS(INDEX($Q$2:$Q$1001,MATCH(ROWS($O$2:O135),$O$2:$O$1001,0),0), INDEX($V$1004:$AE$1004,1,MATCH(COLUMNS($V$1006:AA1006),$V$1006:$AE$1006,0)))),"Fix")))</f>
        <v>0</v>
      </c>
      <c r="H135" s="4">
        <f>IF(OR(INDEX($P$2:$P$1001,MATCH(ROWS($O$2:O135),$O$2:$O$1001,0),1)&gt;=100000,INDEX($V$1005:$AE$1005,1,MATCH(COLUMNS($V$1006:AB1006),$V$1006:$AE$1006,0))&gt;=100000), " ",IF(INDEX($V$2:$AE$1001,MATCH(ROWS($O$2:O135),$O$2:$O$1001,0),MATCH(COLUMNS($V$1006:AB1006),$V$1006:$AE$1006,0)), HYPERLINK("#",""), HYPERLINK(CONCATENATE("#Metadata!", ADDRESS(INDEX($Q$2:$Q$1001,MATCH(ROWS($O$2:O135),$O$2:$O$1001,0),0), INDEX($V$1004:$AE$1004,1,MATCH(COLUMNS($V$1006:AB1006),$V$1006:$AE$1006,0)))),"Fix")))</f>
        <v>0</v>
      </c>
      <c r="I135" s="4">
        <f>IF(OR(INDEX($P$2:$P$1001,MATCH(ROWS($O$2:O135),$O$2:$O$1001,0),1)&gt;=100000,INDEX($V$1005:$AE$1005,1,MATCH(COLUMNS($V$1006:AC1006),$V$1006:$AE$1006,0))&gt;=100000), " ",IF(INDEX($V$2:$AE$1001,MATCH(ROWS($O$2:O135),$O$2:$O$1001,0),MATCH(COLUMNS($V$1006:AC1006),$V$1006:$AE$1006,0)), HYPERLINK("#",""), HYPERLINK(CONCATENATE("#Metadata!", ADDRESS(INDEX($Q$2:$Q$1001,MATCH(ROWS($O$2:O135),$O$2:$O$1001,0),0), INDEX($V$1004:$AE$1004,1,MATCH(COLUMNS($V$1006:AC1006),$V$1006:$AE$1006,0)))),"Fix")))</f>
        <v>0</v>
      </c>
      <c r="J135" s="4">
        <f>IF(OR(INDEX($P$2:$P$1001,MATCH(ROWS($O$2:O135),$O$2:$O$1001,0),1)&gt;=100000,INDEX($V$1005:$AE$1005,1,MATCH(COLUMNS($V$1006:AD1006),$V$1006:$AE$1006,0))&gt;=100000), " ",IF(INDEX($V$2:$AE$1001,MATCH(ROWS($O$2:O135),$O$2:$O$1001,0),MATCH(COLUMNS($V$1006:AD1006),$V$1006:$AE$1006,0)), HYPERLINK("#",""), HYPERLINK(CONCATENATE("#Metadata!", ADDRESS(INDEX($Q$2:$Q$1001,MATCH(ROWS($O$2:O135),$O$2:$O$1001,0),0), INDEX($V$1004:$AE$1004,1,MATCH(COLUMNS($V$1006:AD1006),$V$1006:$AE$1006,0)))),"Fix")))</f>
        <v>0</v>
      </c>
      <c r="K135" s="4">
        <f>IF(OR(INDEX($P$2:$P$1001,MATCH(ROWS($O$2:O135),$O$2:$O$1001,0),1)&gt;=100000,INDEX($V$1005:$AE$1005,1,MATCH(COLUMNS($V$1006:AE1006),$V$1006:$AE$1006,0))&gt;=100000), " ",IF(INDEX($V$2:$AE$1001,MATCH(ROWS($O$2:O135),$O$2:$O$1001,0),MATCH(COLUMNS($V$1006:AE1006),$V$1006:$AE$1006,0)), HYPERLINK("#",""), HYPERLINK(CONCATENATE("#Metadata!", ADDRESS(INDEX($Q$2:$Q$1001,MATCH(ROWS($O$2:O135),$O$2:$O$1001,0),0), INDEX($V$1004:$AE$1004,1,MATCH(COLUMNS($V$1006:AE1006),$V$1006:$AE$1006,0)))),"Fix")))</f>
        <v>0</v>
      </c>
      <c r="O135">
        <v>0</v>
      </c>
      <c r="P135">
        <v>0</v>
      </c>
      <c r="Q135">
        <v>0</v>
      </c>
      <c r="R135">
        <f>IF(S135,TRUE,AND(V135:AE135))</f>
        <v>0</v>
      </c>
      <c r="S135">
        <f>COUNTBLANK(Metadata!B135:K135)=COLUMNS(Metadata!B135:K135)</f>
        <v>0</v>
      </c>
      <c r="T135">
        <v>0</v>
      </c>
      <c r="V135">
        <f>AND(IF(Metadata!B135="",FALSE,TRUE),COUNTIF(Metadata!B:B, Metadata!B135) = 1,NOT(ISERROR(SUMPRODUCT(SEARCH(MID(Metadata!B135,ROW(INDIRECT("1:"&amp;LEN(Metadata!B135))), 1),"0123456789abcdefghijklmnopqrstuvwxyzABCDEFGHIJKLMNOPQRSTUVWXYZ.")))))</f>
        <v>0</v>
      </c>
      <c r="W135">
        <f>AND(IF(Metadata!C135="",FALSE,TRUE),exact(Metadata!C135,"urban biome"))</f>
        <v>0</v>
      </c>
      <c r="X135">
        <f>AND(IF(Metadata!D135="",FALSE,TRUE),exact(Metadata!D135,"animal-associated habitat"))</f>
        <v>0</v>
      </c>
      <c r="Y135">
        <f>OR(AND(IF(Metadata!E135="",FALSE,TRUE),OR(exact(Metadata!E135,"not applicable"),exact(Metadata!E135,"missing: not collected"),exact(Metadata!E135,"missing: not provided"),exact(Metadata!E135,"missing: restricted access"))),AND(IF(Metadata!E135="",FALSE,ISNUMBER(VALUE(Metadata!E135))),Metadata!E135&gt;0))</f>
        <v>0</v>
      </c>
      <c r="Z135">
        <f>AND(IF(Metadata!F135="",FALSE,TRUE),exact(Metadata!F135,"weeks"))</f>
        <v>0</v>
      </c>
      <c r="AA135">
        <f>AND(IF(Metadata!G135="",FALSE,TRUE),exact(Metadata!G135,"mouse"))</f>
        <v>0</v>
      </c>
      <c r="AB135">
        <f>AND(IF(Metadata!H135="",FALSE,TRUE),exact(Metadata!H135,"Mus musculus"))</f>
        <v>0</v>
      </c>
      <c r="AC135">
        <f>AND(IF(Metadata!I135="",FALSE,TRUE),exact(Metadata!I135,"10090"))</f>
        <v>0</v>
      </c>
      <c r="AD135">
        <f>OR(AND(IF(Metadata!J135="",FALSE,TRUE),OR(exact(Metadata!J135,"not applicable"),exact(Metadata!J135,"missing: not collected"),exact(Metadata!J135,"missing: not provided"),exact(Metadata!J135,"missing: restricted access"))),AND(IF(Metadata!J135="",FALSE,ISNUMBER(VALUE(Metadata!J135))),Metadata!J135&gt;0))</f>
        <v>0</v>
      </c>
      <c r="AE135">
        <f>AND(IF(Metadata!K135="",FALSE,TRUE),exact(Metadata!K135,"g"))</f>
        <v>0</v>
      </c>
    </row>
    <row r="136" spans="1:31">
      <c r="A136" s="5">
        <f>IF(B136=" "," ",HYPERLINK(CONCATENATE("#metadata!",ADDRESS(INDEX($Q$2:$Q$1001,MATCH(ROWS($O$2:O136),$O$2:$O$1001,0),0),1)),INDEX($T$2:$T$1001,MATCH(ROWS($O$2:O136),$O$2:$O$1001,0),0)))</f>
        <v>0</v>
      </c>
      <c r="B136" s="4">
        <f>IF(OR(INDEX($P$2:$P$1001,MATCH(ROWS($O$2:O136),$O$2:$O$1001,0),1)&gt;=100000,INDEX($V$1005:$AE$1005,1,MATCH(COLUMNS($V$1006:V1006),$V$1006:$AE$1006,0))&gt;=100000), " ",IF(INDEX($V$2:$AE$1001,MATCH(ROWS($O$2:O136),$O$2:$O$1001,0),MATCH(COLUMNS($V$1006:V1006),$V$1006:$AE$1006,0)), HYPERLINK("#",""), HYPERLINK(CONCATENATE("#Metadata!", ADDRESS(INDEX($Q$2:$Q$1001,MATCH(ROWS($O$2:O136),$O$2:$O$1001,0),0), INDEX($V$1004:$AE$1004,1,MATCH(COLUMNS($V$1006:V1006),$V$1006:$AE$1006,0)))),"Fix")))</f>
        <v>0</v>
      </c>
      <c r="C136" s="4">
        <f>IF(OR(INDEX($P$2:$P$1001,MATCH(ROWS($O$2:O136),$O$2:$O$1001,0),1)&gt;=100000,INDEX($V$1005:$AE$1005,1,MATCH(COLUMNS($V$1006:W1006),$V$1006:$AE$1006,0))&gt;=100000), " ",IF(INDEX($V$2:$AE$1001,MATCH(ROWS($O$2:O136),$O$2:$O$1001,0),MATCH(COLUMNS($V$1006:W1006),$V$1006:$AE$1006,0)), HYPERLINK("#",""), HYPERLINK(CONCATENATE("#Metadata!", ADDRESS(INDEX($Q$2:$Q$1001,MATCH(ROWS($O$2:O136),$O$2:$O$1001,0),0), INDEX($V$1004:$AE$1004,1,MATCH(COLUMNS($V$1006:W1006),$V$1006:$AE$1006,0)))),"Fix")))</f>
        <v>0</v>
      </c>
      <c r="D136" s="4">
        <f>IF(OR(INDEX($P$2:$P$1001,MATCH(ROWS($O$2:O136),$O$2:$O$1001,0),1)&gt;=100000,INDEX($V$1005:$AE$1005,1,MATCH(COLUMNS($V$1006:X1006),$V$1006:$AE$1006,0))&gt;=100000), " ",IF(INDEX($V$2:$AE$1001,MATCH(ROWS($O$2:O136),$O$2:$O$1001,0),MATCH(COLUMNS($V$1006:X1006),$V$1006:$AE$1006,0)), HYPERLINK("#",""), HYPERLINK(CONCATENATE("#Metadata!", ADDRESS(INDEX($Q$2:$Q$1001,MATCH(ROWS($O$2:O136),$O$2:$O$1001,0),0), INDEX($V$1004:$AE$1004,1,MATCH(COLUMNS($V$1006:X1006),$V$1006:$AE$1006,0)))),"Fix")))</f>
        <v>0</v>
      </c>
      <c r="E136" s="4">
        <f>IF(OR(INDEX($P$2:$P$1001,MATCH(ROWS($O$2:O136),$O$2:$O$1001,0),1)&gt;=100000,INDEX($V$1005:$AE$1005,1,MATCH(COLUMNS($V$1006:Y1006),$V$1006:$AE$1006,0))&gt;=100000), " ",IF(INDEX($V$2:$AE$1001,MATCH(ROWS($O$2:O136),$O$2:$O$1001,0),MATCH(COLUMNS($V$1006:Y1006),$V$1006:$AE$1006,0)), HYPERLINK("#",""), HYPERLINK(CONCATENATE("#Metadata!", ADDRESS(INDEX($Q$2:$Q$1001,MATCH(ROWS($O$2:O136),$O$2:$O$1001,0),0), INDEX($V$1004:$AE$1004,1,MATCH(COLUMNS($V$1006:Y1006),$V$1006:$AE$1006,0)))),"Fix")))</f>
        <v>0</v>
      </c>
      <c r="F136" s="4">
        <f>IF(OR(INDEX($P$2:$P$1001,MATCH(ROWS($O$2:O136),$O$2:$O$1001,0),1)&gt;=100000,INDEX($V$1005:$AE$1005,1,MATCH(COLUMNS($V$1006:Z1006),$V$1006:$AE$1006,0))&gt;=100000), " ",IF(INDEX($V$2:$AE$1001,MATCH(ROWS($O$2:O136),$O$2:$O$1001,0),MATCH(COLUMNS($V$1006:Z1006),$V$1006:$AE$1006,0)), HYPERLINK("#",""), HYPERLINK(CONCATENATE("#Metadata!", ADDRESS(INDEX($Q$2:$Q$1001,MATCH(ROWS($O$2:O136),$O$2:$O$1001,0),0), INDEX($V$1004:$AE$1004,1,MATCH(COLUMNS($V$1006:Z1006),$V$1006:$AE$1006,0)))),"Fix")))</f>
        <v>0</v>
      </c>
      <c r="G136" s="4">
        <f>IF(OR(INDEX($P$2:$P$1001,MATCH(ROWS($O$2:O136),$O$2:$O$1001,0),1)&gt;=100000,INDEX($V$1005:$AE$1005,1,MATCH(COLUMNS($V$1006:AA1006),$V$1006:$AE$1006,0))&gt;=100000), " ",IF(INDEX($V$2:$AE$1001,MATCH(ROWS($O$2:O136),$O$2:$O$1001,0),MATCH(COLUMNS($V$1006:AA1006),$V$1006:$AE$1006,0)), HYPERLINK("#",""), HYPERLINK(CONCATENATE("#Metadata!", ADDRESS(INDEX($Q$2:$Q$1001,MATCH(ROWS($O$2:O136),$O$2:$O$1001,0),0), INDEX($V$1004:$AE$1004,1,MATCH(COLUMNS($V$1006:AA1006),$V$1006:$AE$1006,0)))),"Fix")))</f>
        <v>0</v>
      </c>
      <c r="H136" s="4">
        <f>IF(OR(INDEX($P$2:$P$1001,MATCH(ROWS($O$2:O136),$O$2:$O$1001,0),1)&gt;=100000,INDEX($V$1005:$AE$1005,1,MATCH(COLUMNS($V$1006:AB1006),$V$1006:$AE$1006,0))&gt;=100000), " ",IF(INDEX($V$2:$AE$1001,MATCH(ROWS($O$2:O136),$O$2:$O$1001,0),MATCH(COLUMNS($V$1006:AB1006),$V$1006:$AE$1006,0)), HYPERLINK("#",""), HYPERLINK(CONCATENATE("#Metadata!", ADDRESS(INDEX($Q$2:$Q$1001,MATCH(ROWS($O$2:O136),$O$2:$O$1001,0),0), INDEX($V$1004:$AE$1004,1,MATCH(COLUMNS($V$1006:AB1006),$V$1006:$AE$1006,0)))),"Fix")))</f>
        <v>0</v>
      </c>
      <c r="I136" s="4">
        <f>IF(OR(INDEX($P$2:$P$1001,MATCH(ROWS($O$2:O136),$O$2:$O$1001,0),1)&gt;=100000,INDEX($V$1005:$AE$1005,1,MATCH(COLUMNS($V$1006:AC1006),$V$1006:$AE$1006,0))&gt;=100000), " ",IF(INDEX($V$2:$AE$1001,MATCH(ROWS($O$2:O136),$O$2:$O$1001,0),MATCH(COLUMNS($V$1006:AC1006),$V$1006:$AE$1006,0)), HYPERLINK("#",""), HYPERLINK(CONCATENATE("#Metadata!", ADDRESS(INDEX($Q$2:$Q$1001,MATCH(ROWS($O$2:O136),$O$2:$O$1001,0),0), INDEX($V$1004:$AE$1004,1,MATCH(COLUMNS($V$1006:AC1006),$V$1006:$AE$1006,0)))),"Fix")))</f>
        <v>0</v>
      </c>
      <c r="J136" s="4">
        <f>IF(OR(INDEX($P$2:$P$1001,MATCH(ROWS($O$2:O136),$O$2:$O$1001,0),1)&gt;=100000,INDEX($V$1005:$AE$1005,1,MATCH(COLUMNS($V$1006:AD1006),$V$1006:$AE$1006,0))&gt;=100000), " ",IF(INDEX($V$2:$AE$1001,MATCH(ROWS($O$2:O136),$O$2:$O$1001,0),MATCH(COLUMNS($V$1006:AD1006),$V$1006:$AE$1006,0)), HYPERLINK("#",""), HYPERLINK(CONCATENATE("#Metadata!", ADDRESS(INDEX($Q$2:$Q$1001,MATCH(ROWS($O$2:O136),$O$2:$O$1001,0),0), INDEX($V$1004:$AE$1004,1,MATCH(COLUMNS($V$1006:AD1006),$V$1006:$AE$1006,0)))),"Fix")))</f>
        <v>0</v>
      </c>
      <c r="K136" s="4">
        <f>IF(OR(INDEX($P$2:$P$1001,MATCH(ROWS($O$2:O136),$O$2:$O$1001,0),1)&gt;=100000,INDEX($V$1005:$AE$1005,1,MATCH(COLUMNS($V$1006:AE1006),$V$1006:$AE$1006,0))&gt;=100000), " ",IF(INDEX($V$2:$AE$1001,MATCH(ROWS($O$2:O136),$O$2:$O$1001,0),MATCH(COLUMNS($V$1006:AE1006),$V$1006:$AE$1006,0)), HYPERLINK("#",""), HYPERLINK(CONCATENATE("#Metadata!", ADDRESS(INDEX($Q$2:$Q$1001,MATCH(ROWS($O$2:O136),$O$2:$O$1001,0),0), INDEX($V$1004:$AE$1004,1,MATCH(COLUMNS($V$1006:AE1006),$V$1006:$AE$1006,0)))),"Fix")))</f>
        <v>0</v>
      </c>
      <c r="O136">
        <v>0</v>
      </c>
      <c r="P136">
        <v>0</v>
      </c>
      <c r="Q136">
        <v>0</v>
      </c>
      <c r="R136">
        <f>IF(S136,TRUE,AND(V136:AE136))</f>
        <v>0</v>
      </c>
      <c r="S136">
        <f>COUNTBLANK(Metadata!B136:K136)=COLUMNS(Metadata!B136:K136)</f>
        <v>0</v>
      </c>
      <c r="T136">
        <v>0</v>
      </c>
      <c r="V136">
        <f>AND(IF(Metadata!B136="",FALSE,TRUE),COUNTIF(Metadata!B:B, Metadata!B136) = 1,NOT(ISERROR(SUMPRODUCT(SEARCH(MID(Metadata!B136,ROW(INDIRECT("1:"&amp;LEN(Metadata!B136))), 1),"0123456789abcdefghijklmnopqrstuvwxyzABCDEFGHIJKLMNOPQRSTUVWXYZ.")))))</f>
        <v>0</v>
      </c>
      <c r="W136">
        <f>AND(IF(Metadata!C136="",FALSE,TRUE),exact(Metadata!C136,"urban biome"))</f>
        <v>0</v>
      </c>
      <c r="X136">
        <f>AND(IF(Metadata!D136="",FALSE,TRUE),exact(Metadata!D136,"animal-associated habitat"))</f>
        <v>0</v>
      </c>
      <c r="Y136">
        <f>OR(AND(IF(Metadata!E136="",FALSE,TRUE),OR(exact(Metadata!E136,"not applicable"),exact(Metadata!E136,"missing: not collected"),exact(Metadata!E136,"missing: not provided"),exact(Metadata!E136,"missing: restricted access"))),AND(IF(Metadata!E136="",FALSE,ISNUMBER(VALUE(Metadata!E136))),Metadata!E136&gt;0))</f>
        <v>0</v>
      </c>
      <c r="Z136">
        <f>AND(IF(Metadata!F136="",FALSE,TRUE),exact(Metadata!F136,"weeks"))</f>
        <v>0</v>
      </c>
      <c r="AA136">
        <f>AND(IF(Metadata!G136="",FALSE,TRUE),exact(Metadata!G136,"mouse"))</f>
        <v>0</v>
      </c>
      <c r="AB136">
        <f>AND(IF(Metadata!H136="",FALSE,TRUE),exact(Metadata!H136,"Mus musculus"))</f>
        <v>0</v>
      </c>
      <c r="AC136">
        <f>AND(IF(Metadata!I136="",FALSE,TRUE),exact(Metadata!I136,"10090"))</f>
        <v>0</v>
      </c>
      <c r="AD136">
        <f>OR(AND(IF(Metadata!J136="",FALSE,TRUE),OR(exact(Metadata!J136,"not applicable"),exact(Metadata!J136,"missing: not collected"),exact(Metadata!J136,"missing: not provided"),exact(Metadata!J136,"missing: restricted access"))),AND(IF(Metadata!J136="",FALSE,ISNUMBER(VALUE(Metadata!J136))),Metadata!J136&gt;0))</f>
        <v>0</v>
      </c>
      <c r="AE136">
        <f>AND(IF(Metadata!K136="",FALSE,TRUE),exact(Metadata!K136,"g"))</f>
        <v>0</v>
      </c>
    </row>
    <row r="137" spans="1:31">
      <c r="A137" s="5">
        <f>IF(B137=" "," ",HYPERLINK(CONCATENATE("#metadata!",ADDRESS(INDEX($Q$2:$Q$1001,MATCH(ROWS($O$2:O137),$O$2:$O$1001,0),0),1)),INDEX($T$2:$T$1001,MATCH(ROWS($O$2:O137),$O$2:$O$1001,0),0)))</f>
        <v>0</v>
      </c>
      <c r="B137" s="4">
        <f>IF(OR(INDEX($P$2:$P$1001,MATCH(ROWS($O$2:O137),$O$2:$O$1001,0),1)&gt;=100000,INDEX($V$1005:$AE$1005,1,MATCH(COLUMNS($V$1006:V1006),$V$1006:$AE$1006,0))&gt;=100000), " ",IF(INDEX($V$2:$AE$1001,MATCH(ROWS($O$2:O137),$O$2:$O$1001,0),MATCH(COLUMNS($V$1006:V1006),$V$1006:$AE$1006,0)), HYPERLINK("#",""), HYPERLINK(CONCATENATE("#Metadata!", ADDRESS(INDEX($Q$2:$Q$1001,MATCH(ROWS($O$2:O137),$O$2:$O$1001,0),0), INDEX($V$1004:$AE$1004,1,MATCH(COLUMNS($V$1006:V1006),$V$1006:$AE$1006,0)))),"Fix")))</f>
        <v>0</v>
      </c>
      <c r="C137" s="4">
        <f>IF(OR(INDEX($P$2:$P$1001,MATCH(ROWS($O$2:O137),$O$2:$O$1001,0),1)&gt;=100000,INDEX($V$1005:$AE$1005,1,MATCH(COLUMNS($V$1006:W1006),$V$1006:$AE$1006,0))&gt;=100000), " ",IF(INDEX($V$2:$AE$1001,MATCH(ROWS($O$2:O137),$O$2:$O$1001,0),MATCH(COLUMNS($V$1006:W1006),$V$1006:$AE$1006,0)), HYPERLINK("#",""), HYPERLINK(CONCATENATE("#Metadata!", ADDRESS(INDEX($Q$2:$Q$1001,MATCH(ROWS($O$2:O137),$O$2:$O$1001,0),0), INDEX($V$1004:$AE$1004,1,MATCH(COLUMNS($V$1006:W1006),$V$1006:$AE$1006,0)))),"Fix")))</f>
        <v>0</v>
      </c>
      <c r="D137" s="4">
        <f>IF(OR(INDEX($P$2:$P$1001,MATCH(ROWS($O$2:O137),$O$2:$O$1001,0),1)&gt;=100000,INDEX($V$1005:$AE$1005,1,MATCH(COLUMNS($V$1006:X1006),$V$1006:$AE$1006,0))&gt;=100000), " ",IF(INDEX($V$2:$AE$1001,MATCH(ROWS($O$2:O137),$O$2:$O$1001,0),MATCH(COLUMNS($V$1006:X1006),$V$1006:$AE$1006,0)), HYPERLINK("#",""), HYPERLINK(CONCATENATE("#Metadata!", ADDRESS(INDEX($Q$2:$Q$1001,MATCH(ROWS($O$2:O137),$O$2:$O$1001,0),0), INDEX($V$1004:$AE$1004,1,MATCH(COLUMNS($V$1006:X1006),$V$1006:$AE$1006,0)))),"Fix")))</f>
        <v>0</v>
      </c>
      <c r="E137" s="4">
        <f>IF(OR(INDEX($P$2:$P$1001,MATCH(ROWS($O$2:O137),$O$2:$O$1001,0),1)&gt;=100000,INDEX($V$1005:$AE$1005,1,MATCH(COLUMNS($V$1006:Y1006),$V$1006:$AE$1006,0))&gt;=100000), " ",IF(INDEX($V$2:$AE$1001,MATCH(ROWS($O$2:O137),$O$2:$O$1001,0),MATCH(COLUMNS($V$1006:Y1006),$V$1006:$AE$1006,0)), HYPERLINK("#",""), HYPERLINK(CONCATENATE("#Metadata!", ADDRESS(INDEX($Q$2:$Q$1001,MATCH(ROWS($O$2:O137),$O$2:$O$1001,0),0), INDEX($V$1004:$AE$1004,1,MATCH(COLUMNS($V$1006:Y1006),$V$1006:$AE$1006,0)))),"Fix")))</f>
        <v>0</v>
      </c>
      <c r="F137" s="4">
        <f>IF(OR(INDEX($P$2:$P$1001,MATCH(ROWS($O$2:O137),$O$2:$O$1001,0),1)&gt;=100000,INDEX($V$1005:$AE$1005,1,MATCH(COLUMNS($V$1006:Z1006),$V$1006:$AE$1006,0))&gt;=100000), " ",IF(INDEX($V$2:$AE$1001,MATCH(ROWS($O$2:O137),$O$2:$O$1001,0),MATCH(COLUMNS($V$1006:Z1006),$V$1006:$AE$1006,0)), HYPERLINK("#",""), HYPERLINK(CONCATENATE("#Metadata!", ADDRESS(INDEX($Q$2:$Q$1001,MATCH(ROWS($O$2:O137),$O$2:$O$1001,0),0), INDEX($V$1004:$AE$1004,1,MATCH(COLUMNS($V$1006:Z1006),$V$1006:$AE$1006,0)))),"Fix")))</f>
        <v>0</v>
      </c>
      <c r="G137" s="4">
        <f>IF(OR(INDEX($P$2:$P$1001,MATCH(ROWS($O$2:O137),$O$2:$O$1001,0),1)&gt;=100000,INDEX($V$1005:$AE$1005,1,MATCH(COLUMNS($V$1006:AA1006),$V$1006:$AE$1006,0))&gt;=100000), " ",IF(INDEX($V$2:$AE$1001,MATCH(ROWS($O$2:O137),$O$2:$O$1001,0),MATCH(COLUMNS($V$1006:AA1006),$V$1006:$AE$1006,0)), HYPERLINK("#",""), HYPERLINK(CONCATENATE("#Metadata!", ADDRESS(INDEX($Q$2:$Q$1001,MATCH(ROWS($O$2:O137),$O$2:$O$1001,0),0), INDEX($V$1004:$AE$1004,1,MATCH(COLUMNS($V$1006:AA1006),$V$1006:$AE$1006,0)))),"Fix")))</f>
        <v>0</v>
      </c>
      <c r="H137" s="4">
        <f>IF(OR(INDEX($P$2:$P$1001,MATCH(ROWS($O$2:O137),$O$2:$O$1001,0),1)&gt;=100000,INDEX($V$1005:$AE$1005,1,MATCH(COLUMNS($V$1006:AB1006),$V$1006:$AE$1006,0))&gt;=100000), " ",IF(INDEX($V$2:$AE$1001,MATCH(ROWS($O$2:O137),$O$2:$O$1001,0),MATCH(COLUMNS($V$1006:AB1006),$V$1006:$AE$1006,0)), HYPERLINK("#",""), HYPERLINK(CONCATENATE("#Metadata!", ADDRESS(INDEX($Q$2:$Q$1001,MATCH(ROWS($O$2:O137),$O$2:$O$1001,0),0), INDEX($V$1004:$AE$1004,1,MATCH(COLUMNS($V$1006:AB1006),$V$1006:$AE$1006,0)))),"Fix")))</f>
        <v>0</v>
      </c>
      <c r="I137" s="4">
        <f>IF(OR(INDEX($P$2:$P$1001,MATCH(ROWS($O$2:O137),$O$2:$O$1001,0),1)&gt;=100000,INDEX($V$1005:$AE$1005,1,MATCH(COLUMNS($V$1006:AC1006),$V$1006:$AE$1006,0))&gt;=100000), " ",IF(INDEX($V$2:$AE$1001,MATCH(ROWS($O$2:O137),$O$2:$O$1001,0),MATCH(COLUMNS($V$1006:AC1006),$V$1006:$AE$1006,0)), HYPERLINK("#",""), HYPERLINK(CONCATENATE("#Metadata!", ADDRESS(INDEX($Q$2:$Q$1001,MATCH(ROWS($O$2:O137),$O$2:$O$1001,0),0), INDEX($V$1004:$AE$1004,1,MATCH(COLUMNS($V$1006:AC1006),$V$1006:$AE$1006,0)))),"Fix")))</f>
        <v>0</v>
      </c>
      <c r="J137" s="4">
        <f>IF(OR(INDEX($P$2:$P$1001,MATCH(ROWS($O$2:O137),$O$2:$O$1001,0),1)&gt;=100000,INDEX($V$1005:$AE$1005,1,MATCH(COLUMNS($V$1006:AD1006),$V$1006:$AE$1006,0))&gt;=100000), " ",IF(INDEX($V$2:$AE$1001,MATCH(ROWS($O$2:O137),$O$2:$O$1001,0),MATCH(COLUMNS($V$1006:AD1006),$V$1006:$AE$1006,0)), HYPERLINK("#",""), HYPERLINK(CONCATENATE("#Metadata!", ADDRESS(INDEX($Q$2:$Q$1001,MATCH(ROWS($O$2:O137),$O$2:$O$1001,0),0), INDEX($V$1004:$AE$1004,1,MATCH(COLUMNS($V$1006:AD1006),$V$1006:$AE$1006,0)))),"Fix")))</f>
        <v>0</v>
      </c>
      <c r="K137" s="4">
        <f>IF(OR(INDEX($P$2:$P$1001,MATCH(ROWS($O$2:O137),$O$2:$O$1001,0),1)&gt;=100000,INDEX($V$1005:$AE$1005,1,MATCH(COLUMNS($V$1006:AE1006),$V$1006:$AE$1006,0))&gt;=100000), " ",IF(INDEX($V$2:$AE$1001,MATCH(ROWS($O$2:O137),$O$2:$O$1001,0),MATCH(COLUMNS($V$1006:AE1006),$V$1006:$AE$1006,0)), HYPERLINK("#",""), HYPERLINK(CONCATENATE("#Metadata!", ADDRESS(INDEX($Q$2:$Q$1001,MATCH(ROWS($O$2:O137),$O$2:$O$1001,0),0), INDEX($V$1004:$AE$1004,1,MATCH(COLUMNS($V$1006:AE1006),$V$1006:$AE$1006,0)))),"Fix")))</f>
        <v>0</v>
      </c>
      <c r="O137">
        <v>0</v>
      </c>
      <c r="P137">
        <v>0</v>
      </c>
      <c r="Q137">
        <v>0</v>
      </c>
      <c r="R137">
        <f>IF(S137,TRUE,AND(V137:AE137))</f>
        <v>0</v>
      </c>
      <c r="S137">
        <f>COUNTBLANK(Metadata!B137:K137)=COLUMNS(Metadata!B137:K137)</f>
        <v>0</v>
      </c>
      <c r="T137">
        <v>0</v>
      </c>
      <c r="V137">
        <f>AND(IF(Metadata!B137="",FALSE,TRUE),COUNTIF(Metadata!B:B, Metadata!B137) = 1,NOT(ISERROR(SUMPRODUCT(SEARCH(MID(Metadata!B137,ROW(INDIRECT("1:"&amp;LEN(Metadata!B137))), 1),"0123456789abcdefghijklmnopqrstuvwxyzABCDEFGHIJKLMNOPQRSTUVWXYZ.")))))</f>
        <v>0</v>
      </c>
      <c r="W137">
        <f>AND(IF(Metadata!C137="",FALSE,TRUE),exact(Metadata!C137,"urban biome"))</f>
        <v>0</v>
      </c>
      <c r="X137">
        <f>AND(IF(Metadata!D137="",FALSE,TRUE),exact(Metadata!D137,"animal-associated habitat"))</f>
        <v>0</v>
      </c>
      <c r="Y137">
        <f>OR(AND(IF(Metadata!E137="",FALSE,TRUE),OR(exact(Metadata!E137,"not applicable"),exact(Metadata!E137,"missing: not collected"),exact(Metadata!E137,"missing: not provided"),exact(Metadata!E137,"missing: restricted access"))),AND(IF(Metadata!E137="",FALSE,ISNUMBER(VALUE(Metadata!E137))),Metadata!E137&gt;0))</f>
        <v>0</v>
      </c>
      <c r="Z137">
        <f>AND(IF(Metadata!F137="",FALSE,TRUE),exact(Metadata!F137,"weeks"))</f>
        <v>0</v>
      </c>
      <c r="AA137">
        <f>AND(IF(Metadata!G137="",FALSE,TRUE),exact(Metadata!G137,"mouse"))</f>
        <v>0</v>
      </c>
      <c r="AB137">
        <f>AND(IF(Metadata!H137="",FALSE,TRUE),exact(Metadata!H137,"Mus musculus"))</f>
        <v>0</v>
      </c>
      <c r="AC137">
        <f>AND(IF(Metadata!I137="",FALSE,TRUE),exact(Metadata!I137,"10090"))</f>
        <v>0</v>
      </c>
      <c r="AD137">
        <f>OR(AND(IF(Metadata!J137="",FALSE,TRUE),OR(exact(Metadata!J137,"not applicable"),exact(Metadata!J137,"missing: not collected"),exact(Metadata!J137,"missing: not provided"),exact(Metadata!J137,"missing: restricted access"))),AND(IF(Metadata!J137="",FALSE,ISNUMBER(VALUE(Metadata!J137))),Metadata!J137&gt;0))</f>
        <v>0</v>
      </c>
      <c r="AE137">
        <f>AND(IF(Metadata!K137="",FALSE,TRUE),exact(Metadata!K137,"g"))</f>
        <v>0</v>
      </c>
    </row>
    <row r="138" spans="1:31">
      <c r="A138" s="5">
        <f>IF(B138=" "," ",HYPERLINK(CONCATENATE("#metadata!",ADDRESS(INDEX($Q$2:$Q$1001,MATCH(ROWS($O$2:O138),$O$2:$O$1001,0),0),1)),INDEX($T$2:$T$1001,MATCH(ROWS($O$2:O138),$O$2:$O$1001,0),0)))</f>
        <v>0</v>
      </c>
      <c r="B138" s="4">
        <f>IF(OR(INDEX($P$2:$P$1001,MATCH(ROWS($O$2:O138),$O$2:$O$1001,0),1)&gt;=100000,INDEX($V$1005:$AE$1005,1,MATCH(COLUMNS($V$1006:V1006),$V$1006:$AE$1006,0))&gt;=100000), " ",IF(INDEX($V$2:$AE$1001,MATCH(ROWS($O$2:O138),$O$2:$O$1001,0),MATCH(COLUMNS($V$1006:V1006),$V$1006:$AE$1006,0)), HYPERLINK("#",""), HYPERLINK(CONCATENATE("#Metadata!", ADDRESS(INDEX($Q$2:$Q$1001,MATCH(ROWS($O$2:O138),$O$2:$O$1001,0),0), INDEX($V$1004:$AE$1004,1,MATCH(COLUMNS($V$1006:V1006),$V$1006:$AE$1006,0)))),"Fix")))</f>
        <v>0</v>
      </c>
      <c r="C138" s="4">
        <f>IF(OR(INDEX($P$2:$P$1001,MATCH(ROWS($O$2:O138),$O$2:$O$1001,0),1)&gt;=100000,INDEX($V$1005:$AE$1005,1,MATCH(COLUMNS($V$1006:W1006),$V$1006:$AE$1006,0))&gt;=100000), " ",IF(INDEX($V$2:$AE$1001,MATCH(ROWS($O$2:O138),$O$2:$O$1001,0),MATCH(COLUMNS($V$1006:W1006),$V$1006:$AE$1006,0)), HYPERLINK("#",""), HYPERLINK(CONCATENATE("#Metadata!", ADDRESS(INDEX($Q$2:$Q$1001,MATCH(ROWS($O$2:O138),$O$2:$O$1001,0),0), INDEX($V$1004:$AE$1004,1,MATCH(COLUMNS($V$1006:W1006),$V$1006:$AE$1006,0)))),"Fix")))</f>
        <v>0</v>
      </c>
      <c r="D138" s="4">
        <f>IF(OR(INDEX($P$2:$P$1001,MATCH(ROWS($O$2:O138),$O$2:$O$1001,0),1)&gt;=100000,INDEX($V$1005:$AE$1005,1,MATCH(COLUMNS($V$1006:X1006),$V$1006:$AE$1006,0))&gt;=100000), " ",IF(INDEX($V$2:$AE$1001,MATCH(ROWS($O$2:O138),$O$2:$O$1001,0),MATCH(COLUMNS($V$1006:X1006),$V$1006:$AE$1006,0)), HYPERLINK("#",""), HYPERLINK(CONCATENATE("#Metadata!", ADDRESS(INDEX($Q$2:$Q$1001,MATCH(ROWS($O$2:O138),$O$2:$O$1001,0),0), INDEX($V$1004:$AE$1004,1,MATCH(COLUMNS($V$1006:X1006),$V$1006:$AE$1006,0)))),"Fix")))</f>
        <v>0</v>
      </c>
      <c r="E138" s="4">
        <f>IF(OR(INDEX($P$2:$P$1001,MATCH(ROWS($O$2:O138),$O$2:$O$1001,0),1)&gt;=100000,INDEX($V$1005:$AE$1005,1,MATCH(COLUMNS($V$1006:Y1006),$V$1006:$AE$1006,0))&gt;=100000), " ",IF(INDEX($V$2:$AE$1001,MATCH(ROWS($O$2:O138),$O$2:$O$1001,0),MATCH(COLUMNS($V$1006:Y1006),$V$1006:$AE$1006,0)), HYPERLINK("#",""), HYPERLINK(CONCATENATE("#Metadata!", ADDRESS(INDEX($Q$2:$Q$1001,MATCH(ROWS($O$2:O138),$O$2:$O$1001,0),0), INDEX($V$1004:$AE$1004,1,MATCH(COLUMNS($V$1006:Y1006),$V$1006:$AE$1006,0)))),"Fix")))</f>
        <v>0</v>
      </c>
      <c r="F138" s="4">
        <f>IF(OR(INDEX($P$2:$P$1001,MATCH(ROWS($O$2:O138),$O$2:$O$1001,0),1)&gt;=100000,INDEX($V$1005:$AE$1005,1,MATCH(COLUMNS($V$1006:Z1006),$V$1006:$AE$1006,0))&gt;=100000), " ",IF(INDEX($V$2:$AE$1001,MATCH(ROWS($O$2:O138),$O$2:$O$1001,0),MATCH(COLUMNS($V$1006:Z1006),$V$1006:$AE$1006,0)), HYPERLINK("#",""), HYPERLINK(CONCATENATE("#Metadata!", ADDRESS(INDEX($Q$2:$Q$1001,MATCH(ROWS($O$2:O138),$O$2:$O$1001,0),0), INDEX($V$1004:$AE$1004,1,MATCH(COLUMNS($V$1006:Z1006),$V$1006:$AE$1006,0)))),"Fix")))</f>
        <v>0</v>
      </c>
      <c r="G138" s="4">
        <f>IF(OR(INDEX($P$2:$P$1001,MATCH(ROWS($O$2:O138),$O$2:$O$1001,0),1)&gt;=100000,INDEX($V$1005:$AE$1005,1,MATCH(COLUMNS($V$1006:AA1006),$V$1006:$AE$1006,0))&gt;=100000), " ",IF(INDEX($V$2:$AE$1001,MATCH(ROWS($O$2:O138),$O$2:$O$1001,0),MATCH(COLUMNS($V$1006:AA1006),$V$1006:$AE$1006,0)), HYPERLINK("#",""), HYPERLINK(CONCATENATE("#Metadata!", ADDRESS(INDEX($Q$2:$Q$1001,MATCH(ROWS($O$2:O138),$O$2:$O$1001,0),0), INDEX($V$1004:$AE$1004,1,MATCH(COLUMNS($V$1006:AA1006),$V$1006:$AE$1006,0)))),"Fix")))</f>
        <v>0</v>
      </c>
      <c r="H138" s="4">
        <f>IF(OR(INDEX($P$2:$P$1001,MATCH(ROWS($O$2:O138),$O$2:$O$1001,0),1)&gt;=100000,INDEX($V$1005:$AE$1005,1,MATCH(COLUMNS($V$1006:AB1006),$V$1006:$AE$1006,0))&gt;=100000), " ",IF(INDEX($V$2:$AE$1001,MATCH(ROWS($O$2:O138),$O$2:$O$1001,0),MATCH(COLUMNS($V$1006:AB1006),$V$1006:$AE$1006,0)), HYPERLINK("#",""), HYPERLINK(CONCATENATE("#Metadata!", ADDRESS(INDEX($Q$2:$Q$1001,MATCH(ROWS($O$2:O138),$O$2:$O$1001,0),0), INDEX($V$1004:$AE$1004,1,MATCH(COLUMNS($V$1006:AB1006),$V$1006:$AE$1006,0)))),"Fix")))</f>
        <v>0</v>
      </c>
      <c r="I138" s="4">
        <f>IF(OR(INDEX($P$2:$P$1001,MATCH(ROWS($O$2:O138),$O$2:$O$1001,0),1)&gt;=100000,INDEX($V$1005:$AE$1005,1,MATCH(COLUMNS($V$1006:AC1006),$V$1006:$AE$1006,0))&gt;=100000), " ",IF(INDEX($V$2:$AE$1001,MATCH(ROWS($O$2:O138),$O$2:$O$1001,0),MATCH(COLUMNS($V$1006:AC1006),$V$1006:$AE$1006,0)), HYPERLINK("#",""), HYPERLINK(CONCATENATE("#Metadata!", ADDRESS(INDEX($Q$2:$Q$1001,MATCH(ROWS($O$2:O138),$O$2:$O$1001,0),0), INDEX($V$1004:$AE$1004,1,MATCH(COLUMNS($V$1006:AC1006),$V$1006:$AE$1006,0)))),"Fix")))</f>
        <v>0</v>
      </c>
      <c r="J138" s="4">
        <f>IF(OR(INDEX($P$2:$P$1001,MATCH(ROWS($O$2:O138),$O$2:$O$1001,0),1)&gt;=100000,INDEX($V$1005:$AE$1005,1,MATCH(COLUMNS($V$1006:AD1006),$V$1006:$AE$1006,0))&gt;=100000), " ",IF(INDEX($V$2:$AE$1001,MATCH(ROWS($O$2:O138),$O$2:$O$1001,0),MATCH(COLUMNS($V$1006:AD1006),$V$1006:$AE$1006,0)), HYPERLINK("#",""), HYPERLINK(CONCATENATE("#Metadata!", ADDRESS(INDEX($Q$2:$Q$1001,MATCH(ROWS($O$2:O138),$O$2:$O$1001,0),0), INDEX($V$1004:$AE$1004,1,MATCH(COLUMNS($V$1006:AD1006),$V$1006:$AE$1006,0)))),"Fix")))</f>
        <v>0</v>
      </c>
      <c r="K138" s="4">
        <f>IF(OR(INDEX($P$2:$P$1001,MATCH(ROWS($O$2:O138),$O$2:$O$1001,0),1)&gt;=100000,INDEX($V$1005:$AE$1005,1,MATCH(COLUMNS($V$1006:AE1006),$V$1006:$AE$1006,0))&gt;=100000), " ",IF(INDEX($V$2:$AE$1001,MATCH(ROWS($O$2:O138),$O$2:$O$1001,0),MATCH(COLUMNS($V$1006:AE1006),$V$1006:$AE$1006,0)), HYPERLINK("#",""), HYPERLINK(CONCATENATE("#Metadata!", ADDRESS(INDEX($Q$2:$Q$1001,MATCH(ROWS($O$2:O138),$O$2:$O$1001,0),0), INDEX($V$1004:$AE$1004,1,MATCH(COLUMNS($V$1006:AE1006),$V$1006:$AE$1006,0)))),"Fix")))</f>
        <v>0</v>
      </c>
      <c r="O138">
        <v>0</v>
      </c>
      <c r="P138">
        <v>0</v>
      </c>
      <c r="Q138">
        <v>0</v>
      </c>
      <c r="R138">
        <f>IF(S138,TRUE,AND(V138:AE138))</f>
        <v>0</v>
      </c>
      <c r="S138">
        <f>COUNTBLANK(Metadata!B138:K138)=COLUMNS(Metadata!B138:K138)</f>
        <v>0</v>
      </c>
      <c r="T138">
        <v>0</v>
      </c>
      <c r="V138">
        <f>AND(IF(Metadata!B138="",FALSE,TRUE),COUNTIF(Metadata!B:B, Metadata!B138) = 1,NOT(ISERROR(SUMPRODUCT(SEARCH(MID(Metadata!B138,ROW(INDIRECT("1:"&amp;LEN(Metadata!B138))), 1),"0123456789abcdefghijklmnopqrstuvwxyzABCDEFGHIJKLMNOPQRSTUVWXYZ.")))))</f>
        <v>0</v>
      </c>
      <c r="W138">
        <f>AND(IF(Metadata!C138="",FALSE,TRUE),exact(Metadata!C138,"urban biome"))</f>
        <v>0</v>
      </c>
      <c r="X138">
        <f>AND(IF(Metadata!D138="",FALSE,TRUE),exact(Metadata!D138,"animal-associated habitat"))</f>
        <v>0</v>
      </c>
      <c r="Y138">
        <f>OR(AND(IF(Metadata!E138="",FALSE,TRUE),OR(exact(Metadata!E138,"not applicable"),exact(Metadata!E138,"missing: not collected"),exact(Metadata!E138,"missing: not provided"),exact(Metadata!E138,"missing: restricted access"))),AND(IF(Metadata!E138="",FALSE,ISNUMBER(VALUE(Metadata!E138))),Metadata!E138&gt;0))</f>
        <v>0</v>
      </c>
      <c r="Z138">
        <f>AND(IF(Metadata!F138="",FALSE,TRUE),exact(Metadata!F138,"weeks"))</f>
        <v>0</v>
      </c>
      <c r="AA138">
        <f>AND(IF(Metadata!G138="",FALSE,TRUE),exact(Metadata!G138,"mouse"))</f>
        <v>0</v>
      </c>
      <c r="AB138">
        <f>AND(IF(Metadata!H138="",FALSE,TRUE),exact(Metadata!H138,"Mus musculus"))</f>
        <v>0</v>
      </c>
      <c r="AC138">
        <f>AND(IF(Metadata!I138="",FALSE,TRUE),exact(Metadata!I138,"10090"))</f>
        <v>0</v>
      </c>
      <c r="AD138">
        <f>OR(AND(IF(Metadata!J138="",FALSE,TRUE),OR(exact(Metadata!J138,"not applicable"),exact(Metadata!J138,"missing: not collected"),exact(Metadata!J138,"missing: not provided"),exact(Metadata!J138,"missing: restricted access"))),AND(IF(Metadata!J138="",FALSE,ISNUMBER(VALUE(Metadata!J138))),Metadata!J138&gt;0))</f>
        <v>0</v>
      </c>
      <c r="AE138">
        <f>AND(IF(Metadata!K138="",FALSE,TRUE),exact(Metadata!K138,"g"))</f>
        <v>0</v>
      </c>
    </row>
    <row r="139" spans="1:31">
      <c r="A139" s="5">
        <f>IF(B139=" "," ",HYPERLINK(CONCATENATE("#metadata!",ADDRESS(INDEX($Q$2:$Q$1001,MATCH(ROWS($O$2:O139),$O$2:$O$1001,0),0),1)),INDEX($T$2:$T$1001,MATCH(ROWS($O$2:O139),$O$2:$O$1001,0),0)))</f>
        <v>0</v>
      </c>
      <c r="B139" s="4">
        <f>IF(OR(INDEX($P$2:$P$1001,MATCH(ROWS($O$2:O139),$O$2:$O$1001,0),1)&gt;=100000,INDEX($V$1005:$AE$1005,1,MATCH(COLUMNS($V$1006:V1006),$V$1006:$AE$1006,0))&gt;=100000), " ",IF(INDEX($V$2:$AE$1001,MATCH(ROWS($O$2:O139),$O$2:$O$1001,0),MATCH(COLUMNS($V$1006:V1006),$V$1006:$AE$1006,0)), HYPERLINK("#",""), HYPERLINK(CONCATENATE("#Metadata!", ADDRESS(INDEX($Q$2:$Q$1001,MATCH(ROWS($O$2:O139),$O$2:$O$1001,0),0), INDEX($V$1004:$AE$1004,1,MATCH(COLUMNS($V$1006:V1006),$V$1006:$AE$1006,0)))),"Fix")))</f>
        <v>0</v>
      </c>
      <c r="C139" s="4">
        <f>IF(OR(INDEX($P$2:$P$1001,MATCH(ROWS($O$2:O139),$O$2:$O$1001,0),1)&gt;=100000,INDEX($V$1005:$AE$1005,1,MATCH(COLUMNS($V$1006:W1006),$V$1006:$AE$1006,0))&gt;=100000), " ",IF(INDEX($V$2:$AE$1001,MATCH(ROWS($O$2:O139),$O$2:$O$1001,0),MATCH(COLUMNS($V$1006:W1006),$V$1006:$AE$1006,0)), HYPERLINK("#",""), HYPERLINK(CONCATENATE("#Metadata!", ADDRESS(INDEX($Q$2:$Q$1001,MATCH(ROWS($O$2:O139),$O$2:$O$1001,0),0), INDEX($V$1004:$AE$1004,1,MATCH(COLUMNS($V$1006:W1006),$V$1006:$AE$1006,0)))),"Fix")))</f>
        <v>0</v>
      </c>
      <c r="D139" s="4">
        <f>IF(OR(INDEX($P$2:$P$1001,MATCH(ROWS($O$2:O139),$O$2:$O$1001,0),1)&gt;=100000,INDEX($V$1005:$AE$1005,1,MATCH(COLUMNS($V$1006:X1006),$V$1006:$AE$1006,0))&gt;=100000), " ",IF(INDEX($V$2:$AE$1001,MATCH(ROWS($O$2:O139),$O$2:$O$1001,0),MATCH(COLUMNS($V$1006:X1006),$V$1006:$AE$1006,0)), HYPERLINK("#",""), HYPERLINK(CONCATENATE("#Metadata!", ADDRESS(INDEX($Q$2:$Q$1001,MATCH(ROWS($O$2:O139),$O$2:$O$1001,0),0), INDEX($V$1004:$AE$1004,1,MATCH(COLUMNS($V$1006:X1006),$V$1006:$AE$1006,0)))),"Fix")))</f>
        <v>0</v>
      </c>
      <c r="E139" s="4">
        <f>IF(OR(INDEX($P$2:$P$1001,MATCH(ROWS($O$2:O139),$O$2:$O$1001,0),1)&gt;=100000,INDEX($V$1005:$AE$1005,1,MATCH(COLUMNS($V$1006:Y1006),$V$1006:$AE$1006,0))&gt;=100000), " ",IF(INDEX($V$2:$AE$1001,MATCH(ROWS($O$2:O139),$O$2:$O$1001,0),MATCH(COLUMNS($V$1006:Y1006),$V$1006:$AE$1006,0)), HYPERLINK("#",""), HYPERLINK(CONCATENATE("#Metadata!", ADDRESS(INDEX($Q$2:$Q$1001,MATCH(ROWS($O$2:O139),$O$2:$O$1001,0),0), INDEX($V$1004:$AE$1004,1,MATCH(COLUMNS($V$1006:Y1006),$V$1006:$AE$1006,0)))),"Fix")))</f>
        <v>0</v>
      </c>
      <c r="F139" s="4">
        <f>IF(OR(INDEX($P$2:$P$1001,MATCH(ROWS($O$2:O139),$O$2:$O$1001,0),1)&gt;=100000,INDEX($V$1005:$AE$1005,1,MATCH(COLUMNS($V$1006:Z1006),$V$1006:$AE$1006,0))&gt;=100000), " ",IF(INDEX($V$2:$AE$1001,MATCH(ROWS($O$2:O139),$O$2:$O$1001,0),MATCH(COLUMNS($V$1006:Z1006),$V$1006:$AE$1006,0)), HYPERLINK("#",""), HYPERLINK(CONCATENATE("#Metadata!", ADDRESS(INDEX($Q$2:$Q$1001,MATCH(ROWS($O$2:O139),$O$2:$O$1001,0),0), INDEX($V$1004:$AE$1004,1,MATCH(COLUMNS($V$1006:Z1006),$V$1006:$AE$1006,0)))),"Fix")))</f>
        <v>0</v>
      </c>
      <c r="G139" s="4">
        <f>IF(OR(INDEX($P$2:$P$1001,MATCH(ROWS($O$2:O139),$O$2:$O$1001,0),1)&gt;=100000,INDEX($V$1005:$AE$1005,1,MATCH(COLUMNS($V$1006:AA1006),$V$1006:$AE$1006,0))&gt;=100000), " ",IF(INDEX($V$2:$AE$1001,MATCH(ROWS($O$2:O139),$O$2:$O$1001,0),MATCH(COLUMNS($V$1006:AA1006),$V$1006:$AE$1006,0)), HYPERLINK("#",""), HYPERLINK(CONCATENATE("#Metadata!", ADDRESS(INDEX($Q$2:$Q$1001,MATCH(ROWS($O$2:O139),$O$2:$O$1001,0),0), INDEX($V$1004:$AE$1004,1,MATCH(COLUMNS($V$1006:AA1006),$V$1006:$AE$1006,0)))),"Fix")))</f>
        <v>0</v>
      </c>
      <c r="H139" s="4">
        <f>IF(OR(INDEX($P$2:$P$1001,MATCH(ROWS($O$2:O139),$O$2:$O$1001,0),1)&gt;=100000,INDEX($V$1005:$AE$1005,1,MATCH(COLUMNS($V$1006:AB1006),$V$1006:$AE$1006,0))&gt;=100000), " ",IF(INDEX($V$2:$AE$1001,MATCH(ROWS($O$2:O139),$O$2:$O$1001,0),MATCH(COLUMNS($V$1006:AB1006),$V$1006:$AE$1006,0)), HYPERLINK("#",""), HYPERLINK(CONCATENATE("#Metadata!", ADDRESS(INDEX($Q$2:$Q$1001,MATCH(ROWS($O$2:O139),$O$2:$O$1001,0),0), INDEX($V$1004:$AE$1004,1,MATCH(COLUMNS($V$1006:AB1006),$V$1006:$AE$1006,0)))),"Fix")))</f>
        <v>0</v>
      </c>
      <c r="I139" s="4">
        <f>IF(OR(INDEX($P$2:$P$1001,MATCH(ROWS($O$2:O139),$O$2:$O$1001,0),1)&gt;=100000,INDEX($V$1005:$AE$1005,1,MATCH(COLUMNS($V$1006:AC1006),$V$1006:$AE$1006,0))&gt;=100000), " ",IF(INDEX($V$2:$AE$1001,MATCH(ROWS($O$2:O139),$O$2:$O$1001,0),MATCH(COLUMNS($V$1006:AC1006),$V$1006:$AE$1006,0)), HYPERLINK("#",""), HYPERLINK(CONCATENATE("#Metadata!", ADDRESS(INDEX($Q$2:$Q$1001,MATCH(ROWS($O$2:O139),$O$2:$O$1001,0),0), INDEX($V$1004:$AE$1004,1,MATCH(COLUMNS($V$1006:AC1006),$V$1006:$AE$1006,0)))),"Fix")))</f>
        <v>0</v>
      </c>
      <c r="J139" s="4">
        <f>IF(OR(INDEX($P$2:$P$1001,MATCH(ROWS($O$2:O139),$O$2:$O$1001,0),1)&gt;=100000,INDEX($V$1005:$AE$1005,1,MATCH(COLUMNS($V$1006:AD1006),$V$1006:$AE$1006,0))&gt;=100000), " ",IF(INDEX($V$2:$AE$1001,MATCH(ROWS($O$2:O139),$O$2:$O$1001,0),MATCH(COLUMNS($V$1006:AD1006),$V$1006:$AE$1006,0)), HYPERLINK("#",""), HYPERLINK(CONCATENATE("#Metadata!", ADDRESS(INDEX($Q$2:$Q$1001,MATCH(ROWS($O$2:O139),$O$2:$O$1001,0),0), INDEX($V$1004:$AE$1004,1,MATCH(COLUMNS($V$1006:AD1006),$V$1006:$AE$1006,0)))),"Fix")))</f>
        <v>0</v>
      </c>
      <c r="K139" s="4">
        <f>IF(OR(INDEX($P$2:$P$1001,MATCH(ROWS($O$2:O139),$O$2:$O$1001,0),1)&gt;=100000,INDEX($V$1005:$AE$1005,1,MATCH(COLUMNS($V$1006:AE1006),$V$1006:$AE$1006,0))&gt;=100000), " ",IF(INDEX($V$2:$AE$1001,MATCH(ROWS($O$2:O139),$O$2:$O$1001,0),MATCH(COLUMNS($V$1006:AE1006),$V$1006:$AE$1006,0)), HYPERLINK("#",""), HYPERLINK(CONCATENATE("#Metadata!", ADDRESS(INDEX($Q$2:$Q$1001,MATCH(ROWS($O$2:O139),$O$2:$O$1001,0),0), INDEX($V$1004:$AE$1004,1,MATCH(COLUMNS($V$1006:AE1006),$V$1006:$AE$1006,0)))),"Fix")))</f>
        <v>0</v>
      </c>
      <c r="O139">
        <v>0</v>
      </c>
      <c r="P139">
        <v>0</v>
      </c>
      <c r="Q139">
        <v>0</v>
      </c>
      <c r="R139">
        <f>IF(S139,TRUE,AND(V139:AE139))</f>
        <v>0</v>
      </c>
      <c r="S139">
        <f>COUNTBLANK(Metadata!B139:K139)=COLUMNS(Metadata!B139:K139)</f>
        <v>0</v>
      </c>
      <c r="T139">
        <v>0</v>
      </c>
      <c r="V139">
        <f>AND(IF(Metadata!B139="",FALSE,TRUE),COUNTIF(Metadata!B:B, Metadata!B139) = 1,NOT(ISERROR(SUMPRODUCT(SEARCH(MID(Metadata!B139,ROW(INDIRECT("1:"&amp;LEN(Metadata!B139))), 1),"0123456789abcdefghijklmnopqrstuvwxyzABCDEFGHIJKLMNOPQRSTUVWXYZ.")))))</f>
        <v>0</v>
      </c>
      <c r="W139">
        <f>AND(IF(Metadata!C139="",FALSE,TRUE),exact(Metadata!C139,"urban biome"))</f>
        <v>0</v>
      </c>
      <c r="X139">
        <f>AND(IF(Metadata!D139="",FALSE,TRUE),exact(Metadata!D139,"animal-associated habitat"))</f>
        <v>0</v>
      </c>
      <c r="Y139">
        <f>OR(AND(IF(Metadata!E139="",FALSE,TRUE),OR(exact(Metadata!E139,"not applicable"),exact(Metadata!E139,"missing: not collected"),exact(Metadata!E139,"missing: not provided"),exact(Metadata!E139,"missing: restricted access"))),AND(IF(Metadata!E139="",FALSE,ISNUMBER(VALUE(Metadata!E139))),Metadata!E139&gt;0))</f>
        <v>0</v>
      </c>
      <c r="Z139">
        <f>AND(IF(Metadata!F139="",FALSE,TRUE),exact(Metadata!F139,"weeks"))</f>
        <v>0</v>
      </c>
      <c r="AA139">
        <f>AND(IF(Metadata!G139="",FALSE,TRUE),exact(Metadata!G139,"mouse"))</f>
        <v>0</v>
      </c>
      <c r="AB139">
        <f>AND(IF(Metadata!H139="",FALSE,TRUE),exact(Metadata!H139,"Mus musculus"))</f>
        <v>0</v>
      </c>
      <c r="AC139">
        <f>AND(IF(Metadata!I139="",FALSE,TRUE),exact(Metadata!I139,"10090"))</f>
        <v>0</v>
      </c>
      <c r="AD139">
        <f>OR(AND(IF(Metadata!J139="",FALSE,TRUE),OR(exact(Metadata!J139,"not applicable"),exact(Metadata!J139,"missing: not collected"),exact(Metadata!J139,"missing: not provided"),exact(Metadata!J139,"missing: restricted access"))),AND(IF(Metadata!J139="",FALSE,ISNUMBER(VALUE(Metadata!J139))),Metadata!J139&gt;0))</f>
        <v>0</v>
      </c>
      <c r="AE139">
        <f>AND(IF(Metadata!K139="",FALSE,TRUE),exact(Metadata!K139,"g"))</f>
        <v>0</v>
      </c>
    </row>
    <row r="140" spans="1:31">
      <c r="A140" s="5">
        <f>IF(B140=" "," ",HYPERLINK(CONCATENATE("#metadata!",ADDRESS(INDEX($Q$2:$Q$1001,MATCH(ROWS($O$2:O140),$O$2:$O$1001,0),0),1)),INDEX($T$2:$T$1001,MATCH(ROWS($O$2:O140),$O$2:$O$1001,0),0)))</f>
        <v>0</v>
      </c>
      <c r="B140" s="4">
        <f>IF(OR(INDEX($P$2:$P$1001,MATCH(ROWS($O$2:O140),$O$2:$O$1001,0),1)&gt;=100000,INDEX($V$1005:$AE$1005,1,MATCH(COLUMNS($V$1006:V1006),$V$1006:$AE$1006,0))&gt;=100000), " ",IF(INDEX($V$2:$AE$1001,MATCH(ROWS($O$2:O140),$O$2:$O$1001,0),MATCH(COLUMNS($V$1006:V1006),$V$1006:$AE$1006,0)), HYPERLINK("#",""), HYPERLINK(CONCATENATE("#Metadata!", ADDRESS(INDEX($Q$2:$Q$1001,MATCH(ROWS($O$2:O140),$O$2:$O$1001,0),0), INDEX($V$1004:$AE$1004,1,MATCH(COLUMNS($V$1006:V1006),$V$1006:$AE$1006,0)))),"Fix")))</f>
        <v>0</v>
      </c>
      <c r="C140" s="4">
        <f>IF(OR(INDEX($P$2:$P$1001,MATCH(ROWS($O$2:O140),$O$2:$O$1001,0),1)&gt;=100000,INDEX($V$1005:$AE$1005,1,MATCH(COLUMNS($V$1006:W1006),$V$1006:$AE$1006,0))&gt;=100000), " ",IF(INDEX($V$2:$AE$1001,MATCH(ROWS($O$2:O140),$O$2:$O$1001,0),MATCH(COLUMNS($V$1006:W1006),$V$1006:$AE$1006,0)), HYPERLINK("#",""), HYPERLINK(CONCATENATE("#Metadata!", ADDRESS(INDEX($Q$2:$Q$1001,MATCH(ROWS($O$2:O140),$O$2:$O$1001,0),0), INDEX($V$1004:$AE$1004,1,MATCH(COLUMNS($V$1006:W1006),$V$1006:$AE$1006,0)))),"Fix")))</f>
        <v>0</v>
      </c>
      <c r="D140" s="4">
        <f>IF(OR(INDEX($P$2:$P$1001,MATCH(ROWS($O$2:O140),$O$2:$O$1001,0),1)&gt;=100000,INDEX($V$1005:$AE$1005,1,MATCH(COLUMNS($V$1006:X1006),$V$1006:$AE$1006,0))&gt;=100000), " ",IF(INDEX($V$2:$AE$1001,MATCH(ROWS($O$2:O140),$O$2:$O$1001,0),MATCH(COLUMNS($V$1006:X1006),$V$1006:$AE$1006,0)), HYPERLINK("#",""), HYPERLINK(CONCATENATE("#Metadata!", ADDRESS(INDEX($Q$2:$Q$1001,MATCH(ROWS($O$2:O140),$O$2:$O$1001,0),0), INDEX($V$1004:$AE$1004,1,MATCH(COLUMNS($V$1006:X1006),$V$1006:$AE$1006,0)))),"Fix")))</f>
        <v>0</v>
      </c>
      <c r="E140" s="4">
        <f>IF(OR(INDEX($P$2:$P$1001,MATCH(ROWS($O$2:O140),$O$2:$O$1001,0),1)&gt;=100000,INDEX($V$1005:$AE$1005,1,MATCH(COLUMNS($V$1006:Y1006),$V$1006:$AE$1006,0))&gt;=100000), " ",IF(INDEX($V$2:$AE$1001,MATCH(ROWS($O$2:O140),$O$2:$O$1001,0),MATCH(COLUMNS($V$1006:Y1006),$V$1006:$AE$1006,0)), HYPERLINK("#",""), HYPERLINK(CONCATENATE("#Metadata!", ADDRESS(INDEX($Q$2:$Q$1001,MATCH(ROWS($O$2:O140),$O$2:$O$1001,0),0), INDEX($V$1004:$AE$1004,1,MATCH(COLUMNS($V$1006:Y1006),$V$1006:$AE$1006,0)))),"Fix")))</f>
        <v>0</v>
      </c>
      <c r="F140" s="4">
        <f>IF(OR(INDEX($P$2:$P$1001,MATCH(ROWS($O$2:O140),$O$2:$O$1001,0),1)&gt;=100000,INDEX($V$1005:$AE$1005,1,MATCH(COLUMNS($V$1006:Z1006),$V$1006:$AE$1006,0))&gt;=100000), " ",IF(INDEX($V$2:$AE$1001,MATCH(ROWS($O$2:O140),$O$2:$O$1001,0),MATCH(COLUMNS($V$1006:Z1006),$V$1006:$AE$1006,0)), HYPERLINK("#",""), HYPERLINK(CONCATENATE("#Metadata!", ADDRESS(INDEX($Q$2:$Q$1001,MATCH(ROWS($O$2:O140),$O$2:$O$1001,0),0), INDEX($V$1004:$AE$1004,1,MATCH(COLUMNS($V$1006:Z1006),$V$1006:$AE$1006,0)))),"Fix")))</f>
        <v>0</v>
      </c>
      <c r="G140" s="4">
        <f>IF(OR(INDEX($P$2:$P$1001,MATCH(ROWS($O$2:O140),$O$2:$O$1001,0),1)&gt;=100000,INDEX($V$1005:$AE$1005,1,MATCH(COLUMNS($V$1006:AA1006),$V$1006:$AE$1006,0))&gt;=100000), " ",IF(INDEX($V$2:$AE$1001,MATCH(ROWS($O$2:O140),$O$2:$O$1001,0),MATCH(COLUMNS($V$1006:AA1006),$V$1006:$AE$1006,0)), HYPERLINK("#",""), HYPERLINK(CONCATENATE("#Metadata!", ADDRESS(INDEX($Q$2:$Q$1001,MATCH(ROWS($O$2:O140),$O$2:$O$1001,0),0), INDEX($V$1004:$AE$1004,1,MATCH(COLUMNS($V$1006:AA1006),$V$1006:$AE$1006,0)))),"Fix")))</f>
        <v>0</v>
      </c>
      <c r="H140" s="4">
        <f>IF(OR(INDEX($P$2:$P$1001,MATCH(ROWS($O$2:O140),$O$2:$O$1001,0),1)&gt;=100000,INDEX($V$1005:$AE$1005,1,MATCH(COLUMNS($V$1006:AB1006),$V$1006:$AE$1006,0))&gt;=100000), " ",IF(INDEX($V$2:$AE$1001,MATCH(ROWS($O$2:O140),$O$2:$O$1001,0),MATCH(COLUMNS($V$1006:AB1006),$V$1006:$AE$1006,0)), HYPERLINK("#",""), HYPERLINK(CONCATENATE("#Metadata!", ADDRESS(INDEX($Q$2:$Q$1001,MATCH(ROWS($O$2:O140),$O$2:$O$1001,0),0), INDEX($V$1004:$AE$1004,1,MATCH(COLUMNS($V$1006:AB1006),$V$1006:$AE$1006,0)))),"Fix")))</f>
        <v>0</v>
      </c>
      <c r="I140" s="4">
        <f>IF(OR(INDEX($P$2:$P$1001,MATCH(ROWS($O$2:O140),$O$2:$O$1001,0),1)&gt;=100000,INDEX($V$1005:$AE$1005,1,MATCH(COLUMNS($V$1006:AC1006),$V$1006:$AE$1006,0))&gt;=100000), " ",IF(INDEX($V$2:$AE$1001,MATCH(ROWS($O$2:O140),$O$2:$O$1001,0),MATCH(COLUMNS($V$1006:AC1006),$V$1006:$AE$1006,0)), HYPERLINK("#",""), HYPERLINK(CONCATENATE("#Metadata!", ADDRESS(INDEX($Q$2:$Q$1001,MATCH(ROWS($O$2:O140),$O$2:$O$1001,0),0), INDEX($V$1004:$AE$1004,1,MATCH(COLUMNS($V$1006:AC1006),$V$1006:$AE$1006,0)))),"Fix")))</f>
        <v>0</v>
      </c>
      <c r="J140" s="4">
        <f>IF(OR(INDEX($P$2:$P$1001,MATCH(ROWS($O$2:O140),$O$2:$O$1001,0),1)&gt;=100000,INDEX($V$1005:$AE$1005,1,MATCH(COLUMNS($V$1006:AD1006),$V$1006:$AE$1006,0))&gt;=100000), " ",IF(INDEX($V$2:$AE$1001,MATCH(ROWS($O$2:O140),$O$2:$O$1001,0),MATCH(COLUMNS($V$1006:AD1006),$V$1006:$AE$1006,0)), HYPERLINK("#",""), HYPERLINK(CONCATENATE("#Metadata!", ADDRESS(INDEX($Q$2:$Q$1001,MATCH(ROWS($O$2:O140),$O$2:$O$1001,0),0), INDEX($V$1004:$AE$1004,1,MATCH(COLUMNS($V$1006:AD1006),$V$1006:$AE$1006,0)))),"Fix")))</f>
        <v>0</v>
      </c>
      <c r="K140" s="4">
        <f>IF(OR(INDEX($P$2:$P$1001,MATCH(ROWS($O$2:O140),$O$2:$O$1001,0),1)&gt;=100000,INDEX($V$1005:$AE$1005,1,MATCH(COLUMNS($V$1006:AE1006),$V$1006:$AE$1006,0))&gt;=100000), " ",IF(INDEX($V$2:$AE$1001,MATCH(ROWS($O$2:O140),$O$2:$O$1001,0),MATCH(COLUMNS($V$1006:AE1006),$V$1006:$AE$1006,0)), HYPERLINK("#",""), HYPERLINK(CONCATENATE("#Metadata!", ADDRESS(INDEX($Q$2:$Q$1001,MATCH(ROWS($O$2:O140),$O$2:$O$1001,0),0), INDEX($V$1004:$AE$1004,1,MATCH(COLUMNS($V$1006:AE1006),$V$1006:$AE$1006,0)))),"Fix")))</f>
        <v>0</v>
      </c>
      <c r="O140">
        <v>0</v>
      </c>
      <c r="P140">
        <v>0</v>
      </c>
      <c r="Q140">
        <v>0</v>
      </c>
      <c r="R140">
        <f>IF(S140,TRUE,AND(V140:AE140))</f>
        <v>0</v>
      </c>
      <c r="S140">
        <f>COUNTBLANK(Metadata!B140:K140)=COLUMNS(Metadata!B140:K140)</f>
        <v>0</v>
      </c>
      <c r="T140">
        <v>0</v>
      </c>
      <c r="V140">
        <f>AND(IF(Metadata!B140="",FALSE,TRUE),COUNTIF(Metadata!B:B, Metadata!B140) = 1,NOT(ISERROR(SUMPRODUCT(SEARCH(MID(Metadata!B140,ROW(INDIRECT("1:"&amp;LEN(Metadata!B140))), 1),"0123456789abcdefghijklmnopqrstuvwxyzABCDEFGHIJKLMNOPQRSTUVWXYZ.")))))</f>
        <v>0</v>
      </c>
      <c r="W140">
        <f>AND(IF(Metadata!C140="",FALSE,TRUE),exact(Metadata!C140,"urban biome"))</f>
        <v>0</v>
      </c>
      <c r="X140">
        <f>AND(IF(Metadata!D140="",FALSE,TRUE),exact(Metadata!D140,"animal-associated habitat"))</f>
        <v>0</v>
      </c>
      <c r="Y140">
        <f>OR(AND(IF(Metadata!E140="",FALSE,TRUE),OR(exact(Metadata!E140,"not applicable"),exact(Metadata!E140,"missing: not collected"),exact(Metadata!E140,"missing: not provided"),exact(Metadata!E140,"missing: restricted access"))),AND(IF(Metadata!E140="",FALSE,ISNUMBER(VALUE(Metadata!E140))),Metadata!E140&gt;0))</f>
        <v>0</v>
      </c>
      <c r="Z140">
        <f>AND(IF(Metadata!F140="",FALSE,TRUE),exact(Metadata!F140,"weeks"))</f>
        <v>0</v>
      </c>
      <c r="AA140">
        <f>AND(IF(Metadata!G140="",FALSE,TRUE),exact(Metadata!G140,"mouse"))</f>
        <v>0</v>
      </c>
      <c r="AB140">
        <f>AND(IF(Metadata!H140="",FALSE,TRUE),exact(Metadata!H140,"Mus musculus"))</f>
        <v>0</v>
      </c>
      <c r="AC140">
        <f>AND(IF(Metadata!I140="",FALSE,TRUE),exact(Metadata!I140,"10090"))</f>
        <v>0</v>
      </c>
      <c r="AD140">
        <f>OR(AND(IF(Metadata!J140="",FALSE,TRUE),OR(exact(Metadata!J140,"not applicable"),exact(Metadata!J140,"missing: not collected"),exact(Metadata!J140,"missing: not provided"),exact(Metadata!J140,"missing: restricted access"))),AND(IF(Metadata!J140="",FALSE,ISNUMBER(VALUE(Metadata!J140))),Metadata!J140&gt;0))</f>
        <v>0</v>
      </c>
      <c r="AE140">
        <f>AND(IF(Metadata!K140="",FALSE,TRUE),exact(Metadata!K140,"g"))</f>
        <v>0</v>
      </c>
    </row>
    <row r="141" spans="1:31">
      <c r="A141" s="5">
        <f>IF(B141=" "," ",HYPERLINK(CONCATENATE("#metadata!",ADDRESS(INDEX($Q$2:$Q$1001,MATCH(ROWS($O$2:O141),$O$2:$O$1001,0),0),1)),INDEX($T$2:$T$1001,MATCH(ROWS($O$2:O141),$O$2:$O$1001,0),0)))</f>
        <v>0</v>
      </c>
      <c r="B141" s="4">
        <f>IF(OR(INDEX($P$2:$P$1001,MATCH(ROWS($O$2:O141),$O$2:$O$1001,0),1)&gt;=100000,INDEX($V$1005:$AE$1005,1,MATCH(COLUMNS($V$1006:V1006),$V$1006:$AE$1006,0))&gt;=100000), " ",IF(INDEX($V$2:$AE$1001,MATCH(ROWS($O$2:O141),$O$2:$O$1001,0),MATCH(COLUMNS($V$1006:V1006),$V$1006:$AE$1006,0)), HYPERLINK("#",""), HYPERLINK(CONCATENATE("#Metadata!", ADDRESS(INDEX($Q$2:$Q$1001,MATCH(ROWS($O$2:O141),$O$2:$O$1001,0),0), INDEX($V$1004:$AE$1004,1,MATCH(COLUMNS($V$1006:V1006),$V$1006:$AE$1006,0)))),"Fix")))</f>
        <v>0</v>
      </c>
      <c r="C141" s="4">
        <f>IF(OR(INDEX($P$2:$P$1001,MATCH(ROWS($O$2:O141),$O$2:$O$1001,0),1)&gt;=100000,INDEX($V$1005:$AE$1005,1,MATCH(COLUMNS($V$1006:W1006),$V$1006:$AE$1006,0))&gt;=100000), " ",IF(INDEX($V$2:$AE$1001,MATCH(ROWS($O$2:O141),$O$2:$O$1001,0),MATCH(COLUMNS($V$1006:W1006),$V$1006:$AE$1006,0)), HYPERLINK("#",""), HYPERLINK(CONCATENATE("#Metadata!", ADDRESS(INDEX($Q$2:$Q$1001,MATCH(ROWS($O$2:O141),$O$2:$O$1001,0),0), INDEX($V$1004:$AE$1004,1,MATCH(COLUMNS($V$1006:W1006),$V$1006:$AE$1006,0)))),"Fix")))</f>
        <v>0</v>
      </c>
      <c r="D141" s="4">
        <f>IF(OR(INDEX($P$2:$P$1001,MATCH(ROWS($O$2:O141),$O$2:$O$1001,0),1)&gt;=100000,INDEX($V$1005:$AE$1005,1,MATCH(COLUMNS($V$1006:X1006),$V$1006:$AE$1006,0))&gt;=100000), " ",IF(INDEX($V$2:$AE$1001,MATCH(ROWS($O$2:O141),$O$2:$O$1001,0),MATCH(COLUMNS($V$1006:X1006),$V$1006:$AE$1006,0)), HYPERLINK("#",""), HYPERLINK(CONCATENATE("#Metadata!", ADDRESS(INDEX($Q$2:$Q$1001,MATCH(ROWS($O$2:O141),$O$2:$O$1001,0),0), INDEX($V$1004:$AE$1004,1,MATCH(COLUMNS($V$1006:X1006),$V$1006:$AE$1006,0)))),"Fix")))</f>
        <v>0</v>
      </c>
      <c r="E141" s="4">
        <f>IF(OR(INDEX($P$2:$P$1001,MATCH(ROWS($O$2:O141),$O$2:$O$1001,0),1)&gt;=100000,INDEX($V$1005:$AE$1005,1,MATCH(COLUMNS($V$1006:Y1006),$V$1006:$AE$1006,0))&gt;=100000), " ",IF(INDEX($V$2:$AE$1001,MATCH(ROWS($O$2:O141),$O$2:$O$1001,0),MATCH(COLUMNS($V$1006:Y1006),$V$1006:$AE$1006,0)), HYPERLINK("#",""), HYPERLINK(CONCATENATE("#Metadata!", ADDRESS(INDEX($Q$2:$Q$1001,MATCH(ROWS($O$2:O141),$O$2:$O$1001,0),0), INDEX($V$1004:$AE$1004,1,MATCH(COLUMNS($V$1006:Y1006),$V$1006:$AE$1006,0)))),"Fix")))</f>
        <v>0</v>
      </c>
      <c r="F141" s="4">
        <f>IF(OR(INDEX($P$2:$P$1001,MATCH(ROWS($O$2:O141),$O$2:$O$1001,0),1)&gt;=100000,INDEX($V$1005:$AE$1005,1,MATCH(COLUMNS($V$1006:Z1006),$V$1006:$AE$1006,0))&gt;=100000), " ",IF(INDEX($V$2:$AE$1001,MATCH(ROWS($O$2:O141),$O$2:$O$1001,0),MATCH(COLUMNS($V$1006:Z1006),$V$1006:$AE$1006,0)), HYPERLINK("#",""), HYPERLINK(CONCATENATE("#Metadata!", ADDRESS(INDEX($Q$2:$Q$1001,MATCH(ROWS($O$2:O141),$O$2:$O$1001,0),0), INDEX($V$1004:$AE$1004,1,MATCH(COLUMNS($V$1006:Z1006),$V$1006:$AE$1006,0)))),"Fix")))</f>
        <v>0</v>
      </c>
      <c r="G141" s="4">
        <f>IF(OR(INDEX($P$2:$P$1001,MATCH(ROWS($O$2:O141),$O$2:$O$1001,0),1)&gt;=100000,INDEX($V$1005:$AE$1005,1,MATCH(COLUMNS($V$1006:AA1006),$V$1006:$AE$1006,0))&gt;=100000), " ",IF(INDEX($V$2:$AE$1001,MATCH(ROWS($O$2:O141),$O$2:$O$1001,0),MATCH(COLUMNS($V$1006:AA1006),$V$1006:$AE$1006,0)), HYPERLINK("#",""), HYPERLINK(CONCATENATE("#Metadata!", ADDRESS(INDEX($Q$2:$Q$1001,MATCH(ROWS($O$2:O141),$O$2:$O$1001,0),0), INDEX($V$1004:$AE$1004,1,MATCH(COLUMNS($V$1006:AA1006),$V$1006:$AE$1006,0)))),"Fix")))</f>
        <v>0</v>
      </c>
      <c r="H141" s="4">
        <f>IF(OR(INDEX($P$2:$P$1001,MATCH(ROWS($O$2:O141),$O$2:$O$1001,0),1)&gt;=100000,INDEX($V$1005:$AE$1005,1,MATCH(COLUMNS($V$1006:AB1006),$V$1006:$AE$1006,0))&gt;=100000), " ",IF(INDEX($V$2:$AE$1001,MATCH(ROWS($O$2:O141),$O$2:$O$1001,0),MATCH(COLUMNS($V$1006:AB1006),$V$1006:$AE$1006,0)), HYPERLINK("#",""), HYPERLINK(CONCATENATE("#Metadata!", ADDRESS(INDEX($Q$2:$Q$1001,MATCH(ROWS($O$2:O141),$O$2:$O$1001,0),0), INDEX($V$1004:$AE$1004,1,MATCH(COLUMNS($V$1006:AB1006),$V$1006:$AE$1006,0)))),"Fix")))</f>
        <v>0</v>
      </c>
      <c r="I141" s="4">
        <f>IF(OR(INDEX($P$2:$P$1001,MATCH(ROWS($O$2:O141),$O$2:$O$1001,0),1)&gt;=100000,INDEX($V$1005:$AE$1005,1,MATCH(COLUMNS($V$1006:AC1006),$V$1006:$AE$1006,0))&gt;=100000), " ",IF(INDEX($V$2:$AE$1001,MATCH(ROWS($O$2:O141),$O$2:$O$1001,0),MATCH(COLUMNS($V$1006:AC1006),$V$1006:$AE$1006,0)), HYPERLINK("#",""), HYPERLINK(CONCATENATE("#Metadata!", ADDRESS(INDEX($Q$2:$Q$1001,MATCH(ROWS($O$2:O141),$O$2:$O$1001,0),0), INDEX($V$1004:$AE$1004,1,MATCH(COLUMNS($V$1006:AC1006),$V$1006:$AE$1006,0)))),"Fix")))</f>
        <v>0</v>
      </c>
      <c r="J141" s="4">
        <f>IF(OR(INDEX($P$2:$P$1001,MATCH(ROWS($O$2:O141),$O$2:$O$1001,0),1)&gt;=100000,INDEX($V$1005:$AE$1005,1,MATCH(COLUMNS($V$1006:AD1006),$V$1006:$AE$1006,0))&gt;=100000), " ",IF(INDEX($V$2:$AE$1001,MATCH(ROWS($O$2:O141),$O$2:$O$1001,0),MATCH(COLUMNS($V$1006:AD1006),$V$1006:$AE$1006,0)), HYPERLINK("#",""), HYPERLINK(CONCATENATE("#Metadata!", ADDRESS(INDEX($Q$2:$Q$1001,MATCH(ROWS($O$2:O141),$O$2:$O$1001,0),0), INDEX($V$1004:$AE$1004,1,MATCH(COLUMNS($V$1006:AD1006),$V$1006:$AE$1006,0)))),"Fix")))</f>
        <v>0</v>
      </c>
      <c r="K141" s="4">
        <f>IF(OR(INDEX($P$2:$P$1001,MATCH(ROWS($O$2:O141),$O$2:$O$1001,0),1)&gt;=100000,INDEX($V$1005:$AE$1005,1,MATCH(COLUMNS($V$1006:AE1006),$V$1006:$AE$1006,0))&gt;=100000), " ",IF(INDEX($V$2:$AE$1001,MATCH(ROWS($O$2:O141),$O$2:$O$1001,0),MATCH(COLUMNS($V$1006:AE1006),$V$1006:$AE$1006,0)), HYPERLINK("#",""), HYPERLINK(CONCATENATE("#Metadata!", ADDRESS(INDEX($Q$2:$Q$1001,MATCH(ROWS($O$2:O141),$O$2:$O$1001,0),0), INDEX($V$1004:$AE$1004,1,MATCH(COLUMNS($V$1006:AE1006),$V$1006:$AE$1006,0)))),"Fix")))</f>
        <v>0</v>
      </c>
      <c r="O141">
        <v>0</v>
      </c>
      <c r="P141">
        <v>0</v>
      </c>
      <c r="Q141">
        <v>0</v>
      </c>
      <c r="R141">
        <f>IF(S141,TRUE,AND(V141:AE141))</f>
        <v>0</v>
      </c>
      <c r="S141">
        <f>COUNTBLANK(Metadata!B141:K141)=COLUMNS(Metadata!B141:K141)</f>
        <v>0</v>
      </c>
      <c r="T141">
        <v>0</v>
      </c>
      <c r="V141">
        <f>AND(IF(Metadata!B141="",FALSE,TRUE),COUNTIF(Metadata!B:B, Metadata!B141) = 1,NOT(ISERROR(SUMPRODUCT(SEARCH(MID(Metadata!B141,ROW(INDIRECT("1:"&amp;LEN(Metadata!B141))), 1),"0123456789abcdefghijklmnopqrstuvwxyzABCDEFGHIJKLMNOPQRSTUVWXYZ.")))))</f>
        <v>0</v>
      </c>
      <c r="W141">
        <f>AND(IF(Metadata!C141="",FALSE,TRUE),exact(Metadata!C141,"urban biome"))</f>
        <v>0</v>
      </c>
      <c r="X141">
        <f>AND(IF(Metadata!D141="",FALSE,TRUE),exact(Metadata!D141,"animal-associated habitat"))</f>
        <v>0</v>
      </c>
      <c r="Y141">
        <f>OR(AND(IF(Metadata!E141="",FALSE,TRUE),OR(exact(Metadata!E141,"not applicable"),exact(Metadata!E141,"missing: not collected"),exact(Metadata!E141,"missing: not provided"),exact(Metadata!E141,"missing: restricted access"))),AND(IF(Metadata!E141="",FALSE,ISNUMBER(VALUE(Metadata!E141))),Metadata!E141&gt;0))</f>
        <v>0</v>
      </c>
      <c r="Z141">
        <f>AND(IF(Metadata!F141="",FALSE,TRUE),exact(Metadata!F141,"weeks"))</f>
        <v>0</v>
      </c>
      <c r="AA141">
        <f>AND(IF(Metadata!G141="",FALSE,TRUE),exact(Metadata!G141,"mouse"))</f>
        <v>0</v>
      </c>
      <c r="AB141">
        <f>AND(IF(Metadata!H141="",FALSE,TRUE),exact(Metadata!H141,"Mus musculus"))</f>
        <v>0</v>
      </c>
      <c r="AC141">
        <f>AND(IF(Metadata!I141="",FALSE,TRUE),exact(Metadata!I141,"10090"))</f>
        <v>0</v>
      </c>
      <c r="AD141">
        <f>OR(AND(IF(Metadata!J141="",FALSE,TRUE),OR(exact(Metadata!J141,"not applicable"),exact(Metadata!J141,"missing: not collected"),exact(Metadata!J141,"missing: not provided"),exact(Metadata!J141,"missing: restricted access"))),AND(IF(Metadata!J141="",FALSE,ISNUMBER(VALUE(Metadata!J141))),Metadata!J141&gt;0))</f>
        <v>0</v>
      </c>
      <c r="AE141">
        <f>AND(IF(Metadata!K141="",FALSE,TRUE),exact(Metadata!K141,"g"))</f>
        <v>0</v>
      </c>
    </row>
    <row r="142" spans="1:31">
      <c r="A142" s="5">
        <f>IF(B142=" "," ",HYPERLINK(CONCATENATE("#metadata!",ADDRESS(INDEX($Q$2:$Q$1001,MATCH(ROWS($O$2:O142),$O$2:$O$1001,0),0),1)),INDEX($T$2:$T$1001,MATCH(ROWS($O$2:O142),$O$2:$O$1001,0),0)))</f>
        <v>0</v>
      </c>
      <c r="B142" s="4">
        <f>IF(OR(INDEX($P$2:$P$1001,MATCH(ROWS($O$2:O142),$O$2:$O$1001,0),1)&gt;=100000,INDEX($V$1005:$AE$1005,1,MATCH(COLUMNS($V$1006:V1006),$V$1006:$AE$1006,0))&gt;=100000), " ",IF(INDEX($V$2:$AE$1001,MATCH(ROWS($O$2:O142),$O$2:$O$1001,0),MATCH(COLUMNS($V$1006:V1006),$V$1006:$AE$1006,0)), HYPERLINK("#",""), HYPERLINK(CONCATENATE("#Metadata!", ADDRESS(INDEX($Q$2:$Q$1001,MATCH(ROWS($O$2:O142),$O$2:$O$1001,0),0), INDEX($V$1004:$AE$1004,1,MATCH(COLUMNS($V$1006:V1006),$V$1006:$AE$1006,0)))),"Fix")))</f>
        <v>0</v>
      </c>
      <c r="C142" s="4">
        <f>IF(OR(INDEX($P$2:$P$1001,MATCH(ROWS($O$2:O142),$O$2:$O$1001,0),1)&gt;=100000,INDEX($V$1005:$AE$1005,1,MATCH(COLUMNS($V$1006:W1006),$V$1006:$AE$1006,0))&gt;=100000), " ",IF(INDEX($V$2:$AE$1001,MATCH(ROWS($O$2:O142),$O$2:$O$1001,0),MATCH(COLUMNS($V$1006:W1006),$V$1006:$AE$1006,0)), HYPERLINK("#",""), HYPERLINK(CONCATENATE("#Metadata!", ADDRESS(INDEX($Q$2:$Q$1001,MATCH(ROWS($O$2:O142),$O$2:$O$1001,0),0), INDEX($V$1004:$AE$1004,1,MATCH(COLUMNS($V$1006:W1006),$V$1006:$AE$1006,0)))),"Fix")))</f>
        <v>0</v>
      </c>
      <c r="D142" s="4">
        <f>IF(OR(INDEX($P$2:$P$1001,MATCH(ROWS($O$2:O142),$O$2:$O$1001,0),1)&gt;=100000,INDEX($V$1005:$AE$1005,1,MATCH(COLUMNS($V$1006:X1006),$V$1006:$AE$1006,0))&gt;=100000), " ",IF(INDEX($V$2:$AE$1001,MATCH(ROWS($O$2:O142),$O$2:$O$1001,0),MATCH(COLUMNS($V$1006:X1006),$V$1006:$AE$1006,0)), HYPERLINK("#",""), HYPERLINK(CONCATENATE("#Metadata!", ADDRESS(INDEX($Q$2:$Q$1001,MATCH(ROWS($O$2:O142),$O$2:$O$1001,0),0), INDEX($V$1004:$AE$1004,1,MATCH(COLUMNS($V$1006:X1006),$V$1006:$AE$1006,0)))),"Fix")))</f>
        <v>0</v>
      </c>
      <c r="E142" s="4">
        <f>IF(OR(INDEX($P$2:$P$1001,MATCH(ROWS($O$2:O142),$O$2:$O$1001,0),1)&gt;=100000,INDEX($V$1005:$AE$1005,1,MATCH(COLUMNS($V$1006:Y1006),$V$1006:$AE$1006,0))&gt;=100000), " ",IF(INDEX($V$2:$AE$1001,MATCH(ROWS($O$2:O142),$O$2:$O$1001,0),MATCH(COLUMNS($V$1006:Y1006),$V$1006:$AE$1006,0)), HYPERLINK("#",""), HYPERLINK(CONCATENATE("#Metadata!", ADDRESS(INDEX($Q$2:$Q$1001,MATCH(ROWS($O$2:O142),$O$2:$O$1001,0),0), INDEX($V$1004:$AE$1004,1,MATCH(COLUMNS($V$1006:Y1006),$V$1006:$AE$1006,0)))),"Fix")))</f>
        <v>0</v>
      </c>
      <c r="F142" s="4">
        <f>IF(OR(INDEX($P$2:$P$1001,MATCH(ROWS($O$2:O142),$O$2:$O$1001,0),1)&gt;=100000,INDEX($V$1005:$AE$1005,1,MATCH(COLUMNS($V$1006:Z1006),$V$1006:$AE$1006,0))&gt;=100000), " ",IF(INDEX($V$2:$AE$1001,MATCH(ROWS($O$2:O142),$O$2:$O$1001,0),MATCH(COLUMNS($V$1006:Z1006),$V$1006:$AE$1006,0)), HYPERLINK("#",""), HYPERLINK(CONCATENATE("#Metadata!", ADDRESS(INDEX($Q$2:$Q$1001,MATCH(ROWS($O$2:O142),$O$2:$O$1001,0),0), INDEX($V$1004:$AE$1004,1,MATCH(COLUMNS($V$1006:Z1006),$V$1006:$AE$1006,0)))),"Fix")))</f>
        <v>0</v>
      </c>
      <c r="G142" s="4">
        <f>IF(OR(INDEX($P$2:$P$1001,MATCH(ROWS($O$2:O142),$O$2:$O$1001,0),1)&gt;=100000,INDEX($V$1005:$AE$1005,1,MATCH(COLUMNS($V$1006:AA1006),$V$1006:$AE$1006,0))&gt;=100000), " ",IF(INDEX($V$2:$AE$1001,MATCH(ROWS($O$2:O142),$O$2:$O$1001,0),MATCH(COLUMNS($V$1006:AA1006),$V$1006:$AE$1006,0)), HYPERLINK("#",""), HYPERLINK(CONCATENATE("#Metadata!", ADDRESS(INDEX($Q$2:$Q$1001,MATCH(ROWS($O$2:O142),$O$2:$O$1001,0),0), INDEX($V$1004:$AE$1004,1,MATCH(COLUMNS($V$1006:AA1006),$V$1006:$AE$1006,0)))),"Fix")))</f>
        <v>0</v>
      </c>
      <c r="H142" s="4">
        <f>IF(OR(INDEX($P$2:$P$1001,MATCH(ROWS($O$2:O142),$O$2:$O$1001,0),1)&gt;=100000,INDEX($V$1005:$AE$1005,1,MATCH(COLUMNS($V$1006:AB1006),$V$1006:$AE$1006,0))&gt;=100000), " ",IF(INDEX($V$2:$AE$1001,MATCH(ROWS($O$2:O142),$O$2:$O$1001,0),MATCH(COLUMNS($V$1006:AB1006),$V$1006:$AE$1006,0)), HYPERLINK("#",""), HYPERLINK(CONCATENATE("#Metadata!", ADDRESS(INDEX($Q$2:$Q$1001,MATCH(ROWS($O$2:O142),$O$2:$O$1001,0),0), INDEX($V$1004:$AE$1004,1,MATCH(COLUMNS($V$1006:AB1006),$V$1006:$AE$1006,0)))),"Fix")))</f>
        <v>0</v>
      </c>
      <c r="I142" s="4">
        <f>IF(OR(INDEX($P$2:$P$1001,MATCH(ROWS($O$2:O142),$O$2:$O$1001,0),1)&gt;=100000,INDEX($V$1005:$AE$1005,1,MATCH(COLUMNS($V$1006:AC1006),$V$1006:$AE$1006,0))&gt;=100000), " ",IF(INDEX($V$2:$AE$1001,MATCH(ROWS($O$2:O142),$O$2:$O$1001,0),MATCH(COLUMNS($V$1006:AC1006),$V$1006:$AE$1006,0)), HYPERLINK("#",""), HYPERLINK(CONCATENATE("#Metadata!", ADDRESS(INDEX($Q$2:$Q$1001,MATCH(ROWS($O$2:O142),$O$2:$O$1001,0),0), INDEX($V$1004:$AE$1004,1,MATCH(COLUMNS($V$1006:AC1006),$V$1006:$AE$1006,0)))),"Fix")))</f>
        <v>0</v>
      </c>
      <c r="J142" s="4">
        <f>IF(OR(INDEX($P$2:$P$1001,MATCH(ROWS($O$2:O142),$O$2:$O$1001,0),1)&gt;=100000,INDEX($V$1005:$AE$1005,1,MATCH(COLUMNS($V$1006:AD1006),$V$1006:$AE$1006,0))&gt;=100000), " ",IF(INDEX($V$2:$AE$1001,MATCH(ROWS($O$2:O142),$O$2:$O$1001,0),MATCH(COLUMNS($V$1006:AD1006),$V$1006:$AE$1006,0)), HYPERLINK("#",""), HYPERLINK(CONCATENATE("#Metadata!", ADDRESS(INDEX($Q$2:$Q$1001,MATCH(ROWS($O$2:O142),$O$2:$O$1001,0),0), INDEX($V$1004:$AE$1004,1,MATCH(COLUMNS($V$1006:AD1006),$V$1006:$AE$1006,0)))),"Fix")))</f>
        <v>0</v>
      </c>
      <c r="K142" s="4">
        <f>IF(OR(INDEX($P$2:$P$1001,MATCH(ROWS($O$2:O142),$O$2:$O$1001,0),1)&gt;=100000,INDEX($V$1005:$AE$1005,1,MATCH(COLUMNS($V$1006:AE1006),$V$1006:$AE$1006,0))&gt;=100000), " ",IF(INDEX($V$2:$AE$1001,MATCH(ROWS($O$2:O142),$O$2:$O$1001,0),MATCH(COLUMNS($V$1006:AE1006),$V$1006:$AE$1006,0)), HYPERLINK("#",""), HYPERLINK(CONCATENATE("#Metadata!", ADDRESS(INDEX($Q$2:$Q$1001,MATCH(ROWS($O$2:O142),$O$2:$O$1001,0),0), INDEX($V$1004:$AE$1004,1,MATCH(COLUMNS($V$1006:AE1006),$V$1006:$AE$1006,0)))),"Fix")))</f>
        <v>0</v>
      </c>
      <c r="O142">
        <v>0</v>
      </c>
      <c r="P142">
        <v>0</v>
      </c>
      <c r="Q142">
        <v>0</v>
      </c>
      <c r="R142">
        <f>IF(S142,TRUE,AND(V142:AE142))</f>
        <v>0</v>
      </c>
      <c r="S142">
        <f>COUNTBLANK(Metadata!B142:K142)=COLUMNS(Metadata!B142:K142)</f>
        <v>0</v>
      </c>
      <c r="T142">
        <v>0</v>
      </c>
      <c r="V142">
        <f>AND(IF(Metadata!B142="",FALSE,TRUE),COUNTIF(Metadata!B:B, Metadata!B142) = 1,NOT(ISERROR(SUMPRODUCT(SEARCH(MID(Metadata!B142,ROW(INDIRECT("1:"&amp;LEN(Metadata!B142))), 1),"0123456789abcdefghijklmnopqrstuvwxyzABCDEFGHIJKLMNOPQRSTUVWXYZ.")))))</f>
        <v>0</v>
      </c>
      <c r="W142">
        <f>AND(IF(Metadata!C142="",FALSE,TRUE),exact(Metadata!C142,"urban biome"))</f>
        <v>0</v>
      </c>
      <c r="X142">
        <f>AND(IF(Metadata!D142="",FALSE,TRUE),exact(Metadata!D142,"animal-associated habitat"))</f>
        <v>0</v>
      </c>
      <c r="Y142">
        <f>OR(AND(IF(Metadata!E142="",FALSE,TRUE),OR(exact(Metadata!E142,"not applicable"),exact(Metadata!E142,"missing: not collected"),exact(Metadata!E142,"missing: not provided"),exact(Metadata!E142,"missing: restricted access"))),AND(IF(Metadata!E142="",FALSE,ISNUMBER(VALUE(Metadata!E142))),Metadata!E142&gt;0))</f>
        <v>0</v>
      </c>
      <c r="Z142">
        <f>AND(IF(Metadata!F142="",FALSE,TRUE),exact(Metadata!F142,"weeks"))</f>
        <v>0</v>
      </c>
      <c r="AA142">
        <f>AND(IF(Metadata!G142="",FALSE,TRUE),exact(Metadata!G142,"mouse"))</f>
        <v>0</v>
      </c>
      <c r="AB142">
        <f>AND(IF(Metadata!H142="",FALSE,TRUE),exact(Metadata!H142,"Mus musculus"))</f>
        <v>0</v>
      </c>
      <c r="AC142">
        <f>AND(IF(Metadata!I142="",FALSE,TRUE),exact(Metadata!I142,"10090"))</f>
        <v>0</v>
      </c>
      <c r="AD142">
        <f>OR(AND(IF(Metadata!J142="",FALSE,TRUE),OR(exact(Metadata!J142,"not applicable"),exact(Metadata!J142,"missing: not collected"),exact(Metadata!J142,"missing: not provided"),exact(Metadata!J142,"missing: restricted access"))),AND(IF(Metadata!J142="",FALSE,ISNUMBER(VALUE(Metadata!J142))),Metadata!J142&gt;0))</f>
        <v>0</v>
      </c>
      <c r="AE142">
        <f>AND(IF(Metadata!K142="",FALSE,TRUE),exact(Metadata!K142,"g"))</f>
        <v>0</v>
      </c>
    </row>
    <row r="143" spans="1:31">
      <c r="A143" s="5">
        <f>IF(B143=" "," ",HYPERLINK(CONCATENATE("#metadata!",ADDRESS(INDEX($Q$2:$Q$1001,MATCH(ROWS($O$2:O143),$O$2:$O$1001,0),0),1)),INDEX($T$2:$T$1001,MATCH(ROWS($O$2:O143),$O$2:$O$1001,0),0)))</f>
        <v>0</v>
      </c>
      <c r="B143" s="4">
        <f>IF(OR(INDEX($P$2:$P$1001,MATCH(ROWS($O$2:O143),$O$2:$O$1001,0),1)&gt;=100000,INDEX($V$1005:$AE$1005,1,MATCH(COLUMNS($V$1006:V1006),$V$1006:$AE$1006,0))&gt;=100000), " ",IF(INDEX($V$2:$AE$1001,MATCH(ROWS($O$2:O143),$O$2:$O$1001,0),MATCH(COLUMNS($V$1006:V1006),$V$1006:$AE$1006,0)), HYPERLINK("#",""), HYPERLINK(CONCATENATE("#Metadata!", ADDRESS(INDEX($Q$2:$Q$1001,MATCH(ROWS($O$2:O143),$O$2:$O$1001,0),0), INDEX($V$1004:$AE$1004,1,MATCH(COLUMNS($V$1006:V1006),$V$1006:$AE$1006,0)))),"Fix")))</f>
        <v>0</v>
      </c>
      <c r="C143" s="4">
        <f>IF(OR(INDEX($P$2:$P$1001,MATCH(ROWS($O$2:O143),$O$2:$O$1001,0),1)&gt;=100000,INDEX($V$1005:$AE$1005,1,MATCH(COLUMNS($V$1006:W1006),$V$1006:$AE$1006,0))&gt;=100000), " ",IF(INDEX($V$2:$AE$1001,MATCH(ROWS($O$2:O143),$O$2:$O$1001,0),MATCH(COLUMNS($V$1006:W1006),$V$1006:$AE$1006,0)), HYPERLINK("#",""), HYPERLINK(CONCATENATE("#Metadata!", ADDRESS(INDEX($Q$2:$Q$1001,MATCH(ROWS($O$2:O143),$O$2:$O$1001,0),0), INDEX($V$1004:$AE$1004,1,MATCH(COLUMNS($V$1006:W1006),$V$1006:$AE$1006,0)))),"Fix")))</f>
        <v>0</v>
      </c>
      <c r="D143" s="4">
        <f>IF(OR(INDEX($P$2:$P$1001,MATCH(ROWS($O$2:O143),$O$2:$O$1001,0),1)&gt;=100000,INDEX($V$1005:$AE$1005,1,MATCH(COLUMNS($V$1006:X1006),$V$1006:$AE$1006,0))&gt;=100000), " ",IF(INDEX($V$2:$AE$1001,MATCH(ROWS($O$2:O143),$O$2:$O$1001,0),MATCH(COLUMNS($V$1006:X1006),$V$1006:$AE$1006,0)), HYPERLINK("#",""), HYPERLINK(CONCATENATE("#Metadata!", ADDRESS(INDEX($Q$2:$Q$1001,MATCH(ROWS($O$2:O143),$O$2:$O$1001,0),0), INDEX($V$1004:$AE$1004,1,MATCH(COLUMNS($V$1006:X1006),$V$1006:$AE$1006,0)))),"Fix")))</f>
        <v>0</v>
      </c>
      <c r="E143" s="4">
        <f>IF(OR(INDEX($P$2:$P$1001,MATCH(ROWS($O$2:O143),$O$2:$O$1001,0),1)&gt;=100000,INDEX($V$1005:$AE$1005,1,MATCH(COLUMNS($V$1006:Y1006),$V$1006:$AE$1006,0))&gt;=100000), " ",IF(INDEX($V$2:$AE$1001,MATCH(ROWS($O$2:O143),$O$2:$O$1001,0),MATCH(COLUMNS($V$1006:Y1006),$V$1006:$AE$1006,0)), HYPERLINK("#",""), HYPERLINK(CONCATENATE("#Metadata!", ADDRESS(INDEX($Q$2:$Q$1001,MATCH(ROWS($O$2:O143),$O$2:$O$1001,0),0), INDEX($V$1004:$AE$1004,1,MATCH(COLUMNS($V$1006:Y1006),$V$1006:$AE$1006,0)))),"Fix")))</f>
        <v>0</v>
      </c>
      <c r="F143" s="4">
        <f>IF(OR(INDEX($P$2:$P$1001,MATCH(ROWS($O$2:O143),$O$2:$O$1001,0),1)&gt;=100000,INDEX($V$1005:$AE$1005,1,MATCH(COLUMNS($V$1006:Z1006),$V$1006:$AE$1006,0))&gt;=100000), " ",IF(INDEX($V$2:$AE$1001,MATCH(ROWS($O$2:O143),$O$2:$O$1001,0),MATCH(COLUMNS($V$1006:Z1006),$V$1006:$AE$1006,0)), HYPERLINK("#",""), HYPERLINK(CONCATENATE("#Metadata!", ADDRESS(INDEX($Q$2:$Q$1001,MATCH(ROWS($O$2:O143),$O$2:$O$1001,0),0), INDEX($V$1004:$AE$1004,1,MATCH(COLUMNS($V$1006:Z1006),$V$1006:$AE$1006,0)))),"Fix")))</f>
        <v>0</v>
      </c>
      <c r="G143" s="4">
        <f>IF(OR(INDEX($P$2:$P$1001,MATCH(ROWS($O$2:O143),$O$2:$O$1001,0),1)&gt;=100000,INDEX($V$1005:$AE$1005,1,MATCH(COLUMNS($V$1006:AA1006),$V$1006:$AE$1006,0))&gt;=100000), " ",IF(INDEX($V$2:$AE$1001,MATCH(ROWS($O$2:O143),$O$2:$O$1001,0),MATCH(COLUMNS($V$1006:AA1006),$V$1006:$AE$1006,0)), HYPERLINK("#",""), HYPERLINK(CONCATENATE("#Metadata!", ADDRESS(INDEX($Q$2:$Q$1001,MATCH(ROWS($O$2:O143),$O$2:$O$1001,0),0), INDEX($V$1004:$AE$1004,1,MATCH(COLUMNS($V$1006:AA1006),$V$1006:$AE$1006,0)))),"Fix")))</f>
        <v>0</v>
      </c>
      <c r="H143" s="4">
        <f>IF(OR(INDEX($P$2:$P$1001,MATCH(ROWS($O$2:O143),$O$2:$O$1001,0),1)&gt;=100000,INDEX($V$1005:$AE$1005,1,MATCH(COLUMNS($V$1006:AB1006),$V$1006:$AE$1006,0))&gt;=100000), " ",IF(INDEX($V$2:$AE$1001,MATCH(ROWS($O$2:O143),$O$2:$O$1001,0),MATCH(COLUMNS($V$1006:AB1006),$V$1006:$AE$1006,0)), HYPERLINK("#",""), HYPERLINK(CONCATENATE("#Metadata!", ADDRESS(INDEX($Q$2:$Q$1001,MATCH(ROWS($O$2:O143),$O$2:$O$1001,0),0), INDEX($V$1004:$AE$1004,1,MATCH(COLUMNS($V$1006:AB1006),$V$1006:$AE$1006,0)))),"Fix")))</f>
        <v>0</v>
      </c>
      <c r="I143" s="4">
        <f>IF(OR(INDEX($P$2:$P$1001,MATCH(ROWS($O$2:O143),$O$2:$O$1001,0),1)&gt;=100000,INDEX($V$1005:$AE$1005,1,MATCH(COLUMNS($V$1006:AC1006),$V$1006:$AE$1006,0))&gt;=100000), " ",IF(INDEX($V$2:$AE$1001,MATCH(ROWS($O$2:O143),$O$2:$O$1001,0),MATCH(COLUMNS($V$1006:AC1006),$V$1006:$AE$1006,0)), HYPERLINK("#",""), HYPERLINK(CONCATENATE("#Metadata!", ADDRESS(INDEX($Q$2:$Q$1001,MATCH(ROWS($O$2:O143),$O$2:$O$1001,0),0), INDEX($V$1004:$AE$1004,1,MATCH(COLUMNS($V$1006:AC1006),$V$1006:$AE$1006,0)))),"Fix")))</f>
        <v>0</v>
      </c>
      <c r="J143" s="4">
        <f>IF(OR(INDEX($P$2:$P$1001,MATCH(ROWS($O$2:O143),$O$2:$O$1001,0),1)&gt;=100000,INDEX($V$1005:$AE$1005,1,MATCH(COLUMNS($V$1006:AD1006),$V$1006:$AE$1006,0))&gt;=100000), " ",IF(INDEX($V$2:$AE$1001,MATCH(ROWS($O$2:O143),$O$2:$O$1001,0),MATCH(COLUMNS($V$1006:AD1006),$V$1006:$AE$1006,0)), HYPERLINK("#",""), HYPERLINK(CONCATENATE("#Metadata!", ADDRESS(INDEX($Q$2:$Q$1001,MATCH(ROWS($O$2:O143),$O$2:$O$1001,0),0), INDEX($V$1004:$AE$1004,1,MATCH(COLUMNS($V$1006:AD1006),$V$1006:$AE$1006,0)))),"Fix")))</f>
        <v>0</v>
      </c>
      <c r="K143" s="4">
        <f>IF(OR(INDEX($P$2:$P$1001,MATCH(ROWS($O$2:O143),$O$2:$O$1001,0),1)&gt;=100000,INDEX($V$1005:$AE$1005,1,MATCH(COLUMNS($V$1006:AE1006),$V$1006:$AE$1006,0))&gt;=100000), " ",IF(INDEX($V$2:$AE$1001,MATCH(ROWS($O$2:O143),$O$2:$O$1001,0),MATCH(COLUMNS($V$1006:AE1006),$V$1006:$AE$1006,0)), HYPERLINK("#",""), HYPERLINK(CONCATENATE("#Metadata!", ADDRESS(INDEX($Q$2:$Q$1001,MATCH(ROWS($O$2:O143),$O$2:$O$1001,0),0), INDEX($V$1004:$AE$1004,1,MATCH(COLUMNS($V$1006:AE1006),$V$1006:$AE$1006,0)))),"Fix")))</f>
        <v>0</v>
      </c>
      <c r="O143">
        <v>0</v>
      </c>
      <c r="P143">
        <v>0</v>
      </c>
      <c r="Q143">
        <v>0</v>
      </c>
      <c r="R143">
        <f>IF(S143,TRUE,AND(V143:AE143))</f>
        <v>0</v>
      </c>
      <c r="S143">
        <f>COUNTBLANK(Metadata!B143:K143)=COLUMNS(Metadata!B143:K143)</f>
        <v>0</v>
      </c>
      <c r="T143">
        <v>0</v>
      </c>
      <c r="V143">
        <f>AND(IF(Metadata!B143="",FALSE,TRUE),COUNTIF(Metadata!B:B, Metadata!B143) = 1,NOT(ISERROR(SUMPRODUCT(SEARCH(MID(Metadata!B143,ROW(INDIRECT("1:"&amp;LEN(Metadata!B143))), 1),"0123456789abcdefghijklmnopqrstuvwxyzABCDEFGHIJKLMNOPQRSTUVWXYZ.")))))</f>
        <v>0</v>
      </c>
      <c r="W143">
        <f>AND(IF(Metadata!C143="",FALSE,TRUE),exact(Metadata!C143,"urban biome"))</f>
        <v>0</v>
      </c>
      <c r="X143">
        <f>AND(IF(Metadata!D143="",FALSE,TRUE),exact(Metadata!D143,"animal-associated habitat"))</f>
        <v>0</v>
      </c>
      <c r="Y143">
        <f>OR(AND(IF(Metadata!E143="",FALSE,TRUE),OR(exact(Metadata!E143,"not applicable"),exact(Metadata!E143,"missing: not collected"),exact(Metadata!E143,"missing: not provided"),exact(Metadata!E143,"missing: restricted access"))),AND(IF(Metadata!E143="",FALSE,ISNUMBER(VALUE(Metadata!E143))),Metadata!E143&gt;0))</f>
        <v>0</v>
      </c>
      <c r="Z143">
        <f>AND(IF(Metadata!F143="",FALSE,TRUE),exact(Metadata!F143,"weeks"))</f>
        <v>0</v>
      </c>
      <c r="AA143">
        <f>AND(IF(Metadata!G143="",FALSE,TRUE),exact(Metadata!G143,"mouse"))</f>
        <v>0</v>
      </c>
      <c r="AB143">
        <f>AND(IF(Metadata!H143="",FALSE,TRUE),exact(Metadata!H143,"Mus musculus"))</f>
        <v>0</v>
      </c>
      <c r="AC143">
        <f>AND(IF(Metadata!I143="",FALSE,TRUE),exact(Metadata!I143,"10090"))</f>
        <v>0</v>
      </c>
      <c r="AD143">
        <f>OR(AND(IF(Metadata!J143="",FALSE,TRUE),OR(exact(Metadata!J143,"not applicable"),exact(Metadata!J143,"missing: not collected"),exact(Metadata!J143,"missing: not provided"),exact(Metadata!J143,"missing: restricted access"))),AND(IF(Metadata!J143="",FALSE,ISNUMBER(VALUE(Metadata!J143))),Metadata!J143&gt;0))</f>
        <v>0</v>
      </c>
      <c r="AE143">
        <f>AND(IF(Metadata!K143="",FALSE,TRUE),exact(Metadata!K143,"g"))</f>
        <v>0</v>
      </c>
    </row>
    <row r="144" spans="1:31">
      <c r="A144" s="5">
        <f>IF(B144=" "," ",HYPERLINK(CONCATENATE("#metadata!",ADDRESS(INDEX($Q$2:$Q$1001,MATCH(ROWS($O$2:O144),$O$2:$O$1001,0),0),1)),INDEX($T$2:$T$1001,MATCH(ROWS($O$2:O144),$O$2:$O$1001,0),0)))</f>
        <v>0</v>
      </c>
      <c r="B144" s="4">
        <f>IF(OR(INDEX($P$2:$P$1001,MATCH(ROWS($O$2:O144),$O$2:$O$1001,0),1)&gt;=100000,INDEX($V$1005:$AE$1005,1,MATCH(COLUMNS($V$1006:V1006),$V$1006:$AE$1006,0))&gt;=100000), " ",IF(INDEX($V$2:$AE$1001,MATCH(ROWS($O$2:O144),$O$2:$O$1001,0),MATCH(COLUMNS($V$1006:V1006),$V$1006:$AE$1006,0)), HYPERLINK("#",""), HYPERLINK(CONCATENATE("#Metadata!", ADDRESS(INDEX($Q$2:$Q$1001,MATCH(ROWS($O$2:O144),$O$2:$O$1001,0),0), INDEX($V$1004:$AE$1004,1,MATCH(COLUMNS($V$1006:V1006),$V$1006:$AE$1006,0)))),"Fix")))</f>
        <v>0</v>
      </c>
      <c r="C144" s="4">
        <f>IF(OR(INDEX($P$2:$P$1001,MATCH(ROWS($O$2:O144),$O$2:$O$1001,0),1)&gt;=100000,INDEX($V$1005:$AE$1005,1,MATCH(COLUMNS($V$1006:W1006),$V$1006:$AE$1006,0))&gt;=100000), " ",IF(INDEX($V$2:$AE$1001,MATCH(ROWS($O$2:O144),$O$2:$O$1001,0),MATCH(COLUMNS($V$1006:W1006),$V$1006:$AE$1006,0)), HYPERLINK("#",""), HYPERLINK(CONCATENATE("#Metadata!", ADDRESS(INDEX($Q$2:$Q$1001,MATCH(ROWS($O$2:O144),$O$2:$O$1001,0),0), INDEX($V$1004:$AE$1004,1,MATCH(COLUMNS($V$1006:W1006),$V$1006:$AE$1006,0)))),"Fix")))</f>
        <v>0</v>
      </c>
      <c r="D144" s="4">
        <f>IF(OR(INDEX($P$2:$P$1001,MATCH(ROWS($O$2:O144),$O$2:$O$1001,0),1)&gt;=100000,INDEX($V$1005:$AE$1005,1,MATCH(COLUMNS($V$1006:X1006),$V$1006:$AE$1006,0))&gt;=100000), " ",IF(INDEX($V$2:$AE$1001,MATCH(ROWS($O$2:O144),$O$2:$O$1001,0),MATCH(COLUMNS($V$1006:X1006),$V$1006:$AE$1006,0)), HYPERLINK("#",""), HYPERLINK(CONCATENATE("#Metadata!", ADDRESS(INDEX($Q$2:$Q$1001,MATCH(ROWS($O$2:O144),$O$2:$O$1001,0),0), INDEX($V$1004:$AE$1004,1,MATCH(COLUMNS($V$1006:X1006),$V$1006:$AE$1006,0)))),"Fix")))</f>
        <v>0</v>
      </c>
      <c r="E144" s="4">
        <f>IF(OR(INDEX($P$2:$P$1001,MATCH(ROWS($O$2:O144),$O$2:$O$1001,0),1)&gt;=100000,INDEX($V$1005:$AE$1005,1,MATCH(COLUMNS($V$1006:Y1006),$V$1006:$AE$1006,0))&gt;=100000), " ",IF(INDEX($V$2:$AE$1001,MATCH(ROWS($O$2:O144),$O$2:$O$1001,0),MATCH(COLUMNS($V$1006:Y1006),$V$1006:$AE$1006,0)), HYPERLINK("#",""), HYPERLINK(CONCATENATE("#Metadata!", ADDRESS(INDEX($Q$2:$Q$1001,MATCH(ROWS($O$2:O144),$O$2:$O$1001,0),0), INDEX($V$1004:$AE$1004,1,MATCH(COLUMNS($V$1006:Y1006),$V$1006:$AE$1006,0)))),"Fix")))</f>
        <v>0</v>
      </c>
      <c r="F144" s="4">
        <f>IF(OR(INDEX($P$2:$P$1001,MATCH(ROWS($O$2:O144),$O$2:$O$1001,0),1)&gt;=100000,INDEX($V$1005:$AE$1005,1,MATCH(COLUMNS($V$1006:Z1006),$V$1006:$AE$1006,0))&gt;=100000), " ",IF(INDEX($V$2:$AE$1001,MATCH(ROWS($O$2:O144),$O$2:$O$1001,0),MATCH(COLUMNS($V$1006:Z1006),$V$1006:$AE$1006,0)), HYPERLINK("#",""), HYPERLINK(CONCATENATE("#Metadata!", ADDRESS(INDEX($Q$2:$Q$1001,MATCH(ROWS($O$2:O144),$O$2:$O$1001,0),0), INDEX($V$1004:$AE$1004,1,MATCH(COLUMNS($V$1006:Z1006),$V$1006:$AE$1006,0)))),"Fix")))</f>
        <v>0</v>
      </c>
      <c r="G144" s="4">
        <f>IF(OR(INDEX($P$2:$P$1001,MATCH(ROWS($O$2:O144),$O$2:$O$1001,0),1)&gt;=100000,INDEX($V$1005:$AE$1005,1,MATCH(COLUMNS($V$1006:AA1006),$V$1006:$AE$1006,0))&gt;=100000), " ",IF(INDEX($V$2:$AE$1001,MATCH(ROWS($O$2:O144),$O$2:$O$1001,0),MATCH(COLUMNS($V$1006:AA1006),$V$1006:$AE$1006,0)), HYPERLINK("#",""), HYPERLINK(CONCATENATE("#Metadata!", ADDRESS(INDEX($Q$2:$Q$1001,MATCH(ROWS($O$2:O144),$O$2:$O$1001,0),0), INDEX($V$1004:$AE$1004,1,MATCH(COLUMNS($V$1006:AA1006),$V$1006:$AE$1006,0)))),"Fix")))</f>
        <v>0</v>
      </c>
      <c r="H144" s="4">
        <f>IF(OR(INDEX($P$2:$P$1001,MATCH(ROWS($O$2:O144),$O$2:$O$1001,0),1)&gt;=100000,INDEX($V$1005:$AE$1005,1,MATCH(COLUMNS($V$1006:AB1006),$V$1006:$AE$1006,0))&gt;=100000), " ",IF(INDEX($V$2:$AE$1001,MATCH(ROWS($O$2:O144),$O$2:$O$1001,0),MATCH(COLUMNS($V$1006:AB1006),$V$1006:$AE$1006,0)), HYPERLINK("#",""), HYPERLINK(CONCATENATE("#Metadata!", ADDRESS(INDEX($Q$2:$Q$1001,MATCH(ROWS($O$2:O144),$O$2:$O$1001,0),0), INDEX($V$1004:$AE$1004,1,MATCH(COLUMNS($V$1006:AB1006),$V$1006:$AE$1006,0)))),"Fix")))</f>
        <v>0</v>
      </c>
      <c r="I144" s="4">
        <f>IF(OR(INDEX($P$2:$P$1001,MATCH(ROWS($O$2:O144),$O$2:$O$1001,0),1)&gt;=100000,INDEX($V$1005:$AE$1005,1,MATCH(COLUMNS($V$1006:AC1006),$V$1006:$AE$1006,0))&gt;=100000), " ",IF(INDEX($V$2:$AE$1001,MATCH(ROWS($O$2:O144),$O$2:$O$1001,0),MATCH(COLUMNS($V$1006:AC1006),$V$1006:$AE$1006,0)), HYPERLINK("#",""), HYPERLINK(CONCATENATE("#Metadata!", ADDRESS(INDEX($Q$2:$Q$1001,MATCH(ROWS($O$2:O144),$O$2:$O$1001,0),0), INDEX($V$1004:$AE$1004,1,MATCH(COLUMNS($V$1006:AC1006),$V$1006:$AE$1006,0)))),"Fix")))</f>
        <v>0</v>
      </c>
      <c r="J144" s="4">
        <f>IF(OR(INDEX($P$2:$P$1001,MATCH(ROWS($O$2:O144),$O$2:$O$1001,0),1)&gt;=100000,INDEX($V$1005:$AE$1005,1,MATCH(COLUMNS($V$1006:AD1006),$V$1006:$AE$1006,0))&gt;=100000), " ",IF(INDEX($V$2:$AE$1001,MATCH(ROWS($O$2:O144),$O$2:$O$1001,0),MATCH(COLUMNS($V$1006:AD1006),$V$1006:$AE$1006,0)), HYPERLINK("#",""), HYPERLINK(CONCATENATE("#Metadata!", ADDRESS(INDEX($Q$2:$Q$1001,MATCH(ROWS($O$2:O144),$O$2:$O$1001,0),0), INDEX($V$1004:$AE$1004,1,MATCH(COLUMNS($V$1006:AD1006),$V$1006:$AE$1006,0)))),"Fix")))</f>
        <v>0</v>
      </c>
      <c r="K144" s="4">
        <f>IF(OR(INDEX($P$2:$P$1001,MATCH(ROWS($O$2:O144),$O$2:$O$1001,0),1)&gt;=100000,INDEX($V$1005:$AE$1005,1,MATCH(COLUMNS($V$1006:AE1006),$V$1006:$AE$1006,0))&gt;=100000), " ",IF(INDEX($V$2:$AE$1001,MATCH(ROWS($O$2:O144),$O$2:$O$1001,0),MATCH(COLUMNS($V$1006:AE1006),$V$1006:$AE$1006,0)), HYPERLINK("#",""), HYPERLINK(CONCATENATE("#Metadata!", ADDRESS(INDEX($Q$2:$Q$1001,MATCH(ROWS($O$2:O144),$O$2:$O$1001,0),0), INDEX($V$1004:$AE$1004,1,MATCH(COLUMNS($V$1006:AE1006),$V$1006:$AE$1006,0)))),"Fix")))</f>
        <v>0</v>
      </c>
      <c r="O144">
        <v>0</v>
      </c>
      <c r="P144">
        <v>0</v>
      </c>
      <c r="Q144">
        <v>0</v>
      </c>
      <c r="R144">
        <f>IF(S144,TRUE,AND(V144:AE144))</f>
        <v>0</v>
      </c>
      <c r="S144">
        <f>COUNTBLANK(Metadata!B144:K144)=COLUMNS(Metadata!B144:K144)</f>
        <v>0</v>
      </c>
      <c r="T144">
        <v>0</v>
      </c>
      <c r="V144">
        <f>AND(IF(Metadata!B144="",FALSE,TRUE),COUNTIF(Metadata!B:B, Metadata!B144) = 1,NOT(ISERROR(SUMPRODUCT(SEARCH(MID(Metadata!B144,ROW(INDIRECT("1:"&amp;LEN(Metadata!B144))), 1),"0123456789abcdefghijklmnopqrstuvwxyzABCDEFGHIJKLMNOPQRSTUVWXYZ.")))))</f>
        <v>0</v>
      </c>
      <c r="W144">
        <f>AND(IF(Metadata!C144="",FALSE,TRUE),exact(Metadata!C144,"urban biome"))</f>
        <v>0</v>
      </c>
      <c r="X144">
        <f>AND(IF(Metadata!D144="",FALSE,TRUE),exact(Metadata!D144,"animal-associated habitat"))</f>
        <v>0</v>
      </c>
      <c r="Y144">
        <f>OR(AND(IF(Metadata!E144="",FALSE,TRUE),OR(exact(Metadata!E144,"not applicable"),exact(Metadata!E144,"missing: not collected"),exact(Metadata!E144,"missing: not provided"),exact(Metadata!E144,"missing: restricted access"))),AND(IF(Metadata!E144="",FALSE,ISNUMBER(VALUE(Metadata!E144))),Metadata!E144&gt;0))</f>
        <v>0</v>
      </c>
      <c r="Z144">
        <f>AND(IF(Metadata!F144="",FALSE,TRUE),exact(Metadata!F144,"weeks"))</f>
        <v>0</v>
      </c>
      <c r="AA144">
        <f>AND(IF(Metadata!G144="",FALSE,TRUE),exact(Metadata!G144,"mouse"))</f>
        <v>0</v>
      </c>
      <c r="AB144">
        <f>AND(IF(Metadata!H144="",FALSE,TRUE),exact(Metadata!H144,"Mus musculus"))</f>
        <v>0</v>
      </c>
      <c r="AC144">
        <f>AND(IF(Metadata!I144="",FALSE,TRUE),exact(Metadata!I144,"10090"))</f>
        <v>0</v>
      </c>
      <c r="AD144">
        <f>OR(AND(IF(Metadata!J144="",FALSE,TRUE),OR(exact(Metadata!J144,"not applicable"),exact(Metadata!J144,"missing: not collected"),exact(Metadata!J144,"missing: not provided"),exact(Metadata!J144,"missing: restricted access"))),AND(IF(Metadata!J144="",FALSE,ISNUMBER(VALUE(Metadata!J144))),Metadata!J144&gt;0))</f>
        <v>0</v>
      </c>
      <c r="AE144">
        <f>AND(IF(Metadata!K144="",FALSE,TRUE),exact(Metadata!K144,"g"))</f>
        <v>0</v>
      </c>
    </row>
    <row r="145" spans="1:31">
      <c r="A145" s="5">
        <f>IF(B145=" "," ",HYPERLINK(CONCATENATE("#metadata!",ADDRESS(INDEX($Q$2:$Q$1001,MATCH(ROWS($O$2:O145),$O$2:$O$1001,0),0),1)),INDEX($T$2:$T$1001,MATCH(ROWS($O$2:O145),$O$2:$O$1001,0),0)))</f>
        <v>0</v>
      </c>
      <c r="B145" s="4">
        <f>IF(OR(INDEX($P$2:$P$1001,MATCH(ROWS($O$2:O145),$O$2:$O$1001,0),1)&gt;=100000,INDEX($V$1005:$AE$1005,1,MATCH(COLUMNS($V$1006:V1006),$V$1006:$AE$1006,0))&gt;=100000), " ",IF(INDEX($V$2:$AE$1001,MATCH(ROWS($O$2:O145),$O$2:$O$1001,0),MATCH(COLUMNS($V$1006:V1006),$V$1006:$AE$1006,0)), HYPERLINK("#",""), HYPERLINK(CONCATENATE("#Metadata!", ADDRESS(INDEX($Q$2:$Q$1001,MATCH(ROWS($O$2:O145),$O$2:$O$1001,0),0), INDEX($V$1004:$AE$1004,1,MATCH(COLUMNS($V$1006:V1006),$V$1006:$AE$1006,0)))),"Fix")))</f>
        <v>0</v>
      </c>
      <c r="C145" s="4">
        <f>IF(OR(INDEX($P$2:$P$1001,MATCH(ROWS($O$2:O145),$O$2:$O$1001,0),1)&gt;=100000,INDEX($V$1005:$AE$1005,1,MATCH(COLUMNS($V$1006:W1006),$V$1006:$AE$1006,0))&gt;=100000), " ",IF(INDEX($V$2:$AE$1001,MATCH(ROWS($O$2:O145),$O$2:$O$1001,0),MATCH(COLUMNS($V$1006:W1006),$V$1006:$AE$1006,0)), HYPERLINK("#",""), HYPERLINK(CONCATENATE("#Metadata!", ADDRESS(INDEX($Q$2:$Q$1001,MATCH(ROWS($O$2:O145),$O$2:$O$1001,0),0), INDEX($V$1004:$AE$1004,1,MATCH(COLUMNS($V$1006:W1006),$V$1006:$AE$1006,0)))),"Fix")))</f>
        <v>0</v>
      </c>
      <c r="D145" s="4">
        <f>IF(OR(INDEX($P$2:$P$1001,MATCH(ROWS($O$2:O145),$O$2:$O$1001,0),1)&gt;=100000,INDEX($V$1005:$AE$1005,1,MATCH(COLUMNS($V$1006:X1006),$V$1006:$AE$1006,0))&gt;=100000), " ",IF(INDEX($V$2:$AE$1001,MATCH(ROWS($O$2:O145),$O$2:$O$1001,0),MATCH(COLUMNS($V$1006:X1006),$V$1006:$AE$1006,0)), HYPERLINK("#",""), HYPERLINK(CONCATENATE("#Metadata!", ADDRESS(INDEX($Q$2:$Q$1001,MATCH(ROWS($O$2:O145),$O$2:$O$1001,0),0), INDEX($V$1004:$AE$1004,1,MATCH(COLUMNS($V$1006:X1006),$V$1006:$AE$1006,0)))),"Fix")))</f>
        <v>0</v>
      </c>
      <c r="E145" s="4">
        <f>IF(OR(INDEX($P$2:$P$1001,MATCH(ROWS($O$2:O145),$O$2:$O$1001,0),1)&gt;=100000,INDEX($V$1005:$AE$1005,1,MATCH(COLUMNS($V$1006:Y1006),$V$1006:$AE$1006,0))&gt;=100000), " ",IF(INDEX($V$2:$AE$1001,MATCH(ROWS($O$2:O145),$O$2:$O$1001,0),MATCH(COLUMNS($V$1006:Y1006),$V$1006:$AE$1006,0)), HYPERLINK("#",""), HYPERLINK(CONCATENATE("#Metadata!", ADDRESS(INDEX($Q$2:$Q$1001,MATCH(ROWS($O$2:O145),$O$2:$O$1001,0),0), INDEX($V$1004:$AE$1004,1,MATCH(COLUMNS($V$1006:Y1006),$V$1006:$AE$1006,0)))),"Fix")))</f>
        <v>0</v>
      </c>
      <c r="F145" s="4">
        <f>IF(OR(INDEX($P$2:$P$1001,MATCH(ROWS($O$2:O145),$O$2:$O$1001,0),1)&gt;=100000,INDEX($V$1005:$AE$1005,1,MATCH(COLUMNS($V$1006:Z1006),$V$1006:$AE$1006,0))&gt;=100000), " ",IF(INDEX($V$2:$AE$1001,MATCH(ROWS($O$2:O145),$O$2:$O$1001,0),MATCH(COLUMNS($V$1006:Z1006),$V$1006:$AE$1006,0)), HYPERLINK("#",""), HYPERLINK(CONCATENATE("#Metadata!", ADDRESS(INDEX($Q$2:$Q$1001,MATCH(ROWS($O$2:O145),$O$2:$O$1001,0),0), INDEX($V$1004:$AE$1004,1,MATCH(COLUMNS($V$1006:Z1006),$V$1006:$AE$1006,0)))),"Fix")))</f>
        <v>0</v>
      </c>
      <c r="G145" s="4">
        <f>IF(OR(INDEX($P$2:$P$1001,MATCH(ROWS($O$2:O145),$O$2:$O$1001,0),1)&gt;=100000,INDEX($V$1005:$AE$1005,1,MATCH(COLUMNS($V$1006:AA1006),$V$1006:$AE$1006,0))&gt;=100000), " ",IF(INDEX($V$2:$AE$1001,MATCH(ROWS($O$2:O145),$O$2:$O$1001,0),MATCH(COLUMNS($V$1006:AA1006),$V$1006:$AE$1006,0)), HYPERLINK("#",""), HYPERLINK(CONCATENATE("#Metadata!", ADDRESS(INDEX($Q$2:$Q$1001,MATCH(ROWS($O$2:O145),$O$2:$O$1001,0),0), INDEX($V$1004:$AE$1004,1,MATCH(COLUMNS($V$1006:AA1006),$V$1006:$AE$1006,0)))),"Fix")))</f>
        <v>0</v>
      </c>
      <c r="H145" s="4">
        <f>IF(OR(INDEX($P$2:$P$1001,MATCH(ROWS($O$2:O145),$O$2:$O$1001,0),1)&gt;=100000,INDEX($V$1005:$AE$1005,1,MATCH(COLUMNS($V$1006:AB1006),$V$1006:$AE$1006,0))&gt;=100000), " ",IF(INDEX($V$2:$AE$1001,MATCH(ROWS($O$2:O145),$O$2:$O$1001,0),MATCH(COLUMNS($V$1006:AB1006),$V$1006:$AE$1006,0)), HYPERLINK("#",""), HYPERLINK(CONCATENATE("#Metadata!", ADDRESS(INDEX($Q$2:$Q$1001,MATCH(ROWS($O$2:O145),$O$2:$O$1001,0),0), INDEX($V$1004:$AE$1004,1,MATCH(COLUMNS($V$1006:AB1006),$V$1006:$AE$1006,0)))),"Fix")))</f>
        <v>0</v>
      </c>
      <c r="I145" s="4">
        <f>IF(OR(INDEX($P$2:$P$1001,MATCH(ROWS($O$2:O145),$O$2:$O$1001,0),1)&gt;=100000,INDEX($V$1005:$AE$1005,1,MATCH(COLUMNS($V$1006:AC1006),$V$1006:$AE$1006,0))&gt;=100000), " ",IF(INDEX($V$2:$AE$1001,MATCH(ROWS($O$2:O145),$O$2:$O$1001,0),MATCH(COLUMNS($V$1006:AC1006),$V$1006:$AE$1006,0)), HYPERLINK("#",""), HYPERLINK(CONCATENATE("#Metadata!", ADDRESS(INDEX($Q$2:$Q$1001,MATCH(ROWS($O$2:O145),$O$2:$O$1001,0),0), INDEX($V$1004:$AE$1004,1,MATCH(COLUMNS($V$1006:AC1006),$V$1006:$AE$1006,0)))),"Fix")))</f>
        <v>0</v>
      </c>
      <c r="J145" s="4">
        <f>IF(OR(INDEX($P$2:$P$1001,MATCH(ROWS($O$2:O145),$O$2:$O$1001,0),1)&gt;=100000,INDEX($V$1005:$AE$1005,1,MATCH(COLUMNS($V$1006:AD1006),$V$1006:$AE$1006,0))&gt;=100000), " ",IF(INDEX($V$2:$AE$1001,MATCH(ROWS($O$2:O145),$O$2:$O$1001,0),MATCH(COLUMNS($V$1006:AD1006),$V$1006:$AE$1006,0)), HYPERLINK("#",""), HYPERLINK(CONCATENATE("#Metadata!", ADDRESS(INDEX($Q$2:$Q$1001,MATCH(ROWS($O$2:O145),$O$2:$O$1001,0),0), INDEX($V$1004:$AE$1004,1,MATCH(COLUMNS($V$1006:AD1006),$V$1006:$AE$1006,0)))),"Fix")))</f>
        <v>0</v>
      </c>
      <c r="K145" s="4">
        <f>IF(OR(INDEX($P$2:$P$1001,MATCH(ROWS($O$2:O145),$O$2:$O$1001,0),1)&gt;=100000,INDEX($V$1005:$AE$1005,1,MATCH(COLUMNS($V$1006:AE1006),$V$1006:$AE$1006,0))&gt;=100000), " ",IF(INDEX($V$2:$AE$1001,MATCH(ROWS($O$2:O145),$O$2:$O$1001,0),MATCH(COLUMNS($V$1006:AE1006),$V$1006:$AE$1006,0)), HYPERLINK("#",""), HYPERLINK(CONCATENATE("#Metadata!", ADDRESS(INDEX($Q$2:$Q$1001,MATCH(ROWS($O$2:O145),$O$2:$O$1001,0),0), INDEX($V$1004:$AE$1004,1,MATCH(COLUMNS($V$1006:AE1006),$V$1006:$AE$1006,0)))),"Fix")))</f>
        <v>0</v>
      </c>
      <c r="O145">
        <v>0</v>
      </c>
      <c r="P145">
        <v>0</v>
      </c>
      <c r="Q145">
        <v>0</v>
      </c>
      <c r="R145">
        <f>IF(S145,TRUE,AND(V145:AE145))</f>
        <v>0</v>
      </c>
      <c r="S145">
        <f>COUNTBLANK(Metadata!B145:K145)=COLUMNS(Metadata!B145:K145)</f>
        <v>0</v>
      </c>
      <c r="T145">
        <v>0</v>
      </c>
      <c r="V145">
        <f>AND(IF(Metadata!B145="",FALSE,TRUE),COUNTIF(Metadata!B:B, Metadata!B145) = 1,NOT(ISERROR(SUMPRODUCT(SEARCH(MID(Metadata!B145,ROW(INDIRECT("1:"&amp;LEN(Metadata!B145))), 1),"0123456789abcdefghijklmnopqrstuvwxyzABCDEFGHIJKLMNOPQRSTUVWXYZ.")))))</f>
        <v>0</v>
      </c>
      <c r="W145">
        <f>AND(IF(Metadata!C145="",FALSE,TRUE),exact(Metadata!C145,"urban biome"))</f>
        <v>0</v>
      </c>
      <c r="X145">
        <f>AND(IF(Metadata!D145="",FALSE,TRUE),exact(Metadata!D145,"animal-associated habitat"))</f>
        <v>0</v>
      </c>
      <c r="Y145">
        <f>OR(AND(IF(Metadata!E145="",FALSE,TRUE),OR(exact(Metadata!E145,"not applicable"),exact(Metadata!E145,"missing: not collected"),exact(Metadata!E145,"missing: not provided"),exact(Metadata!E145,"missing: restricted access"))),AND(IF(Metadata!E145="",FALSE,ISNUMBER(VALUE(Metadata!E145))),Metadata!E145&gt;0))</f>
        <v>0</v>
      </c>
      <c r="Z145">
        <f>AND(IF(Metadata!F145="",FALSE,TRUE),exact(Metadata!F145,"weeks"))</f>
        <v>0</v>
      </c>
      <c r="AA145">
        <f>AND(IF(Metadata!G145="",FALSE,TRUE),exact(Metadata!G145,"mouse"))</f>
        <v>0</v>
      </c>
      <c r="AB145">
        <f>AND(IF(Metadata!H145="",FALSE,TRUE),exact(Metadata!H145,"Mus musculus"))</f>
        <v>0</v>
      </c>
      <c r="AC145">
        <f>AND(IF(Metadata!I145="",FALSE,TRUE),exact(Metadata!I145,"10090"))</f>
        <v>0</v>
      </c>
      <c r="AD145">
        <f>OR(AND(IF(Metadata!J145="",FALSE,TRUE),OR(exact(Metadata!J145,"not applicable"),exact(Metadata!J145,"missing: not collected"),exact(Metadata!J145,"missing: not provided"),exact(Metadata!J145,"missing: restricted access"))),AND(IF(Metadata!J145="",FALSE,ISNUMBER(VALUE(Metadata!J145))),Metadata!J145&gt;0))</f>
        <v>0</v>
      </c>
      <c r="AE145">
        <f>AND(IF(Metadata!K145="",FALSE,TRUE),exact(Metadata!K145,"g"))</f>
        <v>0</v>
      </c>
    </row>
    <row r="146" spans="1:31">
      <c r="A146" s="5">
        <f>IF(B146=" "," ",HYPERLINK(CONCATENATE("#metadata!",ADDRESS(INDEX($Q$2:$Q$1001,MATCH(ROWS($O$2:O146),$O$2:$O$1001,0),0),1)),INDEX($T$2:$T$1001,MATCH(ROWS($O$2:O146),$O$2:$O$1001,0),0)))</f>
        <v>0</v>
      </c>
      <c r="B146" s="4">
        <f>IF(OR(INDEX($P$2:$P$1001,MATCH(ROWS($O$2:O146),$O$2:$O$1001,0),1)&gt;=100000,INDEX($V$1005:$AE$1005,1,MATCH(COLUMNS($V$1006:V1006),$V$1006:$AE$1006,0))&gt;=100000), " ",IF(INDEX($V$2:$AE$1001,MATCH(ROWS($O$2:O146),$O$2:$O$1001,0),MATCH(COLUMNS($V$1006:V1006),$V$1006:$AE$1006,0)), HYPERLINK("#",""), HYPERLINK(CONCATENATE("#Metadata!", ADDRESS(INDEX($Q$2:$Q$1001,MATCH(ROWS($O$2:O146),$O$2:$O$1001,0),0), INDEX($V$1004:$AE$1004,1,MATCH(COLUMNS($V$1006:V1006),$V$1006:$AE$1006,0)))),"Fix")))</f>
        <v>0</v>
      </c>
      <c r="C146" s="4">
        <f>IF(OR(INDEX($P$2:$P$1001,MATCH(ROWS($O$2:O146),$O$2:$O$1001,0),1)&gt;=100000,INDEX($V$1005:$AE$1005,1,MATCH(COLUMNS($V$1006:W1006),$V$1006:$AE$1006,0))&gt;=100000), " ",IF(INDEX($V$2:$AE$1001,MATCH(ROWS($O$2:O146),$O$2:$O$1001,0),MATCH(COLUMNS($V$1006:W1006),$V$1006:$AE$1006,0)), HYPERLINK("#",""), HYPERLINK(CONCATENATE("#Metadata!", ADDRESS(INDEX($Q$2:$Q$1001,MATCH(ROWS($O$2:O146),$O$2:$O$1001,0),0), INDEX($V$1004:$AE$1004,1,MATCH(COLUMNS($V$1006:W1006),$V$1006:$AE$1006,0)))),"Fix")))</f>
        <v>0</v>
      </c>
      <c r="D146" s="4">
        <f>IF(OR(INDEX($P$2:$P$1001,MATCH(ROWS($O$2:O146),$O$2:$O$1001,0),1)&gt;=100000,INDEX($V$1005:$AE$1005,1,MATCH(COLUMNS($V$1006:X1006),$V$1006:$AE$1006,0))&gt;=100000), " ",IF(INDEX($V$2:$AE$1001,MATCH(ROWS($O$2:O146),$O$2:$O$1001,0),MATCH(COLUMNS($V$1006:X1006),$V$1006:$AE$1006,0)), HYPERLINK("#",""), HYPERLINK(CONCATENATE("#Metadata!", ADDRESS(INDEX($Q$2:$Q$1001,MATCH(ROWS($O$2:O146),$O$2:$O$1001,0),0), INDEX($V$1004:$AE$1004,1,MATCH(COLUMNS($V$1006:X1006),$V$1006:$AE$1006,0)))),"Fix")))</f>
        <v>0</v>
      </c>
      <c r="E146" s="4">
        <f>IF(OR(INDEX($P$2:$P$1001,MATCH(ROWS($O$2:O146),$O$2:$O$1001,0),1)&gt;=100000,INDEX($V$1005:$AE$1005,1,MATCH(COLUMNS($V$1006:Y1006),$V$1006:$AE$1006,0))&gt;=100000), " ",IF(INDEX($V$2:$AE$1001,MATCH(ROWS($O$2:O146),$O$2:$O$1001,0),MATCH(COLUMNS($V$1006:Y1006),$V$1006:$AE$1006,0)), HYPERLINK("#",""), HYPERLINK(CONCATENATE("#Metadata!", ADDRESS(INDEX($Q$2:$Q$1001,MATCH(ROWS($O$2:O146),$O$2:$O$1001,0),0), INDEX($V$1004:$AE$1004,1,MATCH(COLUMNS($V$1006:Y1006),$V$1006:$AE$1006,0)))),"Fix")))</f>
        <v>0</v>
      </c>
      <c r="F146" s="4">
        <f>IF(OR(INDEX($P$2:$P$1001,MATCH(ROWS($O$2:O146),$O$2:$O$1001,0),1)&gt;=100000,INDEX($V$1005:$AE$1005,1,MATCH(COLUMNS($V$1006:Z1006),$V$1006:$AE$1006,0))&gt;=100000), " ",IF(INDEX($V$2:$AE$1001,MATCH(ROWS($O$2:O146),$O$2:$O$1001,0),MATCH(COLUMNS($V$1006:Z1006),$V$1006:$AE$1006,0)), HYPERLINK("#",""), HYPERLINK(CONCATENATE("#Metadata!", ADDRESS(INDEX($Q$2:$Q$1001,MATCH(ROWS($O$2:O146),$O$2:$O$1001,0),0), INDEX($V$1004:$AE$1004,1,MATCH(COLUMNS($V$1006:Z1006),$V$1006:$AE$1006,0)))),"Fix")))</f>
        <v>0</v>
      </c>
      <c r="G146" s="4">
        <f>IF(OR(INDEX($P$2:$P$1001,MATCH(ROWS($O$2:O146),$O$2:$O$1001,0),1)&gt;=100000,INDEX($V$1005:$AE$1005,1,MATCH(COLUMNS($V$1006:AA1006),$V$1006:$AE$1006,0))&gt;=100000), " ",IF(INDEX($V$2:$AE$1001,MATCH(ROWS($O$2:O146),$O$2:$O$1001,0),MATCH(COLUMNS($V$1006:AA1006),$V$1006:$AE$1006,0)), HYPERLINK("#",""), HYPERLINK(CONCATENATE("#Metadata!", ADDRESS(INDEX($Q$2:$Q$1001,MATCH(ROWS($O$2:O146),$O$2:$O$1001,0),0), INDEX($V$1004:$AE$1004,1,MATCH(COLUMNS($V$1006:AA1006),$V$1006:$AE$1006,0)))),"Fix")))</f>
        <v>0</v>
      </c>
      <c r="H146" s="4">
        <f>IF(OR(INDEX($P$2:$P$1001,MATCH(ROWS($O$2:O146),$O$2:$O$1001,0),1)&gt;=100000,INDEX($V$1005:$AE$1005,1,MATCH(COLUMNS($V$1006:AB1006),$V$1006:$AE$1006,0))&gt;=100000), " ",IF(INDEX($V$2:$AE$1001,MATCH(ROWS($O$2:O146),$O$2:$O$1001,0),MATCH(COLUMNS($V$1006:AB1006),$V$1006:$AE$1006,0)), HYPERLINK("#",""), HYPERLINK(CONCATENATE("#Metadata!", ADDRESS(INDEX($Q$2:$Q$1001,MATCH(ROWS($O$2:O146),$O$2:$O$1001,0),0), INDEX($V$1004:$AE$1004,1,MATCH(COLUMNS($V$1006:AB1006),$V$1006:$AE$1006,0)))),"Fix")))</f>
        <v>0</v>
      </c>
      <c r="I146" s="4">
        <f>IF(OR(INDEX($P$2:$P$1001,MATCH(ROWS($O$2:O146),$O$2:$O$1001,0),1)&gt;=100000,INDEX($V$1005:$AE$1005,1,MATCH(COLUMNS($V$1006:AC1006),$V$1006:$AE$1006,0))&gt;=100000), " ",IF(INDEX($V$2:$AE$1001,MATCH(ROWS($O$2:O146),$O$2:$O$1001,0),MATCH(COLUMNS($V$1006:AC1006),$V$1006:$AE$1006,0)), HYPERLINK("#",""), HYPERLINK(CONCATENATE("#Metadata!", ADDRESS(INDEX($Q$2:$Q$1001,MATCH(ROWS($O$2:O146),$O$2:$O$1001,0),0), INDEX($V$1004:$AE$1004,1,MATCH(COLUMNS($V$1006:AC1006),$V$1006:$AE$1006,0)))),"Fix")))</f>
        <v>0</v>
      </c>
      <c r="J146" s="4">
        <f>IF(OR(INDEX($P$2:$P$1001,MATCH(ROWS($O$2:O146),$O$2:$O$1001,0),1)&gt;=100000,INDEX($V$1005:$AE$1005,1,MATCH(COLUMNS($V$1006:AD1006),$V$1006:$AE$1006,0))&gt;=100000), " ",IF(INDEX($V$2:$AE$1001,MATCH(ROWS($O$2:O146),$O$2:$O$1001,0),MATCH(COLUMNS($V$1006:AD1006),$V$1006:$AE$1006,0)), HYPERLINK("#",""), HYPERLINK(CONCATENATE("#Metadata!", ADDRESS(INDEX($Q$2:$Q$1001,MATCH(ROWS($O$2:O146),$O$2:$O$1001,0),0), INDEX($V$1004:$AE$1004,1,MATCH(COLUMNS($V$1006:AD1006),$V$1006:$AE$1006,0)))),"Fix")))</f>
        <v>0</v>
      </c>
      <c r="K146" s="4">
        <f>IF(OR(INDEX($P$2:$P$1001,MATCH(ROWS($O$2:O146),$O$2:$O$1001,0),1)&gt;=100000,INDEX($V$1005:$AE$1005,1,MATCH(COLUMNS($V$1006:AE1006),$V$1006:$AE$1006,0))&gt;=100000), " ",IF(INDEX($V$2:$AE$1001,MATCH(ROWS($O$2:O146),$O$2:$O$1001,0),MATCH(COLUMNS($V$1006:AE1006),$V$1006:$AE$1006,0)), HYPERLINK("#",""), HYPERLINK(CONCATENATE("#Metadata!", ADDRESS(INDEX($Q$2:$Q$1001,MATCH(ROWS($O$2:O146),$O$2:$O$1001,0),0), INDEX($V$1004:$AE$1004,1,MATCH(COLUMNS($V$1006:AE1006),$V$1006:$AE$1006,0)))),"Fix")))</f>
        <v>0</v>
      </c>
      <c r="O146">
        <v>0</v>
      </c>
      <c r="P146">
        <v>0</v>
      </c>
      <c r="Q146">
        <v>0</v>
      </c>
      <c r="R146">
        <f>IF(S146,TRUE,AND(V146:AE146))</f>
        <v>0</v>
      </c>
      <c r="S146">
        <f>COUNTBLANK(Metadata!B146:K146)=COLUMNS(Metadata!B146:K146)</f>
        <v>0</v>
      </c>
      <c r="T146">
        <v>0</v>
      </c>
      <c r="V146">
        <f>AND(IF(Metadata!B146="",FALSE,TRUE),COUNTIF(Metadata!B:B, Metadata!B146) = 1,NOT(ISERROR(SUMPRODUCT(SEARCH(MID(Metadata!B146,ROW(INDIRECT("1:"&amp;LEN(Metadata!B146))), 1),"0123456789abcdefghijklmnopqrstuvwxyzABCDEFGHIJKLMNOPQRSTUVWXYZ.")))))</f>
        <v>0</v>
      </c>
      <c r="W146">
        <f>AND(IF(Metadata!C146="",FALSE,TRUE),exact(Metadata!C146,"urban biome"))</f>
        <v>0</v>
      </c>
      <c r="X146">
        <f>AND(IF(Metadata!D146="",FALSE,TRUE),exact(Metadata!D146,"animal-associated habitat"))</f>
        <v>0</v>
      </c>
      <c r="Y146">
        <f>OR(AND(IF(Metadata!E146="",FALSE,TRUE),OR(exact(Metadata!E146,"not applicable"),exact(Metadata!E146,"missing: not collected"),exact(Metadata!E146,"missing: not provided"),exact(Metadata!E146,"missing: restricted access"))),AND(IF(Metadata!E146="",FALSE,ISNUMBER(VALUE(Metadata!E146))),Metadata!E146&gt;0))</f>
        <v>0</v>
      </c>
      <c r="Z146">
        <f>AND(IF(Metadata!F146="",FALSE,TRUE),exact(Metadata!F146,"weeks"))</f>
        <v>0</v>
      </c>
      <c r="AA146">
        <f>AND(IF(Metadata!G146="",FALSE,TRUE),exact(Metadata!G146,"mouse"))</f>
        <v>0</v>
      </c>
      <c r="AB146">
        <f>AND(IF(Metadata!H146="",FALSE,TRUE),exact(Metadata!H146,"Mus musculus"))</f>
        <v>0</v>
      </c>
      <c r="AC146">
        <f>AND(IF(Metadata!I146="",FALSE,TRUE),exact(Metadata!I146,"10090"))</f>
        <v>0</v>
      </c>
      <c r="AD146">
        <f>OR(AND(IF(Metadata!J146="",FALSE,TRUE),OR(exact(Metadata!J146,"not applicable"),exact(Metadata!J146,"missing: not collected"),exact(Metadata!J146,"missing: not provided"),exact(Metadata!J146,"missing: restricted access"))),AND(IF(Metadata!J146="",FALSE,ISNUMBER(VALUE(Metadata!J146))),Metadata!J146&gt;0))</f>
        <v>0</v>
      </c>
      <c r="AE146">
        <f>AND(IF(Metadata!K146="",FALSE,TRUE),exact(Metadata!K146,"g"))</f>
        <v>0</v>
      </c>
    </row>
    <row r="147" spans="1:31">
      <c r="A147" s="5">
        <f>IF(B147=" "," ",HYPERLINK(CONCATENATE("#metadata!",ADDRESS(INDEX($Q$2:$Q$1001,MATCH(ROWS($O$2:O147),$O$2:$O$1001,0),0),1)),INDEX($T$2:$T$1001,MATCH(ROWS($O$2:O147),$O$2:$O$1001,0),0)))</f>
        <v>0</v>
      </c>
      <c r="B147" s="4">
        <f>IF(OR(INDEX($P$2:$P$1001,MATCH(ROWS($O$2:O147),$O$2:$O$1001,0),1)&gt;=100000,INDEX($V$1005:$AE$1005,1,MATCH(COLUMNS($V$1006:V1006),$V$1006:$AE$1006,0))&gt;=100000), " ",IF(INDEX($V$2:$AE$1001,MATCH(ROWS($O$2:O147),$O$2:$O$1001,0),MATCH(COLUMNS($V$1006:V1006),$V$1006:$AE$1006,0)), HYPERLINK("#",""), HYPERLINK(CONCATENATE("#Metadata!", ADDRESS(INDEX($Q$2:$Q$1001,MATCH(ROWS($O$2:O147),$O$2:$O$1001,0),0), INDEX($V$1004:$AE$1004,1,MATCH(COLUMNS($V$1006:V1006),$V$1006:$AE$1006,0)))),"Fix")))</f>
        <v>0</v>
      </c>
      <c r="C147" s="4">
        <f>IF(OR(INDEX($P$2:$P$1001,MATCH(ROWS($O$2:O147),$O$2:$O$1001,0),1)&gt;=100000,INDEX($V$1005:$AE$1005,1,MATCH(COLUMNS($V$1006:W1006),$V$1006:$AE$1006,0))&gt;=100000), " ",IF(INDEX($V$2:$AE$1001,MATCH(ROWS($O$2:O147),$O$2:$O$1001,0),MATCH(COLUMNS($V$1006:W1006),$V$1006:$AE$1006,0)), HYPERLINK("#",""), HYPERLINK(CONCATENATE("#Metadata!", ADDRESS(INDEX($Q$2:$Q$1001,MATCH(ROWS($O$2:O147),$O$2:$O$1001,0),0), INDEX($V$1004:$AE$1004,1,MATCH(COLUMNS($V$1006:W1006),$V$1006:$AE$1006,0)))),"Fix")))</f>
        <v>0</v>
      </c>
      <c r="D147" s="4">
        <f>IF(OR(INDEX($P$2:$P$1001,MATCH(ROWS($O$2:O147),$O$2:$O$1001,0),1)&gt;=100000,INDEX($V$1005:$AE$1005,1,MATCH(COLUMNS($V$1006:X1006),$V$1006:$AE$1006,0))&gt;=100000), " ",IF(INDEX($V$2:$AE$1001,MATCH(ROWS($O$2:O147),$O$2:$O$1001,0),MATCH(COLUMNS($V$1006:X1006),$V$1006:$AE$1006,0)), HYPERLINK("#",""), HYPERLINK(CONCATENATE("#Metadata!", ADDRESS(INDEX($Q$2:$Q$1001,MATCH(ROWS($O$2:O147),$O$2:$O$1001,0),0), INDEX($V$1004:$AE$1004,1,MATCH(COLUMNS($V$1006:X1006),$V$1006:$AE$1006,0)))),"Fix")))</f>
        <v>0</v>
      </c>
      <c r="E147" s="4">
        <f>IF(OR(INDEX($P$2:$P$1001,MATCH(ROWS($O$2:O147),$O$2:$O$1001,0),1)&gt;=100000,INDEX($V$1005:$AE$1005,1,MATCH(COLUMNS($V$1006:Y1006),$V$1006:$AE$1006,0))&gt;=100000), " ",IF(INDEX($V$2:$AE$1001,MATCH(ROWS($O$2:O147),$O$2:$O$1001,0),MATCH(COLUMNS($V$1006:Y1006),$V$1006:$AE$1006,0)), HYPERLINK("#",""), HYPERLINK(CONCATENATE("#Metadata!", ADDRESS(INDEX($Q$2:$Q$1001,MATCH(ROWS($O$2:O147),$O$2:$O$1001,0),0), INDEX($V$1004:$AE$1004,1,MATCH(COLUMNS($V$1006:Y1006),$V$1006:$AE$1006,0)))),"Fix")))</f>
        <v>0</v>
      </c>
      <c r="F147" s="4">
        <f>IF(OR(INDEX($P$2:$P$1001,MATCH(ROWS($O$2:O147),$O$2:$O$1001,0),1)&gt;=100000,INDEX($V$1005:$AE$1005,1,MATCH(COLUMNS($V$1006:Z1006),$V$1006:$AE$1006,0))&gt;=100000), " ",IF(INDEX($V$2:$AE$1001,MATCH(ROWS($O$2:O147),$O$2:$O$1001,0),MATCH(COLUMNS($V$1006:Z1006),$V$1006:$AE$1006,0)), HYPERLINK("#",""), HYPERLINK(CONCATENATE("#Metadata!", ADDRESS(INDEX($Q$2:$Q$1001,MATCH(ROWS($O$2:O147),$O$2:$O$1001,0),0), INDEX($V$1004:$AE$1004,1,MATCH(COLUMNS($V$1006:Z1006),$V$1006:$AE$1006,0)))),"Fix")))</f>
        <v>0</v>
      </c>
      <c r="G147" s="4">
        <f>IF(OR(INDEX($P$2:$P$1001,MATCH(ROWS($O$2:O147),$O$2:$O$1001,0),1)&gt;=100000,INDEX($V$1005:$AE$1005,1,MATCH(COLUMNS($V$1006:AA1006),$V$1006:$AE$1006,0))&gt;=100000), " ",IF(INDEX($V$2:$AE$1001,MATCH(ROWS($O$2:O147),$O$2:$O$1001,0),MATCH(COLUMNS($V$1006:AA1006),$V$1006:$AE$1006,0)), HYPERLINK("#",""), HYPERLINK(CONCATENATE("#Metadata!", ADDRESS(INDEX($Q$2:$Q$1001,MATCH(ROWS($O$2:O147),$O$2:$O$1001,0),0), INDEX($V$1004:$AE$1004,1,MATCH(COLUMNS($V$1006:AA1006),$V$1006:$AE$1006,0)))),"Fix")))</f>
        <v>0</v>
      </c>
      <c r="H147" s="4">
        <f>IF(OR(INDEX($P$2:$P$1001,MATCH(ROWS($O$2:O147),$O$2:$O$1001,0),1)&gt;=100000,INDEX($V$1005:$AE$1005,1,MATCH(COLUMNS($V$1006:AB1006),$V$1006:$AE$1006,0))&gt;=100000), " ",IF(INDEX($V$2:$AE$1001,MATCH(ROWS($O$2:O147),$O$2:$O$1001,0),MATCH(COLUMNS($V$1006:AB1006),$V$1006:$AE$1006,0)), HYPERLINK("#",""), HYPERLINK(CONCATENATE("#Metadata!", ADDRESS(INDEX($Q$2:$Q$1001,MATCH(ROWS($O$2:O147),$O$2:$O$1001,0),0), INDEX($V$1004:$AE$1004,1,MATCH(COLUMNS($V$1006:AB1006),$V$1006:$AE$1006,0)))),"Fix")))</f>
        <v>0</v>
      </c>
      <c r="I147" s="4">
        <f>IF(OR(INDEX($P$2:$P$1001,MATCH(ROWS($O$2:O147),$O$2:$O$1001,0),1)&gt;=100000,INDEX($V$1005:$AE$1005,1,MATCH(COLUMNS($V$1006:AC1006),$V$1006:$AE$1006,0))&gt;=100000), " ",IF(INDEX($V$2:$AE$1001,MATCH(ROWS($O$2:O147),$O$2:$O$1001,0),MATCH(COLUMNS($V$1006:AC1006),$V$1006:$AE$1006,0)), HYPERLINK("#",""), HYPERLINK(CONCATENATE("#Metadata!", ADDRESS(INDEX($Q$2:$Q$1001,MATCH(ROWS($O$2:O147),$O$2:$O$1001,0),0), INDEX($V$1004:$AE$1004,1,MATCH(COLUMNS($V$1006:AC1006),$V$1006:$AE$1006,0)))),"Fix")))</f>
        <v>0</v>
      </c>
      <c r="J147" s="4">
        <f>IF(OR(INDEX($P$2:$P$1001,MATCH(ROWS($O$2:O147),$O$2:$O$1001,0),1)&gt;=100000,INDEX($V$1005:$AE$1005,1,MATCH(COLUMNS($V$1006:AD1006),$V$1006:$AE$1006,0))&gt;=100000), " ",IF(INDEX($V$2:$AE$1001,MATCH(ROWS($O$2:O147),$O$2:$O$1001,0),MATCH(COLUMNS($V$1006:AD1006),$V$1006:$AE$1006,0)), HYPERLINK("#",""), HYPERLINK(CONCATENATE("#Metadata!", ADDRESS(INDEX($Q$2:$Q$1001,MATCH(ROWS($O$2:O147),$O$2:$O$1001,0),0), INDEX($V$1004:$AE$1004,1,MATCH(COLUMNS($V$1006:AD1006),$V$1006:$AE$1006,0)))),"Fix")))</f>
        <v>0</v>
      </c>
      <c r="K147" s="4">
        <f>IF(OR(INDEX($P$2:$P$1001,MATCH(ROWS($O$2:O147),$O$2:$O$1001,0),1)&gt;=100000,INDEX($V$1005:$AE$1005,1,MATCH(COLUMNS($V$1006:AE1006),$V$1006:$AE$1006,0))&gt;=100000), " ",IF(INDEX($V$2:$AE$1001,MATCH(ROWS($O$2:O147),$O$2:$O$1001,0),MATCH(COLUMNS($V$1006:AE1006),$V$1006:$AE$1006,0)), HYPERLINK("#",""), HYPERLINK(CONCATENATE("#Metadata!", ADDRESS(INDEX($Q$2:$Q$1001,MATCH(ROWS($O$2:O147),$O$2:$O$1001,0),0), INDEX($V$1004:$AE$1004,1,MATCH(COLUMNS($V$1006:AE1006),$V$1006:$AE$1006,0)))),"Fix")))</f>
        <v>0</v>
      </c>
      <c r="O147">
        <v>0</v>
      </c>
      <c r="P147">
        <v>0</v>
      </c>
      <c r="Q147">
        <v>0</v>
      </c>
      <c r="R147">
        <f>IF(S147,TRUE,AND(V147:AE147))</f>
        <v>0</v>
      </c>
      <c r="S147">
        <f>COUNTBLANK(Metadata!B147:K147)=COLUMNS(Metadata!B147:K147)</f>
        <v>0</v>
      </c>
      <c r="T147">
        <v>0</v>
      </c>
      <c r="V147">
        <f>AND(IF(Metadata!B147="",FALSE,TRUE),COUNTIF(Metadata!B:B, Metadata!B147) = 1,NOT(ISERROR(SUMPRODUCT(SEARCH(MID(Metadata!B147,ROW(INDIRECT("1:"&amp;LEN(Metadata!B147))), 1),"0123456789abcdefghijklmnopqrstuvwxyzABCDEFGHIJKLMNOPQRSTUVWXYZ.")))))</f>
        <v>0</v>
      </c>
      <c r="W147">
        <f>AND(IF(Metadata!C147="",FALSE,TRUE),exact(Metadata!C147,"urban biome"))</f>
        <v>0</v>
      </c>
      <c r="X147">
        <f>AND(IF(Metadata!D147="",FALSE,TRUE),exact(Metadata!D147,"animal-associated habitat"))</f>
        <v>0</v>
      </c>
      <c r="Y147">
        <f>OR(AND(IF(Metadata!E147="",FALSE,TRUE),OR(exact(Metadata!E147,"not applicable"),exact(Metadata!E147,"missing: not collected"),exact(Metadata!E147,"missing: not provided"),exact(Metadata!E147,"missing: restricted access"))),AND(IF(Metadata!E147="",FALSE,ISNUMBER(VALUE(Metadata!E147))),Metadata!E147&gt;0))</f>
        <v>0</v>
      </c>
      <c r="Z147">
        <f>AND(IF(Metadata!F147="",FALSE,TRUE),exact(Metadata!F147,"weeks"))</f>
        <v>0</v>
      </c>
      <c r="AA147">
        <f>AND(IF(Metadata!G147="",FALSE,TRUE),exact(Metadata!G147,"mouse"))</f>
        <v>0</v>
      </c>
      <c r="AB147">
        <f>AND(IF(Metadata!H147="",FALSE,TRUE),exact(Metadata!H147,"Mus musculus"))</f>
        <v>0</v>
      </c>
      <c r="AC147">
        <f>AND(IF(Metadata!I147="",FALSE,TRUE),exact(Metadata!I147,"10090"))</f>
        <v>0</v>
      </c>
      <c r="AD147">
        <f>OR(AND(IF(Metadata!J147="",FALSE,TRUE),OR(exact(Metadata!J147,"not applicable"),exact(Metadata!J147,"missing: not collected"),exact(Metadata!J147,"missing: not provided"),exact(Metadata!J147,"missing: restricted access"))),AND(IF(Metadata!J147="",FALSE,ISNUMBER(VALUE(Metadata!J147))),Metadata!J147&gt;0))</f>
        <v>0</v>
      </c>
      <c r="AE147">
        <f>AND(IF(Metadata!K147="",FALSE,TRUE),exact(Metadata!K147,"g"))</f>
        <v>0</v>
      </c>
    </row>
    <row r="148" spans="1:31">
      <c r="A148" s="5">
        <f>IF(B148=" "," ",HYPERLINK(CONCATENATE("#metadata!",ADDRESS(INDEX($Q$2:$Q$1001,MATCH(ROWS($O$2:O148),$O$2:$O$1001,0),0),1)),INDEX($T$2:$T$1001,MATCH(ROWS($O$2:O148),$O$2:$O$1001,0),0)))</f>
        <v>0</v>
      </c>
      <c r="B148" s="4">
        <f>IF(OR(INDEX($P$2:$P$1001,MATCH(ROWS($O$2:O148),$O$2:$O$1001,0),1)&gt;=100000,INDEX($V$1005:$AE$1005,1,MATCH(COLUMNS($V$1006:V1006),$V$1006:$AE$1006,0))&gt;=100000), " ",IF(INDEX($V$2:$AE$1001,MATCH(ROWS($O$2:O148),$O$2:$O$1001,0),MATCH(COLUMNS($V$1006:V1006),$V$1006:$AE$1006,0)), HYPERLINK("#",""), HYPERLINK(CONCATENATE("#Metadata!", ADDRESS(INDEX($Q$2:$Q$1001,MATCH(ROWS($O$2:O148),$O$2:$O$1001,0),0), INDEX($V$1004:$AE$1004,1,MATCH(COLUMNS($V$1006:V1006),$V$1006:$AE$1006,0)))),"Fix")))</f>
        <v>0</v>
      </c>
      <c r="C148" s="4">
        <f>IF(OR(INDEX($P$2:$P$1001,MATCH(ROWS($O$2:O148),$O$2:$O$1001,0),1)&gt;=100000,INDEX($V$1005:$AE$1005,1,MATCH(COLUMNS($V$1006:W1006),$V$1006:$AE$1006,0))&gt;=100000), " ",IF(INDEX($V$2:$AE$1001,MATCH(ROWS($O$2:O148),$O$2:$O$1001,0),MATCH(COLUMNS($V$1006:W1006),$V$1006:$AE$1006,0)), HYPERLINK("#",""), HYPERLINK(CONCATENATE("#Metadata!", ADDRESS(INDEX($Q$2:$Q$1001,MATCH(ROWS($O$2:O148),$O$2:$O$1001,0),0), INDEX($V$1004:$AE$1004,1,MATCH(COLUMNS($V$1006:W1006),$V$1006:$AE$1006,0)))),"Fix")))</f>
        <v>0</v>
      </c>
      <c r="D148" s="4">
        <f>IF(OR(INDEX($P$2:$P$1001,MATCH(ROWS($O$2:O148),$O$2:$O$1001,0),1)&gt;=100000,INDEX($V$1005:$AE$1005,1,MATCH(COLUMNS($V$1006:X1006),$V$1006:$AE$1006,0))&gt;=100000), " ",IF(INDEX($V$2:$AE$1001,MATCH(ROWS($O$2:O148),$O$2:$O$1001,0),MATCH(COLUMNS($V$1006:X1006),$V$1006:$AE$1006,0)), HYPERLINK("#",""), HYPERLINK(CONCATENATE("#Metadata!", ADDRESS(INDEX($Q$2:$Q$1001,MATCH(ROWS($O$2:O148),$O$2:$O$1001,0),0), INDEX($V$1004:$AE$1004,1,MATCH(COLUMNS($V$1006:X1006),$V$1006:$AE$1006,0)))),"Fix")))</f>
        <v>0</v>
      </c>
      <c r="E148" s="4">
        <f>IF(OR(INDEX($P$2:$P$1001,MATCH(ROWS($O$2:O148),$O$2:$O$1001,0),1)&gt;=100000,INDEX($V$1005:$AE$1005,1,MATCH(COLUMNS($V$1006:Y1006),$V$1006:$AE$1006,0))&gt;=100000), " ",IF(INDEX($V$2:$AE$1001,MATCH(ROWS($O$2:O148),$O$2:$O$1001,0),MATCH(COLUMNS($V$1006:Y1006),$V$1006:$AE$1006,0)), HYPERLINK("#",""), HYPERLINK(CONCATENATE("#Metadata!", ADDRESS(INDEX($Q$2:$Q$1001,MATCH(ROWS($O$2:O148),$O$2:$O$1001,0),0), INDEX($V$1004:$AE$1004,1,MATCH(COLUMNS($V$1006:Y1006),$V$1006:$AE$1006,0)))),"Fix")))</f>
        <v>0</v>
      </c>
      <c r="F148" s="4">
        <f>IF(OR(INDEX($P$2:$P$1001,MATCH(ROWS($O$2:O148),$O$2:$O$1001,0),1)&gt;=100000,INDEX($V$1005:$AE$1005,1,MATCH(COLUMNS($V$1006:Z1006),$V$1006:$AE$1006,0))&gt;=100000), " ",IF(INDEX($V$2:$AE$1001,MATCH(ROWS($O$2:O148),$O$2:$O$1001,0),MATCH(COLUMNS($V$1006:Z1006),$V$1006:$AE$1006,0)), HYPERLINK("#",""), HYPERLINK(CONCATENATE("#Metadata!", ADDRESS(INDEX($Q$2:$Q$1001,MATCH(ROWS($O$2:O148),$O$2:$O$1001,0),0), INDEX($V$1004:$AE$1004,1,MATCH(COLUMNS($V$1006:Z1006),$V$1006:$AE$1006,0)))),"Fix")))</f>
        <v>0</v>
      </c>
      <c r="G148" s="4">
        <f>IF(OR(INDEX($P$2:$P$1001,MATCH(ROWS($O$2:O148),$O$2:$O$1001,0),1)&gt;=100000,INDEX($V$1005:$AE$1005,1,MATCH(COLUMNS($V$1006:AA1006),$V$1006:$AE$1006,0))&gt;=100000), " ",IF(INDEX($V$2:$AE$1001,MATCH(ROWS($O$2:O148),$O$2:$O$1001,0),MATCH(COLUMNS($V$1006:AA1006),$V$1006:$AE$1006,0)), HYPERLINK("#",""), HYPERLINK(CONCATENATE("#Metadata!", ADDRESS(INDEX($Q$2:$Q$1001,MATCH(ROWS($O$2:O148),$O$2:$O$1001,0),0), INDEX($V$1004:$AE$1004,1,MATCH(COLUMNS($V$1006:AA1006),$V$1006:$AE$1006,0)))),"Fix")))</f>
        <v>0</v>
      </c>
      <c r="H148" s="4">
        <f>IF(OR(INDEX($P$2:$P$1001,MATCH(ROWS($O$2:O148),$O$2:$O$1001,0),1)&gt;=100000,INDEX($V$1005:$AE$1005,1,MATCH(COLUMNS($V$1006:AB1006),$V$1006:$AE$1006,0))&gt;=100000), " ",IF(INDEX($V$2:$AE$1001,MATCH(ROWS($O$2:O148),$O$2:$O$1001,0),MATCH(COLUMNS($V$1006:AB1006),$V$1006:$AE$1006,0)), HYPERLINK("#",""), HYPERLINK(CONCATENATE("#Metadata!", ADDRESS(INDEX($Q$2:$Q$1001,MATCH(ROWS($O$2:O148),$O$2:$O$1001,0),0), INDEX($V$1004:$AE$1004,1,MATCH(COLUMNS($V$1006:AB1006),$V$1006:$AE$1006,0)))),"Fix")))</f>
        <v>0</v>
      </c>
      <c r="I148" s="4">
        <f>IF(OR(INDEX($P$2:$P$1001,MATCH(ROWS($O$2:O148),$O$2:$O$1001,0),1)&gt;=100000,INDEX($V$1005:$AE$1005,1,MATCH(COLUMNS($V$1006:AC1006),$V$1006:$AE$1006,0))&gt;=100000), " ",IF(INDEX($V$2:$AE$1001,MATCH(ROWS($O$2:O148),$O$2:$O$1001,0),MATCH(COLUMNS($V$1006:AC1006),$V$1006:$AE$1006,0)), HYPERLINK("#",""), HYPERLINK(CONCATENATE("#Metadata!", ADDRESS(INDEX($Q$2:$Q$1001,MATCH(ROWS($O$2:O148),$O$2:$O$1001,0),0), INDEX($V$1004:$AE$1004,1,MATCH(COLUMNS($V$1006:AC1006),$V$1006:$AE$1006,0)))),"Fix")))</f>
        <v>0</v>
      </c>
      <c r="J148" s="4">
        <f>IF(OR(INDEX($P$2:$P$1001,MATCH(ROWS($O$2:O148),$O$2:$O$1001,0),1)&gt;=100000,INDEX($V$1005:$AE$1005,1,MATCH(COLUMNS($V$1006:AD1006),$V$1006:$AE$1006,0))&gt;=100000), " ",IF(INDEX($V$2:$AE$1001,MATCH(ROWS($O$2:O148),$O$2:$O$1001,0),MATCH(COLUMNS($V$1006:AD1006),$V$1006:$AE$1006,0)), HYPERLINK("#",""), HYPERLINK(CONCATENATE("#Metadata!", ADDRESS(INDEX($Q$2:$Q$1001,MATCH(ROWS($O$2:O148),$O$2:$O$1001,0),0), INDEX($V$1004:$AE$1004,1,MATCH(COLUMNS($V$1006:AD1006),$V$1006:$AE$1006,0)))),"Fix")))</f>
        <v>0</v>
      </c>
      <c r="K148" s="4">
        <f>IF(OR(INDEX($P$2:$P$1001,MATCH(ROWS($O$2:O148),$O$2:$O$1001,0),1)&gt;=100000,INDEX($V$1005:$AE$1005,1,MATCH(COLUMNS($V$1006:AE1006),$V$1006:$AE$1006,0))&gt;=100000), " ",IF(INDEX($V$2:$AE$1001,MATCH(ROWS($O$2:O148),$O$2:$O$1001,0),MATCH(COLUMNS($V$1006:AE1006),$V$1006:$AE$1006,0)), HYPERLINK("#",""), HYPERLINK(CONCATENATE("#Metadata!", ADDRESS(INDEX($Q$2:$Q$1001,MATCH(ROWS($O$2:O148),$O$2:$O$1001,0),0), INDEX($V$1004:$AE$1004,1,MATCH(COLUMNS($V$1006:AE1006),$V$1006:$AE$1006,0)))),"Fix")))</f>
        <v>0</v>
      </c>
      <c r="O148">
        <v>0</v>
      </c>
      <c r="P148">
        <v>0</v>
      </c>
      <c r="Q148">
        <v>0</v>
      </c>
      <c r="R148">
        <f>IF(S148,TRUE,AND(V148:AE148))</f>
        <v>0</v>
      </c>
      <c r="S148">
        <f>COUNTBLANK(Metadata!B148:K148)=COLUMNS(Metadata!B148:K148)</f>
        <v>0</v>
      </c>
      <c r="T148">
        <v>0</v>
      </c>
      <c r="V148">
        <f>AND(IF(Metadata!B148="",FALSE,TRUE),COUNTIF(Metadata!B:B, Metadata!B148) = 1,NOT(ISERROR(SUMPRODUCT(SEARCH(MID(Metadata!B148,ROW(INDIRECT("1:"&amp;LEN(Metadata!B148))), 1),"0123456789abcdefghijklmnopqrstuvwxyzABCDEFGHIJKLMNOPQRSTUVWXYZ.")))))</f>
        <v>0</v>
      </c>
      <c r="W148">
        <f>AND(IF(Metadata!C148="",FALSE,TRUE),exact(Metadata!C148,"urban biome"))</f>
        <v>0</v>
      </c>
      <c r="X148">
        <f>AND(IF(Metadata!D148="",FALSE,TRUE),exact(Metadata!D148,"animal-associated habitat"))</f>
        <v>0</v>
      </c>
      <c r="Y148">
        <f>OR(AND(IF(Metadata!E148="",FALSE,TRUE),OR(exact(Metadata!E148,"not applicable"),exact(Metadata!E148,"missing: not collected"),exact(Metadata!E148,"missing: not provided"),exact(Metadata!E148,"missing: restricted access"))),AND(IF(Metadata!E148="",FALSE,ISNUMBER(VALUE(Metadata!E148))),Metadata!E148&gt;0))</f>
        <v>0</v>
      </c>
      <c r="Z148">
        <f>AND(IF(Metadata!F148="",FALSE,TRUE),exact(Metadata!F148,"weeks"))</f>
        <v>0</v>
      </c>
      <c r="AA148">
        <f>AND(IF(Metadata!G148="",FALSE,TRUE),exact(Metadata!G148,"mouse"))</f>
        <v>0</v>
      </c>
      <c r="AB148">
        <f>AND(IF(Metadata!H148="",FALSE,TRUE),exact(Metadata!H148,"Mus musculus"))</f>
        <v>0</v>
      </c>
      <c r="AC148">
        <f>AND(IF(Metadata!I148="",FALSE,TRUE),exact(Metadata!I148,"10090"))</f>
        <v>0</v>
      </c>
      <c r="AD148">
        <f>OR(AND(IF(Metadata!J148="",FALSE,TRUE),OR(exact(Metadata!J148,"not applicable"),exact(Metadata!J148,"missing: not collected"),exact(Metadata!J148,"missing: not provided"),exact(Metadata!J148,"missing: restricted access"))),AND(IF(Metadata!J148="",FALSE,ISNUMBER(VALUE(Metadata!J148))),Metadata!J148&gt;0))</f>
        <v>0</v>
      </c>
      <c r="AE148">
        <f>AND(IF(Metadata!K148="",FALSE,TRUE),exact(Metadata!K148,"g"))</f>
        <v>0</v>
      </c>
    </row>
    <row r="149" spans="1:31">
      <c r="A149" s="5">
        <f>IF(B149=" "," ",HYPERLINK(CONCATENATE("#metadata!",ADDRESS(INDEX($Q$2:$Q$1001,MATCH(ROWS($O$2:O149),$O$2:$O$1001,0),0),1)),INDEX($T$2:$T$1001,MATCH(ROWS($O$2:O149),$O$2:$O$1001,0),0)))</f>
        <v>0</v>
      </c>
      <c r="B149" s="4">
        <f>IF(OR(INDEX($P$2:$P$1001,MATCH(ROWS($O$2:O149),$O$2:$O$1001,0),1)&gt;=100000,INDEX($V$1005:$AE$1005,1,MATCH(COLUMNS($V$1006:V1006),$V$1006:$AE$1006,0))&gt;=100000), " ",IF(INDEX($V$2:$AE$1001,MATCH(ROWS($O$2:O149),$O$2:$O$1001,0),MATCH(COLUMNS($V$1006:V1006),$V$1006:$AE$1006,0)), HYPERLINK("#",""), HYPERLINK(CONCATENATE("#Metadata!", ADDRESS(INDEX($Q$2:$Q$1001,MATCH(ROWS($O$2:O149),$O$2:$O$1001,0),0), INDEX($V$1004:$AE$1004,1,MATCH(COLUMNS($V$1006:V1006),$V$1006:$AE$1006,0)))),"Fix")))</f>
        <v>0</v>
      </c>
      <c r="C149" s="4">
        <f>IF(OR(INDEX($P$2:$P$1001,MATCH(ROWS($O$2:O149),$O$2:$O$1001,0),1)&gt;=100000,INDEX($V$1005:$AE$1005,1,MATCH(COLUMNS($V$1006:W1006),$V$1006:$AE$1006,0))&gt;=100000), " ",IF(INDEX($V$2:$AE$1001,MATCH(ROWS($O$2:O149),$O$2:$O$1001,0),MATCH(COLUMNS($V$1006:W1006),$V$1006:$AE$1006,0)), HYPERLINK("#",""), HYPERLINK(CONCATENATE("#Metadata!", ADDRESS(INDEX($Q$2:$Q$1001,MATCH(ROWS($O$2:O149),$O$2:$O$1001,0),0), INDEX($V$1004:$AE$1004,1,MATCH(COLUMNS($V$1006:W1006),$V$1006:$AE$1006,0)))),"Fix")))</f>
        <v>0</v>
      </c>
      <c r="D149" s="4">
        <f>IF(OR(INDEX($P$2:$P$1001,MATCH(ROWS($O$2:O149),$O$2:$O$1001,0),1)&gt;=100000,INDEX($V$1005:$AE$1005,1,MATCH(COLUMNS($V$1006:X1006),$V$1006:$AE$1006,0))&gt;=100000), " ",IF(INDEX($V$2:$AE$1001,MATCH(ROWS($O$2:O149),$O$2:$O$1001,0),MATCH(COLUMNS($V$1006:X1006),$V$1006:$AE$1006,0)), HYPERLINK("#",""), HYPERLINK(CONCATENATE("#Metadata!", ADDRESS(INDEX($Q$2:$Q$1001,MATCH(ROWS($O$2:O149),$O$2:$O$1001,0),0), INDEX($V$1004:$AE$1004,1,MATCH(COLUMNS($V$1006:X1006),$V$1006:$AE$1006,0)))),"Fix")))</f>
        <v>0</v>
      </c>
      <c r="E149" s="4">
        <f>IF(OR(INDEX($P$2:$P$1001,MATCH(ROWS($O$2:O149),$O$2:$O$1001,0),1)&gt;=100000,INDEX($V$1005:$AE$1005,1,MATCH(COLUMNS($V$1006:Y1006),$V$1006:$AE$1006,0))&gt;=100000), " ",IF(INDEX($V$2:$AE$1001,MATCH(ROWS($O$2:O149),$O$2:$O$1001,0),MATCH(COLUMNS($V$1006:Y1006),$V$1006:$AE$1006,0)), HYPERLINK("#",""), HYPERLINK(CONCATENATE("#Metadata!", ADDRESS(INDEX($Q$2:$Q$1001,MATCH(ROWS($O$2:O149),$O$2:$O$1001,0),0), INDEX($V$1004:$AE$1004,1,MATCH(COLUMNS($V$1006:Y1006),$V$1006:$AE$1006,0)))),"Fix")))</f>
        <v>0</v>
      </c>
      <c r="F149" s="4">
        <f>IF(OR(INDEX($P$2:$P$1001,MATCH(ROWS($O$2:O149),$O$2:$O$1001,0),1)&gt;=100000,INDEX($V$1005:$AE$1005,1,MATCH(COLUMNS($V$1006:Z1006),$V$1006:$AE$1006,0))&gt;=100000), " ",IF(INDEX($V$2:$AE$1001,MATCH(ROWS($O$2:O149),$O$2:$O$1001,0),MATCH(COLUMNS($V$1006:Z1006),$V$1006:$AE$1006,0)), HYPERLINK("#",""), HYPERLINK(CONCATENATE("#Metadata!", ADDRESS(INDEX($Q$2:$Q$1001,MATCH(ROWS($O$2:O149),$O$2:$O$1001,0),0), INDEX($V$1004:$AE$1004,1,MATCH(COLUMNS($V$1006:Z1006),$V$1006:$AE$1006,0)))),"Fix")))</f>
        <v>0</v>
      </c>
      <c r="G149" s="4">
        <f>IF(OR(INDEX($P$2:$P$1001,MATCH(ROWS($O$2:O149),$O$2:$O$1001,0),1)&gt;=100000,INDEX($V$1005:$AE$1005,1,MATCH(COLUMNS($V$1006:AA1006),$V$1006:$AE$1006,0))&gt;=100000), " ",IF(INDEX($V$2:$AE$1001,MATCH(ROWS($O$2:O149),$O$2:$O$1001,0),MATCH(COLUMNS($V$1006:AA1006),$V$1006:$AE$1006,0)), HYPERLINK("#",""), HYPERLINK(CONCATENATE("#Metadata!", ADDRESS(INDEX($Q$2:$Q$1001,MATCH(ROWS($O$2:O149),$O$2:$O$1001,0),0), INDEX($V$1004:$AE$1004,1,MATCH(COLUMNS($V$1006:AA1006),$V$1006:$AE$1006,0)))),"Fix")))</f>
        <v>0</v>
      </c>
      <c r="H149" s="4">
        <f>IF(OR(INDEX($P$2:$P$1001,MATCH(ROWS($O$2:O149),$O$2:$O$1001,0),1)&gt;=100000,INDEX($V$1005:$AE$1005,1,MATCH(COLUMNS($V$1006:AB1006),$V$1006:$AE$1006,0))&gt;=100000), " ",IF(INDEX($V$2:$AE$1001,MATCH(ROWS($O$2:O149),$O$2:$O$1001,0),MATCH(COLUMNS($V$1006:AB1006),$V$1006:$AE$1006,0)), HYPERLINK("#",""), HYPERLINK(CONCATENATE("#Metadata!", ADDRESS(INDEX($Q$2:$Q$1001,MATCH(ROWS($O$2:O149),$O$2:$O$1001,0),0), INDEX($V$1004:$AE$1004,1,MATCH(COLUMNS($V$1006:AB1006),$V$1006:$AE$1006,0)))),"Fix")))</f>
        <v>0</v>
      </c>
      <c r="I149" s="4">
        <f>IF(OR(INDEX($P$2:$P$1001,MATCH(ROWS($O$2:O149),$O$2:$O$1001,0),1)&gt;=100000,INDEX($V$1005:$AE$1005,1,MATCH(COLUMNS($V$1006:AC1006),$V$1006:$AE$1006,0))&gt;=100000), " ",IF(INDEX($V$2:$AE$1001,MATCH(ROWS($O$2:O149),$O$2:$O$1001,0),MATCH(COLUMNS($V$1006:AC1006),$V$1006:$AE$1006,0)), HYPERLINK("#",""), HYPERLINK(CONCATENATE("#Metadata!", ADDRESS(INDEX($Q$2:$Q$1001,MATCH(ROWS($O$2:O149),$O$2:$O$1001,0),0), INDEX($V$1004:$AE$1004,1,MATCH(COLUMNS($V$1006:AC1006),$V$1006:$AE$1006,0)))),"Fix")))</f>
        <v>0</v>
      </c>
      <c r="J149" s="4">
        <f>IF(OR(INDEX($P$2:$P$1001,MATCH(ROWS($O$2:O149),$O$2:$O$1001,0),1)&gt;=100000,INDEX($V$1005:$AE$1005,1,MATCH(COLUMNS($V$1006:AD1006),$V$1006:$AE$1006,0))&gt;=100000), " ",IF(INDEX($V$2:$AE$1001,MATCH(ROWS($O$2:O149),$O$2:$O$1001,0),MATCH(COLUMNS($V$1006:AD1006),$V$1006:$AE$1006,0)), HYPERLINK("#",""), HYPERLINK(CONCATENATE("#Metadata!", ADDRESS(INDEX($Q$2:$Q$1001,MATCH(ROWS($O$2:O149),$O$2:$O$1001,0),0), INDEX($V$1004:$AE$1004,1,MATCH(COLUMNS($V$1006:AD1006),$V$1006:$AE$1006,0)))),"Fix")))</f>
        <v>0</v>
      </c>
      <c r="K149" s="4">
        <f>IF(OR(INDEX($P$2:$P$1001,MATCH(ROWS($O$2:O149),$O$2:$O$1001,0),1)&gt;=100000,INDEX($V$1005:$AE$1005,1,MATCH(COLUMNS($V$1006:AE1006),$V$1006:$AE$1006,0))&gt;=100000), " ",IF(INDEX($V$2:$AE$1001,MATCH(ROWS($O$2:O149),$O$2:$O$1001,0),MATCH(COLUMNS($V$1006:AE1006),$V$1006:$AE$1006,0)), HYPERLINK("#",""), HYPERLINK(CONCATENATE("#Metadata!", ADDRESS(INDEX($Q$2:$Q$1001,MATCH(ROWS($O$2:O149),$O$2:$O$1001,0),0), INDEX($V$1004:$AE$1004,1,MATCH(COLUMNS($V$1006:AE1006),$V$1006:$AE$1006,0)))),"Fix")))</f>
        <v>0</v>
      </c>
      <c r="O149">
        <v>0</v>
      </c>
      <c r="P149">
        <v>0</v>
      </c>
      <c r="Q149">
        <v>0</v>
      </c>
      <c r="R149">
        <f>IF(S149,TRUE,AND(V149:AE149))</f>
        <v>0</v>
      </c>
      <c r="S149">
        <f>COUNTBLANK(Metadata!B149:K149)=COLUMNS(Metadata!B149:K149)</f>
        <v>0</v>
      </c>
      <c r="T149">
        <v>0</v>
      </c>
      <c r="V149">
        <f>AND(IF(Metadata!B149="",FALSE,TRUE),COUNTIF(Metadata!B:B, Metadata!B149) = 1,NOT(ISERROR(SUMPRODUCT(SEARCH(MID(Metadata!B149,ROW(INDIRECT("1:"&amp;LEN(Metadata!B149))), 1),"0123456789abcdefghijklmnopqrstuvwxyzABCDEFGHIJKLMNOPQRSTUVWXYZ.")))))</f>
        <v>0</v>
      </c>
      <c r="W149">
        <f>AND(IF(Metadata!C149="",FALSE,TRUE),exact(Metadata!C149,"urban biome"))</f>
        <v>0</v>
      </c>
      <c r="X149">
        <f>AND(IF(Metadata!D149="",FALSE,TRUE),exact(Metadata!D149,"animal-associated habitat"))</f>
        <v>0</v>
      </c>
      <c r="Y149">
        <f>OR(AND(IF(Metadata!E149="",FALSE,TRUE),OR(exact(Metadata!E149,"not applicable"),exact(Metadata!E149,"missing: not collected"),exact(Metadata!E149,"missing: not provided"),exact(Metadata!E149,"missing: restricted access"))),AND(IF(Metadata!E149="",FALSE,ISNUMBER(VALUE(Metadata!E149))),Metadata!E149&gt;0))</f>
        <v>0</v>
      </c>
      <c r="Z149">
        <f>AND(IF(Metadata!F149="",FALSE,TRUE),exact(Metadata!F149,"weeks"))</f>
        <v>0</v>
      </c>
      <c r="AA149">
        <f>AND(IF(Metadata!G149="",FALSE,TRUE),exact(Metadata!G149,"mouse"))</f>
        <v>0</v>
      </c>
      <c r="AB149">
        <f>AND(IF(Metadata!H149="",FALSE,TRUE),exact(Metadata!H149,"Mus musculus"))</f>
        <v>0</v>
      </c>
      <c r="AC149">
        <f>AND(IF(Metadata!I149="",FALSE,TRUE),exact(Metadata!I149,"10090"))</f>
        <v>0</v>
      </c>
      <c r="AD149">
        <f>OR(AND(IF(Metadata!J149="",FALSE,TRUE),OR(exact(Metadata!J149,"not applicable"),exact(Metadata!J149,"missing: not collected"),exact(Metadata!J149,"missing: not provided"),exact(Metadata!J149,"missing: restricted access"))),AND(IF(Metadata!J149="",FALSE,ISNUMBER(VALUE(Metadata!J149))),Metadata!J149&gt;0))</f>
        <v>0</v>
      </c>
      <c r="AE149">
        <f>AND(IF(Metadata!K149="",FALSE,TRUE),exact(Metadata!K149,"g"))</f>
        <v>0</v>
      </c>
    </row>
    <row r="150" spans="1:31">
      <c r="A150" s="5">
        <f>IF(B150=" "," ",HYPERLINK(CONCATENATE("#metadata!",ADDRESS(INDEX($Q$2:$Q$1001,MATCH(ROWS($O$2:O150),$O$2:$O$1001,0),0),1)),INDEX($T$2:$T$1001,MATCH(ROWS($O$2:O150),$O$2:$O$1001,0),0)))</f>
        <v>0</v>
      </c>
      <c r="B150" s="4">
        <f>IF(OR(INDEX($P$2:$P$1001,MATCH(ROWS($O$2:O150),$O$2:$O$1001,0),1)&gt;=100000,INDEX($V$1005:$AE$1005,1,MATCH(COLUMNS($V$1006:V1006),$V$1006:$AE$1006,0))&gt;=100000), " ",IF(INDEX($V$2:$AE$1001,MATCH(ROWS($O$2:O150),$O$2:$O$1001,0),MATCH(COLUMNS($V$1006:V1006),$V$1006:$AE$1006,0)), HYPERLINK("#",""), HYPERLINK(CONCATENATE("#Metadata!", ADDRESS(INDEX($Q$2:$Q$1001,MATCH(ROWS($O$2:O150),$O$2:$O$1001,0),0), INDEX($V$1004:$AE$1004,1,MATCH(COLUMNS($V$1006:V1006),$V$1006:$AE$1006,0)))),"Fix")))</f>
        <v>0</v>
      </c>
      <c r="C150" s="4">
        <f>IF(OR(INDEX($P$2:$P$1001,MATCH(ROWS($O$2:O150),$O$2:$O$1001,0),1)&gt;=100000,INDEX($V$1005:$AE$1005,1,MATCH(COLUMNS($V$1006:W1006),$V$1006:$AE$1006,0))&gt;=100000), " ",IF(INDEX($V$2:$AE$1001,MATCH(ROWS($O$2:O150),$O$2:$O$1001,0),MATCH(COLUMNS($V$1006:W1006),$V$1006:$AE$1006,0)), HYPERLINK("#",""), HYPERLINK(CONCATENATE("#Metadata!", ADDRESS(INDEX($Q$2:$Q$1001,MATCH(ROWS($O$2:O150),$O$2:$O$1001,0),0), INDEX($V$1004:$AE$1004,1,MATCH(COLUMNS($V$1006:W1006),$V$1006:$AE$1006,0)))),"Fix")))</f>
        <v>0</v>
      </c>
      <c r="D150" s="4">
        <f>IF(OR(INDEX($P$2:$P$1001,MATCH(ROWS($O$2:O150),$O$2:$O$1001,0),1)&gt;=100000,INDEX($V$1005:$AE$1005,1,MATCH(COLUMNS($V$1006:X1006),$V$1006:$AE$1006,0))&gt;=100000), " ",IF(INDEX($V$2:$AE$1001,MATCH(ROWS($O$2:O150),$O$2:$O$1001,0),MATCH(COLUMNS($V$1006:X1006),$V$1006:$AE$1006,0)), HYPERLINK("#",""), HYPERLINK(CONCATENATE("#Metadata!", ADDRESS(INDEX($Q$2:$Q$1001,MATCH(ROWS($O$2:O150),$O$2:$O$1001,0),0), INDEX($V$1004:$AE$1004,1,MATCH(COLUMNS($V$1006:X1006),$V$1006:$AE$1006,0)))),"Fix")))</f>
        <v>0</v>
      </c>
      <c r="E150" s="4">
        <f>IF(OR(INDEX($P$2:$P$1001,MATCH(ROWS($O$2:O150),$O$2:$O$1001,0),1)&gt;=100000,INDEX($V$1005:$AE$1005,1,MATCH(COLUMNS($V$1006:Y1006),$V$1006:$AE$1006,0))&gt;=100000), " ",IF(INDEX($V$2:$AE$1001,MATCH(ROWS($O$2:O150),$O$2:$O$1001,0),MATCH(COLUMNS($V$1006:Y1006),$V$1006:$AE$1006,0)), HYPERLINK("#",""), HYPERLINK(CONCATENATE("#Metadata!", ADDRESS(INDEX($Q$2:$Q$1001,MATCH(ROWS($O$2:O150),$O$2:$O$1001,0),0), INDEX($V$1004:$AE$1004,1,MATCH(COLUMNS($V$1006:Y1006),$V$1006:$AE$1006,0)))),"Fix")))</f>
        <v>0</v>
      </c>
      <c r="F150" s="4">
        <f>IF(OR(INDEX($P$2:$P$1001,MATCH(ROWS($O$2:O150),$O$2:$O$1001,0),1)&gt;=100000,INDEX($V$1005:$AE$1005,1,MATCH(COLUMNS($V$1006:Z1006),$V$1006:$AE$1006,0))&gt;=100000), " ",IF(INDEX($V$2:$AE$1001,MATCH(ROWS($O$2:O150),$O$2:$O$1001,0),MATCH(COLUMNS($V$1006:Z1006),$V$1006:$AE$1006,0)), HYPERLINK("#",""), HYPERLINK(CONCATENATE("#Metadata!", ADDRESS(INDEX($Q$2:$Q$1001,MATCH(ROWS($O$2:O150),$O$2:$O$1001,0),0), INDEX($V$1004:$AE$1004,1,MATCH(COLUMNS($V$1006:Z1006),$V$1006:$AE$1006,0)))),"Fix")))</f>
        <v>0</v>
      </c>
      <c r="G150" s="4">
        <f>IF(OR(INDEX($P$2:$P$1001,MATCH(ROWS($O$2:O150),$O$2:$O$1001,0),1)&gt;=100000,INDEX($V$1005:$AE$1005,1,MATCH(COLUMNS($V$1006:AA1006),$V$1006:$AE$1006,0))&gt;=100000), " ",IF(INDEX($V$2:$AE$1001,MATCH(ROWS($O$2:O150),$O$2:$O$1001,0),MATCH(COLUMNS($V$1006:AA1006),$V$1006:$AE$1006,0)), HYPERLINK("#",""), HYPERLINK(CONCATENATE("#Metadata!", ADDRESS(INDEX($Q$2:$Q$1001,MATCH(ROWS($O$2:O150),$O$2:$O$1001,0),0), INDEX($V$1004:$AE$1004,1,MATCH(COLUMNS($V$1006:AA1006),$V$1006:$AE$1006,0)))),"Fix")))</f>
        <v>0</v>
      </c>
      <c r="H150" s="4">
        <f>IF(OR(INDEX($P$2:$P$1001,MATCH(ROWS($O$2:O150),$O$2:$O$1001,0),1)&gt;=100000,INDEX($V$1005:$AE$1005,1,MATCH(COLUMNS($V$1006:AB1006),$V$1006:$AE$1006,0))&gt;=100000), " ",IF(INDEX($V$2:$AE$1001,MATCH(ROWS($O$2:O150),$O$2:$O$1001,0),MATCH(COLUMNS($V$1006:AB1006),$V$1006:$AE$1006,0)), HYPERLINK("#",""), HYPERLINK(CONCATENATE("#Metadata!", ADDRESS(INDEX($Q$2:$Q$1001,MATCH(ROWS($O$2:O150),$O$2:$O$1001,0),0), INDEX($V$1004:$AE$1004,1,MATCH(COLUMNS($V$1006:AB1006),$V$1006:$AE$1006,0)))),"Fix")))</f>
        <v>0</v>
      </c>
      <c r="I150" s="4">
        <f>IF(OR(INDEX($P$2:$P$1001,MATCH(ROWS($O$2:O150),$O$2:$O$1001,0),1)&gt;=100000,INDEX($V$1005:$AE$1005,1,MATCH(COLUMNS($V$1006:AC1006),$V$1006:$AE$1006,0))&gt;=100000), " ",IF(INDEX($V$2:$AE$1001,MATCH(ROWS($O$2:O150),$O$2:$O$1001,0),MATCH(COLUMNS($V$1006:AC1006),$V$1006:$AE$1006,0)), HYPERLINK("#",""), HYPERLINK(CONCATENATE("#Metadata!", ADDRESS(INDEX($Q$2:$Q$1001,MATCH(ROWS($O$2:O150),$O$2:$O$1001,0),0), INDEX($V$1004:$AE$1004,1,MATCH(COLUMNS($V$1006:AC1006),$V$1006:$AE$1006,0)))),"Fix")))</f>
        <v>0</v>
      </c>
      <c r="J150" s="4">
        <f>IF(OR(INDEX($P$2:$P$1001,MATCH(ROWS($O$2:O150),$O$2:$O$1001,0),1)&gt;=100000,INDEX($V$1005:$AE$1005,1,MATCH(COLUMNS($V$1006:AD1006),$V$1006:$AE$1006,0))&gt;=100000), " ",IF(INDEX($V$2:$AE$1001,MATCH(ROWS($O$2:O150),$O$2:$O$1001,0),MATCH(COLUMNS($V$1006:AD1006),$V$1006:$AE$1006,0)), HYPERLINK("#",""), HYPERLINK(CONCATENATE("#Metadata!", ADDRESS(INDEX($Q$2:$Q$1001,MATCH(ROWS($O$2:O150),$O$2:$O$1001,0),0), INDEX($V$1004:$AE$1004,1,MATCH(COLUMNS($V$1006:AD1006),$V$1006:$AE$1006,0)))),"Fix")))</f>
        <v>0</v>
      </c>
      <c r="K150" s="4">
        <f>IF(OR(INDEX($P$2:$P$1001,MATCH(ROWS($O$2:O150),$O$2:$O$1001,0),1)&gt;=100000,INDEX($V$1005:$AE$1005,1,MATCH(COLUMNS($V$1006:AE1006),$V$1006:$AE$1006,0))&gt;=100000), " ",IF(INDEX($V$2:$AE$1001,MATCH(ROWS($O$2:O150),$O$2:$O$1001,0),MATCH(COLUMNS($V$1006:AE1006),$V$1006:$AE$1006,0)), HYPERLINK("#",""), HYPERLINK(CONCATENATE("#Metadata!", ADDRESS(INDEX($Q$2:$Q$1001,MATCH(ROWS($O$2:O150),$O$2:$O$1001,0),0), INDEX($V$1004:$AE$1004,1,MATCH(COLUMNS($V$1006:AE1006),$V$1006:$AE$1006,0)))),"Fix")))</f>
        <v>0</v>
      </c>
      <c r="O150">
        <v>0</v>
      </c>
      <c r="P150">
        <v>0</v>
      </c>
      <c r="Q150">
        <v>0</v>
      </c>
      <c r="R150">
        <f>IF(S150,TRUE,AND(V150:AE150))</f>
        <v>0</v>
      </c>
      <c r="S150">
        <f>COUNTBLANK(Metadata!B150:K150)=COLUMNS(Metadata!B150:K150)</f>
        <v>0</v>
      </c>
      <c r="T150">
        <v>0</v>
      </c>
      <c r="V150">
        <f>AND(IF(Metadata!B150="",FALSE,TRUE),COUNTIF(Metadata!B:B, Metadata!B150) = 1,NOT(ISERROR(SUMPRODUCT(SEARCH(MID(Metadata!B150,ROW(INDIRECT("1:"&amp;LEN(Metadata!B150))), 1),"0123456789abcdefghijklmnopqrstuvwxyzABCDEFGHIJKLMNOPQRSTUVWXYZ.")))))</f>
        <v>0</v>
      </c>
      <c r="W150">
        <f>AND(IF(Metadata!C150="",FALSE,TRUE),exact(Metadata!C150,"urban biome"))</f>
        <v>0</v>
      </c>
      <c r="X150">
        <f>AND(IF(Metadata!D150="",FALSE,TRUE),exact(Metadata!D150,"animal-associated habitat"))</f>
        <v>0</v>
      </c>
      <c r="Y150">
        <f>OR(AND(IF(Metadata!E150="",FALSE,TRUE),OR(exact(Metadata!E150,"not applicable"),exact(Metadata!E150,"missing: not collected"),exact(Metadata!E150,"missing: not provided"),exact(Metadata!E150,"missing: restricted access"))),AND(IF(Metadata!E150="",FALSE,ISNUMBER(VALUE(Metadata!E150))),Metadata!E150&gt;0))</f>
        <v>0</v>
      </c>
      <c r="Z150">
        <f>AND(IF(Metadata!F150="",FALSE,TRUE),exact(Metadata!F150,"weeks"))</f>
        <v>0</v>
      </c>
      <c r="AA150">
        <f>AND(IF(Metadata!G150="",FALSE,TRUE),exact(Metadata!G150,"mouse"))</f>
        <v>0</v>
      </c>
      <c r="AB150">
        <f>AND(IF(Metadata!H150="",FALSE,TRUE),exact(Metadata!H150,"Mus musculus"))</f>
        <v>0</v>
      </c>
      <c r="AC150">
        <f>AND(IF(Metadata!I150="",FALSE,TRUE),exact(Metadata!I150,"10090"))</f>
        <v>0</v>
      </c>
      <c r="AD150">
        <f>OR(AND(IF(Metadata!J150="",FALSE,TRUE),OR(exact(Metadata!J150,"not applicable"),exact(Metadata!J150,"missing: not collected"),exact(Metadata!J150,"missing: not provided"),exact(Metadata!J150,"missing: restricted access"))),AND(IF(Metadata!J150="",FALSE,ISNUMBER(VALUE(Metadata!J150))),Metadata!J150&gt;0))</f>
        <v>0</v>
      </c>
      <c r="AE150">
        <f>AND(IF(Metadata!K150="",FALSE,TRUE),exact(Metadata!K150,"g"))</f>
        <v>0</v>
      </c>
    </row>
    <row r="151" spans="1:31">
      <c r="A151" s="5">
        <f>IF(B151=" "," ",HYPERLINK(CONCATENATE("#metadata!",ADDRESS(INDEX($Q$2:$Q$1001,MATCH(ROWS($O$2:O151),$O$2:$O$1001,0),0),1)),INDEX($T$2:$T$1001,MATCH(ROWS($O$2:O151),$O$2:$O$1001,0),0)))</f>
        <v>0</v>
      </c>
      <c r="B151" s="4">
        <f>IF(OR(INDEX($P$2:$P$1001,MATCH(ROWS($O$2:O151),$O$2:$O$1001,0),1)&gt;=100000,INDEX($V$1005:$AE$1005,1,MATCH(COLUMNS($V$1006:V1006),$V$1006:$AE$1006,0))&gt;=100000), " ",IF(INDEX($V$2:$AE$1001,MATCH(ROWS($O$2:O151),$O$2:$O$1001,0),MATCH(COLUMNS($V$1006:V1006),$V$1006:$AE$1006,0)), HYPERLINK("#",""), HYPERLINK(CONCATENATE("#Metadata!", ADDRESS(INDEX($Q$2:$Q$1001,MATCH(ROWS($O$2:O151),$O$2:$O$1001,0),0), INDEX($V$1004:$AE$1004,1,MATCH(COLUMNS($V$1006:V1006),$V$1006:$AE$1006,0)))),"Fix")))</f>
        <v>0</v>
      </c>
      <c r="C151" s="4">
        <f>IF(OR(INDEX($P$2:$P$1001,MATCH(ROWS($O$2:O151),$O$2:$O$1001,0),1)&gt;=100000,INDEX($V$1005:$AE$1005,1,MATCH(COLUMNS($V$1006:W1006),$V$1006:$AE$1006,0))&gt;=100000), " ",IF(INDEX($V$2:$AE$1001,MATCH(ROWS($O$2:O151),$O$2:$O$1001,0),MATCH(COLUMNS($V$1006:W1006),$V$1006:$AE$1006,0)), HYPERLINK("#",""), HYPERLINK(CONCATENATE("#Metadata!", ADDRESS(INDEX($Q$2:$Q$1001,MATCH(ROWS($O$2:O151),$O$2:$O$1001,0),0), INDEX($V$1004:$AE$1004,1,MATCH(COLUMNS($V$1006:W1006),$V$1006:$AE$1006,0)))),"Fix")))</f>
        <v>0</v>
      </c>
      <c r="D151" s="4">
        <f>IF(OR(INDEX($P$2:$P$1001,MATCH(ROWS($O$2:O151),$O$2:$O$1001,0),1)&gt;=100000,INDEX($V$1005:$AE$1005,1,MATCH(COLUMNS($V$1006:X1006),$V$1006:$AE$1006,0))&gt;=100000), " ",IF(INDEX($V$2:$AE$1001,MATCH(ROWS($O$2:O151),$O$2:$O$1001,0),MATCH(COLUMNS($V$1006:X1006),$V$1006:$AE$1006,0)), HYPERLINK("#",""), HYPERLINK(CONCATENATE("#Metadata!", ADDRESS(INDEX($Q$2:$Q$1001,MATCH(ROWS($O$2:O151),$O$2:$O$1001,0),0), INDEX($V$1004:$AE$1004,1,MATCH(COLUMNS($V$1006:X1006),$V$1006:$AE$1006,0)))),"Fix")))</f>
        <v>0</v>
      </c>
      <c r="E151" s="4">
        <f>IF(OR(INDEX($P$2:$P$1001,MATCH(ROWS($O$2:O151),$O$2:$O$1001,0),1)&gt;=100000,INDEX($V$1005:$AE$1005,1,MATCH(COLUMNS($V$1006:Y1006),$V$1006:$AE$1006,0))&gt;=100000), " ",IF(INDEX($V$2:$AE$1001,MATCH(ROWS($O$2:O151),$O$2:$O$1001,0),MATCH(COLUMNS($V$1006:Y1006),$V$1006:$AE$1006,0)), HYPERLINK("#",""), HYPERLINK(CONCATENATE("#Metadata!", ADDRESS(INDEX($Q$2:$Q$1001,MATCH(ROWS($O$2:O151),$O$2:$O$1001,0),0), INDEX($V$1004:$AE$1004,1,MATCH(COLUMNS($V$1006:Y1006),$V$1006:$AE$1006,0)))),"Fix")))</f>
        <v>0</v>
      </c>
      <c r="F151" s="4">
        <f>IF(OR(INDEX($P$2:$P$1001,MATCH(ROWS($O$2:O151),$O$2:$O$1001,0),1)&gt;=100000,INDEX($V$1005:$AE$1005,1,MATCH(COLUMNS($V$1006:Z1006),$V$1006:$AE$1006,0))&gt;=100000), " ",IF(INDEX($V$2:$AE$1001,MATCH(ROWS($O$2:O151),$O$2:$O$1001,0),MATCH(COLUMNS($V$1006:Z1006),$V$1006:$AE$1006,0)), HYPERLINK("#",""), HYPERLINK(CONCATENATE("#Metadata!", ADDRESS(INDEX($Q$2:$Q$1001,MATCH(ROWS($O$2:O151),$O$2:$O$1001,0),0), INDEX($V$1004:$AE$1004,1,MATCH(COLUMNS($V$1006:Z1006),$V$1006:$AE$1006,0)))),"Fix")))</f>
        <v>0</v>
      </c>
      <c r="G151" s="4">
        <f>IF(OR(INDEX($P$2:$P$1001,MATCH(ROWS($O$2:O151),$O$2:$O$1001,0),1)&gt;=100000,INDEX($V$1005:$AE$1005,1,MATCH(COLUMNS($V$1006:AA1006),$V$1006:$AE$1006,0))&gt;=100000), " ",IF(INDEX($V$2:$AE$1001,MATCH(ROWS($O$2:O151),$O$2:$O$1001,0),MATCH(COLUMNS($V$1006:AA1006),$V$1006:$AE$1006,0)), HYPERLINK("#",""), HYPERLINK(CONCATENATE("#Metadata!", ADDRESS(INDEX($Q$2:$Q$1001,MATCH(ROWS($O$2:O151),$O$2:$O$1001,0),0), INDEX($V$1004:$AE$1004,1,MATCH(COLUMNS($V$1006:AA1006),$V$1006:$AE$1006,0)))),"Fix")))</f>
        <v>0</v>
      </c>
      <c r="H151" s="4">
        <f>IF(OR(INDEX($P$2:$P$1001,MATCH(ROWS($O$2:O151),$O$2:$O$1001,0),1)&gt;=100000,INDEX($V$1005:$AE$1005,1,MATCH(COLUMNS($V$1006:AB1006),$V$1006:$AE$1006,0))&gt;=100000), " ",IF(INDEX($V$2:$AE$1001,MATCH(ROWS($O$2:O151),$O$2:$O$1001,0),MATCH(COLUMNS($V$1006:AB1006),$V$1006:$AE$1006,0)), HYPERLINK("#",""), HYPERLINK(CONCATENATE("#Metadata!", ADDRESS(INDEX($Q$2:$Q$1001,MATCH(ROWS($O$2:O151),$O$2:$O$1001,0),0), INDEX($V$1004:$AE$1004,1,MATCH(COLUMNS($V$1006:AB1006),$V$1006:$AE$1006,0)))),"Fix")))</f>
        <v>0</v>
      </c>
      <c r="I151" s="4">
        <f>IF(OR(INDEX($P$2:$P$1001,MATCH(ROWS($O$2:O151),$O$2:$O$1001,0),1)&gt;=100000,INDEX($V$1005:$AE$1005,1,MATCH(COLUMNS($V$1006:AC1006),$V$1006:$AE$1006,0))&gt;=100000), " ",IF(INDEX($V$2:$AE$1001,MATCH(ROWS($O$2:O151),$O$2:$O$1001,0),MATCH(COLUMNS($V$1006:AC1006),$V$1006:$AE$1006,0)), HYPERLINK("#",""), HYPERLINK(CONCATENATE("#Metadata!", ADDRESS(INDEX($Q$2:$Q$1001,MATCH(ROWS($O$2:O151),$O$2:$O$1001,0),0), INDEX($V$1004:$AE$1004,1,MATCH(COLUMNS($V$1006:AC1006),$V$1006:$AE$1006,0)))),"Fix")))</f>
        <v>0</v>
      </c>
      <c r="J151" s="4">
        <f>IF(OR(INDEX($P$2:$P$1001,MATCH(ROWS($O$2:O151),$O$2:$O$1001,0),1)&gt;=100000,INDEX($V$1005:$AE$1005,1,MATCH(COLUMNS($V$1006:AD1006),$V$1006:$AE$1006,0))&gt;=100000), " ",IF(INDEX($V$2:$AE$1001,MATCH(ROWS($O$2:O151),$O$2:$O$1001,0),MATCH(COLUMNS($V$1006:AD1006),$V$1006:$AE$1006,0)), HYPERLINK("#",""), HYPERLINK(CONCATENATE("#Metadata!", ADDRESS(INDEX($Q$2:$Q$1001,MATCH(ROWS($O$2:O151),$O$2:$O$1001,0),0), INDEX($V$1004:$AE$1004,1,MATCH(COLUMNS($V$1006:AD1006),$V$1006:$AE$1006,0)))),"Fix")))</f>
        <v>0</v>
      </c>
      <c r="K151" s="4">
        <f>IF(OR(INDEX($P$2:$P$1001,MATCH(ROWS($O$2:O151),$O$2:$O$1001,0),1)&gt;=100000,INDEX($V$1005:$AE$1005,1,MATCH(COLUMNS($V$1006:AE1006),$V$1006:$AE$1006,0))&gt;=100000), " ",IF(INDEX($V$2:$AE$1001,MATCH(ROWS($O$2:O151),$O$2:$O$1001,0),MATCH(COLUMNS($V$1006:AE1006),$V$1006:$AE$1006,0)), HYPERLINK("#",""), HYPERLINK(CONCATENATE("#Metadata!", ADDRESS(INDEX($Q$2:$Q$1001,MATCH(ROWS($O$2:O151),$O$2:$O$1001,0),0), INDEX($V$1004:$AE$1004,1,MATCH(COLUMNS($V$1006:AE1006),$V$1006:$AE$1006,0)))),"Fix")))</f>
        <v>0</v>
      </c>
      <c r="O151">
        <v>0</v>
      </c>
      <c r="P151">
        <v>0</v>
      </c>
      <c r="Q151">
        <v>0</v>
      </c>
      <c r="R151">
        <f>IF(S151,TRUE,AND(V151:AE151))</f>
        <v>0</v>
      </c>
      <c r="S151">
        <f>COUNTBLANK(Metadata!B151:K151)=COLUMNS(Metadata!B151:K151)</f>
        <v>0</v>
      </c>
      <c r="T151">
        <v>0</v>
      </c>
      <c r="V151">
        <f>AND(IF(Metadata!B151="",FALSE,TRUE),COUNTIF(Metadata!B:B, Metadata!B151) = 1,NOT(ISERROR(SUMPRODUCT(SEARCH(MID(Metadata!B151,ROW(INDIRECT("1:"&amp;LEN(Metadata!B151))), 1),"0123456789abcdefghijklmnopqrstuvwxyzABCDEFGHIJKLMNOPQRSTUVWXYZ.")))))</f>
        <v>0</v>
      </c>
      <c r="W151">
        <f>AND(IF(Metadata!C151="",FALSE,TRUE),exact(Metadata!C151,"urban biome"))</f>
        <v>0</v>
      </c>
      <c r="X151">
        <f>AND(IF(Metadata!D151="",FALSE,TRUE),exact(Metadata!D151,"animal-associated habitat"))</f>
        <v>0</v>
      </c>
      <c r="Y151">
        <f>OR(AND(IF(Metadata!E151="",FALSE,TRUE),OR(exact(Metadata!E151,"not applicable"),exact(Metadata!E151,"missing: not collected"),exact(Metadata!E151,"missing: not provided"),exact(Metadata!E151,"missing: restricted access"))),AND(IF(Metadata!E151="",FALSE,ISNUMBER(VALUE(Metadata!E151))),Metadata!E151&gt;0))</f>
        <v>0</v>
      </c>
      <c r="Z151">
        <f>AND(IF(Metadata!F151="",FALSE,TRUE),exact(Metadata!F151,"weeks"))</f>
        <v>0</v>
      </c>
      <c r="AA151">
        <f>AND(IF(Metadata!G151="",FALSE,TRUE),exact(Metadata!G151,"mouse"))</f>
        <v>0</v>
      </c>
      <c r="AB151">
        <f>AND(IF(Metadata!H151="",FALSE,TRUE),exact(Metadata!H151,"Mus musculus"))</f>
        <v>0</v>
      </c>
      <c r="AC151">
        <f>AND(IF(Metadata!I151="",FALSE,TRUE),exact(Metadata!I151,"10090"))</f>
        <v>0</v>
      </c>
      <c r="AD151">
        <f>OR(AND(IF(Metadata!J151="",FALSE,TRUE),OR(exact(Metadata!J151,"not applicable"),exact(Metadata!J151,"missing: not collected"),exact(Metadata!J151,"missing: not provided"),exact(Metadata!J151,"missing: restricted access"))),AND(IF(Metadata!J151="",FALSE,ISNUMBER(VALUE(Metadata!J151))),Metadata!J151&gt;0))</f>
        <v>0</v>
      </c>
      <c r="AE151">
        <f>AND(IF(Metadata!K151="",FALSE,TRUE),exact(Metadata!K151,"g"))</f>
        <v>0</v>
      </c>
    </row>
    <row r="152" spans="1:31">
      <c r="A152" s="5">
        <f>IF(B152=" "," ",HYPERLINK(CONCATENATE("#metadata!",ADDRESS(INDEX($Q$2:$Q$1001,MATCH(ROWS($O$2:O152),$O$2:$O$1001,0),0),1)),INDEX($T$2:$T$1001,MATCH(ROWS($O$2:O152),$O$2:$O$1001,0),0)))</f>
        <v>0</v>
      </c>
      <c r="B152" s="4">
        <f>IF(OR(INDEX($P$2:$P$1001,MATCH(ROWS($O$2:O152),$O$2:$O$1001,0),1)&gt;=100000,INDEX($V$1005:$AE$1005,1,MATCH(COLUMNS($V$1006:V1006),$V$1006:$AE$1006,0))&gt;=100000), " ",IF(INDEX($V$2:$AE$1001,MATCH(ROWS($O$2:O152),$O$2:$O$1001,0),MATCH(COLUMNS($V$1006:V1006),$V$1006:$AE$1006,0)), HYPERLINK("#",""), HYPERLINK(CONCATENATE("#Metadata!", ADDRESS(INDEX($Q$2:$Q$1001,MATCH(ROWS($O$2:O152),$O$2:$O$1001,0),0), INDEX($V$1004:$AE$1004,1,MATCH(COLUMNS($V$1006:V1006),$V$1006:$AE$1006,0)))),"Fix")))</f>
        <v>0</v>
      </c>
      <c r="C152" s="4">
        <f>IF(OR(INDEX($P$2:$P$1001,MATCH(ROWS($O$2:O152),$O$2:$O$1001,0),1)&gt;=100000,INDEX($V$1005:$AE$1005,1,MATCH(COLUMNS($V$1006:W1006),$V$1006:$AE$1006,0))&gt;=100000), " ",IF(INDEX($V$2:$AE$1001,MATCH(ROWS($O$2:O152),$O$2:$O$1001,0),MATCH(COLUMNS($V$1006:W1006),$V$1006:$AE$1006,0)), HYPERLINK("#",""), HYPERLINK(CONCATENATE("#Metadata!", ADDRESS(INDEX($Q$2:$Q$1001,MATCH(ROWS($O$2:O152),$O$2:$O$1001,0),0), INDEX($V$1004:$AE$1004,1,MATCH(COLUMNS($V$1006:W1006),$V$1006:$AE$1006,0)))),"Fix")))</f>
        <v>0</v>
      </c>
      <c r="D152" s="4">
        <f>IF(OR(INDEX($P$2:$P$1001,MATCH(ROWS($O$2:O152),$O$2:$O$1001,0),1)&gt;=100000,INDEX($V$1005:$AE$1005,1,MATCH(COLUMNS($V$1006:X1006),$V$1006:$AE$1006,0))&gt;=100000), " ",IF(INDEX($V$2:$AE$1001,MATCH(ROWS($O$2:O152),$O$2:$O$1001,0),MATCH(COLUMNS($V$1006:X1006),$V$1006:$AE$1006,0)), HYPERLINK("#",""), HYPERLINK(CONCATENATE("#Metadata!", ADDRESS(INDEX($Q$2:$Q$1001,MATCH(ROWS($O$2:O152),$O$2:$O$1001,0),0), INDEX($V$1004:$AE$1004,1,MATCH(COLUMNS($V$1006:X1006),$V$1006:$AE$1006,0)))),"Fix")))</f>
        <v>0</v>
      </c>
      <c r="E152" s="4">
        <f>IF(OR(INDEX($P$2:$P$1001,MATCH(ROWS($O$2:O152),$O$2:$O$1001,0),1)&gt;=100000,INDEX($V$1005:$AE$1005,1,MATCH(COLUMNS($V$1006:Y1006),$V$1006:$AE$1006,0))&gt;=100000), " ",IF(INDEX($V$2:$AE$1001,MATCH(ROWS($O$2:O152),$O$2:$O$1001,0),MATCH(COLUMNS($V$1006:Y1006),$V$1006:$AE$1006,0)), HYPERLINK("#",""), HYPERLINK(CONCATENATE("#Metadata!", ADDRESS(INDEX($Q$2:$Q$1001,MATCH(ROWS($O$2:O152),$O$2:$O$1001,0),0), INDEX($V$1004:$AE$1004,1,MATCH(COLUMNS($V$1006:Y1006),$V$1006:$AE$1006,0)))),"Fix")))</f>
        <v>0</v>
      </c>
      <c r="F152" s="4">
        <f>IF(OR(INDEX($P$2:$P$1001,MATCH(ROWS($O$2:O152),$O$2:$O$1001,0),1)&gt;=100000,INDEX($V$1005:$AE$1005,1,MATCH(COLUMNS($V$1006:Z1006),$V$1006:$AE$1006,0))&gt;=100000), " ",IF(INDEX($V$2:$AE$1001,MATCH(ROWS($O$2:O152),$O$2:$O$1001,0),MATCH(COLUMNS($V$1006:Z1006),$V$1006:$AE$1006,0)), HYPERLINK("#",""), HYPERLINK(CONCATENATE("#Metadata!", ADDRESS(INDEX($Q$2:$Q$1001,MATCH(ROWS($O$2:O152),$O$2:$O$1001,0),0), INDEX($V$1004:$AE$1004,1,MATCH(COLUMNS($V$1006:Z1006),$V$1006:$AE$1006,0)))),"Fix")))</f>
        <v>0</v>
      </c>
      <c r="G152" s="4">
        <f>IF(OR(INDEX($P$2:$P$1001,MATCH(ROWS($O$2:O152),$O$2:$O$1001,0),1)&gt;=100000,INDEX($V$1005:$AE$1005,1,MATCH(COLUMNS($V$1006:AA1006),$V$1006:$AE$1006,0))&gt;=100000), " ",IF(INDEX($V$2:$AE$1001,MATCH(ROWS($O$2:O152),$O$2:$O$1001,0),MATCH(COLUMNS($V$1006:AA1006),$V$1006:$AE$1006,0)), HYPERLINK("#",""), HYPERLINK(CONCATENATE("#Metadata!", ADDRESS(INDEX($Q$2:$Q$1001,MATCH(ROWS($O$2:O152),$O$2:$O$1001,0),0), INDEX($V$1004:$AE$1004,1,MATCH(COLUMNS($V$1006:AA1006),$V$1006:$AE$1006,0)))),"Fix")))</f>
        <v>0</v>
      </c>
      <c r="H152" s="4">
        <f>IF(OR(INDEX($P$2:$P$1001,MATCH(ROWS($O$2:O152),$O$2:$O$1001,0),1)&gt;=100000,INDEX($V$1005:$AE$1005,1,MATCH(COLUMNS($V$1006:AB1006),$V$1006:$AE$1006,0))&gt;=100000), " ",IF(INDEX($V$2:$AE$1001,MATCH(ROWS($O$2:O152),$O$2:$O$1001,0),MATCH(COLUMNS($V$1006:AB1006),$V$1006:$AE$1006,0)), HYPERLINK("#",""), HYPERLINK(CONCATENATE("#Metadata!", ADDRESS(INDEX($Q$2:$Q$1001,MATCH(ROWS($O$2:O152),$O$2:$O$1001,0),0), INDEX($V$1004:$AE$1004,1,MATCH(COLUMNS($V$1006:AB1006),$V$1006:$AE$1006,0)))),"Fix")))</f>
        <v>0</v>
      </c>
      <c r="I152" s="4">
        <f>IF(OR(INDEX($P$2:$P$1001,MATCH(ROWS($O$2:O152),$O$2:$O$1001,0),1)&gt;=100000,INDEX($V$1005:$AE$1005,1,MATCH(COLUMNS($V$1006:AC1006),$V$1006:$AE$1006,0))&gt;=100000), " ",IF(INDEX($V$2:$AE$1001,MATCH(ROWS($O$2:O152),$O$2:$O$1001,0),MATCH(COLUMNS($V$1006:AC1006),$V$1006:$AE$1006,0)), HYPERLINK("#",""), HYPERLINK(CONCATENATE("#Metadata!", ADDRESS(INDEX($Q$2:$Q$1001,MATCH(ROWS($O$2:O152),$O$2:$O$1001,0),0), INDEX($V$1004:$AE$1004,1,MATCH(COLUMNS($V$1006:AC1006),$V$1006:$AE$1006,0)))),"Fix")))</f>
        <v>0</v>
      </c>
      <c r="J152" s="4">
        <f>IF(OR(INDEX($P$2:$P$1001,MATCH(ROWS($O$2:O152),$O$2:$O$1001,0),1)&gt;=100000,INDEX($V$1005:$AE$1005,1,MATCH(COLUMNS($V$1006:AD1006),$V$1006:$AE$1006,0))&gt;=100000), " ",IF(INDEX($V$2:$AE$1001,MATCH(ROWS($O$2:O152),$O$2:$O$1001,0),MATCH(COLUMNS($V$1006:AD1006),$V$1006:$AE$1006,0)), HYPERLINK("#",""), HYPERLINK(CONCATENATE("#Metadata!", ADDRESS(INDEX($Q$2:$Q$1001,MATCH(ROWS($O$2:O152),$O$2:$O$1001,0),0), INDEX($V$1004:$AE$1004,1,MATCH(COLUMNS($V$1006:AD1006),$V$1006:$AE$1006,0)))),"Fix")))</f>
        <v>0</v>
      </c>
      <c r="K152" s="4">
        <f>IF(OR(INDEX($P$2:$P$1001,MATCH(ROWS($O$2:O152),$O$2:$O$1001,0),1)&gt;=100000,INDEX($V$1005:$AE$1005,1,MATCH(COLUMNS($V$1006:AE1006),$V$1006:$AE$1006,0))&gt;=100000), " ",IF(INDEX($V$2:$AE$1001,MATCH(ROWS($O$2:O152),$O$2:$O$1001,0),MATCH(COLUMNS($V$1006:AE1006),$V$1006:$AE$1006,0)), HYPERLINK("#",""), HYPERLINK(CONCATENATE("#Metadata!", ADDRESS(INDEX($Q$2:$Q$1001,MATCH(ROWS($O$2:O152),$O$2:$O$1001,0),0), INDEX($V$1004:$AE$1004,1,MATCH(COLUMNS($V$1006:AE1006),$V$1006:$AE$1006,0)))),"Fix")))</f>
        <v>0</v>
      </c>
      <c r="O152">
        <v>0</v>
      </c>
      <c r="P152">
        <v>0</v>
      </c>
      <c r="Q152">
        <v>0</v>
      </c>
      <c r="R152">
        <f>IF(S152,TRUE,AND(V152:AE152))</f>
        <v>0</v>
      </c>
      <c r="S152">
        <f>COUNTBLANK(Metadata!B152:K152)=COLUMNS(Metadata!B152:K152)</f>
        <v>0</v>
      </c>
      <c r="T152">
        <v>0</v>
      </c>
      <c r="V152">
        <f>AND(IF(Metadata!B152="",FALSE,TRUE),COUNTIF(Metadata!B:B, Metadata!B152) = 1,NOT(ISERROR(SUMPRODUCT(SEARCH(MID(Metadata!B152,ROW(INDIRECT("1:"&amp;LEN(Metadata!B152))), 1),"0123456789abcdefghijklmnopqrstuvwxyzABCDEFGHIJKLMNOPQRSTUVWXYZ.")))))</f>
        <v>0</v>
      </c>
      <c r="W152">
        <f>AND(IF(Metadata!C152="",FALSE,TRUE),exact(Metadata!C152,"urban biome"))</f>
        <v>0</v>
      </c>
      <c r="X152">
        <f>AND(IF(Metadata!D152="",FALSE,TRUE),exact(Metadata!D152,"animal-associated habitat"))</f>
        <v>0</v>
      </c>
      <c r="Y152">
        <f>OR(AND(IF(Metadata!E152="",FALSE,TRUE),OR(exact(Metadata!E152,"not applicable"),exact(Metadata!E152,"missing: not collected"),exact(Metadata!E152,"missing: not provided"),exact(Metadata!E152,"missing: restricted access"))),AND(IF(Metadata!E152="",FALSE,ISNUMBER(VALUE(Metadata!E152))),Metadata!E152&gt;0))</f>
        <v>0</v>
      </c>
      <c r="Z152">
        <f>AND(IF(Metadata!F152="",FALSE,TRUE),exact(Metadata!F152,"weeks"))</f>
        <v>0</v>
      </c>
      <c r="AA152">
        <f>AND(IF(Metadata!G152="",FALSE,TRUE),exact(Metadata!G152,"mouse"))</f>
        <v>0</v>
      </c>
      <c r="AB152">
        <f>AND(IF(Metadata!H152="",FALSE,TRUE),exact(Metadata!H152,"Mus musculus"))</f>
        <v>0</v>
      </c>
      <c r="AC152">
        <f>AND(IF(Metadata!I152="",FALSE,TRUE),exact(Metadata!I152,"10090"))</f>
        <v>0</v>
      </c>
      <c r="AD152">
        <f>OR(AND(IF(Metadata!J152="",FALSE,TRUE),OR(exact(Metadata!J152,"not applicable"),exact(Metadata!J152,"missing: not collected"),exact(Metadata!J152,"missing: not provided"),exact(Metadata!J152,"missing: restricted access"))),AND(IF(Metadata!J152="",FALSE,ISNUMBER(VALUE(Metadata!J152))),Metadata!J152&gt;0))</f>
        <v>0</v>
      </c>
      <c r="AE152">
        <f>AND(IF(Metadata!K152="",FALSE,TRUE),exact(Metadata!K152,"g"))</f>
        <v>0</v>
      </c>
    </row>
    <row r="153" spans="1:31">
      <c r="A153" s="5">
        <f>IF(B153=" "," ",HYPERLINK(CONCATENATE("#metadata!",ADDRESS(INDEX($Q$2:$Q$1001,MATCH(ROWS($O$2:O153),$O$2:$O$1001,0),0),1)),INDEX($T$2:$T$1001,MATCH(ROWS($O$2:O153),$O$2:$O$1001,0),0)))</f>
        <v>0</v>
      </c>
      <c r="B153" s="4">
        <f>IF(OR(INDEX($P$2:$P$1001,MATCH(ROWS($O$2:O153),$O$2:$O$1001,0),1)&gt;=100000,INDEX($V$1005:$AE$1005,1,MATCH(COLUMNS($V$1006:V1006),$V$1006:$AE$1006,0))&gt;=100000), " ",IF(INDEX($V$2:$AE$1001,MATCH(ROWS($O$2:O153),$O$2:$O$1001,0),MATCH(COLUMNS($V$1006:V1006),$V$1006:$AE$1006,0)), HYPERLINK("#",""), HYPERLINK(CONCATENATE("#Metadata!", ADDRESS(INDEX($Q$2:$Q$1001,MATCH(ROWS($O$2:O153),$O$2:$O$1001,0),0), INDEX($V$1004:$AE$1004,1,MATCH(COLUMNS($V$1006:V1006),$V$1006:$AE$1006,0)))),"Fix")))</f>
        <v>0</v>
      </c>
      <c r="C153" s="4">
        <f>IF(OR(INDEX($P$2:$P$1001,MATCH(ROWS($O$2:O153),$O$2:$O$1001,0),1)&gt;=100000,INDEX($V$1005:$AE$1005,1,MATCH(COLUMNS($V$1006:W1006),$V$1006:$AE$1006,0))&gt;=100000), " ",IF(INDEX($V$2:$AE$1001,MATCH(ROWS($O$2:O153),$O$2:$O$1001,0),MATCH(COLUMNS($V$1006:W1006),$V$1006:$AE$1006,0)), HYPERLINK("#",""), HYPERLINK(CONCATENATE("#Metadata!", ADDRESS(INDEX($Q$2:$Q$1001,MATCH(ROWS($O$2:O153),$O$2:$O$1001,0),0), INDEX($V$1004:$AE$1004,1,MATCH(COLUMNS($V$1006:W1006),$V$1006:$AE$1006,0)))),"Fix")))</f>
        <v>0</v>
      </c>
      <c r="D153" s="4">
        <f>IF(OR(INDEX($P$2:$P$1001,MATCH(ROWS($O$2:O153),$O$2:$O$1001,0),1)&gt;=100000,INDEX($V$1005:$AE$1005,1,MATCH(COLUMNS($V$1006:X1006),$V$1006:$AE$1006,0))&gt;=100000), " ",IF(INDEX($V$2:$AE$1001,MATCH(ROWS($O$2:O153),$O$2:$O$1001,0),MATCH(COLUMNS($V$1006:X1006),$V$1006:$AE$1006,0)), HYPERLINK("#",""), HYPERLINK(CONCATENATE("#Metadata!", ADDRESS(INDEX($Q$2:$Q$1001,MATCH(ROWS($O$2:O153),$O$2:$O$1001,0),0), INDEX($V$1004:$AE$1004,1,MATCH(COLUMNS($V$1006:X1006),$V$1006:$AE$1006,0)))),"Fix")))</f>
        <v>0</v>
      </c>
      <c r="E153" s="4">
        <f>IF(OR(INDEX($P$2:$P$1001,MATCH(ROWS($O$2:O153),$O$2:$O$1001,0),1)&gt;=100000,INDEX($V$1005:$AE$1005,1,MATCH(COLUMNS($V$1006:Y1006),$V$1006:$AE$1006,0))&gt;=100000), " ",IF(INDEX($V$2:$AE$1001,MATCH(ROWS($O$2:O153),$O$2:$O$1001,0),MATCH(COLUMNS($V$1006:Y1006),$V$1006:$AE$1006,0)), HYPERLINK("#",""), HYPERLINK(CONCATENATE("#Metadata!", ADDRESS(INDEX($Q$2:$Q$1001,MATCH(ROWS($O$2:O153),$O$2:$O$1001,0),0), INDEX($V$1004:$AE$1004,1,MATCH(COLUMNS($V$1006:Y1006),$V$1006:$AE$1006,0)))),"Fix")))</f>
        <v>0</v>
      </c>
      <c r="F153" s="4">
        <f>IF(OR(INDEX($P$2:$P$1001,MATCH(ROWS($O$2:O153),$O$2:$O$1001,0),1)&gt;=100000,INDEX($V$1005:$AE$1005,1,MATCH(COLUMNS($V$1006:Z1006),$V$1006:$AE$1006,0))&gt;=100000), " ",IF(INDEX($V$2:$AE$1001,MATCH(ROWS($O$2:O153),$O$2:$O$1001,0),MATCH(COLUMNS($V$1006:Z1006),$V$1006:$AE$1006,0)), HYPERLINK("#",""), HYPERLINK(CONCATENATE("#Metadata!", ADDRESS(INDEX($Q$2:$Q$1001,MATCH(ROWS($O$2:O153),$O$2:$O$1001,0),0), INDEX($V$1004:$AE$1004,1,MATCH(COLUMNS($V$1006:Z1006),$V$1006:$AE$1006,0)))),"Fix")))</f>
        <v>0</v>
      </c>
      <c r="G153" s="4">
        <f>IF(OR(INDEX($P$2:$P$1001,MATCH(ROWS($O$2:O153),$O$2:$O$1001,0),1)&gt;=100000,INDEX($V$1005:$AE$1005,1,MATCH(COLUMNS($V$1006:AA1006),$V$1006:$AE$1006,0))&gt;=100000), " ",IF(INDEX($V$2:$AE$1001,MATCH(ROWS($O$2:O153),$O$2:$O$1001,0),MATCH(COLUMNS($V$1006:AA1006),$V$1006:$AE$1006,0)), HYPERLINK("#",""), HYPERLINK(CONCATENATE("#Metadata!", ADDRESS(INDEX($Q$2:$Q$1001,MATCH(ROWS($O$2:O153),$O$2:$O$1001,0),0), INDEX($V$1004:$AE$1004,1,MATCH(COLUMNS($V$1006:AA1006),$V$1006:$AE$1006,0)))),"Fix")))</f>
        <v>0</v>
      </c>
      <c r="H153" s="4">
        <f>IF(OR(INDEX($P$2:$P$1001,MATCH(ROWS($O$2:O153),$O$2:$O$1001,0),1)&gt;=100000,INDEX($V$1005:$AE$1005,1,MATCH(COLUMNS($V$1006:AB1006),$V$1006:$AE$1006,0))&gt;=100000), " ",IF(INDEX($V$2:$AE$1001,MATCH(ROWS($O$2:O153),$O$2:$O$1001,0),MATCH(COLUMNS($V$1006:AB1006),$V$1006:$AE$1006,0)), HYPERLINK("#",""), HYPERLINK(CONCATENATE("#Metadata!", ADDRESS(INDEX($Q$2:$Q$1001,MATCH(ROWS($O$2:O153),$O$2:$O$1001,0),0), INDEX($V$1004:$AE$1004,1,MATCH(COLUMNS($V$1006:AB1006),$V$1006:$AE$1006,0)))),"Fix")))</f>
        <v>0</v>
      </c>
      <c r="I153" s="4">
        <f>IF(OR(INDEX($P$2:$P$1001,MATCH(ROWS($O$2:O153),$O$2:$O$1001,0),1)&gt;=100000,INDEX($V$1005:$AE$1005,1,MATCH(COLUMNS($V$1006:AC1006),$V$1006:$AE$1006,0))&gt;=100000), " ",IF(INDEX($V$2:$AE$1001,MATCH(ROWS($O$2:O153),$O$2:$O$1001,0),MATCH(COLUMNS($V$1006:AC1006),$V$1006:$AE$1006,0)), HYPERLINK("#",""), HYPERLINK(CONCATENATE("#Metadata!", ADDRESS(INDEX($Q$2:$Q$1001,MATCH(ROWS($O$2:O153),$O$2:$O$1001,0),0), INDEX($V$1004:$AE$1004,1,MATCH(COLUMNS($V$1006:AC1006),$V$1006:$AE$1006,0)))),"Fix")))</f>
        <v>0</v>
      </c>
      <c r="J153" s="4">
        <f>IF(OR(INDEX($P$2:$P$1001,MATCH(ROWS($O$2:O153),$O$2:$O$1001,0),1)&gt;=100000,INDEX($V$1005:$AE$1005,1,MATCH(COLUMNS($V$1006:AD1006),$V$1006:$AE$1006,0))&gt;=100000), " ",IF(INDEX($V$2:$AE$1001,MATCH(ROWS($O$2:O153),$O$2:$O$1001,0),MATCH(COLUMNS($V$1006:AD1006),$V$1006:$AE$1006,0)), HYPERLINK("#",""), HYPERLINK(CONCATENATE("#Metadata!", ADDRESS(INDEX($Q$2:$Q$1001,MATCH(ROWS($O$2:O153),$O$2:$O$1001,0),0), INDEX($V$1004:$AE$1004,1,MATCH(COLUMNS($V$1006:AD1006),$V$1006:$AE$1006,0)))),"Fix")))</f>
        <v>0</v>
      </c>
      <c r="K153" s="4">
        <f>IF(OR(INDEX($P$2:$P$1001,MATCH(ROWS($O$2:O153),$O$2:$O$1001,0),1)&gt;=100000,INDEX($V$1005:$AE$1005,1,MATCH(COLUMNS($V$1006:AE1006),$V$1006:$AE$1006,0))&gt;=100000), " ",IF(INDEX($V$2:$AE$1001,MATCH(ROWS($O$2:O153),$O$2:$O$1001,0),MATCH(COLUMNS($V$1006:AE1006),$V$1006:$AE$1006,0)), HYPERLINK("#",""), HYPERLINK(CONCATENATE("#Metadata!", ADDRESS(INDEX($Q$2:$Q$1001,MATCH(ROWS($O$2:O153),$O$2:$O$1001,0),0), INDEX($V$1004:$AE$1004,1,MATCH(COLUMNS($V$1006:AE1006),$V$1006:$AE$1006,0)))),"Fix")))</f>
        <v>0</v>
      </c>
      <c r="O153">
        <v>0</v>
      </c>
      <c r="P153">
        <v>0</v>
      </c>
      <c r="Q153">
        <v>0</v>
      </c>
      <c r="R153">
        <f>IF(S153,TRUE,AND(V153:AE153))</f>
        <v>0</v>
      </c>
      <c r="S153">
        <f>COUNTBLANK(Metadata!B153:K153)=COLUMNS(Metadata!B153:K153)</f>
        <v>0</v>
      </c>
      <c r="T153">
        <v>0</v>
      </c>
      <c r="V153">
        <f>AND(IF(Metadata!B153="",FALSE,TRUE),COUNTIF(Metadata!B:B, Metadata!B153) = 1,NOT(ISERROR(SUMPRODUCT(SEARCH(MID(Metadata!B153,ROW(INDIRECT("1:"&amp;LEN(Metadata!B153))), 1),"0123456789abcdefghijklmnopqrstuvwxyzABCDEFGHIJKLMNOPQRSTUVWXYZ.")))))</f>
        <v>0</v>
      </c>
      <c r="W153">
        <f>AND(IF(Metadata!C153="",FALSE,TRUE),exact(Metadata!C153,"urban biome"))</f>
        <v>0</v>
      </c>
      <c r="X153">
        <f>AND(IF(Metadata!D153="",FALSE,TRUE),exact(Metadata!D153,"animal-associated habitat"))</f>
        <v>0</v>
      </c>
      <c r="Y153">
        <f>OR(AND(IF(Metadata!E153="",FALSE,TRUE),OR(exact(Metadata!E153,"not applicable"),exact(Metadata!E153,"missing: not collected"),exact(Metadata!E153,"missing: not provided"),exact(Metadata!E153,"missing: restricted access"))),AND(IF(Metadata!E153="",FALSE,ISNUMBER(VALUE(Metadata!E153))),Metadata!E153&gt;0))</f>
        <v>0</v>
      </c>
      <c r="Z153">
        <f>AND(IF(Metadata!F153="",FALSE,TRUE),exact(Metadata!F153,"weeks"))</f>
        <v>0</v>
      </c>
      <c r="AA153">
        <f>AND(IF(Metadata!G153="",FALSE,TRUE),exact(Metadata!G153,"mouse"))</f>
        <v>0</v>
      </c>
      <c r="AB153">
        <f>AND(IF(Metadata!H153="",FALSE,TRUE),exact(Metadata!H153,"Mus musculus"))</f>
        <v>0</v>
      </c>
      <c r="AC153">
        <f>AND(IF(Metadata!I153="",FALSE,TRUE),exact(Metadata!I153,"10090"))</f>
        <v>0</v>
      </c>
      <c r="AD153">
        <f>OR(AND(IF(Metadata!J153="",FALSE,TRUE),OR(exact(Metadata!J153,"not applicable"),exact(Metadata!J153,"missing: not collected"),exact(Metadata!J153,"missing: not provided"),exact(Metadata!J153,"missing: restricted access"))),AND(IF(Metadata!J153="",FALSE,ISNUMBER(VALUE(Metadata!J153))),Metadata!J153&gt;0))</f>
        <v>0</v>
      </c>
      <c r="AE153">
        <f>AND(IF(Metadata!K153="",FALSE,TRUE),exact(Metadata!K153,"g"))</f>
        <v>0</v>
      </c>
    </row>
    <row r="154" spans="1:31">
      <c r="A154" s="5">
        <f>IF(B154=" "," ",HYPERLINK(CONCATENATE("#metadata!",ADDRESS(INDEX($Q$2:$Q$1001,MATCH(ROWS($O$2:O154),$O$2:$O$1001,0),0),1)),INDEX($T$2:$T$1001,MATCH(ROWS($O$2:O154),$O$2:$O$1001,0),0)))</f>
        <v>0</v>
      </c>
      <c r="B154" s="4">
        <f>IF(OR(INDEX($P$2:$P$1001,MATCH(ROWS($O$2:O154),$O$2:$O$1001,0),1)&gt;=100000,INDEX($V$1005:$AE$1005,1,MATCH(COLUMNS($V$1006:V1006),$V$1006:$AE$1006,0))&gt;=100000), " ",IF(INDEX($V$2:$AE$1001,MATCH(ROWS($O$2:O154),$O$2:$O$1001,0),MATCH(COLUMNS($V$1006:V1006),$V$1006:$AE$1006,0)), HYPERLINK("#",""), HYPERLINK(CONCATENATE("#Metadata!", ADDRESS(INDEX($Q$2:$Q$1001,MATCH(ROWS($O$2:O154),$O$2:$O$1001,0),0), INDEX($V$1004:$AE$1004,1,MATCH(COLUMNS($V$1006:V1006),$V$1006:$AE$1006,0)))),"Fix")))</f>
        <v>0</v>
      </c>
      <c r="C154" s="4">
        <f>IF(OR(INDEX($P$2:$P$1001,MATCH(ROWS($O$2:O154),$O$2:$O$1001,0),1)&gt;=100000,INDEX($V$1005:$AE$1005,1,MATCH(COLUMNS($V$1006:W1006),$V$1006:$AE$1006,0))&gt;=100000), " ",IF(INDEX($V$2:$AE$1001,MATCH(ROWS($O$2:O154),$O$2:$O$1001,0),MATCH(COLUMNS($V$1006:W1006),$V$1006:$AE$1006,0)), HYPERLINK("#",""), HYPERLINK(CONCATENATE("#Metadata!", ADDRESS(INDEX($Q$2:$Q$1001,MATCH(ROWS($O$2:O154),$O$2:$O$1001,0),0), INDEX($V$1004:$AE$1004,1,MATCH(COLUMNS($V$1006:W1006),$V$1006:$AE$1006,0)))),"Fix")))</f>
        <v>0</v>
      </c>
      <c r="D154" s="4">
        <f>IF(OR(INDEX($P$2:$P$1001,MATCH(ROWS($O$2:O154),$O$2:$O$1001,0),1)&gt;=100000,INDEX($V$1005:$AE$1005,1,MATCH(COLUMNS($V$1006:X1006),$V$1006:$AE$1006,0))&gt;=100000), " ",IF(INDEX($V$2:$AE$1001,MATCH(ROWS($O$2:O154),$O$2:$O$1001,0),MATCH(COLUMNS($V$1006:X1006),$V$1006:$AE$1006,0)), HYPERLINK("#",""), HYPERLINK(CONCATENATE("#Metadata!", ADDRESS(INDEX($Q$2:$Q$1001,MATCH(ROWS($O$2:O154),$O$2:$O$1001,0),0), INDEX($V$1004:$AE$1004,1,MATCH(COLUMNS($V$1006:X1006),$V$1006:$AE$1006,0)))),"Fix")))</f>
        <v>0</v>
      </c>
      <c r="E154" s="4">
        <f>IF(OR(INDEX($P$2:$P$1001,MATCH(ROWS($O$2:O154),$O$2:$O$1001,0),1)&gt;=100000,INDEX($V$1005:$AE$1005,1,MATCH(COLUMNS($V$1006:Y1006),$V$1006:$AE$1006,0))&gt;=100000), " ",IF(INDEX($V$2:$AE$1001,MATCH(ROWS($O$2:O154),$O$2:$O$1001,0),MATCH(COLUMNS($V$1006:Y1006),$V$1006:$AE$1006,0)), HYPERLINK("#",""), HYPERLINK(CONCATENATE("#Metadata!", ADDRESS(INDEX($Q$2:$Q$1001,MATCH(ROWS($O$2:O154),$O$2:$O$1001,0),0), INDEX($V$1004:$AE$1004,1,MATCH(COLUMNS($V$1006:Y1006),$V$1006:$AE$1006,0)))),"Fix")))</f>
        <v>0</v>
      </c>
      <c r="F154" s="4">
        <f>IF(OR(INDEX($P$2:$P$1001,MATCH(ROWS($O$2:O154),$O$2:$O$1001,0),1)&gt;=100000,INDEX($V$1005:$AE$1005,1,MATCH(COLUMNS($V$1006:Z1006),$V$1006:$AE$1006,0))&gt;=100000), " ",IF(INDEX($V$2:$AE$1001,MATCH(ROWS($O$2:O154),$O$2:$O$1001,0),MATCH(COLUMNS($V$1006:Z1006),$V$1006:$AE$1006,0)), HYPERLINK("#",""), HYPERLINK(CONCATENATE("#Metadata!", ADDRESS(INDEX($Q$2:$Q$1001,MATCH(ROWS($O$2:O154),$O$2:$O$1001,0),0), INDEX($V$1004:$AE$1004,1,MATCH(COLUMNS($V$1006:Z1006),$V$1006:$AE$1006,0)))),"Fix")))</f>
        <v>0</v>
      </c>
      <c r="G154" s="4">
        <f>IF(OR(INDEX($P$2:$P$1001,MATCH(ROWS($O$2:O154),$O$2:$O$1001,0),1)&gt;=100000,INDEX($V$1005:$AE$1005,1,MATCH(COLUMNS($V$1006:AA1006),$V$1006:$AE$1006,0))&gt;=100000), " ",IF(INDEX($V$2:$AE$1001,MATCH(ROWS($O$2:O154),$O$2:$O$1001,0),MATCH(COLUMNS($V$1006:AA1006),$V$1006:$AE$1006,0)), HYPERLINK("#",""), HYPERLINK(CONCATENATE("#Metadata!", ADDRESS(INDEX($Q$2:$Q$1001,MATCH(ROWS($O$2:O154),$O$2:$O$1001,0),0), INDEX($V$1004:$AE$1004,1,MATCH(COLUMNS($V$1006:AA1006),$V$1006:$AE$1006,0)))),"Fix")))</f>
        <v>0</v>
      </c>
      <c r="H154" s="4">
        <f>IF(OR(INDEX($P$2:$P$1001,MATCH(ROWS($O$2:O154),$O$2:$O$1001,0),1)&gt;=100000,INDEX($V$1005:$AE$1005,1,MATCH(COLUMNS($V$1006:AB1006),$V$1006:$AE$1006,0))&gt;=100000), " ",IF(INDEX($V$2:$AE$1001,MATCH(ROWS($O$2:O154),$O$2:$O$1001,0),MATCH(COLUMNS($V$1006:AB1006),$V$1006:$AE$1006,0)), HYPERLINK("#",""), HYPERLINK(CONCATENATE("#Metadata!", ADDRESS(INDEX($Q$2:$Q$1001,MATCH(ROWS($O$2:O154),$O$2:$O$1001,0),0), INDEX($V$1004:$AE$1004,1,MATCH(COLUMNS($V$1006:AB1006),$V$1006:$AE$1006,0)))),"Fix")))</f>
        <v>0</v>
      </c>
      <c r="I154" s="4">
        <f>IF(OR(INDEX($P$2:$P$1001,MATCH(ROWS($O$2:O154),$O$2:$O$1001,0),1)&gt;=100000,INDEX($V$1005:$AE$1005,1,MATCH(COLUMNS($V$1006:AC1006),$V$1006:$AE$1006,0))&gt;=100000), " ",IF(INDEX($V$2:$AE$1001,MATCH(ROWS($O$2:O154),$O$2:$O$1001,0),MATCH(COLUMNS($V$1006:AC1006),$V$1006:$AE$1006,0)), HYPERLINK("#",""), HYPERLINK(CONCATENATE("#Metadata!", ADDRESS(INDEX($Q$2:$Q$1001,MATCH(ROWS($O$2:O154),$O$2:$O$1001,0),0), INDEX($V$1004:$AE$1004,1,MATCH(COLUMNS($V$1006:AC1006),$V$1006:$AE$1006,0)))),"Fix")))</f>
        <v>0</v>
      </c>
      <c r="J154" s="4">
        <f>IF(OR(INDEX($P$2:$P$1001,MATCH(ROWS($O$2:O154),$O$2:$O$1001,0),1)&gt;=100000,INDEX($V$1005:$AE$1005,1,MATCH(COLUMNS($V$1006:AD1006),$V$1006:$AE$1006,0))&gt;=100000), " ",IF(INDEX($V$2:$AE$1001,MATCH(ROWS($O$2:O154),$O$2:$O$1001,0),MATCH(COLUMNS($V$1006:AD1006),$V$1006:$AE$1006,0)), HYPERLINK("#",""), HYPERLINK(CONCATENATE("#Metadata!", ADDRESS(INDEX($Q$2:$Q$1001,MATCH(ROWS($O$2:O154),$O$2:$O$1001,0),0), INDEX($V$1004:$AE$1004,1,MATCH(COLUMNS($V$1006:AD1006),$V$1006:$AE$1006,0)))),"Fix")))</f>
        <v>0</v>
      </c>
      <c r="K154" s="4">
        <f>IF(OR(INDEX($P$2:$P$1001,MATCH(ROWS($O$2:O154),$O$2:$O$1001,0),1)&gt;=100000,INDEX($V$1005:$AE$1005,1,MATCH(COLUMNS($V$1006:AE1006),$V$1006:$AE$1006,0))&gt;=100000), " ",IF(INDEX($V$2:$AE$1001,MATCH(ROWS($O$2:O154),$O$2:$O$1001,0),MATCH(COLUMNS($V$1006:AE1006),$V$1006:$AE$1006,0)), HYPERLINK("#",""), HYPERLINK(CONCATENATE("#Metadata!", ADDRESS(INDEX($Q$2:$Q$1001,MATCH(ROWS($O$2:O154),$O$2:$O$1001,0),0), INDEX($V$1004:$AE$1004,1,MATCH(COLUMNS($V$1006:AE1006),$V$1006:$AE$1006,0)))),"Fix")))</f>
        <v>0</v>
      </c>
      <c r="O154">
        <v>0</v>
      </c>
      <c r="P154">
        <v>0</v>
      </c>
      <c r="Q154">
        <v>0</v>
      </c>
      <c r="R154">
        <f>IF(S154,TRUE,AND(V154:AE154))</f>
        <v>0</v>
      </c>
      <c r="S154">
        <f>COUNTBLANK(Metadata!B154:K154)=COLUMNS(Metadata!B154:K154)</f>
        <v>0</v>
      </c>
      <c r="T154">
        <v>0</v>
      </c>
      <c r="V154">
        <f>AND(IF(Metadata!B154="",FALSE,TRUE),COUNTIF(Metadata!B:B, Metadata!B154) = 1,NOT(ISERROR(SUMPRODUCT(SEARCH(MID(Metadata!B154,ROW(INDIRECT("1:"&amp;LEN(Metadata!B154))), 1),"0123456789abcdefghijklmnopqrstuvwxyzABCDEFGHIJKLMNOPQRSTUVWXYZ.")))))</f>
        <v>0</v>
      </c>
      <c r="W154">
        <f>AND(IF(Metadata!C154="",FALSE,TRUE),exact(Metadata!C154,"urban biome"))</f>
        <v>0</v>
      </c>
      <c r="X154">
        <f>AND(IF(Metadata!D154="",FALSE,TRUE),exact(Metadata!D154,"animal-associated habitat"))</f>
        <v>0</v>
      </c>
      <c r="Y154">
        <f>OR(AND(IF(Metadata!E154="",FALSE,TRUE),OR(exact(Metadata!E154,"not applicable"),exact(Metadata!E154,"missing: not collected"),exact(Metadata!E154,"missing: not provided"),exact(Metadata!E154,"missing: restricted access"))),AND(IF(Metadata!E154="",FALSE,ISNUMBER(VALUE(Metadata!E154))),Metadata!E154&gt;0))</f>
        <v>0</v>
      </c>
      <c r="Z154">
        <f>AND(IF(Metadata!F154="",FALSE,TRUE),exact(Metadata!F154,"weeks"))</f>
        <v>0</v>
      </c>
      <c r="AA154">
        <f>AND(IF(Metadata!G154="",FALSE,TRUE),exact(Metadata!G154,"mouse"))</f>
        <v>0</v>
      </c>
      <c r="AB154">
        <f>AND(IF(Metadata!H154="",FALSE,TRUE),exact(Metadata!H154,"Mus musculus"))</f>
        <v>0</v>
      </c>
      <c r="AC154">
        <f>AND(IF(Metadata!I154="",FALSE,TRUE),exact(Metadata!I154,"10090"))</f>
        <v>0</v>
      </c>
      <c r="AD154">
        <f>OR(AND(IF(Metadata!J154="",FALSE,TRUE),OR(exact(Metadata!J154,"not applicable"),exact(Metadata!J154,"missing: not collected"),exact(Metadata!J154,"missing: not provided"),exact(Metadata!J154,"missing: restricted access"))),AND(IF(Metadata!J154="",FALSE,ISNUMBER(VALUE(Metadata!J154))),Metadata!J154&gt;0))</f>
        <v>0</v>
      </c>
      <c r="AE154">
        <f>AND(IF(Metadata!K154="",FALSE,TRUE),exact(Metadata!K154,"g"))</f>
        <v>0</v>
      </c>
    </row>
    <row r="155" spans="1:31">
      <c r="A155" s="5">
        <f>IF(B155=" "," ",HYPERLINK(CONCATENATE("#metadata!",ADDRESS(INDEX($Q$2:$Q$1001,MATCH(ROWS($O$2:O155),$O$2:$O$1001,0),0),1)),INDEX($T$2:$T$1001,MATCH(ROWS($O$2:O155),$O$2:$O$1001,0),0)))</f>
        <v>0</v>
      </c>
      <c r="B155" s="4">
        <f>IF(OR(INDEX($P$2:$P$1001,MATCH(ROWS($O$2:O155),$O$2:$O$1001,0),1)&gt;=100000,INDEX($V$1005:$AE$1005,1,MATCH(COLUMNS($V$1006:V1006),$V$1006:$AE$1006,0))&gt;=100000), " ",IF(INDEX($V$2:$AE$1001,MATCH(ROWS($O$2:O155),$O$2:$O$1001,0),MATCH(COLUMNS($V$1006:V1006),$V$1006:$AE$1006,0)), HYPERLINK("#",""), HYPERLINK(CONCATENATE("#Metadata!", ADDRESS(INDEX($Q$2:$Q$1001,MATCH(ROWS($O$2:O155),$O$2:$O$1001,0),0), INDEX($V$1004:$AE$1004,1,MATCH(COLUMNS($V$1006:V1006),$V$1006:$AE$1006,0)))),"Fix")))</f>
        <v>0</v>
      </c>
      <c r="C155" s="4">
        <f>IF(OR(INDEX($P$2:$P$1001,MATCH(ROWS($O$2:O155),$O$2:$O$1001,0),1)&gt;=100000,INDEX($V$1005:$AE$1005,1,MATCH(COLUMNS($V$1006:W1006),$V$1006:$AE$1006,0))&gt;=100000), " ",IF(INDEX($V$2:$AE$1001,MATCH(ROWS($O$2:O155),$O$2:$O$1001,0),MATCH(COLUMNS($V$1006:W1006),$V$1006:$AE$1006,0)), HYPERLINK("#",""), HYPERLINK(CONCATENATE("#Metadata!", ADDRESS(INDEX($Q$2:$Q$1001,MATCH(ROWS($O$2:O155),$O$2:$O$1001,0),0), INDEX($V$1004:$AE$1004,1,MATCH(COLUMNS($V$1006:W1006),$V$1006:$AE$1006,0)))),"Fix")))</f>
        <v>0</v>
      </c>
      <c r="D155" s="4">
        <f>IF(OR(INDEX($P$2:$P$1001,MATCH(ROWS($O$2:O155),$O$2:$O$1001,0),1)&gt;=100000,INDEX($V$1005:$AE$1005,1,MATCH(COLUMNS($V$1006:X1006),$V$1006:$AE$1006,0))&gt;=100000), " ",IF(INDEX($V$2:$AE$1001,MATCH(ROWS($O$2:O155),$O$2:$O$1001,0),MATCH(COLUMNS($V$1006:X1006),$V$1006:$AE$1006,0)), HYPERLINK("#",""), HYPERLINK(CONCATENATE("#Metadata!", ADDRESS(INDEX($Q$2:$Q$1001,MATCH(ROWS($O$2:O155),$O$2:$O$1001,0),0), INDEX($V$1004:$AE$1004,1,MATCH(COLUMNS($V$1006:X1006),$V$1006:$AE$1006,0)))),"Fix")))</f>
        <v>0</v>
      </c>
      <c r="E155" s="4">
        <f>IF(OR(INDEX($P$2:$P$1001,MATCH(ROWS($O$2:O155),$O$2:$O$1001,0),1)&gt;=100000,INDEX($V$1005:$AE$1005,1,MATCH(COLUMNS($V$1006:Y1006),$V$1006:$AE$1006,0))&gt;=100000), " ",IF(INDEX($V$2:$AE$1001,MATCH(ROWS($O$2:O155),$O$2:$O$1001,0),MATCH(COLUMNS($V$1006:Y1006),$V$1006:$AE$1006,0)), HYPERLINK("#",""), HYPERLINK(CONCATENATE("#Metadata!", ADDRESS(INDEX($Q$2:$Q$1001,MATCH(ROWS($O$2:O155),$O$2:$O$1001,0),0), INDEX($V$1004:$AE$1004,1,MATCH(COLUMNS($V$1006:Y1006),$V$1006:$AE$1006,0)))),"Fix")))</f>
        <v>0</v>
      </c>
      <c r="F155" s="4">
        <f>IF(OR(INDEX($P$2:$P$1001,MATCH(ROWS($O$2:O155),$O$2:$O$1001,0),1)&gt;=100000,INDEX($V$1005:$AE$1005,1,MATCH(COLUMNS($V$1006:Z1006),$V$1006:$AE$1006,0))&gt;=100000), " ",IF(INDEX($V$2:$AE$1001,MATCH(ROWS($O$2:O155),$O$2:$O$1001,0),MATCH(COLUMNS($V$1006:Z1006),$V$1006:$AE$1006,0)), HYPERLINK("#",""), HYPERLINK(CONCATENATE("#Metadata!", ADDRESS(INDEX($Q$2:$Q$1001,MATCH(ROWS($O$2:O155),$O$2:$O$1001,0),0), INDEX($V$1004:$AE$1004,1,MATCH(COLUMNS($V$1006:Z1006),$V$1006:$AE$1006,0)))),"Fix")))</f>
        <v>0</v>
      </c>
      <c r="G155" s="4">
        <f>IF(OR(INDEX($P$2:$P$1001,MATCH(ROWS($O$2:O155),$O$2:$O$1001,0),1)&gt;=100000,INDEX($V$1005:$AE$1005,1,MATCH(COLUMNS($V$1006:AA1006),$V$1006:$AE$1006,0))&gt;=100000), " ",IF(INDEX($V$2:$AE$1001,MATCH(ROWS($O$2:O155),$O$2:$O$1001,0),MATCH(COLUMNS($V$1006:AA1006),$V$1006:$AE$1006,0)), HYPERLINK("#",""), HYPERLINK(CONCATENATE("#Metadata!", ADDRESS(INDEX($Q$2:$Q$1001,MATCH(ROWS($O$2:O155),$O$2:$O$1001,0),0), INDEX($V$1004:$AE$1004,1,MATCH(COLUMNS($V$1006:AA1006),$V$1006:$AE$1006,0)))),"Fix")))</f>
        <v>0</v>
      </c>
      <c r="H155" s="4">
        <f>IF(OR(INDEX($P$2:$P$1001,MATCH(ROWS($O$2:O155),$O$2:$O$1001,0),1)&gt;=100000,INDEX($V$1005:$AE$1005,1,MATCH(COLUMNS($V$1006:AB1006),$V$1006:$AE$1006,0))&gt;=100000), " ",IF(INDEX($V$2:$AE$1001,MATCH(ROWS($O$2:O155),$O$2:$O$1001,0),MATCH(COLUMNS($V$1006:AB1006),$V$1006:$AE$1006,0)), HYPERLINK("#",""), HYPERLINK(CONCATENATE("#Metadata!", ADDRESS(INDEX($Q$2:$Q$1001,MATCH(ROWS($O$2:O155),$O$2:$O$1001,0),0), INDEX($V$1004:$AE$1004,1,MATCH(COLUMNS($V$1006:AB1006),$V$1006:$AE$1006,0)))),"Fix")))</f>
        <v>0</v>
      </c>
      <c r="I155" s="4">
        <f>IF(OR(INDEX($P$2:$P$1001,MATCH(ROWS($O$2:O155),$O$2:$O$1001,0),1)&gt;=100000,INDEX($V$1005:$AE$1005,1,MATCH(COLUMNS($V$1006:AC1006),$V$1006:$AE$1006,0))&gt;=100000), " ",IF(INDEX($V$2:$AE$1001,MATCH(ROWS($O$2:O155),$O$2:$O$1001,0),MATCH(COLUMNS($V$1006:AC1006),$V$1006:$AE$1006,0)), HYPERLINK("#",""), HYPERLINK(CONCATENATE("#Metadata!", ADDRESS(INDEX($Q$2:$Q$1001,MATCH(ROWS($O$2:O155),$O$2:$O$1001,0),0), INDEX($V$1004:$AE$1004,1,MATCH(COLUMNS($V$1006:AC1006),$V$1006:$AE$1006,0)))),"Fix")))</f>
        <v>0</v>
      </c>
      <c r="J155" s="4">
        <f>IF(OR(INDEX($P$2:$P$1001,MATCH(ROWS($O$2:O155),$O$2:$O$1001,0),1)&gt;=100000,INDEX($V$1005:$AE$1005,1,MATCH(COLUMNS($V$1006:AD1006),$V$1006:$AE$1006,0))&gt;=100000), " ",IF(INDEX($V$2:$AE$1001,MATCH(ROWS($O$2:O155),$O$2:$O$1001,0),MATCH(COLUMNS($V$1006:AD1006),$V$1006:$AE$1006,0)), HYPERLINK("#",""), HYPERLINK(CONCATENATE("#Metadata!", ADDRESS(INDEX($Q$2:$Q$1001,MATCH(ROWS($O$2:O155),$O$2:$O$1001,0),0), INDEX($V$1004:$AE$1004,1,MATCH(COLUMNS($V$1006:AD1006),$V$1006:$AE$1006,0)))),"Fix")))</f>
        <v>0</v>
      </c>
      <c r="K155" s="4">
        <f>IF(OR(INDEX($P$2:$P$1001,MATCH(ROWS($O$2:O155),$O$2:$O$1001,0),1)&gt;=100000,INDEX($V$1005:$AE$1005,1,MATCH(COLUMNS($V$1006:AE1006),$V$1006:$AE$1006,0))&gt;=100000), " ",IF(INDEX($V$2:$AE$1001,MATCH(ROWS($O$2:O155),$O$2:$O$1001,0),MATCH(COLUMNS($V$1006:AE1006),$V$1006:$AE$1006,0)), HYPERLINK("#",""), HYPERLINK(CONCATENATE("#Metadata!", ADDRESS(INDEX($Q$2:$Q$1001,MATCH(ROWS($O$2:O155),$O$2:$O$1001,0),0), INDEX($V$1004:$AE$1004,1,MATCH(COLUMNS($V$1006:AE1006),$V$1006:$AE$1006,0)))),"Fix")))</f>
        <v>0</v>
      </c>
      <c r="O155">
        <v>0</v>
      </c>
      <c r="P155">
        <v>0</v>
      </c>
      <c r="Q155">
        <v>0</v>
      </c>
      <c r="R155">
        <f>IF(S155,TRUE,AND(V155:AE155))</f>
        <v>0</v>
      </c>
      <c r="S155">
        <f>COUNTBLANK(Metadata!B155:K155)=COLUMNS(Metadata!B155:K155)</f>
        <v>0</v>
      </c>
      <c r="T155">
        <v>0</v>
      </c>
      <c r="V155">
        <f>AND(IF(Metadata!B155="",FALSE,TRUE),COUNTIF(Metadata!B:B, Metadata!B155) = 1,NOT(ISERROR(SUMPRODUCT(SEARCH(MID(Metadata!B155,ROW(INDIRECT("1:"&amp;LEN(Metadata!B155))), 1),"0123456789abcdefghijklmnopqrstuvwxyzABCDEFGHIJKLMNOPQRSTUVWXYZ.")))))</f>
        <v>0</v>
      </c>
      <c r="W155">
        <f>AND(IF(Metadata!C155="",FALSE,TRUE),exact(Metadata!C155,"urban biome"))</f>
        <v>0</v>
      </c>
      <c r="X155">
        <f>AND(IF(Metadata!D155="",FALSE,TRUE),exact(Metadata!D155,"animal-associated habitat"))</f>
        <v>0</v>
      </c>
      <c r="Y155">
        <f>OR(AND(IF(Metadata!E155="",FALSE,TRUE),OR(exact(Metadata!E155,"not applicable"),exact(Metadata!E155,"missing: not collected"),exact(Metadata!E155,"missing: not provided"),exact(Metadata!E155,"missing: restricted access"))),AND(IF(Metadata!E155="",FALSE,ISNUMBER(VALUE(Metadata!E155))),Metadata!E155&gt;0))</f>
        <v>0</v>
      </c>
      <c r="Z155">
        <f>AND(IF(Metadata!F155="",FALSE,TRUE),exact(Metadata!F155,"weeks"))</f>
        <v>0</v>
      </c>
      <c r="AA155">
        <f>AND(IF(Metadata!G155="",FALSE,TRUE),exact(Metadata!G155,"mouse"))</f>
        <v>0</v>
      </c>
      <c r="AB155">
        <f>AND(IF(Metadata!H155="",FALSE,TRUE),exact(Metadata!H155,"Mus musculus"))</f>
        <v>0</v>
      </c>
      <c r="AC155">
        <f>AND(IF(Metadata!I155="",FALSE,TRUE),exact(Metadata!I155,"10090"))</f>
        <v>0</v>
      </c>
      <c r="AD155">
        <f>OR(AND(IF(Metadata!J155="",FALSE,TRUE),OR(exact(Metadata!J155,"not applicable"),exact(Metadata!J155,"missing: not collected"),exact(Metadata!J155,"missing: not provided"),exact(Metadata!J155,"missing: restricted access"))),AND(IF(Metadata!J155="",FALSE,ISNUMBER(VALUE(Metadata!J155))),Metadata!J155&gt;0))</f>
        <v>0</v>
      </c>
      <c r="AE155">
        <f>AND(IF(Metadata!K155="",FALSE,TRUE),exact(Metadata!K155,"g"))</f>
        <v>0</v>
      </c>
    </row>
    <row r="156" spans="1:31">
      <c r="A156" s="5">
        <f>IF(B156=" "," ",HYPERLINK(CONCATENATE("#metadata!",ADDRESS(INDEX($Q$2:$Q$1001,MATCH(ROWS($O$2:O156),$O$2:$O$1001,0),0),1)),INDEX($T$2:$T$1001,MATCH(ROWS($O$2:O156),$O$2:$O$1001,0),0)))</f>
        <v>0</v>
      </c>
      <c r="B156" s="4">
        <f>IF(OR(INDEX($P$2:$P$1001,MATCH(ROWS($O$2:O156),$O$2:$O$1001,0),1)&gt;=100000,INDEX($V$1005:$AE$1005,1,MATCH(COLUMNS($V$1006:V1006),$V$1006:$AE$1006,0))&gt;=100000), " ",IF(INDEX($V$2:$AE$1001,MATCH(ROWS($O$2:O156),$O$2:$O$1001,0),MATCH(COLUMNS($V$1006:V1006),$V$1006:$AE$1006,0)), HYPERLINK("#",""), HYPERLINK(CONCATENATE("#Metadata!", ADDRESS(INDEX($Q$2:$Q$1001,MATCH(ROWS($O$2:O156),$O$2:$O$1001,0),0), INDEX($V$1004:$AE$1004,1,MATCH(COLUMNS($V$1006:V1006),$V$1006:$AE$1006,0)))),"Fix")))</f>
        <v>0</v>
      </c>
      <c r="C156" s="4">
        <f>IF(OR(INDEX($P$2:$P$1001,MATCH(ROWS($O$2:O156),$O$2:$O$1001,0),1)&gt;=100000,INDEX($V$1005:$AE$1005,1,MATCH(COLUMNS($V$1006:W1006),$V$1006:$AE$1006,0))&gt;=100000), " ",IF(INDEX($V$2:$AE$1001,MATCH(ROWS($O$2:O156),$O$2:$O$1001,0),MATCH(COLUMNS($V$1006:W1006),$V$1006:$AE$1006,0)), HYPERLINK("#",""), HYPERLINK(CONCATENATE("#Metadata!", ADDRESS(INDEX($Q$2:$Q$1001,MATCH(ROWS($O$2:O156),$O$2:$O$1001,0),0), INDEX($V$1004:$AE$1004,1,MATCH(COLUMNS($V$1006:W1006),$V$1006:$AE$1006,0)))),"Fix")))</f>
        <v>0</v>
      </c>
      <c r="D156" s="4">
        <f>IF(OR(INDEX($P$2:$P$1001,MATCH(ROWS($O$2:O156),$O$2:$O$1001,0),1)&gt;=100000,INDEX($V$1005:$AE$1005,1,MATCH(COLUMNS($V$1006:X1006),$V$1006:$AE$1006,0))&gt;=100000), " ",IF(INDEX($V$2:$AE$1001,MATCH(ROWS($O$2:O156),$O$2:$O$1001,0),MATCH(COLUMNS($V$1006:X1006),$V$1006:$AE$1006,0)), HYPERLINK("#",""), HYPERLINK(CONCATENATE("#Metadata!", ADDRESS(INDEX($Q$2:$Q$1001,MATCH(ROWS($O$2:O156),$O$2:$O$1001,0),0), INDEX($V$1004:$AE$1004,1,MATCH(COLUMNS($V$1006:X1006),$V$1006:$AE$1006,0)))),"Fix")))</f>
        <v>0</v>
      </c>
      <c r="E156" s="4">
        <f>IF(OR(INDEX($P$2:$P$1001,MATCH(ROWS($O$2:O156),$O$2:$O$1001,0),1)&gt;=100000,INDEX($V$1005:$AE$1005,1,MATCH(COLUMNS($V$1006:Y1006),$V$1006:$AE$1006,0))&gt;=100000), " ",IF(INDEX($V$2:$AE$1001,MATCH(ROWS($O$2:O156),$O$2:$O$1001,0),MATCH(COLUMNS($V$1006:Y1006),$V$1006:$AE$1006,0)), HYPERLINK("#",""), HYPERLINK(CONCATENATE("#Metadata!", ADDRESS(INDEX($Q$2:$Q$1001,MATCH(ROWS($O$2:O156),$O$2:$O$1001,0),0), INDEX($V$1004:$AE$1004,1,MATCH(COLUMNS($V$1006:Y1006),$V$1006:$AE$1006,0)))),"Fix")))</f>
        <v>0</v>
      </c>
      <c r="F156" s="4">
        <f>IF(OR(INDEX($P$2:$P$1001,MATCH(ROWS($O$2:O156),$O$2:$O$1001,0),1)&gt;=100000,INDEX($V$1005:$AE$1005,1,MATCH(COLUMNS($V$1006:Z1006),$V$1006:$AE$1006,0))&gt;=100000), " ",IF(INDEX($V$2:$AE$1001,MATCH(ROWS($O$2:O156),$O$2:$O$1001,0),MATCH(COLUMNS($V$1006:Z1006),$V$1006:$AE$1006,0)), HYPERLINK("#",""), HYPERLINK(CONCATENATE("#Metadata!", ADDRESS(INDEX($Q$2:$Q$1001,MATCH(ROWS($O$2:O156),$O$2:$O$1001,0),0), INDEX($V$1004:$AE$1004,1,MATCH(COLUMNS($V$1006:Z1006),$V$1006:$AE$1006,0)))),"Fix")))</f>
        <v>0</v>
      </c>
      <c r="G156" s="4">
        <f>IF(OR(INDEX($P$2:$P$1001,MATCH(ROWS($O$2:O156),$O$2:$O$1001,0),1)&gt;=100000,INDEX($V$1005:$AE$1005,1,MATCH(COLUMNS($V$1006:AA1006),$V$1006:$AE$1006,0))&gt;=100000), " ",IF(INDEX($V$2:$AE$1001,MATCH(ROWS($O$2:O156),$O$2:$O$1001,0),MATCH(COLUMNS($V$1006:AA1006),$V$1006:$AE$1006,0)), HYPERLINK("#",""), HYPERLINK(CONCATENATE("#Metadata!", ADDRESS(INDEX($Q$2:$Q$1001,MATCH(ROWS($O$2:O156),$O$2:$O$1001,0),0), INDEX($V$1004:$AE$1004,1,MATCH(COLUMNS($V$1006:AA1006),$V$1006:$AE$1006,0)))),"Fix")))</f>
        <v>0</v>
      </c>
      <c r="H156" s="4">
        <f>IF(OR(INDEX($P$2:$P$1001,MATCH(ROWS($O$2:O156),$O$2:$O$1001,0),1)&gt;=100000,INDEX($V$1005:$AE$1005,1,MATCH(COLUMNS($V$1006:AB1006),$V$1006:$AE$1006,0))&gt;=100000), " ",IF(INDEX($V$2:$AE$1001,MATCH(ROWS($O$2:O156),$O$2:$O$1001,0),MATCH(COLUMNS($V$1006:AB1006),$V$1006:$AE$1006,0)), HYPERLINK("#",""), HYPERLINK(CONCATENATE("#Metadata!", ADDRESS(INDEX($Q$2:$Q$1001,MATCH(ROWS($O$2:O156),$O$2:$O$1001,0),0), INDEX($V$1004:$AE$1004,1,MATCH(COLUMNS($V$1006:AB1006),$V$1006:$AE$1006,0)))),"Fix")))</f>
        <v>0</v>
      </c>
      <c r="I156" s="4">
        <f>IF(OR(INDEX($P$2:$P$1001,MATCH(ROWS($O$2:O156),$O$2:$O$1001,0),1)&gt;=100000,INDEX($V$1005:$AE$1005,1,MATCH(COLUMNS($V$1006:AC1006),$V$1006:$AE$1006,0))&gt;=100000), " ",IF(INDEX($V$2:$AE$1001,MATCH(ROWS($O$2:O156),$O$2:$O$1001,0),MATCH(COLUMNS($V$1006:AC1006),$V$1006:$AE$1006,0)), HYPERLINK("#",""), HYPERLINK(CONCATENATE("#Metadata!", ADDRESS(INDEX($Q$2:$Q$1001,MATCH(ROWS($O$2:O156),$O$2:$O$1001,0),0), INDEX($V$1004:$AE$1004,1,MATCH(COLUMNS($V$1006:AC1006),$V$1006:$AE$1006,0)))),"Fix")))</f>
        <v>0</v>
      </c>
      <c r="J156" s="4">
        <f>IF(OR(INDEX($P$2:$P$1001,MATCH(ROWS($O$2:O156),$O$2:$O$1001,0),1)&gt;=100000,INDEX($V$1005:$AE$1005,1,MATCH(COLUMNS($V$1006:AD1006),$V$1006:$AE$1006,0))&gt;=100000), " ",IF(INDEX($V$2:$AE$1001,MATCH(ROWS($O$2:O156),$O$2:$O$1001,0),MATCH(COLUMNS($V$1006:AD1006),$V$1006:$AE$1006,0)), HYPERLINK("#",""), HYPERLINK(CONCATENATE("#Metadata!", ADDRESS(INDEX($Q$2:$Q$1001,MATCH(ROWS($O$2:O156),$O$2:$O$1001,0),0), INDEX($V$1004:$AE$1004,1,MATCH(COLUMNS($V$1006:AD1006),$V$1006:$AE$1006,0)))),"Fix")))</f>
        <v>0</v>
      </c>
      <c r="K156" s="4">
        <f>IF(OR(INDEX($P$2:$P$1001,MATCH(ROWS($O$2:O156),$O$2:$O$1001,0),1)&gt;=100000,INDEX($V$1005:$AE$1005,1,MATCH(COLUMNS($V$1006:AE1006),$V$1006:$AE$1006,0))&gt;=100000), " ",IF(INDEX($V$2:$AE$1001,MATCH(ROWS($O$2:O156),$O$2:$O$1001,0),MATCH(COLUMNS($V$1006:AE1006),$V$1006:$AE$1006,0)), HYPERLINK("#",""), HYPERLINK(CONCATENATE("#Metadata!", ADDRESS(INDEX($Q$2:$Q$1001,MATCH(ROWS($O$2:O156),$O$2:$O$1001,0),0), INDEX($V$1004:$AE$1004,1,MATCH(COLUMNS($V$1006:AE1006),$V$1006:$AE$1006,0)))),"Fix")))</f>
        <v>0</v>
      </c>
      <c r="O156">
        <v>0</v>
      </c>
      <c r="P156">
        <v>0</v>
      </c>
      <c r="Q156">
        <v>0</v>
      </c>
      <c r="R156">
        <f>IF(S156,TRUE,AND(V156:AE156))</f>
        <v>0</v>
      </c>
      <c r="S156">
        <f>COUNTBLANK(Metadata!B156:K156)=COLUMNS(Metadata!B156:K156)</f>
        <v>0</v>
      </c>
      <c r="T156">
        <v>0</v>
      </c>
      <c r="V156">
        <f>AND(IF(Metadata!B156="",FALSE,TRUE),COUNTIF(Metadata!B:B, Metadata!B156) = 1,NOT(ISERROR(SUMPRODUCT(SEARCH(MID(Metadata!B156,ROW(INDIRECT("1:"&amp;LEN(Metadata!B156))), 1),"0123456789abcdefghijklmnopqrstuvwxyzABCDEFGHIJKLMNOPQRSTUVWXYZ.")))))</f>
        <v>0</v>
      </c>
      <c r="W156">
        <f>AND(IF(Metadata!C156="",FALSE,TRUE),exact(Metadata!C156,"urban biome"))</f>
        <v>0</v>
      </c>
      <c r="X156">
        <f>AND(IF(Metadata!D156="",FALSE,TRUE),exact(Metadata!D156,"animal-associated habitat"))</f>
        <v>0</v>
      </c>
      <c r="Y156">
        <f>OR(AND(IF(Metadata!E156="",FALSE,TRUE),OR(exact(Metadata!E156,"not applicable"),exact(Metadata!E156,"missing: not collected"),exact(Metadata!E156,"missing: not provided"),exact(Metadata!E156,"missing: restricted access"))),AND(IF(Metadata!E156="",FALSE,ISNUMBER(VALUE(Metadata!E156))),Metadata!E156&gt;0))</f>
        <v>0</v>
      </c>
      <c r="Z156">
        <f>AND(IF(Metadata!F156="",FALSE,TRUE),exact(Metadata!F156,"weeks"))</f>
        <v>0</v>
      </c>
      <c r="AA156">
        <f>AND(IF(Metadata!G156="",FALSE,TRUE),exact(Metadata!G156,"mouse"))</f>
        <v>0</v>
      </c>
      <c r="AB156">
        <f>AND(IF(Metadata!H156="",FALSE,TRUE),exact(Metadata!H156,"Mus musculus"))</f>
        <v>0</v>
      </c>
      <c r="AC156">
        <f>AND(IF(Metadata!I156="",FALSE,TRUE),exact(Metadata!I156,"10090"))</f>
        <v>0</v>
      </c>
      <c r="AD156">
        <f>OR(AND(IF(Metadata!J156="",FALSE,TRUE),OR(exact(Metadata!J156,"not applicable"),exact(Metadata!J156,"missing: not collected"),exact(Metadata!J156,"missing: not provided"),exact(Metadata!J156,"missing: restricted access"))),AND(IF(Metadata!J156="",FALSE,ISNUMBER(VALUE(Metadata!J156))),Metadata!J156&gt;0))</f>
        <v>0</v>
      </c>
      <c r="AE156">
        <f>AND(IF(Metadata!K156="",FALSE,TRUE),exact(Metadata!K156,"g"))</f>
        <v>0</v>
      </c>
    </row>
    <row r="157" spans="1:31">
      <c r="A157" s="5">
        <f>IF(B157=" "," ",HYPERLINK(CONCATENATE("#metadata!",ADDRESS(INDEX($Q$2:$Q$1001,MATCH(ROWS($O$2:O157),$O$2:$O$1001,0),0),1)),INDEX($T$2:$T$1001,MATCH(ROWS($O$2:O157),$O$2:$O$1001,0),0)))</f>
        <v>0</v>
      </c>
      <c r="B157" s="4">
        <f>IF(OR(INDEX($P$2:$P$1001,MATCH(ROWS($O$2:O157),$O$2:$O$1001,0),1)&gt;=100000,INDEX($V$1005:$AE$1005,1,MATCH(COLUMNS($V$1006:V1006),$V$1006:$AE$1006,0))&gt;=100000), " ",IF(INDEX($V$2:$AE$1001,MATCH(ROWS($O$2:O157),$O$2:$O$1001,0),MATCH(COLUMNS($V$1006:V1006),$V$1006:$AE$1006,0)), HYPERLINK("#",""), HYPERLINK(CONCATENATE("#Metadata!", ADDRESS(INDEX($Q$2:$Q$1001,MATCH(ROWS($O$2:O157),$O$2:$O$1001,0),0), INDEX($V$1004:$AE$1004,1,MATCH(COLUMNS($V$1006:V1006),$V$1006:$AE$1006,0)))),"Fix")))</f>
        <v>0</v>
      </c>
      <c r="C157" s="4">
        <f>IF(OR(INDEX($P$2:$P$1001,MATCH(ROWS($O$2:O157),$O$2:$O$1001,0),1)&gt;=100000,INDEX($V$1005:$AE$1005,1,MATCH(COLUMNS($V$1006:W1006),$V$1006:$AE$1006,0))&gt;=100000), " ",IF(INDEX($V$2:$AE$1001,MATCH(ROWS($O$2:O157),$O$2:$O$1001,0),MATCH(COLUMNS($V$1006:W1006),$V$1006:$AE$1006,0)), HYPERLINK("#",""), HYPERLINK(CONCATENATE("#Metadata!", ADDRESS(INDEX($Q$2:$Q$1001,MATCH(ROWS($O$2:O157),$O$2:$O$1001,0),0), INDEX($V$1004:$AE$1004,1,MATCH(COLUMNS($V$1006:W1006),$V$1006:$AE$1006,0)))),"Fix")))</f>
        <v>0</v>
      </c>
      <c r="D157" s="4">
        <f>IF(OR(INDEX($P$2:$P$1001,MATCH(ROWS($O$2:O157),$O$2:$O$1001,0),1)&gt;=100000,INDEX($V$1005:$AE$1005,1,MATCH(COLUMNS($V$1006:X1006),$V$1006:$AE$1006,0))&gt;=100000), " ",IF(INDEX($V$2:$AE$1001,MATCH(ROWS($O$2:O157),$O$2:$O$1001,0),MATCH(COLUMNS($V$1006:X1006),$V$1006:$AE$1006,0)), HYPERLINK("#",""), HYPERLINK(CONCATENATE("#Metadata!", ADDRESS(INDEX($Q$2:$Q$1001,MATCH(ROWS($O$2:O157),$O$2:$O$1001,0),0), INDEX($V$1004:$AE$1004,1,MATCH(COLUMNS($V$1006:X1006),$V$1006:$AE$1006,0)))),"Fix")))</f>
        <v>0</v>
      </c>
      <c r="E157" s="4">
        <f>IF(OR(INDEX($P$2:$P$1001,MATCH(ROWS($O$2:O157),$O$2:$O$1001,0),1)&gt;=100000,INDEX($V$1005:$AE$1005,1,MATCH(COLUMNS($V$1006:Y1006),$V$1006:$AE$1006,0))&gt;=100000), " ",IF(INDEX($V$2:$AE$1001,MATCH(ROWS($O$2:O157),$O$2:$O$1001,0),MATCH(COLUMNS($V$1006:Y1006),$V$1006:$AE$1006,0)), HYPERLINK("#",""), HYPERLINK(CONCATENATE("#Metadata!", ADDRESS(INDEX($Q$2:$Q$1001,MATCH(ROWS($O$2:O157),$O$2:$O$1001,0),0), INDEX($V$1004:$AE$1004,1,MATCH(COLUMNS($V$1006:Y1006),$V$1006:$AE$1006,0)))),"Fix")))</f>
        <v>0</v>
      </c>
      <c r="F157" s="4">
        <f>IF(OR(INDEX($P$2:$P$1001,MATCH(ROWS($O$2:O157),$O$2:$O$1001,0),1)&gt;=100000,INDEX($V$1005:$AE$1005,1,MATCH(COLUMNS($V$1006:Z1006),$V$1006:$AE$1006,0))&gt;=100000), " ",IF(INDEX($V$2:$AE$1001,MATCH(ROWS($O$2:O157),$O$2:$O$1001,0),MATCH(COLUMNS($V$1006:Z1006),$V$1006:$AE$1006,0)), HYPERLINK("#",""), HYPERLINK(CONCATENATE("#Metadata!", ADDRESS(INDEX($Q$2:$Q$1001,MATCH(ROWS($O$2:O157),$O$2:$O$1001,0),0), INDEX($V$1004:$AE$1004,1,MATCH(COLUMNS($V$1006:Z1006),$V$1006:$AE$1006,0)))),"Fix")))</f>
        <v>0</v>
      </c>
      <c r="G157" s="4">
        <f>IF(OR(INDEX($P$2:$P$1001,MATCH(ROWS($O$2:O157),$O$2:$O$1001,0),1)&gt;=100000,INDEX($V$1005:$AE$1005,1,MATCH(COLUMNS($V$1006:AA1006),$V$1006:$AE$1006,0))&gt;=100000), " ",IF(INDEX($V$2:$AE$1001,MATCH(ROWS($O$2:O157),$O$2:$O$1001,0),MATCH(COLUMNS($V$1006:AA1006),$V$1006:$AE$1006,0)), HYPERLINK("#",""), HYPERLINK(CONCATENATE("#Metadata!", ADDRESS(INDEX($Q$2:$Q$1001,MATCH(ROWS($O$2:O157),$O$2:$O$1001,0),0), INDEX($V$1004:$AE$1004,1,MATCH(COLUMNS($V$1006:AA1006),$V$1006:$AE$1006,0)))),"Fix")))</f>
        <v>0</v>
      </c>
      <c r="H157" s="4">
        <f>IF(OR(INDEX($P$2:$P$1001,MATCH(ROWS($O$2:O157),$O$2:$O$1001,0),1)&gt;=100000,INDEX($V$1005:$AE$1005,1,MATCH(COLUMNS($V$1006:AB1006),$V$1006:$AE$1006,0))&gt;=100000), " ",IF(INDEX($V$2:$AE$1001,MATCH(ROWS($O$2:O157),$O$2:$O$1001,0),MATCH(COLUMNS($V$1006:AB1006),$V$1006:$AE$1006,0)), HYPERLINK("#",""), HYPERLINK(CONCATENATE("#Metadata!", ADDRESS(INDEX($Q$2:$Q$1001,MATCH(ROWS($O$2:O157),$O$2:$O$1001,0),0), INDEX($V$1004:$AE$1004,1,MATCH(COLUMNS($V$1006:AB1006),$V$1006:$AE$1006,0)))),"Fix")))</f>
        <v>0</v>
      </c>
      <c r="I157" s="4">
        <f>IF(OR(INDEX($P$2:$P$1001,MATCH(ROWS($O$2:O157),$O$2:$O$1001,0),1)&gt;=100000,INDEX($V$1005:$AE$1005,1,MATCH(COLUMNS($V$1006:AC1006),$V$1006:$AE$1006,0))&gt;=100000), " ",IF(INDEX($V$2:$AE$1001,MATCH(ROWS($O$2:O157),$O$2:$O$1001,0),MATCH(COLUMNS($V$1006:AC1006),$V$1006:$AE$1006,0)), HYPERLINK("#",""), HYPERLINK(CONCATENATE("#Metadata!", ADDRESS(INDEX($Q$2:$Q$1001,MATCH(ROWS($O$2:O157),$O$2:$O$1001,0),0), INDEX($V$1004:$AE$1004,1,MATCH(COLUMNS($V$1006:AC1006),$V$1006:$AE$1006,0)))),"Fix")))</f>
        <v>0</v>
      </c>
      <c r="J157" s="4">
        <f>IF(OR(INDEX($P$2:$P$1001,MATCH(ROWS($O$2:O157),$O$2:$O$1001,0),1)&gt;=100000,INDEX($V$1005:$AE$1005,1,MATCH(COLUMNS($V$1006:AD1006),$V$1006:$AE$1006,0))&gt;=100000), " ",IF(INDEX($V$2:$AE$1001,MATCH(ROWS($O$2:O157),$O$2:$O$1001,0),MATCH(COLUMNS($V$1006:AD1006),$V$1006:$AE$1006,0)), HYPERLINK("#",""), HYPERLINK(CONCATENATE("#Metadata!", ADDRESS(INDEX($Q$2:$Q$1001,MATCH(ROWS($O$2:O157),$O$2:$O$1001,0),0), INDEX($V$1004:$AE$1004,1,MATCH(COLUMNS($V$1006:AD1006),$V$1006:$AE$1006,0)))),"Fix")))</f>
        <v>0</v>
      </c>
      <c r="K157" s="4">
        <f>IF(OR(INDEX($P$2:$P$1001,MATCH(ROWS($O$2:O157),$O$2:$O$1001,0),1)&gt;=100000,INDEX($V$1005:$AE$1005,1,MATCH(COLUMNS($V$1006:AE1006),$V$1006:$AE$1006,0))&gt;=100000), " ",IF(INDEX($V$2:$AE$1001,MATCH(ROWS($O$2:O157),$O$2:$O$1001,0),MATCH(COLUMNS($V$1006:AE1006),$V$1006:$AE$1006,0)), HYPERLINK("#",""), HYPERLINK(CONCATENATE("#Metadata!", ADDRESS(INDEX($Q$2:$Q$1001,MATCH(ROWS($O$2:O157),$O$2:$O$1001,0),0), INDEX($V$1004:$AE$1004,1,MATCH(COLUMNS($V$1006:AE1006),$V$1006:$AE$1006,0)))),"Fix")))</f>
        <v>0</v>
      </c>
      <c r="O157">
        <v>0</v>
      </c>
      <c r="P157">
        <v>0</v>
      </c>
      <c r="Q157">
        <v>0</v>
      </c>
      <c r="R157">
        <f>IF(S157,TRUE,AND(V157:AE157))</f>
        <v>0</v>
      </c>
      <c r="S157">
        <f>COUNTBLANK(Metadata!B157:K157)=COLUMNS(Metadata!B157:K157)</f>
        <v>0</v>
      </c>
      <c r="T157">
        <v>0</v>
      </c>
      <c r="V157">
        <f>AND(IF(Metadata!B157="",FALSE,TRUE),COUNTIF(Metadata!B:B, Metadata!B157) = 1,NOT(ISERROR(SUMPRODUCT(SEARCH(MID(Metadata!B157,ROW(INDIRECT("1:"&amp;LEN(Metadata!B157))), 1),"0123456789abcdefghijklmnopqrstuvwxyzABCDEFGHIJKLMNOPQRSTUVWXYZ.")))))</f>
        <v>0</v>
      </c>
      <c r="W157">
        <f>AND(IF(Metadata!C157="",FALSE,TRUE),exact(Metadata!C157,"urban biome"))</f>
        <v>0</v>
      </c>
      <c r="X157">
        <f>AND(IF(Metadata!D157="",FALSE,TRUE),exact(Metadata!D157,"animal-associated habitat"))</f>
        <v>0</v>
      </c>
      <c r="Y157">
        <f>OR(AND(IF(Metadata!E157="",FALSE,TRUE),OR(exact(Metadata!E157,"not applicable"),exact(Metadata!E157,"missing: not collected"),exact(Metadata!E157,"missing: not provided"),exact(Metadata!E157,"missing: restricted access"))),AND(IF(Metadata!E157="",FALSE,ISNUMBER(VALUE(Metadata!E157))),Metadata!E157&gt;0))</f>
        <v>0</v>
      </c>
      <c r="Z157">
        <f>AND(IF(Metadata!F157="",FALSE,TRUE),exact(Metadata!F157,"weeks"))</f>
        <v>0</v>
      </c>
      <c r="AA157">
        <f>AND(IF(Metadata!G157="",FALSE,TRUE),exact(Metadata!G157,"mouse"))</f>
        <v>0</v>
      </c>
      <c r="AB157">
        <f>AND(IF(Metadata!H157="",FALSE,TRUE),exact(Metadata!H157,"Mus musculus"))</f>
        <v>0</v>
      </c>
      <c r="AC157">
        <f>AND(IF(Metadata!I157="",FALSE,TRUE),exact(Metadata!I157,"10090"))</f>
        <v>0</v>
      </c>
      <c r="AD157">
        <f>OR(AND(IF(Metadata!J157="",FALSE,TRUE),OR(exact(Metadata!J157,"not applicable"),exact(Metadata!J157,"missing: not collected"),exact(Metadata!J157,"missing: not provided"),exact(Metadata!J157,"missing: restricted access"))),AND(IF(Metadata!J157="",FALSE,ISNUMBER(VALUE(Metadata!J157))),Metadata!J157&gt;0))</f>
        <v>0</v>
      </c>
      <c r="AE157">
        <f>AND(IF(Metadata!K157="",FALSE,TRUE),exact(Metadata!K157,"g"))</f>
        <v>0</v>
      </c>
    </row>
    <row r="158" spans="1:31">
      <c r="A158" s="5">
        <f>IF(B158=" "," ",HYPERLINK(CONCATENATE("#metadata!",ADDRESS(INDEX($Q$2:$Q$1001,MATCH(ROWS($O$2:O158),$O$2:$O$1001,0),0),1)),INDEX($T$2:$T$1001,MATCH(ROWS($O$2:O158),$O$2:$O$1001,0),0)))</f>
        <v>0</v>
      </c>
      <c r="B158" s="4">
        <f>IF(OR(INDEX($P$2:$P$1001,MATCH(ROWS($O$2:O158),$O$2:$O$1001,0),1)&gt;=100000,INDEX($V$1005:$AE$1005,1,MATCH(COLUMNS($V$1006:V1006),$V$1006:$AE$1006,0))&gt;=100000), " ",IF(INDEX($V$2:$AE$1001,MATCH(ROWS($O$2:O158),$O$2:$O$1001,0),MATCH(COLUMNS($V$1006:V1006),$V$1006:$AE$1006,0)), HYPERLINK("#",""), HYPERLINK(CONCATENATE("#Metadata!", ADDRESS(INDEX($Q$2:$Q$1001,MATCH(ROWS($O$2:O158),$O$2:$O$1001,0),0), INDEX($V$1004:$AE$1004,1,MATCH(COLUMNS($V$1006:V1006),$V$1006:$AE$1006,0)))),"Fix")))</f>
        <v>0</v>
      </c>
      <c r="C158" s="4">
        <f>IF(OR(INDEX($P$2:$P$1001,MATCH(ROWS($O$2:O158),$O$2:$O$1001,0),1)&gt;=100000,INDEX($V$1005:$AE$1005,1,MATCH(COLUMNS($V$1006:W1006),$V$1006:$AE$1006,0))&gt;=100000), " ",IF(INDEX($V$2:$AE$1001,MATCH(ROWS($O$2:O158),$O$2:$O$1001,0),MATCH(COLUMNS($V$1006:W1006),$V$1006:$AE$1006,0)), HYPERLINK("#",""), HYPERLINK(CONCATENATE("#Metadata!", ADDRESS(INDEX($Q$2:$Q$1001,MATCH(ROWS($O$2:O158),$O$2:$O$1001,0),0), INDEX($V$1004:$AE$1004,1,MATCH(COLUMNS($V$1006:W1006),$V$1006:$AE$1006,0)))),"Fix")))</f>
        <v>0</v>
      </c>
      <c r="D158" s="4">
        <f>IF(OR(INDEX($P$2:$P$1001,MATCH(ROWS($O$2:O158),$O$2:$O$1001,0),1)&gt;=100000,INDEX($V$1005:$AE$1005,1,MATCH(COLUMNS($V$1006:X1006),$V$1006:$AE$1006,0))&gt;=100000), " ",IF(INDEX($V$2:$AE$1001,MATCH(ROWS($O$2:O158),$O$2:$O$1001,0),MATCH(COLUMNS($V$1006:X1006),$V$1006:$AE$1006,0)), HYPERLINK("#",""), HYPERLINK(CONCATENATE("#Metadata!", ADDRESS(INDEX($Q$2:$Q$1001,MATCH(ROWS($O$2:O158),$O$2:$O$1001,0),0), INDEX($V$1004:$AE$1004,1,MATCH(COLUMNS($V$1006:X1006),$V$1006:$AE$1006,0)))),"Fix")))</f>
        <v>0</v>
      </c>
      <c r="E158" s="4">
        <f>IF(OR(INDEX($P$2:$P$1001,MATCH(ROWS($O$2:O158),$O$2:$O$1001,0),1)&gt;=100000,INDEX($V$1005:$AE$1005,1,MATCH(COLUMNS($V$1006:Y1006),$V$1006:$AE$1006,0))&gt;=100000), " ",IF(INDEX($V$2:$AE$1001,MATCH(ROWS($O$2:O158),$O$2:$O$1001,0),MATCH(COLUMNS($V$1006:Y1006),$V$1006:$AE$1006,0)), HYPERLINK("#",""), HYPERLINK(CONCATENATE("#Metadata!", ADDRESS(INDEX($Q$2:$Q$1001,MATCH(ROWS($O$2:O158),$O$2:$O$1001,0),0), INDEX($V$1004:$AE$1004,1,MATCH(COLUMNS($V$1006:Y1006),$V$1006:$AE$1006,0)))),"Fix")))</f>
        <v>0</v>
      </c>
      <c r="F158" s="4">
        <f>IF(OR(INDEX($P$2:$P$1001,MATCH(ROWS($O$2:O158),$O$2:$O$1001,0),1)&gt;=100000,INDEX($V$1005:$AE$1005,1,MATCH(COLUMNS($V$1006:Z1006),$V$1006:$AE$1006,0))&gt;=100000), " ",IF(INDEX($V$2:$AE$1001,MATCH(ROWS($O$2:O158),$O$2:$O$1001,0),MATCH(COLUMNS($V$1006:Z1006),$V$1006:$AE$1006,0)), HYPERLINK("#",""), HYPERLINK(CONCATENATE("#Metadata!", ADDRESS(INDEX($Q$2:$Q$1001,MATCH(ROWS($O$2:O158),$O$2:$O$1001,0),0), INDEX($V$1004:$AE$1004,1,MATCH(COLUMNS($V$1006:Z1006),$V$1006:$AE$1006,0)))),"Fix")))</f>
        <v>0</v>
      </c>
      <c r="G158" s="4">
        <f>IF(OR(INDEX($P$2:$P$1001,MATCH(ROWS($O$2:O158),$O$2:$O$1001,0),1)&gt;=100000,INDEX($V$1005:$AE$1005,1,MATCH(COLUMNS($V$1006:AA1006),$V$1006:$AE$1006,0))&gt;=100000), " ",IF(INDEX($V$2:$AE$1001,MATCH(ROWS($O$2:O158),$O$2:$O$1001,0),MATCH(COLUMNS($V$1006:AA1006),$V$1006:$AE$1006,0)), HYPERLINK("#",""), HYPERLINK(CONCATENATE("#Metadata!", ADDRESS(INDEX($Q$2:$Q$1001,MATCH(ROWS($O$2:O158),$O$2:$O$1001,0),0), INDEX($V$1004:$AE$1004,1,MATCH(COLUMNS($V$1006:AA1006),$V$1006:$AE$1006,0)))),"Fix")))</f>
        <v>0</v>
      </c>
      <c r="H158" s="4">
        <f>IF(OR(INDEX($P$2:$P$1001,MATCH(ROWS($O$2:O158),$O$2:$O$1001,0),1)&gt;=100000,INDEX($V$1005:$AE$1005,1,MATCH(COLUMNS($V$1006:AB1006),$V$1006:$AE$1006,0))&gt;=100000), " ",IF(INDEX($V$2:$AE$1001,MATCH(ROWS($O$2:O158),$O$2:$O$1001,0),MATCH(COLUMNS($V$1006:AB1006),$V$1006:$AE$1006,0)), HYPERLINK("#",""), HYPERLINK(CONCATENATE("#Metadata!", ADDRESS(INDEX($Q$2:$Q$1001,MATCH(ROWS($O$2:O158),$O$2:$O$1001,0),0), INDEX($V$1004:$AE$1004,1,MATCH(COLUMNS($V$1006:AB1006),$V$1006:$AE$1006,0)))),"Fix")))</f>
        <v>0</v>
      </c>
      <c r="I158" s="4">
        <f>IF(OR(INDEX($P$2:$P$1001,MATCH(ROWS($O$2:O158),$O$2:$O$1001,0),1)&gt;=100000,INDEX($V$1005:$AE$1005,1,MATCH(COLUMNS($V$1006:AC1006),$V$1006:$AE$1006,0))&gt;=100000), " ",IF(INDEX($V$2:$AE$1001,MATCH(ROWS($O$2:O158),$O$2:$O$1001,0),MATCH(COLUMNS($V$1006:AC1006),$V$1006:$AE$1006,0)), HYPERLINK("#",""), HYPERLINK(CONCATENATE("#Metadata!", ADDRESS(INDEX($Q$2:$Q$1001,MATCH(ROWS($O$2:O158),$O$2:$O$1001,0),0), INDEX($V$1004:$AE$1004,1,MATCH(COLUMNS($V$1006:AC1006),$V$1006:$AE$1006,0)))),"Fix")))</f>
        <v>0</v>
      </c>
      <c r="J158" s="4">
        <f>IF(OR(INDEX($P$2:$P$1001,MATCH(ROWS($O$2:O158),$O$2:$O$1001,0),1)&gt;=100000,INDEX($V$1005:$AE$1005,1,MATCH(COLUMNS($V$1006:AD1006),$V$1006:$AE$1006,0))&gt;=100000), " ",IF(INDEX($V$2:$AE$1001,MATCH(ROWS($O$2:O158),$O$2:$O$1001,0),MATCH(COLUMNS($V$1006:AD1006),$V$1006:$AE$1006,0)), HYPERLINK("#",""), HYPERLINK(CONCATENATE("#Metadata!", ADDRESS(INDEX($Q$2:$Q$1001,MATCH(ROWS($O$2:O158),$O$2:$O$1001,0),0), INDEX($V$1004:$AE$1004,1,MATCH(COLUMNS($V$1006:AD1006),$V$1006:$AE$1006,0)))),"Fix")))</f>
        <v>0</v>
      </c>
      <c r="K158" s="4">
        <f>IF(OR(INDEX($P$2:$P$1001,MATCH(ROWS($O$2:O158),$O$2:$O$1001,0),1)&gt;=100000,INDEX($V$1005:$AE$1005,1,MATCH(COLUMNS($V$1006:AE1006),$V$1006:$AE$1006,0))&gt;=100000), " ",IF(INDEX($V$2:$AE$1001,MATCH(ROWS($O$2:O158),$O$2:$O$1001,0),MATCH(COLUMNS($V$1006:AE1006),$V$1006:$AE$1006,0)), HYPERLINK("#",""), HYPERLINK(CONCATENATE("#Metadata!", ADDRESS(INDEX($Q$2:$Q$1001,MATCH(ROWS($O$2:O158),$O$2:$O$1001,0),0), INDEX($V$1004:$AE$1004,1,MATCH(COLUMNS($V$1006:AE1006),$V$1006:$AE$1006,0)))),"Fix")))</f>
        <v>0</v>
      </c>
      <c r="O158">
        <v>0</v>
      </c>
      <c r="P158">
        <v>0</v>
      </c>
      <c r="Q158">
        <v>0</v>
      </c>
      <c r="R158">
        <f>IF(S158,TRUE,AND(V158:AE158))</f>
        <v>0</v>
      </c>
      <c r="S158">
        <f>COUNTBLANK(Metadata!B158:K158)=COLUMNS(Metadata!B158:K158)</f>
        <v>0</v>
      </c>
      <c r="T158">
        <v>0</v>
      </c>
      <c r="V158">
        <f>AND(IF(Metadata!B158="",FALSE,TRUE),COUNTIF(Metadata!B:B, Metadata!B158) = 1,NOT(ISERROR(SUMPRODUCT(SEARCH(MID(Metadata!B158,ROW(INDIRECT("1:"&amp;LEN(Metadata!B158))), 1),"0123456789abcdefghijklmnopqrstuvwxyzABCDEFGHIJKLMNOPQRSTUVWXYZ.")))))</f>
        <v>0</v>
      </c>
      <c r="W158">
        <f>AND(IF(Metadata!C158="",FALSE,TRUE),exact(Metadata!C158,"urban biome"))</f>
        <v>0</v>
      </c>
      <c r="X158">
        <f>AND(IF(Metadata!D158="",FALSE,TRUE),exact(Metadata!D158,"animal-associated habitat"))</f>
        <v>0</v>
      </c>
      <c r="Y158">
        <f>OR(AND(IF(Metadata!E158="",FALSE,TRUE),OR(exact(Metadata!E158,"not applicable"),exact(Metadata!E158,"missing: not collected"),exact(Metadata!E158,"missing: not provided"),exact(Metadata!E158,"missing: restricted access"))),AND(IF(Metadata!E158="",FALSE,ISNUMBER(VALUE(Metadata!E158))),Metadata!E158&gt;0))</f>
        <v>0</v>
      </c>
      <c r="Z158">
        <f>AND(IF(Metadata!F158="",FALSE,TRUE),exact(Metadata!F158,"weeks"))</f>
        <v>0</v>
      </c>
      <c r="AA158">
        <f>AND(IF(Metadata!G158="",FALSE,TRUE),exact(Metadata!G158,"mouse"))</f>
        <v>0</v>
      </c>
      <c r="AB158">
        <f>AND(IF(Metadata!H158="",FALSE,TRUE),exact(Metadata!H158,"Mus musculus"))</f>
        <v>0</v>
      </c>
      <c r="AC158">
        <f>AND(IF(Metadata!I158="",FALSE,TRUE),exact(Metadata!I158,"10090"))</f>
        <v>0</v>
      </c>
      <c r="AD158">
        <f>OR(AND(IF(Metadata!J158="",FALSE,TRUE),OR(exact(Metadata!J158,"not applicable"),exact(Metadata!J158,"missing: not collected"),exact(Metadata!J158,"missing: not provided"),exact(Metadata!J158,"missing: restricted access"))),AND(IF(Metadata!J158="",FALSE,ISNUMBER(VALUE(Metadata!J158))),Metadata!J158&gt;0))</f>
        <v>0</v>
      </c>
      <c r="AE158">
        <f>AND(IF(Metadata!K158="",FALSE,TRUE),exact(Metadata!K158,"g"))</f>
        <v>0</v>
      </c>
    </row>
    <row r="159" spans="1:31">
      <c r="A159" s="5">
        <f>IF(B159=" "," ",HYPERLINK(CONCATENATE("#metadata!",ADDRESS(INDEX($Q$2:$Q$1001,MATCH(ROWS($O$2:O159),$O$2:$O$1001,0),0),1)),INDEX($T$2:$T$1001,MATCH(ROWS($O$2:O159),$O$2:$O$1001,0),0)))</f>
        <v>0</v>
      </c>
      <c r="B159" s="4">
        <f>IF(OR(INDEX($P$2:$P$1001,MATCH(ROWS($O$2:O159),$O$2:$O$1001,0),1)&gt;=100000,INDEX($V$1005:$AE$1005,1,MATCH(COLUMNS($V$1006:V1006),$V$1006:$AE$1006,0))&gt;=100000), " ",IF(INDEX($V$2:$AE$1001,MATCH(ROWS($O$2:O159),$O$2:$O$1001,0),MATCH(COLUMNS($V$1006:V1006),$V$1006:$AE$1006,0)), HYPERLINK("#",""), HYPERLINK(CONCATENATE("#Metadata!", ADDRESS(INDEX($Q$2:$Q$1001,MATCH(ROWS($O$2:O159),$O$2:$O$1001,0),0), INDEX($V$1004:$AE$1004,1,MATCH(COLUMNS($V$1006:V1006),$V$1006:$AE$1006,0)))),"Fix")))</f>
        <v>0</v>
      </c>
      <c r="C159" s="4">
        <f>IF(OR(INDEX($P$2:$P$1001,MATCH(ROWS($O$2:O159),$O$2:$O$1001,0),1)&gt;=100000,INDEX($V$1005:$AE$1005,1,MATCH(COLUMNS($V$1006:W1006),$V$1006:$AE$1006,0))&gt;=100000), " ",IF(INDEX($V$2:$AE$1001,MATCH(ROWS($O$2:O159),$O$2:$O$1001,0),MATCH(COLUMNS($V$1006:W1006),$V$1006:$AE$1006,0)), HYPERLINK("#",""), HYPERLINK(CONCATENATE("#Metadata!", ADDRESS(INDEX($Q$2:$Q$1001,MATCH(ROWS($O$2:O159),$O$2:$O$1001,0),0), INDEX($V$1004:$AE$1004,1,MATCH(COLUMNS($V$1006:W1006),$V$1006:$AE$1006,0)))),"Fix")))</f>
        <v>0</v>
      </c>
      <c r="D159" s="4">
        <f>IF(OR(INDEX($P$2:$P$1001,MATCH(ROWS($O$2:O159),$O$2:$O$1001,0),1)&gt;=100000,INDEX($V$1005:$AE$1005,1,MATCH(COLUMNS($V$1006:X1006),$V$1006:$AE$1006,0))&gt;=100000), " ",IF(INDEX($V$2:$AE$1001,MATCH(ROWS($O$2:O159),$O$2:$O$1001,0),MATCH(COLUMNS($V$1006:X1006),$V$1006:$AE$1006,0)), HYPERLINK("#",""), HYPERLINK(CONCATENATE("#Metadata!", ADDRESS(INDEX($Q$2:$Q$1001,MATCH(ROWS($O$2:O159),$O$2:$O$1001,0),0), INDEX($V$1004:$AE$1004,1,MATCH(COLUMNS($V$1006:X1006),$V$1006:$AE$1006,0)))),"Fix")))</f>
        <v>0</v>
      </c>
      <c r="E159" s="4">
        <f>IF(OR(INDEX($P$2:$P$1001,MATCH(ROWS($O$2:O159),$O$2:$O$1001,0),1)&gt;=100000,INDEX($V$1005:$AE$1005,1,MATCH(COLUMNS($V$1006:Y1006),$V$1006:$AE$1006,0))&gt;=100000), " ",IF(INDEX($V$2:$AE$1001,MATCH(ROWS($O$2:O159),$O$2:$O$1001,0),MATCH(COLUMNS($V$1006:Y1006),$V$1006:$AE$1006,0)), HYPERLINK("#",""), HYPERLINK(CONCATENATE("#Metadata!", ADDRESS(INDEX($Q$2:$Q$1001,MATCH(ROWS($O$2:O159),$O$2:$O$1001,0),0), INDEX($V$1004:$AE$1004,1,MATCH(COLUMNS($V$1006:Y1006),$V$1006:$AE$1006,0)))),"Fix")))</f>
        <v>0</v>
      </c>
      <c r="F159" s="4">
        <f>IF(OR(INDEX($P$2:$P$1001,MATCH(ROWS($O$2:O159),$O$2:$O$1001,0),1)&gt;=100000,INDEX($V$1005:$AE$1005,1,MATCH(COLUMNS($V$1006:Z1006),$V$1006:$AE$1006,0))&gt;=100000), " ",IF(INDEX($V$2:$AE$1001,MATCH(ROWS($O$2:O159),$O$2:$O$1001,0),MATCH(COLUMNS($V$1006:Z1006),$V$1006:$AE$1006,0)), HYPERLINK("#",""), HYPERLINK(CONCATENATE("#Metadata!", ADDRESS(INDEX($Q$2:$Q$1001,MATCH(ROWS($O$2:O159),$O$2:$O$1001,0),0), INDEX($V$1004:$AE$1004,1,MATCH(COLUMNS($V$1006:Z1006),$V$1006:$AE$1006,0)))),"Fix")))</f>
        <v>0</v>
      </c>
      <c r="G159" s="4">
        <f>IF(OR(INDEX($P$2:$P$1001,MATCH(ROWS($O$2:O159),$O$2:$O$1001,0),1)&gt;=100000,INDEX($V$1005:$AE$1005,1,MATCH(COLUMNS($V$1006:AA1006),$V$1006:$AE$1006,0))&gt;=100000), " ",IF(INDEX($V$2:$AE$1001,MATCH(ROWS($O$2:O159),$O$2:$O$1001,0),MATCH(COLUMNS($V$1006:AA1006),$V$1006:$AE$1006,0)), HYPERLINK("#",""), HYPERLINK(CONCATENATE("#Metadata!", ADDRESS(INDEX($Q$2:$Q$1001,MATCH(ROWS($O$2:O159),$O$2:$O$1001,0),0), INDEX($V$1004:$AE$1004,1,MATCH(COLUMNS($V$1006:AA1006),$V$1006:$AE$1006,0)))),"Fix")))</f>
        <v>0</v>
      </c>
      <c r="H159" s="4">
        <f>IF(OR(INDEX($P$2:$P$1001,MATCH(ROWS($O$2:O159),$O$2:$O$1001,0),1)&gt;=100000,INDEX($V$1005:$AE$1005,1,MATCH(COLUMNS($V$1006:AB1006),$V$1006:$AE$1006,0))&gt;=100000), " ",IF(INDEX($V$2:$AE$1001,MATCH(ROWS($O$2:O159),$O$2:$O$1001,0),MATCH(COLUMNS($V$1006:AB1006),$V$1006:$AE$1006,0)), HYPERLINK("#",""), HYPERLINK(CONCATENATE("#Metadata!", ADDRESS(INDEX($Q$2:$Q$1001,MATCH(ROWS($O$2:O159),$O$2:$O$1001,0),0), INDEX($V$1004:$AE$1004,1,MATCH(COLUMNS($V$1006:AB1006),$V$1006:$AE$1006,0)))),"Fix")))</f>
        <v>0</v>
      </c>
      <c r="I159" s="4">
        <f>IF(OR(INDEX($P$2:$P$1001,MATCH(ROWS($O$2:O159),$O$2:$O$1001,0),1)&gt;=100000,INDEX($V$1005:$AE$1005,1,MATCH(COLUMNS($V$1006:AC1006),$V$1006:$AE$1006,0))&gt;=100000), " ",IF(INDEX($V$2:$AE$1001,MATCH(ROWS($O$2:O159),$O$2:$O$1001,0),MATCH(COLUMNS($V$1006:AC1006),$V$1006:$AE$1006,0)), HYPERLINK("#",""), HYPERLINK(CONCATENATE("#Metadata!", ADDRESS(INDEX($Q$2:$Q$1001,MATCH(ROWS($O$2:O159),$O$2:$O$1001,0),0), INDEX($V$1004:$AE$1004,1,MATCH(COLUMNS($V$1006:AC1006),$V$1006:$AE$1006,0)))),"Fix")))</f>
        <v>0</v>
      </c>
      <c r="J159" s="4">
        <f>IF(OR(INDEX($P$2:$P$1001,MATCH(ROWS($O$2:O159),$O$2:$O$1001,0),1)&gt;=100000,INDEX($V$1005:$AE$1005,1,MATCH(COLUMNS($V$1006:AD1006),$V$1006:$AE$1006,0))&gt;=100000), " ",IF(INDEX($V$2:$AE$1001,MATCH(ROWS($O$2:O159),$O$2:$O$1001,0),MATCH(COLUMNS($V$1006:AD1006),$V$1006:$AE$1006,0)), HYPERLINK("#",""), HYPERLINK(CONCATENATE("#Metadata!", ADDRESS(INDEX($Q$2:$Q$1001,MATCH(ROWS($O$2:O159),$O$2:$O$1001,0),0), INDEX($V$1004:$AE$1004,1,MATCH(COLUMNS($V$1006:AD1006),$V$1006:$AE$1006,0)))),"Fix")))</f>
        <v>0</v>
      </c>
      <c r="K159" s="4">
        <f>IF(OR(INDEX($P$2:$P$1001,MATCH(ROWS($O$2:O159),$O$2:$O$1001,0),1)&gt;=100000,INDEX($V$1005:$AE$1005,1,MATCH(COLUMNS($V$1006:AE1006),$V$1006:$AE$1006,0))&gt;=100000), " ",IF(INDEX($V$2:$AE$1001,MATCH(ROWS($O$2:O159),$O$2:$O$1001,0),MATCH(COLUMNS($V$1006:AE1006),$V$1006:$AE$1006,0)), HYPERLINK("#",""), HYPERLINK(CONCATENATE("#Metadata!", ADDRESS(INDEX($Q$2:$Q$1001,MATCH(ROWS($O$2:O159),$O$2:$O$1001,0),0), INDEX($V$1004:$AE$1004,1,MATCH(COLUMNS($V$1006:AE1006),$V$1006:$AE$1006,0)))),"Fix")))</f>
        <v>0</v>
      </c>
      <c r="O159">
        <v>0</v>
      </c>
      <c r="P159">
        <v>0</v>
      </c>
      <c r="Q159">
        <v>0</v>
      </c>
      <c r="R159">
        <f>IF(S159,TRUE,AND(V159:AE159))</f>
        <v>0</v>
      </c>
      <c r="S159">
        <f>COUNTBLANK(Metadata!B159:K159)=COLUMNS(Metadata!B159:K159)</f>
        <v>0</v>
      </c>
      <c r="T159">
        <v>0</v>
      </c>
      <c r="V159">
        <f>AND(IF(Metadata!B159="",FALSE,TRUE),COUNTIF(Metadata!B:B, Metadata!B159) = 1,NOT(ISERROR(SUMPRODUCT(SEARCH(MID(Metadata!B159,ROW(INDIRECT("1:"&amp;LEN(Metadata!B159))), 1),"0123456789abcdefghijklmnopqrstuvwxyzABCDEFGHIJKLMNOPQRSTUVWXYZ.")))))</f>
        <v>0</v>
      </c>
      <c r="W159">
        <f>AND(IF(Metadata!C159="",FALSE,TRUE),exact(Metadata!C159,"urban biome"))</f>
        <v>0</v>
      </c>
      <c r="X159">
        <f>AND(IF(Metadata!D159="",FALSE,TRUE),exact(Metadata!D159,"animal-associated habitat"))</f>
        <v>0</v>
      </c>
      <c r="Y159">
        <f>OR(AND(IF(Metadata!E159="",FALSE,TRUE),OR(exact(Metadata!E159,"not applicable"),exact(Metadata!E159,"missing: not collected"),exact(Metadata!E159,"missing: not provided"),exact(Metadata!E159,"missing: restricted access"))),AND(IF(Metadata!E159="",FALSE,ISNUMBER(VALUE(Metadata!E159))),Metadata!E159&gt;0))</f>
        <v>0</v>
      </c>
      <c r="Z159">
        <f>AND(IF(Metadata!F159="",FALSE,TRUE),exact(Metadata!F159,"weeks"))</f>
        <v>0</v>
      </c>
      <c r="AA159">
        <f>AND(IF(Metadata!G159="",FALSE,TRUE),exact(Metadata!G159,"mouse"))</f>
        <v>0</v>
      </c>
      <c r="AB159">
        <f>AND(IF(Metadata!H159="",FALSE,TRUE),exact(Metadata!H159,"Mus musculus"))</f>
        <v>0</v>
      </c>
      <c r="AC159">
        <f>AND(IF(Metadata!I159="",FALSE,TRUE),exact(Metadata!I159,"10090"))</f>
        <v>0</v>
      </c>
      <c r="AD159">
        <f>OR(AND(IF(Metadata!J159="",FALSE,TRUE),OR(exact(Metadata!J159,"not applicable"),exact(Metadata!J159,"missing: not collected"),exact(Metadata!J159,"missing: not provided"),exact(Metadata!J159,"missing: restricted access"))),AND(IF(Metadata!J159="",FALSE,ISNUMBER(VALUE(Metadata!J159))),Metadata!J159&gt;0))</f>
        <v>0</v>
      </c>
      <c r="AE159">
        <f>AND(IF(Metadata!K159="",FALSE,TRUE),exact(Metadata!K159,"g"))</f>
        <v>0</v>
      </c>
    </row>
    <row r="160" spans="1:31">
      <c r="A160" s="5">
        <f>IF(B160=" "," ",HYPERLINK(CONCATENATE("#metadata!",ADDRESS(INDEX($Q$2:$Q$1001,MATCH(ROWS($O$2:O160),$O$2:$O$1001,0),0),1)),INDEX($T$2:$T$1001,MATCH(ROWS($O$2:O160),$O$2:$O$1001,0),0)))</f>
        <v>0</v>
      </c>
      <c r="B160" s="4">
        <f>IF(OR(INDEX($P$2:$P$1001,MATCH(ROWS($O$2:O160),$O$2:$O$1001,0),1)&gt;=100000,INDEX($V$1005:$AE$1005,1,MATCH(COLUMNS($V$1006:V1006),$V$1006:$AE$1006,0))&gt;=100000), " ",IF(INDEX($V$2:$AE$1001,MATCH(ROWS($O$2:O160),$O$2:$O$1001,0),MATCH(COLUMNS($V$1006:V1006),$V$1006:$AE$1006,0)), HYPERLINK("#",""), HYPERLINK(CONCATENATE("#Metadata!", ADDRESS(INDEX($Q$2:$Q$1001,MATCH(ROWS($O$2:O160),$O$2:$O$1001,0),0), INDEX($V$1004:$AE$1004,1,MATCH(COLUMNS($V$1006:V1006),$V$1006:$AE$1006,0)))),"Fix")))</f>
        <v>0</v>
      </c>
      <c r="C160" s="4">
        <f>IF(OR(INDEX($P$2:$P$1001,MATCH(ROWS($O$2:O160),$O$2:$O$1001,0),1)&gt;=100000,INDEX($V$1005:$AE$1005,1,MATCH(COLUMNS($V$1006:W1006),$V$1006:$AE$1006,0))&gt;=100000), " ",IF(INDEX($V$2:$AE$1001,MATCH(ROWS($O$2:O160),$O$2:$O$1001,0),MATCH(COLUMNS($V$1006:W1006),$V$1006:$AE$1006,0)), HYPERLINK("#",""), HYPERLINK(CONCATENATE("#Metadata!", ADDRESS(INDEX($Q$2:$Q$1001,MATCH(ROWS($O$2:O160),$O$2:$O$1001,0),0), INDEX($V$1004:$AE$1004,1,MATCH(COLUMNS($V$1006:W1006),$V$1006:$AE$1006,0)))),"Fix")))</f>
        <v>0</v>
      </c>
      <c r="D160" s="4">
        <f>IF(OR(INDEX($P$2:$P$1001,MATCH(ROWS($O$2:O160),$O$2:$O$1001,0),1)&gt;=100000,INDEX($V$1005:$AE$1005,1,MATCH(COLUMNS($V$1006:X1006),$V$1006:$AE$1006,0))&gt;=100000), " ",IF(INDEX($V$2:$AE$1001,MATCH(ROWS($O$2:O160),$O$2:$O$1001,0),MATCH(COLUMNS($V$1006:X1006),$V$1006:$AE$1006,0)), HYPERLINK("#",""), HYPERLINK(CONCATENATE("#Metadata!", ADDRESS(INDEX($Q$2:$Q$1001,MATCH(ROWS($O$2:O160),$O$2:$O$1001,0),0), INDEX($V$1004:$AE$1004,1,MATCH(COLUMNS($V$1006:X1006),$V$1006:$AE$1006,0)))),"Fix")))</f>
        <v>0</v>
      </c>
      <c r="E160" s="4">
        <f>IF(OR(INDEX($P$2:$P$1001,MATCH(ROWS($O$2:O160),$O$2:$O$1001,0),1)&gt;=100000,INDEX($V$1005:$AE$1005,1,MATCH(COLUMNS($V$1006:Y1006),$V$1006:$AE$1006,0))&gt;=100000), " ",IF(INDEX($V$2:$AE$1001,MATCH(ROWS($O$2:O160),$O$2:$O$1001,0),MATCH(COLUMNS($V$1006:Y1006),$V$1006:$AE$1006,0)), HYPERLINK("#",""), HYPERLINK(CONCATENATE("#Metadata!", ADDRESS(INDEX($Q$2:$Q$1001,MATCH(ROWS($O$2:O160),$O$2:$O$1001,0),0), INDEX($V$1004:$AE$1004,1,MATCH(COLUMNS($V$1006:Y1006),$V$1006:$AE$1006,0)))),"Fix")))</f>
        <v>0</v>
      </c>
      <c r="F160" s="4">
        <f>IF(OR(INDEX($P$2:$P$1001,MATCH(ROWS($O$2:O160),$O$2:$O$1001,0),1)&gt;=100000,INDEX($V$1005:$AE$1005,1,MATCH(COLUMNS($V$1006:Z1006),$V$1006:$AE$1006,0))&gt;=100000), " ",IF(INDEX($V$2:$AE$1001,MATCH(ROWS($O$2:O160),$O$2:$O$1001,0),MATCH(COLUMNS($V$1006:Z1006),$V$1006:$AE$1006,0)), HYPERLINK("#",""), HYPERLINK(CONCATENATE("#Metadata!", ADDRESS(INDEX($Q$2:$Q$1001,MATCH(ROWS($O$2:O160),$O$2:$O$1001,0),0), INDEX($V$1004:$AE$1004,1,MATCH(COLUMNS($V$1006:Z1006),$V$1006:$AE$1006,0)))),"Fix")))</f>
        <v>0</v>
      </c>
      <c r="G160" s="4">
        <f>IF(OR(INDEX($P$2:$P$1001,MATCH(ROWS($O$2:O160),$O$2:$O$1001,0),1)&gt;=100000,INDEX($V$1005:$AE$1005,1,MATCH(COLUMNS($V$1006:AA1006),$V$1006:$AE$1006,0))&gt;=100000), " ",IF(INDEX($V$2:$AE$1001,MATCH(ROWS($O$2:O160),$O$2:$O$1001,0),MATCH(COLUMNS($V$1006:AA1006),$V$1006:$AE$1006,0)), HYPERLINK("#",""), HYPERLINK(CONCATENATE("#Metadata!", ADDRESS(INDEX($Q$2:$Q$1001,MATCH(ROWS($O$2:O160),$O$2:$O$1001,0),0), INDEX($V$1004:$AE$1004,1,MATCH(COLUMNS($V$1006:AA1006),$V$1006:$AE$1006,0)))),"Fix")))</f>
        <v>0</v>
      </c>
      <c r="H160" s="4">
        <f>IF(OR(INDEX($P$2:$P$1001,MATCH(ROWS($O$2:O160),$O$2:$O$1001,0),1)&gt;=100000,INDEX($V$1005:$AE$1005,1,MATCH(COLUMNS($V$1006:AB1006),$V$1006:$AE$1006,0))&gt;=100000), " ",IF(INDEX($V$2:$AE$1001,MATCH(ROWS($O$2:O160),$O$2:$O$1001,0),MATCH(COLUMNS($V$1006:AB1006),$V$1006:$AE$1006,0)), HYPERLINK("#",""), HYPERLINK(CONCATENATE("#Metadata!", ADDRESS(INDEX($Q$2:$Q$1001,MATCH(ROWS($O$2:O160),$O$2:$O$1001,0),0), INDEX($V$1004:$AE$1004,1,MATCH(COLUMNS($V$1006:AB1006),$V$1006:$AE$1006,0)))),"Fix")))</f>
        <v>0</v>
      </c>
      <c r="I160" s="4">
        <f>IF(OR(INDEX($P$2:$P$1001,MATCH(ROWS($O$2:O160),$O$2:$O$1001,0),1)&gt;=100000,INDEX($V$1005:$AE$1005,1,MATCH(COLUMNS($V$1006:AC1006),$V$1006:$AE$1006,0))&gt;=100000), " ",IF(INDEX($V$2:$AE$1001,MATCH(ROWS($O$2:O160),$O$2:$O$1001,0),MATCH(COLUMNS($V$1006:AC1006),$V$1006:$AE$1006,0)), HYPERLINK("#",""), HYPERLINK(CONCATENATE("#Metadata!", ADDRESS(INDEX($Q$2:$Q$1001,MATCH(ROWS($O$2:O160),$O$2:$O$1001,0),0), INDEX($V$1004:$AE$1004,1,MATCH(COLUMNS($V$1006:AC1006),$V$1006:$AE$1006,0)))),"Fix")))</f>
        <v>0</v>
      </c>
      <c r="J160" s="4">
        <f>IF(OR(INDEX($P$2:$P$1001,MATCH(ROWS($O$2:O160),$O$2:$O$1001,0),1)&gt;=100000,INDEX($V$1005:$AE$1005,1,MATCH(COLUMNS($V$1006:AD1006),$V$1006:$AE$1006,0))&gt;=100000), " ",IF(INDEX($V$2:$AE$1001,MATCH(ROWS($O$2:O160),$O$2:$O$1001,0),MATCH(COLUMNS($V$1006:AD1006),$V$1006:$AE$1006,0)), HYPERLINK("#",""), HYPERLINK(CONCATENATE("#Metadata!", ADDRESS(INDEX($Q$2:$Q$1001,MATCH(ROWS($O$2:O160),$O$2:$O$1001,0),0), INDEX($V$1004:$AE$1004,1,MATCH(COLUMNS($V$1006:AD1006),$V$1006:$AE$1006,0)))),"Fix")))</f>
        <v>0</v>
      </c>
      <c r="K160" s="4">
        <f>IF(OR(INDEX($P$2:$P$1001,MATCH(ROWS($O$2:O160),$O$2:$O$1001,0),1)&gt;=100000,INDEX($V$1005:$AE$1005,1,MATCH(COLUMNS($V$1006:AE1006),$V$1006:$AE$1006,0))&gt;=100000), " ",IF(INDEX($V$2:$AE$1001,MATCH(ROWS($O$2:O160),$O$2:$O$1001,0),MATCH(COLUMNS($V$1006:AE1006),$V$1006:$AE$1006,0)), HYPERLINK("#",""), HYPERLINK(CONCATENATE("#Metadata!", ADDRESS(INDEX($Q$2:$Q$1001,MATCH(ROWS($O$2:O160),$O$2:$O$1001,0),0), INDEX($V$1004:$AE$1004,1,MATCH(COLUMNS($V$1006:AE1006),$V$1006:$AE$1006,0)))),"Fix")))</f>
        <v>0</v>
      </c>
      <c r="O160">
        <v>0</v>
      </c>
      <c r="P160">
        <v>0</v>
      </c>
      <c r="Q160">
        <v>0</v>
      </c>
      <c r="R160">
        <f>IF(S160,TRUE,AND(V160:AE160))</f>
        <v>0</v>
      </c>
      <c r="S160">
        <f>COUNTBLANK(Metadata!B160:K160)=COLUMNS(Metadata!B160:K160)</f>
        <v>0</v>
      </c>
      <c r="T160">
        <v>0</v>
      </c>
      <c r="V160">
        <f>AND(IF(Metadata!B160="",FALSE,TRUE),COUNTIF(Metadata!B:B, Metadata!B160) = 1,NOT(ISERROR(SUMPRODUCT(SEARCH(MID(Metadata!B160,ROW(INDIRECT("1:"&amp;LEN(Metadata!B160))), 1),"0123456789abcdefghijklmnopqrstuvwxyzABCDEFGHIJKLMNOPQRSTUVWXYZ.")))))</f>
        <v>0</v>
      </c>
      <c r="W160">
        <f>AND(IF(Metadata!C160="",FALSE,TRUE),exact(Metadata!C160,"urban biome"))</f>
        <v>0</v>
      </c>
      <c r="X160">
        <f>AND(IF(Metadata!D160="",FALSE,TRUE),exact(Metadata!D160,"animal-associated habitat"))</f>
        <v>0</v>
      </c>
      <c r="Y160">
        <f>OR(AND(IF(Metadata!E160="",FALSE,TRUE),OR(exact(Metadata!E160,"not applicable"),exact(Metadata!E160,"missing: not collected"),exact(Metadata!E160,"missing: not provided"),exact(Metadata!E160,"missing: restricted access"))),AND(IF(Metadata!E160="",FALSE,ISNUMBER(VALUE(Metadata!E160))),Metadata!E160&gt;0))</f>
        <v>0</v>
      </c>
      <c r="Z160">
        <f>AND(IF(Metadata!F160="",FALSE,TRUE),exact(Metadata!F160,"weeks"))</f>
        <v>0</v>
      </c>
      <c r="AA160">
        <f>AND(IF(Metadata!G160="",FALSE,TRUE),exact(Metadata!G160,"mouse"))</f>
        <v>0</v>
      </c>
      <c r="AB160">
        <f>AND(IF(Metadata!H160="",FALSE,TRUE),exact(Metadata!H160,"Mus musculus"))</f>
        <v>0</v>
      </c>
      <c r="AC160">
        <f>AND(IF(Metadata!I160="",FALSE,TRUE),exact(Metadata!I160,"10090"))</f>
        <v>0</v>
      </c>
      <c r="AD160">
        <f>OR(AND(IF(Metadata!J160="",FALSE,TRUE),OR(exact(Metadata!J160,"not applicable"),exact(Metadata!J160,"missing: not collected"),exact(Metadata!J160,"missing: not provided"),exact(Metadata!J160,"missing: restricted access"))),AND(IF(Metadata!J160="",FALSE,ISNUMBER(VALUE(Metadata!J160))),Metadata!J160&gt;0))</f>
        <v>0</v>
      </c>
      <c r="AE160">
        <f>AND(IF(Metadata!K160="",FALSE,TRUE),exact(Metadata!K160,"g"))</f>
        <v>0</v>
      </c>
    </row>
    <row r="161" spans="1:31">
      <c r="A161" s="5">
        <f>IF(B161=" "," ",HYPERLINK(CONCATENATE("#metadata!",ADDRESS(INDEX($Q$2:$Q$1001,MATCH(ROWS($O$2:O161),$O$2:$O$1001,0),0),1)),INDEX($T$2:$T$1001,MATCH(ROWS($O$2:O161),$O$2:$O$1001,0),0)))</f>
        <v>0</v>
      </c>
      <c r="B161" s="4">
        <f>IF(OR(INDEX($P$2:$P$1001,MATCH(ROWS($O$2:O161),$O$2:$O$1001,0),1)&gt;=100000,INDEX($V$1005:$AE$1005,1,MATCH(COLUMNS($V$1006:V1006),$V$1006:$AE$1006,0))&gt;=100000), " ",IF(INDEX($V$2:$AE$1001,MATCH(ROWS($O$2:O161),$O$2:$O$1001,0),MATCH(COLUMNS($V$1006:V1006),$V$1006:$AE$1006,0)), HYPERLINK("#",""), HYPERLINK(CONCATENATE("#Metadata!", ADDRESS(INDEX($Q$2:$Q$1001,MATCH(ROWS($O$2:O161),$O$2:$O$1001,0),0), INDEX($V$1004:$AE$1004,1,MATCH(COLUMNS($V$1006:V1006),$V$1006:$AE$1006,0)))),"Fix")))</f>
        <v>0</v>
      </c>
      <c r="C161" s="4">
        <f>IF(OR(INDEX($P$2:$P$1001,MATCH(ROWS($O$2:O161),$O$2:$O$1001,0),1)&gt;=100000,INDEX($V$1005:$AE$1005,1,MATCH(COLUMNS($V$1006:W1006),$V$1006:$AE$1006,0))&gt;=100000), " ",IF(INDEX($V$2:$AE$1001,MATCH(ROWS($O$2:O161),$O$2:$O$1001,0),MATCH(COLUMNS($V$1006:W1006),$V$1006:$AE$1006,0)), HYPERLINK("#",""), HYPERLINK(CONCATENATE("#Metadata!", ADDRESS(INDEX($Q$2:$Q$1001,MATCH(ROWS($O$2:O161),$O$2:$O$1001,0),0), INDEX($V$1004:$AE$1004,1,MATCH(COLUMNS($V$1006:W1006),$V$1006:$AE$1006,0)))),"Fix")))</f>
        <v>0</v>
      </c>
      <c r="D161" s="4">
        <f>IF(OR(INDEX($P$2:$P$1001,MATCH(ROWS($O$2:O161),$O$2:$O$1001,0),1)&gt;=100000,INDEX($V$1005:$AE$1005,1,MATCH(COLUMNS($V$1006:X1006),$V$1006:$AE$1006,0))&gt;=100000), " ",IF(INDEX($V$2:$AE$1001,MATCH(ROWS($O$2:O161),$O$2:$O$1001,0),MATCH(COLUMNS($V$1006:X1006),$V$1006:$AE$1006,0)), HYPERLINK("#",""), HYPERLINK(CONCATENATE("#Metadata!", ADDRESS(INDEX($Q$2:$Q$1001,MATCH(ROWS($O$2:O161),$O$2:$O$1001,0),0), INDEX($V$1004:$AE$1004,1,MATCH(COLUMNS($V$1006:X1006),$V$1006:$AE$1006,0)))),"Fix")))</f>
        <v>0</v>
      </c>
      <c r="E161" s="4">
        <f>IF(OR(INDEX($P$2:$P$1001,MATCH(ROWS($O$2:O161),$O$2:$O$1001,0),1)&gt;=100000,INDEX($V$1005:$AE$1005,1,MATCH(COLUMNS($V$1006:Y1006),$V$1006:$AE$1006,0))&gt;=100000), " ",IF(INDEX($V$2:$AE$1001,MATCH(ROWS($O$2:O161),$O$2:$O$1001,0),MATCH(COLUMNS($V$1006:Y1006),$V$1006:$AE$1006,0)), HYPERLINK("#",""), HYPERLINK(CONCATENATE("#Metadata!", ADDRESS(INDEX($Q$2:$Q$1001,MATCH(ROWS($O$2:O161),$O$2:$O$1001,0),0), INDEX($V$1004:$AE$1004,1,MATCH(COLUMNS($V$1006:Y1006),$V$1006:$AE$1006,0)))),"Fix")))</f>
        <v>0</v>
      </c>
      <c r="F161" s="4">
        <f>IF(OR(INDEX($P$2:$P$1001,MATCH(ROWS($O$2:O161),$O$2:$O$1001,0),1)&gt;=100000,INDEX($V$1005:$AE$1005,1,MATCH(COLUMNS($V$1006:Z1006),$V$1006:$AE$1006,0))&gt;=100000), " ",IF(INDEX($V$2:$AE$1001,MATCH(ROWS($O$2:O161),$O$2:$O$1001,0),MATCH(COLUMNS($V$1006:Z1006),$V$1006:$AE$1006,0)), HYPERLINK("#",""), HYPERLINK(CONCATENATE("#Metadata!", ADDRESS(INDEX($Q$2:$Q$1001,MATCH(ROWS($O$2:O161),$O$2:$O$1001,0),0), INDEX($V$1004:$AE$1004,1,MATCH(COLUMNS($V$1006:Z1006),$V$1006:$AE$1006,0)))),"Fix")))</f>
        <v>0</v>
      </c>
      <c r="G161" s="4">
        <f>IF(OR(INDEX($P$2:$P$1001,MATCH(ROWS($O$2:O161),$O$2:$O$1001,0),1)&gt;=100000,INDEX($V$1005:$AE$1005,1,MATCH(COLUMNS($V$1006:AA1006),$V$1006:$AE$1006,0))&gt;=100000), " ",IF(INDEX($V$2:$AE$1001,MATCH(ROWS($O$2:O161),$O$2:$O$1001,0),MATCH(COLUMNS($V$1006:AA1006),$V$1006:$AE$1006,0)), HYPERLINK("#",""), HYPERLINK(CONCATENATE("#Metadata!", ADDRESS(INDEX($Q$2:$Q$1001,MATCH(ROWS($O$2:O161),$O$2:$O$1001,0),0), INDEX($V$1004:$AE$1004,1,MATCH(COLUMNS($V$1006:AA1006),$V$1006:$AE$1006,0)))),"Fix")))</f>
        <v>0</v>
      </c>
      <c r="H161" s="4">
        <f>IF(OR(INDEX($P$2:$P$1001,MATCH(ROWS($O$2:O161),$O$2:$O$1001,0),1)&gt;=100000,INDEX($V$1005:$AE$1005,1,MATCH(COLUMNS($V$1006:AB1006),$V$1006:$AE$1006,0))&gt;=100000), " ",IF(INDEX($V$2:$AE$1001,MATCH(ROWS($O$2:O161),$O$2:$O$1001,0),MATCH(COLUMNS($V$1006:AB1006),$V$1006:$AE$1006,0)), HYPERLINK("#",""), HYPERLINK(CONCATENATE("#Metadata!", ADDRESS(INDEX($Q$2:$Q$1001,MATCH(ROWS($O$2:O161),$O$2:$O$1001,0),0), INDEX($V$1004:$AE$1004,1,MATCH(COLUMNS($V$1006:AB1006),$V$1006:$AE$1006,0)))),"Fix")))</f>
        <v>0</v>
      </c>
      <c r="I161" s="4">
        <f>IF(OR(INDEX($P$2:$P$1001,MATCH(ROWS($O$2:O161),$O$2:$O$1001,0),1)&gt;=100000,INDEX($V$1005:$AE$1005,1,MATCH(COLUMNS($V$1006:AC1006),$V$1006:$AE$1006,0))&gt;=100000), " ",IF(INDEX($V$2:$AE$1001,MATCH(ROWS($O$2:O161),$O$2:$O$1001,0),MATCH(COLUMNS($V$1006:AC1006),$V$1006:$AE$1006,0)), HYPERLINK("#",""), HYPERLINK(CONCATENATE("#Metadata!", ADDRESS(INDEX($Q$2:$Q$1001,MATCH(ROWS($O$2:O161),$O$2:$O$1001,0),0), INDEX($V$1004:$AE$1004,1,MATCH(COLUMNS($V$1006:AC1006),$V$1006:$AE$1006,0)))),"Fix")))</f>
        <v>0</v>
      </c>
      <c r="J161" s="4">
        <f>IF(OR(INDEX($P$2:$P$1001,MATCH(ROWS($O$2:O161),$O$2:$O$1001,0),1)&gt;=100000,INDEX($V$1005:$AE$1005,1,MATCH(COLUMNS($V$1006:AD1006),$V$1006:$AE$1006,0))&gt;=100000), " ",IF(INDEX($V$2:$AE$1001,MATCH(ROWS($O$2:O161),$O$2:$O$1001,0),MATCH(COLUMNS($V$1006:AD1006),$V$1006:$AE$1006,0)), HYPERLINK("#",""), HYPERLINK(CONCATENATE("#Metadata!", ADDRESS(INDEX($Q$2:$Q$1001,MATCH(ROWS($O$2:O161),$O$2:$O$1001,0),0), INDEX($V$1004:$AE$1004,1,MATCH(COLUMNS($V$1006:AD1006),$V$1006:$AE$1006,0)))),"Fix")))</f>
        <v>0</v>
      </c>
      <c r="K161" s="4">
        <f>IF(OR(INDEX($P$2:$P$1001,MATCH(ROWS($O$2:O161),$O$2:$O$1001,0),1)&gt;=100000,INDEX($V$1005:$AE$1005,1,MATCH(COLUMNS($V$1006:AE1006),$V$1006:$AE$1006,0))&gt;=100000), " ",IF(INDEX($V$2:$AE$1001,MATCH(ROWS($O$2:O161),$O$2:$O$1001,0),MATCH(COLUMNS($V$1006:AE1006),$V$1006:$AE$1006,0)), HYPERLINK("#",""), HYPERLINK(CONCATENATE("#Metadata!", ADDRESS(INDEX($Q$2:$Q$1001,MATCH(ROWS($O$2:O161),$O$2:$O$1001,0),0), INDEX($V$1004:$AE$1004,1,MATCH(COLUMNS($V$1006:AE1006),$V$1006:$AE$1006,0)))),"Fix")))</f>
        <v>0</v>
      </c>
      <c r="O161">
        <v>0</v>
      </c>
      <c r="P161">
        <v>0</v>
      </c>
      <c r="Q161">
        <v>0</v>
      </c>
      <c r="R161">
        <f>IF(S161,TRUE,AND(V161:AE161))</f>
        <v>0</v>
      </c>
      <c r="S161">
        <f>COUNTBLANK(Metadata!B161:K161)=COLUMNS(Metadata!B161:K161)</f>
        <v>0</v>
      </c>
      <c r="T161">
        <v>0</v>
      </c>
      <c r="V161">
        <f>AND(IF(Metadata!B161="",FALSE,TRUE),COUNTIF(Metadata!B:B, Metadata!B161) = 1,NOT(ISERROR(SUMPRODUCT(SEARCH(MID(Metadata!B161,ROW(INDIRECT("1:"&amp;LEN(Metadata!B161))), 1),"0123456789abcdefghijklmnopqrstuvwxyzABCDEFGHIJKLMNOPQRSTUVWXYZ.")))))</f>
        <v>0</v>
      </c>
      <c r="W161">
        <f>AND(IF(Metadata!C161="",FALSE,TRUE),exact(Metadata!C161,"urban biome"))</f>
        <v>0</v>
      </c>
      <c r="X161">
        <f>AND(IF(Metadata!D161="",FALSE,TRUE),exact(Metadata!D161,"animal-associated habitat"))</f>
        <v>0</v>
      </c>
      <c r="Y161">
        <f>OR(AND(IF(Metadata!E161="",FALSE,TRUE),OR(exact(Metadata!E161,"not applicable"),exact(Metadata!E161,"missing: not collected"),exact(Metadata!E161,"missing: not provided"),exact(Metadata!E161,"missing: restricted access"))),AND(IF(Metadata!E161="",FALSE,ISNUMBER(VALUE(Metadata!E161))),Metadata!E161&gt;0))</f>
        <v>0</v>
      </c>
      <c r="Z161">
        <f>AND(IF(Metadata!F161="",FALSE,TRUE),exact(Metadata!F161,"weeks"))</f>
        <v>0</v>
      </c>
      <c r="AA161">
        <f>AND(IF(Metadata!G161="",FALSE,TRUE),exact(Metadata!G161,"mouse"))</f>
        <v>0</v>
      </c>
      <c r="AB161">
        <f>AND(IF(Metadata!H161="",FALSE,TRUE),exact(Metadata!H161,"Mus musculus"))</f>
        <v>0</v>
      </c>
      <c r="AC161">
        <f>AND(IF(Metadata!I161="",FALSE,TRUE),exact(Metadata!I161,"10090"))</f>
        <v>0</v>
      </c>
      <c r="AD161">
        <f>OR(AND(IF(Metadata!J161="",FALSE,TRUE),OR(exact(Metadata!J161,"not applicable"),exact(Metadata!J161,"missing: not collected"),exact(Metadata!J161,"missing: not provided"),exact(Metadata!J161,"missing: restricted access"))),AND(IF(Metadata!J161="",FALSE,ISNUMBER(VALUE(Metadata!J161))),Metadata!J161&gt;0))</f>
        <v>0</v>
      </c>
      <c r="AE161">
        <f>AND(IF(Metadata!K161="",FALSE,TRUE),exact(Metadata!K161,"g"))</f>
        <v>0</v>
      </c>
    </row>
    <row r="162" spans="1:31">
      <c r="A162" s="5">
        <f>IF(B162=" "," ",HYPERLINK(CONCATENATE("#metadata!",ADDRESS(INDEX($Q$2:$Q$1001,MATCH(ROWS($O$2:O162),$O$2:$O$1001,0),0),1)),INDEX($T$2:$T$1001,MATCH(ROWS($O$2:O162),$O$2:$O$1001,0),0)))</f>
        <v>0</v>
      </c>
      <c r="B162" s="4">
        <f>IF(OR(INDEX($P$2:$P$1001,MATCH(ROWS($O$2:O162),$O$2:$O$1001,0),1)&gt;=100000,INDEX($V$1005:$AE$1005,1,MATCH(COLUMNS($V$1006:V1006),$V$1006:$AE$1006,0))&gt;=100000), " ",IF(INDEX($V$2:$AE$1001,MATCH(ROWS($O$2:O162),$O$2:$O$1001,0),MATCH(COLUMNS($V$1006:V1006),$V$1006:$AE$1006,0)), HYPERLINK("#",""), HYPERLINK(CONCATENATE("#Metadata!", ADDRESS(INDEX($Q$2:$Q$1001,MATCH(ROWS($O$2:O162),$O$2:$O$1001,0),0), INDEX($V$1004:$AE$1004,1,MATCH(COLUMNS($V$1006:V1006),$V$1006:$AE$1006,0)))),"Fix")))</f>
        <v>0</v>
      </c>
      <c r="C162" s="4">
        <f>IF(OR(INDEX($P$2:$P$1001,MATCH(ROWS($O$2:O162),$O$2:$O$1001,0),1)&gt;=100000,INDEX($V$1005:$AE$1005,1,MATCH(COLUMNS($V$1006:W1006),$V$1006:$AE$1006,0))&gt;=100000), " ",IF(INDEX($V$2:$AE$1001,MATCH(ROWS($O$2:O162),$O$2:$O$1001,0),MATCH(COLUMNS($V$1006:W1006),$V$1006:$AE$1006,0)), HYPERLINK("#",""), HYPERLINK(CONCATENATE("#Metadata!", ADDRESS(INDEX($Q$2:$Q$1001,MATCH(ROWS($O$2:O162),$O$2:$O$1001,0),0), INDEX($V$1004:$AE$1004,1,MATCH(COLUMNS($V$1006:W1006),$V$1006:$AE$1006,0)))),"Fix")))</f>
        <v>0</v>
      </c>
      <c r="D162" s="4">
        <f>IF(OR(INDEX($P$2:$P$1001,MATCH(ROWS($O$2:O162),$O$2:$O$1001,0),1)&gt;=100000,INDEX($V$1005:$AE$1005,1,MATCH(COLUMNS($V$1006:X1006),$V$1006:$AE$1006,0))&gt;=100000), " ",IF(INDEX($V$2:$AE$1001,MATCH(ROWS($O$2:O162),$O$2:$O$1001,0),MATCH(COLUMNS($V$1006:X1006),$V$1006:$AE$1006,0)), HYPERLINK("#",""), HYPERLINK(CONCATENATE("#Metadata!", ADDRESS(INDEX($Q$2:$Q$1001,MATCH(ROWS($O$2:O162),$O$2:$O$1001,0),0), INDEX($V$1004:$AE$1004,1,MATCH(COLUMNS($V$1006:X1006),$V$1006:$AE$1006,0)))),"Fix")))</f>
        <v>0</v>
      </c>
      <c r="E162" s="4">
        <f>IF(OR(INDEX($P$2:$P$1001,MATCH(ROWS($O$2:O162),$O$2:$O$1001,0),1)&gt;=100000,INDEX($V$1005:$AE$1005,1,MATCH(COLUMNS($V$1006:Y1006),$V$1006:$AE$1006,0))&gt;=100000), " ",IF(INDEX($V$2:$AE$1001,MATCH(ROWS($O$2:O162),$O$2:$O$1001,0),MATCH(COLUMNS($V$1006:Y1006),$V$1006:$AE$1006,0)), HYPERLINK("#",""), HYPERLINK(CONCATENATE("#Metadata!", ADDRESS(INDEX($Q$2:$Q$1001,MATCH(ROWS($O$2:O162),$O$2:$O$1001,0),0), INDEX($V$1004:$AE$1004,1,MATCH(COLUMNS($V$1006:Y1006),$V$1006:$AE$1006,0)))),"Fix")))</f>
        <v>0</v>
      </c>
      <c r="F162" s="4">
        <f>IF(OR(INDEX($P$2:$P$1001,MATCH(ROWS($O$2:O162),$O$2:$O$1001,0),1)&gt;=100000,INDEX($V$1005:$AE$1005,1,MATCH(COLUMNS($V$1006:Z1006),$V$1006:$AE$1006,0))&gt;=100000), " ",IF(INDEX($V$2:$AE$1001,MATCH(ROWS($O$2:O162),$O$2:$O$1001,0),MATCH(COLUMNS($V$1006:Z1006),$V$1006:$AE$1006,0)), HYPERLINK("#",""), HYPERLINK(CONCATENATE("#Metadata!", ADDRESS(INDEX($Q$2:$Q$1001,MATCH(ROWS($O$2:O162),$O$2:$O$1001,0),0), INDEX($V$1004:$AE$1004,1,MATCH(COLUMNS($V$1006:Z1006),$V$1006:$AE$1006,0)))),"Fix")))</f>
        <v>0</v>
      </c>
      <c r="G162" s="4">
        <f>IF(OR(INDEX($P$2:$P$1001,MATCH(ROWS($O$2:O162),$O$2:$O$1001,0),1)&gt;=100000,INDEX($V$1005:$AE$1005,1,MATCH(COLUMNS($V$1006:AA1006),$V$1006:$AE$1006,0))&gt;=100000), " ",IF(INDEX($V$2:$AE$1001,MATCH(ROWS($O$2:O162),$O$2:$O$1001,0),MATCH(COLUMNS($V$1006:AA1006),$V$1006:$AE$1006,0)), HYPERLINK("#",""), HYPERLINK(CONCATENATE("#Metadata!", ADDRESS(INDEX($Q$2:$Q$1001,MATCH(ROWS($O$2:O162),$O$2:$O$1001,0),0), INDEX($V$1004:$AE$1004,1,MATCH(COLUMNS($V$1006:AA1006),$V$1006:$AE$1006,0)))),"Fix")))</f>
        <v>0</v>
      </c>
      <c r="H162" s="4">
        <f>IF(OR(INDEX($P$2:$P$1001,MATCH(ROWS($O$2:O162),$O$2:$O$1001,0),1)&gt;=100000,INDEX($V$1005:$AE$1005,1,MATCH(COLUMNS($V$1006:AB1006),$V$1006:$AE$1006,0))&gt;=100000), " ",IF(INDEX($V$2:$AE$1001,MATCH(ROWS($O$2:O162),$O$2:$O$1001,0),MATCH(COLUMNS($V$1006:AB1006),$V$1006:$AE$1006,0)), HYPERLINK("#",""), HYPERLINK(CONCATENATE("#Metadata!", ADDRESS(INDEX($Q$2:$Q$1001,MATCH(ROWS($O$2:O162),$O$2:$O$1001,0),0), INDEX($V$1004:$AE$1004,1,MATCH(COLUMNS($V$1006:AB1006),$V$1006:$AE$1006,0)))),"Fix")))</f>
        <v>0</v>
      </c>
      <c r="I162" s="4">
        <f>IF(OR(INDEX($P$2:$P$1001,MATCH(ROWS($O$2:O162),$O$2:$O$1001,0),1)&gt;=100000,INDEX($V$1005:$AE$1005,1,MATCH(COLUMNS($V$1006:AC1006),$V$1006:$AE$1006,0))&gt;=100000), " ",IF(INDEX($V$2:$AE$1001,MATCH(ROWS($O$2:O162),$O$2:$O$1001,0),MATCH(COLUMNS($V$1006:AC1006),$V$1006:$AE$1006,0)), HYPERLINK("#",""), HYPERLINK(CONCATENATE("#Metadata!", ADDRESS(INDEX($Q$2:$Q$1001,MATCH(ROWS($O$2:O162),$O$2:$O$1001,0),0), INDEX($V$1004:$AE$1004,1,MATCH(COLUMNS($V$1006:AC1006),$V$1006:$AE$1006,0)))),"Fix")))</f>
        <v>0</v>
      </c>
      <c r="J162" s="4">
        <f>IF(OR(INDEX($P$2:$P$1001,MATCH(ROWS($O$2:O162),$O$2:$O$1001,0),1)&gt;=100000,INDEX($V$1005:$AE$1005,1,MATCH(COLUMNS($V$1006:AD1006),$V$1006:$AE$1006,0))&gt;=100000), " ",IF(INDEX($V$2:$AE$1001,MATCH(ROWS($O$2:O162),$O$2:$O$1001,0),MATCH(COLUMNS($V$1006:AD1006),$V$1006:$AE$1006,0)), HYPERLINK("#",""), HYPERLINK(CONCATENATE("#Metadata!", ADDRESS(INDEX($Q$2:$Q$1001,MATCH(ROWS($O$2:O162),$O$2:$O$1001,0),0), INDEX($V$1004:$AE$1004,1,MATCH(COLUMNS($V$1006:AD1006),$V$1006:$AE$1006,0)))),"Fix")))</f>
        <v>0</v>
      </c>
      <c r="K162" s="4">
        <f>IF(OR(INDEX($P$2:$P$1001,MATCH(ROWS($O$2:O162),$O$2:$O$1001,0),1)&gt;=100000,INDEX($V$1005:$AE$1005,1,MATCH(COLUMNS($V$1006:AE1006),$V$1006:$AE$1006,0))&gt;=100000), " ",IF(INDEX($V$2:$AE$1001,MATCH(ROWS($O$2:O162),$O$2:$O$1001,0),MATCH(COLUMNS($V$1006:AE1006),$V$1006:$AE$1006,0)), HYPERLINK("#",""), HYPERLINK(CONCATENATE("#Metadata!", ADDRESS(INDEX($Q$2:$Q$1001,MATCH(ROWS($O$2:O162),$O$2:$O$1001,0),0), INDEX($V$1004:$AE$1004,1,MATCH(COLUMNS($V$1006:AE1006),$V$1006:$AE$1006,0)))),"Fix")))</f>
        <v>0</v>
      </c>
      <c r="O162">
        <v>0</v>
      </c>
      <c r="P162">
        <v>0</v>
      </c>
      <c r="Q162">
        <v>0</v>
      </c>
      <c r="R162">
        <f>IF(S162,TRUE,AND(V162:AE162))</f>
        <v>0</v>
      </c>
      <c r="S162">
        <f>COUNTBLANK(Metadata!B162:K162)=COLUMNS(Metadata!B162:K162)</f>
        <v>0</v>
      </c>
      <c r="T162">
        <v>0</v>
      </c>
      <c r="V162">
        <f>AND(IF(Metadata!B162="",FALSE,TRUE),COUNTIF(Metadata!B:B, Metadata!B162) = 1,NOT(ISERROR(SUMPRODUCT(SEARCH(MID(Metadata!B162,ROW(INDIRECT("1:"&amp;LEN(Metadata!B162))), 1),"0123456789abcdefghijklmnopqrstuvwxyzABCDEFGHIJKLMNOPQRSTUVWXYZ.")))))</f>
        <v>0</v>
      </c>
      <c r="W162">
        <f>AND(IF(Metadata!C162="",FALSE,TRUE),exact(Metadata!C162,"urban biome"))</f>
        <v>0</v>
      </c>
      <c r="X162">
        <f>AND(IF(Metadata!D162="",FALSE,TRUE),exact(Metadata!D162,"animal-associated habitat"))</f>
        <v>0</v>
      </c>
      <c r="Y162">
        <f>OR(AND(IF(Metadata!E162="",FALSE,TRUE),OR(exact(Metadata!E162,"not applicable"),exact(Metadata!E162,"missing: not collected"),exact(Metadata!E162,"missing: not provided"),exact(Metadata!E162,"missing: restricted access"))),AND(IF(Metadata!E162="",FALSE,ISNUMBER(VALUE(Metadata!E162))),Metadata!E162&gt;0))</f>
        <v>0</v>
      </c>
      <c r="Z162">
        <f>AND(IF(Metadata!F162="",FALSE,TRUE),exact(Metadata!F162,"weeks"))</f>
        <v>0</v>
      </c>
      <c r="AA162">
        <f>AND(IF(Metadata!G162="",FALSE,TRUE),exact(Metadata!G162,"mouse"))</f>
        <v>0</v>
      </c>
      <c r="AB162">
        <f>AND(IF(Metadata!H162="",FALSE,TRUE),exact(Metadata!H162,"Mus musculus"))</f>
        <v>0</v>
      </c>
      <c r="AC162">
        <f>AND(IF(Metadata!I162="",FALSE,TRUE),exact(Metadata!I162,"10090"))</f>
        <v>0</v>
      </c>
      <c r="AD162">
        <f>OR(AND(IF(Metadata!J162="",FALSE,TRUE),OR(exact(Metadata!J162,"not applicable"),exact(Metadata!J162,"missing: not collected"),exact(Metadata!J162,"missing: not provided"),exact(Metadata!J162,"missing: restricted access"))),AND(IF(Metadata!J162="",FALSE,ISNUMBER(VALUE(Metadata!J162))),Metadata!J162&gt;0))</f>
        <v>0</v>
      </c>
      <c r="AE162">
        <f>AND(IF(Metadata!K162="",FALSE,TRUE),exact(Metadata!K162,"g"))</f>
        <v>0</v>
      </c>
    </row>
    <row r="163" spans="1:31">
      <c r="A163" s="5">
        <f>IF(B163=" "," ",HYPERLINK(CONCATENATE("#metadata!",ADDRESS(INDEX($Q$2:$Q$1001,MATCH(ROWS($O$2:O163),$O$2:$O$1001,0),0),1)),INDEX($T$2:$T$1001,MATCH(ROWS($O$2:O163),$O$2:$O$1001,0),0)))</f>
        <v>0</v>
      </c>
      <c r="B163" s="4">
        <f>IF(OR(INDEX($P$2:$P$1001,MATCH(ROWS($O$2:O163),$O$2:$O$1001,0),1)&gt;=100000,INDEX($V$1005:$AE$1005,1,MATCH(COLUMNS($V$1006:V1006),$V$1006:$AE$1006,0))&gt;=100000), " ",IF(INDEX($V$2:$AE$1001,MATCH(ROWS($O$2:O163),$O$2:$O$1001,0),MATCH(COLUMNS($V$1006:V1006),$V$1006:$AE$1006,0)), HYPERLINK("#",""), HYPERLINK(CONCATENATE("#Metadata!", ADDRESS(INDEX($Q$2:$Q$1001,MATCH(ROWS($O$2:O163),$O$2:$O$1001,0),0), INDEX($V$1004:$AE$1004,1,MATCH(COLUMNS($V$1006:V1006),$V$1006:$AE$1006,0)))),"Fix")))</f>
        <v>0</v>
      </c>
      <c r="C163" s="4">
        <f>IF(OR(INDEX($P$2:$P$1001,MATCH(ROWS($O$2:O163),$O$2:$O$1001,0),1)&gt;=100000,INDEX($V$1005:$AE$1005,1,MATCH(COLUMNS($V$1006:W1006),$V$1006:$AE$1006,0))&gt;=100000), " ",IF(INDEX($V$2:$AE$1001,MATCH(ROWS($O$2:O163),$O$2:$O$1001,0),MATCH(COLUMNS($V$1006:W1006),$V$1006:$AE$1006,0)), HYPERLINK("#",""), HYPERLINK(CONCATENATE("#Metadata!", ADDRESS(INDEX($Q$2:$Q$1001,MATCH(ROWS($O$2:O163),$O$2:$O$1001,0),0), INDEX($V$1004:$AE$1004,1,MATCH(COLUMNS($V$1006:W1006),$V$1006:$AE$1006,0)))),"Fix")))</f>
        <v>0</v>
      </c>
      <c r="D163" s="4">
        <f>IF(OR(INDEX($P$2:$P$1001,MATCH(ROWS($O$2:O163),$O$2:$O$1001,0),1)&gt;=100000,INDEX($V$1005:$AE$1005,1,MATCH(COLUMNS($V$1006:X1006),$V$1006:$AE$1006,0))&gt;=100000), " ",IF(INDEX($V$2:$AE$1001,MATCH(ROWS($O$2:O163),$O$2:$O$1001,0),MATCH(COLUMNS($V$1006:X1006),$V$1006:$AE$1006,0)), HYPERLINK("#",""), HYPERLINK(CONCATENATE("#Metadata!", ADDRESS(INDEX($Q$2:$Q$1001,MATCH(ROWS($O$2:O163),$O$2:$O$1001,0),0), INDEX($V$1004:$AE$1004,1,MATCH(COLUMNS($V$1006:X1006),$V$1006:$AE$1006,0)))),"Fix")))</f>
        <v>0</v>
      </c>
      <c r="E163" s="4">
        <f>IF(OR(INDEX($P$2:$P$1001,MATCH(ROWS($O$2:O163),$O$2:$O$1001,0),1)&gt;=100000,INDEX($V$1005:$AE$1005,1,MATCH(COLUMNS($V$1006:Y1006),$V$1006:$AE$1006,0))&gt;=100000), " ",IF(INDEX($V$2:$AE$1001,MATCH(ROWS($O$2:O163),$O$2:$O$1001,0),MATCH(COLUMNS($V$1006:Y1006),$V$1006:$AE$1006,0)), HYPERLINK("#",""), HYPERLINK(CONCATENATE("#Metadata!", ADDRESS(INDEX($Q$2:$Q$1001,MATCH(ROWS($O$2:O163),$O$2:$O$1001,0),0), INDEX($V$1004:$AE$1004,1,MATCH(COLUMNS($V$1006:Y1006),$V$1006:$AE$1006,0)))),"Fix")))</f>
        <v>0</v>
      </c>
      <c r="F163" s="4">
        <f>IF(OR(INDEX($P$2:$P$1001,MATCH(ROWS($O$2:O163),$O$2:$O$1001,0),1)&gt;=100000,INDEX($V$1005:$AE$1005,1,MATCH(COLUMNS($V$1006:Z1006),$V$1006:$AE$1006,0))&gt;=100000), " ",IF(INDEX($V$2:$AE$1001,MATCH(ROWS($O$2:O163),$O$2:$O$1001,0),MATCH(COLUMNS($V$1006:Z1006),$V$1006:$AE$1006,0)), HYPERLINK("#",""), HYPERLINK(CONCATENATE("#Metadata!", ADDRESS(INDEX($Q$2:$Q$1001,MATCH(ROWS($O$2:O163),$O$2:$O$1001,0),0), INDEX($V$1004:$AE$1004,1,MATCH(COLUMNS($V$1006:Z1006),$V$1006:$AE$1006,0)))),"Fix")))</f>
        <v>0</v>
      </c>
      <c r="G163" s="4">
        <f>IF(OR(INDEX($P$2:$P$1001,MATCH(ROWS($O$2:O163),$O$2:$O$1001,0),1)&gt;=100000,INDEX($V$1005:$AE$1005,1,MATCH(COLUMNS($V$1006:AA1006),$V$1006:$AE$1006,0))&gt;=100000), " ",IF(INDEX($V$2:$AE$1001,MATCH(ROWS($O$2:O163),$O$2:$O$1001,0),MATCH(COLUMNS($V$1006:AA1006),$V$1006:$AE$1006,0)), HYPERLINK("#",""), HYPERLINK(CONCATENATE("#Metadata!", ADDRESS(INDEX($Q$2:$Q$1001,MATCH(ROWS($O$2:O163),$O$2:$O$1001,0),0), INDEX($V$1004:$AE$1004,1,MATCH(COLUMNS($V$1006:AA1006),$V$1006:$AE$1006,0)))),"Fix")))</f>
        <v>0</v>
      </c>
      <c r="H163" s="4">
        <f>IF(OR(INDEX($P$2:$P$1001,MATCH(ROWS($O$2:O163),$O$2:$O$1001,0),1)&gt;=100000,INDEX($V$1005:$AE$1005,1,MATCH(COLUMNS($V$1006:AB1006),$V$1006:$AE$1006,0))&gt;=100000), " ",IF(INDEX($V$2:$AE$1001,MATCH(ROWS($O$2:O163),$O$2:$O$1001,0),MATCH(COLUMNS($V$1006:AB1006),$V$1006:$AE$1006,0)), HYPERLINK("#",""), HYPERLINK(CONCATENATE("#Metadata!", ADDRESS(INDEX($Q$2:$Q$1001,MATCH(ROWS($O$2:O163),$O$2:$O$1001,0),0), INDEX($V$1004:$AE$1004,1,MATCH(COLUMNS($V$1006:AB1006),$V$1006:$AE$1006,0)))),"Fix")))</f>
        <v>0</v>
      </c>
      <c r="I163" s="4">
        <f>IF(OR(INDEX($P$2:$P$1001,MATCH(ROWS($O$2:O163),$O$2:$O$1001,0),1)&gt;=100000,INDEX($V$1005:$AE$1005,1,MATCH(COLUMNS($V$1006:AC1006),$V$1006:$AE$1006,0))&gt;=100000), " ",IF(INDEX($V$2:$AE$1001,MATCH(ROWS($O$2:O163),$O$2:$O$1001,0),MATCH(COLUMNS($V$1006:AC1006),$V$1006:$AE$1006,0)), HYPERLINK("#",""), HYPERLINK(CONCATENATE("#Metadata!", ADDRESS(INDEX($Q$2:$Q$1001,MATCH(ROWS($O$2:O163),$O$2:$O$1001,0),0), INDEX($V$1004:$AE$1004,1,MATCH(COLUMNS($V$1006:AC1006),$V$1006:$AE$1006,0)))),"Fix")))</f>
        <v>0</v>
      </c>
      <c r="J163" s="4">
        <f>IF(OR(INDEX($P$2:$P$1001,MATCH(ROWS($O$2:O163),$O$2:$O$1001,0),1)&gt;=100000,INDEX($V$1005:$AE$1005,1,MATCH(COLUMNS($V$1006:AD1006),$V$1006:$AE$1006,0))&gt;=100000), " ",IF(INDEX($V$2:$AE$1001,MATCH(ROWS($O$2:O163),$O$2:$O$1001,0),MATCH(COLUMNS($V$1006:AD1006),$V$1006:$AE$1006,0)), HYPERLINK("#",""), HYPERLINK(CONCATENATE("#Metadata!", ADDRESS(INDEX($Q$2:$Q$1001,MATCH(ROWS($O$2:O163),$O$2:$O$1001,0),0), INDEX($V$1004:$AE$1004,1,MATCH(COLUMNS($V$1006:AD1006),$V$1006:$AE$1006,0)))),"Fix")))</f>
        <v>0</v>
      </c>
      <c r="K163" s="4">
        <f>IF(OR(INDEX($P$2:$P$1001,MATCH(ROWS($O$2:O163),$O$2:$O$1001,0),1)&gt;=100000,INDEX($V$1005:$AE$1005,1,MATCH(COLUMNS($V$1006:AE1006),$V$1006:$AE$1006,0))&gt;=100000), " ",IF(INDEX($V$2:$AE$1001,MATCH(ROWS($O$2:O163),$O$2:$O$1001,0),MATCH(COLUMNS($V$1006:AE1006),$V$1006:$AE$1006,0)), HYPERLINK("#",""), HYPERLINK(CONCATENATE("#Metadata!", ADDRESS(INDEX($Q$2:$Q$1001,MATCH(ROWS($O$2:O163),$O$2:$O$1001,0),0), INDEX($V$1004:$AE$1004,1,MATCH(COLUMNS($V$1006:AE1006),$V$1006:$AE$1006,0)))),"Fix")))</f>
        <v>0</v>
      </c>
      <c r="O163">
        <v>0</v>
      </c>
      <c r="P163">
        <v>0</v>
      </c>
      <c r="Q163">
        <v>0</v>
      </c>
      <c r="R163">
        <f>IF(S163,TRUE,AND(V163:AE163))</f>
        <v>0</v>
      </c>
      <c r="S163">
        <f>COUNTBLANK(Metadata!B163:K163)=COLUMNS(Metadata!B163:K163)</f>
        <v>0</v>
      </c>
      <c r="T163">
        <v>0</v>
      </c>
      <c r="V163">
        <f>AND(IF(Metadata!B163="",FALSE,TRUE),COUNTIF(Metadata!B:B, Metadata!B163) = 1,NOT(ISERROR(SUMPRODUCT(SEARCH(MID(Metadata!B163,ROW(INDIRECT("1:"&amp;LEN(Metadata!B163))), 1),"0123456789abcdefghijklmnopqrstuvwxyzABCDEFGHIJKLMNOPQRSTUVWXYZ.")))))</f>
        <v>0</v>
      </c>
      <c r="W163">
        <f>AND(IF(Metadata!C163="",FALSE,TRUE),exact(Metadata!C163,"urban biome"))</f>
        <v>0</v>
      </c>
      <c r="X163">
        <f>AND(IF(Metadata!D163="",FALSE,TRUE),exact(Metadata!D163,"animal-associated habitat"))</f>
        <v>0</v>
      </c>
      <c r="Y163">
        <f>OR(AND(IF(Metadata!E163="",FALSE,TRUE),OR(exact(Metadata!E163,"not applicable"),exact(Metadata!E163,"missing: not collected"),exact(Metadata!E163,"missing: not provided"),exact(Metadata!E163,"missing: restricted access"))),AND(IF(Metadata!E163="",FALSE,ISNUMBER(VALUE(Metadata!E163))),Metadata!E163&gt;0))</f>
        <v>0</v>
      </c>
      <c r="Z163">
        <f>AND(IF(Metadata!F163="",FALSE,TRUE),exact(Metadata!F163,"weeks"))</f>
        <v>0</v>
      </c>
      <c r="AA163">
        <f>AND(IF(Metadata!G163="",FALSE,TRUE),exact(Metadata!G163,"mouse"))</f>
        <v>0</v>
      </c>
      <c r="AB163">
        <f>AND(IF(Metadata!H163="",FALSE,TRUE),exact(Metadata!H163,"Mus musculus"))</f>
        <v>0</v>
      </c>
      <c r="AC163">
        <f>AND(IF(Metadata!I163="",FALSE,TRUE),exact(Metadata!I163,"10090"))</f>
        <v>0</v>
      </c>
      <c r="AD163">
        <f>OR(AND(IF(Metadata!J163="",FALSE,TRUE),OR(exact(Metadata!J163,"not applicable"),exact(Metadata!J163,"missing: not collected"),exact(Metadata!J163,"missing: not provided"),exact(Metadata!J163,"missing: restricted access"))),AND(IF(Metadata!J163="",FALSE,ISNUMBER(VALUE(Metadata!J163))),Metadata!J163&gt;0))</f>
        <v>0</v>
      </c>
      <c r="AE163">
        <f>AND(IF(Metadata!K163="",FALSE,TRUE),exact(Metadata!K163,"g"))</f>
        <v>0</v>
      </c>
    </row>
    <row r="164" spans="1:31">
      <c r="A164" s="5">
        <f>IF(B164=" "," ",HYPERLINK(CONCATENATE("#metadata!",ADDRESS(INDEX($Q$2:$Q$1001,MATCH(ROWS($O$2:O164),$O$2:$O$1001,0),0),1)),INDEX($T$2:$T$1001,MATCH(ROWS($O$2:O164),$O$2:$O$1001,0),0)))</f>
        <v>0</v>
      </c>
      <c r="B164" s="4">
        <f>IF(OR(INDEX($P$2:$P$1001,MATCH(ROWS($O$2:O164),$O$2:$O$1001,0),1)&gt;=100000,INDEX($V$1005:$AE$1005,1,MATCH(COLUMNS($V$1006:V1006),$V$1006:$AE$1006,0))&gt;=100000), " ",IF(INDEX($V$2:$AE$1001,MATCH(ROWS($O$2:O164),$O$2:$O$1001,0),MATCH(COLUMNS($V$1006:V1006),$V$1006:$AE$1006,0)), HYPERLINK("#",""), HYPERLINK(CONCATENATE("#Metadata!", ADDRESS(INDEX($Q$2:$Q$1001,MATCH(ROWS($O$2:O164),$O$2:$O$1001,0),0), INDEX($V$1004:$AE$1004,1,MATCH(COLUMNS($V$1006:V1006),$V$1006:$AE$1006,0)))),"Fix")))</f>
        <v>0</v>
      </c>
      <c r="C164" s="4">
        <f>IF(OR(INDEX($P$2:$P$1001,MATCH(ROWS($O$2:O164),$O$2:$O$1001,0),1)&gt;=100000,INDEX($V$1005:$AE$1005,1,MATCH(COLUMNS($V$1006:W1006),$V$1006:$AE$1006,0))&gt;=100000), " ",IF(INDEX($V$2:$AE$1001,MATCH(ROWS($O$2:O164),$O$2:$O$1001,0),MATCH(COLUMNS($V$1006:W1006),$V$1006:$AE$1006,0)), HYPERLINK("#",""), HYPERLINK(CONCATENATE("#Metadata!", ADDRESS(INDEX($Q$2:$Q$1001,MATCH(ROWS($O$2:O164),$O$2:$O$1001,0),0), INDEX($V$1004:$AE$1004,1,MATCH(COLUMNS($V$1006:W1006),$V$1006:$AE$1006,0)))),"Fix")))</f>
        <v>0</v>
      </c>
      <c r="D164" s="4">
        <f>IF(OR(INDEX($P$2:$P$1001,MATCH(ROWS($O$2:O164),$O$2:$O$1001,0),1)&gt;=100000,INDEX($V$1005:$AE$1005,1,MATCH(COLUMNS($V$1006:X1006),$V$1006:$AE$1006,0))&gt;=100000), " ",IF(INDEX($V$2:$AE$1001,MATCH(ROWS($O$2:O164),$O$2:$O$1001,0),MATCH(COLUMNS($V$1006:X1006),$V$1006:$AE$1006,0)), HYPERLINK("#",""), HYPERLINK(CONCATENATE("#Metadata!", ADDRESS(INDEX($Q$2:$Q$1001,MATCH(ROWS($O$2:O164),$O$2:$O$1001,0),0), INDEX($V$1004:$AE$1004,1,MATCH(COLUMNS($V$1006:X1006),$V$1006:$AE$1006,0)))),"Fix")))</f>
        <v>0</v>
      </c>
      <c r="E164" s="4">
        <f>IF(OR(INDEX($P$2:$P$1001,MATCH(ROWS($O$2:O164),$O$2:$O$1001,0),1)&gt;=100000,INDEX($V$1005:$AE$1005,1,MATCH(COLUMNS($V$1006:Y1006),$V$1006:$AE$1006,0))&gt;=100000), " ",IF(INDEX($V$2:$AE$1001,MATCH(ROWS($O$2:O164),$O$2:$O$1001,0),MATCH(COLUMNS($V$1006:Y1006),$V$1006:$AE$1006,0)), HYPERLINK("#",""), HYPERLINK(CONCATENATE("#Metadata!", ADDRESS(INDEX($Q$2:$Q$1001,MATCH(ROWS($O$2:O164),$O$2:$O$1001,0),0), INDEX($V$1004:$AE$1004,1,MATCH(COLUMNS($V$1006:Y1006),$V$1006:$AE$1006,0)))),"Fix")))</f>
        <v>0</v>
      </c>
      <c r="F164" s="4">
        <f>IF(OR(INDEX($P$2:$P$1001,MATCH(ROWS($O$2:O164),$O$2:$O$1001,0),1)&gt;=100000,INDEX($V$1005:$AE$1005,1,MATCH(COLUMNS($V$1006:Z1006),$V$1006:$AE$1006,0))&gt;=100000), " ",IF(INDEX($V$2:$AE$1001,MATCH(ROWS($O$2:O164),$O$2:$O$1001,0),MATCH(COLUMNS($V$1006:Z1006),$V$1006:$AE$1006,0)), HYPERLINK("#",""), HYPERLINK(CONCATENATE("#Metadata!", ADDRESS(INDEX($Q$2:$Q$1001,MATCH(ROWS($O$2:O164),$O$2:$O$1001,0),0), INDEX($V$1004:$AE$1004,1,MATCH(COLUMNS($V$1006:Z1006),$V$1006:$AE$1006,0)))),"Fix")))</f>
        <v>0</v>
      </c>
      <c r="G164" s="4">
        <f>IF(OR(INDEX($P$2:$P$1001,MATCH(ROWS($O$2:O164),$O$2:$O$1001,0),1)&gt;=100000,INDEX($V$1005:$AE$1005,1,MATCH(COLUMNS($V$1006:AA1006),$V$1006:$AE$1006,0))&gt;=100000), " ",IF(INDEX($V$2:$AE$1001,MATCH(ROWS($O$2:O164),$O$2:$O$1001,0),MATCH(COLUMNS($V$1006:AA1006),$V$1006:$AE$1006,0)), HYPERLINK("#",""), HYPERLINK(CONCATENATE("#Metadata!", ADDRESS(INDEX($Q$2:$Q$1001,MATCH(ROWS($O$2:O164),$O$2:$O$1001,0),0), INDEX($V$1004:$AE$1004,1,MATCH(COLUMNS($V$1006:AA1006),$V$1006:$AE$1006,0)))),"Fix")))</f>
        <v>0</v>
      </c>
      <c r="H164" s="4">
        <f>IF(OR(INDEX($P$2:$P$1001,MATCH(ROWS($O$2:O164),$O$2:$O$1001,0),1)&gt;=100000,INDEX($V$1005:$AE$1005,1,MATCH(COLUMNS($V$1006:AB1006),$V$1006:$AE$1006,0))&gt;=100000), " ",IF(INDEX($V$2:$AE$1001,MATCH(ROWS($O$2:O164),$O$2:$O$1001,0),MATCH(COLUMNS($V$1006:AB1006),$V$1006:$AE$1006,0)), HYPERLINK("#",""), HYPERLINK(CONCATENATE("#Metadata!", ADDRESS(INDEX($Q$2:$Q$1001,MATCH(ROWS($O$2:O164),$O$2:$O$1001,0),0), INDEX($V$1004:$AE$1004,1,MATCH(COLUMNS($V$1006:AB1006),$V$1006:$AE$1006,0)))),"Fix")))</f>
        <v>0</v>
      </c>
      <c r="I164" s="4">
        <f>IF(OR(INDEX($P$2:$P$1001,MATCH(ROWS($O$2:O164),$O$2:$O$1001,0),1)&gt;=100000,INDEX($V$1005:$AE$1005,1,MATCH(COLUMNS($V$1006:AC1006),$V$1006:$AE$1006,0))&gt;=100000), " ",IF(INDEX($V$2:$AE$1001,MATCH(ROWS($O$2:O164),$O$2:$O$1001,0),MATCH(COLUMNS($V$1006:AC1006),$V$1006:$AE$1006,0)), HYPERLINK("#",""), HYPERLINK(CONCATENATE("#Metadata!", ADDRESS(INDEX($Q$2:$Q$1001,MATCH(ROWS($O$2:O164),$O$2:$O$1001,0),0), INDEX($V$1004:$AE$1004,1,MATCH(COLUMNS($V$1006:AC1006),$V$1006:$AE$1006,0)))),"Fix")))</f>
        <v>0</v>
      </c>
      <c r="J164" s="4">
        <f>IF(OR(INDEX($P$2:$P$1001,MATCH(ROWS($O$2:O164),$O$2:$O$1001,0),1)&gt;=100000,INDEX($V$1005:$AE$1005,1,MATCH(COLUMNS($V$1006:AD1006),$V$1006:$AE$1006,0))&gt;=100000), " ",IF(INDEX($V$2:$AE$1001,MATCH(ROWS($O$2:O164),$O$2:$O$1001,0),MATCH(COLUMNS($V$1006:AD1006),$V$1006:$AE$1006,0)), HYPERLINK("#",""), HYPERLINK(CONCATENATE("#Metadata!", ADDRESS(INDEX($Q$2:$Q$1001,MATCH(ROWS($O$2:O164),$O$2:$O$1001,0),0), INDEX($V$1004:$AE$1004,1,MATCH(COLUMNS($V$1006:AD1006),$V$1006:$AE$1006,0)))),"Fix")))</f>
        <v>0</v>
      </c>
      <c r="K164" s="4">
        <f>IF(OR(INDEX($P$2:$P$1001,MATCH(ROWS($O$2:O164),$O$2:$O$1001,0),1)&gt;=100000,INDEX($V$1005:$AE$1005,1,MATCH(COLUMNS($V$1006:AE1006),$V$1006:$AE$1006,0))&gt;=100000), " ",IF(INDEX($V$2:$AE$1001,MATCH(ROWS($O$2:O164),$O$2:$O$1001,0),MATCH(COLUMNS($V$1006:AE1006),$V$1006:$AE$1006,0)), HYPERLINK("#",""), HYPERLINK(CONCATENATE("#Metadata!", ADDRESS(INDEX($Q$2:$Q$1001,MATCH(ROWS($O$2:O164),$O$2:$O$1001,0),0), INDEX($V$1004:$AE$1004,1,MATCH(COLUMNS($V$1006:AE1006),$V$1006:$AE$1006,0)))),"Fix")))</f>
        <v>0</v>
      </c>
      <c r="O164">
        <v>0</v>
      </c>
      <c r="P164">
        <v>0</v>
      </c>
      <c r="Q164">
        <v>0</v>
      </c>
      <c r="R164">
        <f>IF(S164,TRUE,AND(V164:AE164))</f>
        <v>0</v>
      </c>
      <c r="S164">
        <f>COUNTBLANK(Metadata!B164:K164)=COLUMNS(Metadata!B164:K164)</f>
        <v>0</v>
      </c>
      <c r="T164">
        <v>0</v>
      </c>
      <c r="V164">
        <f>AND(IF(Metadata!B164="",FALSE,TRUE),COUNTIF(Metadata!B:B, Metadata!B164) = 1,NOT(ISERROR(SUMPRODUCT(SEARCH(MID(Metadata!B164,ROW(INDIRECT("1:"&amp;LEN(Metadata!B164))), 1),"0123456789abcdefghijklmnopqrstuvwxyzABCDEFGHIJKLMNOPQRSTUVWXYZ.")))))</f>
        <v>0</v>
      </c>
      <c r="W164">
        <f>AND(IF(Metadata!C164="",FALSE,TRUE),exact(Metadata!C164,"urban biome"))</f>
        <v>0</v>
      </c>
      <c r="X164">
        <f>AND(IF(Metadata!D164="",FALSE,TRUE),exact(Metadata!D164,"animal-associated habitat"))</f>
        <v>0</v>
      </c>
      <c r="Y164">
        <f>OR(AND(IF(Metadata!E164="",FALSE,TRUE),OR(exact(Metadata!E164,"not applicable"),exact(Metadata!E164,"missing: not collected"),exact(Metadata!E164,"missing: not provided"),exact(Metadata!E164,"missing: restricted access"))),AND(IF(Metadata!E164="",FALSE,ISNUMBER(VALUE(Metadata!E164))),Metadata!E164&gt;0))</f>
        <v>0</v>
      </c>
      <c r="Z164">
        <f>AND(IF(Metadata!F164="",FALSE,TRUE),exact(Metadata!F164,"weeks"))</f>
        <v>0</v>
      </c>
      <c r="AA164">
        <f>AND(IF(Metadata!G164="",FALSE,TRUE),exact(Metadata!G164,"mouse"))</f>
        <v>0</v>
      </c>
      <c r="AB164">
        <f>AND(IF(Metadata!H164="",FALSE,TRUE),exact(Metadata!H164,"Mus musculus"))</f>
        <v>0</v>
      </c>
      <c r="AC164">
        <f>AND(IF(Metadata!I164="",FALSE,TRUE),exact(Metadata!I164,"10090"))</f>
        <v>0</v>
      </c>
      <c r="AD164">
        <f>OR(AND(IF(Metadata!J164="",FALSE,TRUE),OR(exact(Metadata!J164,"not applicable"),exact(Metadata!J164,"missing: not collected"),exact(Metadata!J164,"missing: not provided"),exact(Metadata!J164,"missing: restricted access"))),AND(IF(Metadata!J164="",FALSE,ISNUMBER(VALUE(Metadata!J164))),Metadata!J164&gt;0))</f>
        <v>0</v>
      </c>
      <c r="AE164">
        <f>AND(IF(Metadata!K164="",FALSE,TRUE),exact(Metadata!K164,"g"))</f>
        <v>0</v>
      </c>
    </row>
    <row r="165" spans="1:31">
      <c r="A165" s="5">
        <f>IF(B165=" "," ",HYPERLINK(CONCATENATE("#metadata!",ADDRESS(INDEX($Q$2:$Q$1001,MATCH(ROWS($O$2:O165),$O$2:$O$1001,0),0),1)),INDEX($T$2:$T$1001,MATCH(ROWS($O$2:O165),$O$2:$O$1001,0),0)))</f>
        <v>0</v>
      </c>
      <c r="B165" s="4">
        <f>IF(OR(INDEX($P$2:$P$1001,MATCH(ROWS($O$2:O165),$O$2:$O$1001,0),1)&gt;=100000,INDEX($V$1005:$AE$1005,1,MATCH(COLUMNS($V$1006:V1006),$V$1006:$AE$1006,0))&gt;=100000), " ",IF(INDEX($V$2:$AE$1001,MATCH(ROWS($O$2:O165),$O$2:$O$1001,0),MATCH(COLUMNS($V$1006:V1006),$V$1006:$AE$1006,0)), HYPERLINK("#",""), HYPERLINK(CONCATENATE("#Metadata!", ADDRESS(INDEX($Q$2:$Q$1001,MATCH(ROWS($O$2:O165),$O$2:$O$1001,0),0), INDEX($V$1004:$AE$1004,1,MATCH(COLUMNS($V$1006:V1006),$V$1006:$AE$1006,0)))),"Fix")))</f>
        <v>0</v>
      </c>
      <c r="C165" s="4">
        <f>IF(OR(INDEX($P$2:$P$1001,MATCH(ROWS($O$2:O165),$O$2:$O$1001,0),1)&gt;=100000,INDEX($V$1005:$AE$1005,1,MATCH(COLUMNS($V$1006:W1006),$V$1006:$AE$1006,0))&gt;=100000), " ",IF(INDEX($V$2:$AE$1001,MATCH(ROWS($O$2:O165),$O$2:$O$1001,0),MATCH(COLUMNS($V$1006:W1006),$V$1006:$AE$1006,0)), HYPERLINK("#",""), HYPERLINK(CONCATENATE("#Metadata!", ADDRESS(INDEX($Q$2:$Q$1001,MATCH(ROWS($O$2:O165),$O$2:$O$1001,0),0), INDEX($V$1004:$AE$1004,1,MATCH(COLUMNS($V$1006:W1006),$V$1006:$AE$1006,0)))),"Fix")))</f>
        <v>0</v>
      </c>
      <c r="D165" s="4">
        <f>IF(OR(INDEX($P$2:$P$1001,MATCH(ROWS($O$2:O165),$O$2:$O$1001,0),1)&gt;=100000,INDEX($V$1005:$AE$1005,1,MATCH(COLUMNS($V$1006:X1006),$V$1006:$AE$1006,0))&gt;=100000), " ",IF(INDEX($V$2:$AE$1001,MATCH(ROWS($O$2:O165),$O$2:$O$1001,0),MATCH(COLUMNS($V$1006:X1006),$V$1006:$AE$1006,0)), HYPERLINK("#",""), HYPERLINK(CONCATENATE("#Metadata!", ADDRESS(INDEX($Q$2:$Q$1001,MATCH(ROWS($O$2:O165),$O$2:$O$1001,0),0), INDEX($V$1004:$AE$1004,1,MATCH(COLUMNS($V$1006:X1006),$V$1006:$AE$1006,0)))),"Fix")))</f>
        <v>0</v>
      </c>
      <c r="E165" s="4">
        <f>IF(OR(INDEX($P$2:$P$1001,MATCH(ROWS($O$2:O165),$O$2:$O$1001,0),1)&gt;=100000,INDEX($V$1005:$AE$1005,1,MATCH(COLUMNS($V$1006:Y1006),$V$1006:$AE$1006,0))&gt;=100000), " ",IF(INDEX($V$2:$AE$1001,MATCH(ROWS($O$2:O165),$O$2:$O$1001,0),MATCH(COLUMNS($V$1006:Y1006),$V$1006:$AE$1006,0)), HYPERLINK("#",""), HYPERLINK(CONCATENATE("#Metadata!", ADDRESS(INDEX($Q$2:$Q$1001,MATCH(ROWS($O$2:O165),$O$2:$O$1001,0),0), INDEX($V$1004:$AE$1004,1,MATCH(COLUMNS($V$1006:Y1006),$V$1006:$AE$1006,0)))),"Fix")))</f>
        <v>0</v>
      </c>
      <c r="F165" s="4">
        <f>IF(OR(INDEX($P$2:$P$1001,MATCH(ROWS($O$2:O165),$O$2:$O$1001,0),1)&gt;=100000,INDEX($V$1005:$AE$1005,1,MATCH(COLUMNS($V$1006:Z1006),$V$1006:$AE$1006,0))&gt;=100000), " ",IF(INDEX($V$2:$AE$1001,MATCH(ROWS($O$2:O165),$O$2:$O$1001,0),MATCH(COLUMNS($V$1006:Z1006),$V$1006:$AE$1006,0)), HYPERLINK("#",""), HYPERLINK(CONCATENATE("#Metadata!", ADDRESS(INDEX($Q$2:$Q$1001,MATCH(ROWS($O$2:O165),$O$2:$O$1001,0),0), INDEX($V$1004:$AE$1004,1,MATCH(COLUMNS($V$1006:Z1006),$V$1006:$AE$1006,0)))),"Fix")))</f>
        <v>0</v>
      </c>
      <c r="G165" s="4">
        <f>IF(OR(INDEX($P$2:$P$1001,MATCH(ROWS($O$2:O165),$O$2:$O$1001,0),1)&gt;=100000,INDEX($V$1005:$AE$1005,1,MATCH(COLUMNS($V$1006:AA1006),$V$1006:$AE$1006,0))&gt;=100000), " ",IF(INDEX($V$2:$AE$1001,MATCH(ROWS($O$2:O165),$O$2:$O$1001,0),MATCH(COLUMNS($V$1006:AA1006),$V$1006:$AE$1006,0)), HYPERLINK("#",""), HYPERLINK(CONCATENATE("#Metadata!", ADDRESS(INDEX($Q$2:$Q$1001,MATCH(ROWS($O$2:O165),$O$2:$O$1001,0),0), INDEX($V$1004:$AE$1004,1,MATCH(COLUMNS($V$1006:AA1006),$V$1006:$AE$1006,0)))),"Fix")))</f>
        <v>0</v>
      </c>
      <c r="H165" s="4">
        <f>IF(OR(INDEX($P$2:$P$1001,MATCH(ROWS($O$2:O165),$O$2:$O$1001,0),1)&gt;=100000,INDEX($V$1005:$AE$1005,1,MATCH(COLUMNS($V$1006:AB1006),$V$1006:$AE$1006,0))&gt;=100000), " ",IF(INDEX($V$2:$AE$1001,MATCH(ROWS($O$2:O165),$O$2:$O$1001,0),MATCH(COLUMNS($V$1006:AB1006),$V$1006:$AE$1006,0)), HYPERLINK("#",""), HYPERLINK(CONCATENATE("#Metadata!", ADDRESS(INDEX($Q$2:$Q$1001,MATCH(ROWS($O$2:O165),$O$2:$O$1001,0),0), INDEX($V$1004:$AE$1004,1,MATCH(COLUMNS($V$1006:AB1006),$V$1006:$AE$1006,0)))),"Fix")))</f>
        <v>0</v>
      </c>
      <c r="I165" s="4">
        <f>IF(OR(INDEX($P$2:$P$1001,MATCH(ROWS($O$2:O165),$O$2:$O$1001,0),1)&gt;=100000,INDEX($V$1005:$AE$1005,1,MATCH(COLUMNS($V$1006:AC1006),$V$1006:$AE$1006,0))&gt;=100000), " ",IF(INDEX($V$2:$AE$1001,MATCH(ROWS($O$2:O165),$O$2:$O$1001,0),MATCH(COLUMNS($V$1006:AC1006),$V$1006:$AE$1006,0)), HYPERLINK("#",""), HYPERLINK(CONCATENATE("#Metadata!", ADDRESS(INDEX($Q$2:$Q$1001,MATCH(ROWS($O$2:O165),$O$2:$O$1001,0),0), INDEX($V$1004:$AE$1004,1,MATCH(COLUMNS($V$1006:AC1006),$V$1006:$AE$1006,0)))),"Fix")))</f>
        <v>0</v>
      </c>
      <c r="J165" s="4">
        <f>IF(OR(INDEX($P$2:$P$1001,MATCH(ROWS($O$2:O165),$O$2:$O$1001,0),1)&gt;=100000,INDEX($V$1005:$AE$1005,1,MATCH(COLUMNS($V$1006:AD1006),$V$1006:$AE$1006,0))&gt;=100000), " ",IF(INDEX($V$2:$AE$1001,MATCH(ROWS($O$2:O165),$O$2:$O$1001,0),MATCH(COLUMNS($V$1006:AD1006),$V$1006:$AE$1006,0)), HYPERLINK("#",""), HYPERLINK(CONCATENATE("#Metadata!", ADDRESS(INDEX($Q$2:$Q$1001,MATCH(ROWS($O$2:O165),$O$2:$O$1001,0),0), INDEX($V$1004:$AE$1004,1,MATCH(COLUMNS($V$1006:AD1006),$V$1006:$AE$1006,0)))),"Fix")))</f>
        <v>0</v>
      </c>
      <c r="K165" s="4">
        <f>IF(OR(INDEX($P$2:$P$1001,MATCH(ROWS($O$2:O165),$O$2:$O$1001,0),1)&gt;=100000,INDEX($V$1005:$AE$1005,1,MATCH(COLUMNS($V$1006:AE1006),$V$1006:$AE$1006,0))&gt;=100000), " ",IF(INDEX($V$2:$AE$1001,MATCH(ROWS($O$2:O165),$O$2:$O$1001,0),MATCH(COLUMNS($V$1006:AE1006),$V$1006:$AE$1006,0)), HYPERLINK("#",""), HYPERLINK(CONCATENATE("#Metadata!", ADDRESS(INDEX($Q$2:$Q$1001,MATCH(ROWS($O$2:O165),$O$2:$O$1001,0),0), INDEX($V$1004:$AE$1004,1,MATCH(COLUMNS($V$1006:AE1006),$V$1006:$AE$1006,0)))),"Fix")))</f>
        <v>0</v>
      </c>
      <c r="O165">
        <v>0</v>
      </c>
      <c r="P165">
        <v>0</v>
      </c>
      <c r="Q165">
        <v>0</v>
      </c>
      <c r="R165">
        <f>IF(S165,TRUE,AND(V165:AE165))</f>
        <v>0</v>
      </c>
      <c r="S165">
        <f>COUNTBLANK(Metadata!B165:K165)=COLUMNS(Metadata!B165:K165)</f>
        <v>0</v>
      </c>
      <c r="T165">
        <v>0</v>
      </c>
      <c r="V165">
        <f>AND(IF(Metadata!B165="",FALSE,TRUE),COUNTIF(Metadata!B:B, Metadata!B165) = 1,NOT(ISERROR(SUMPRODUCT(SEARCH(MID(Metadata!B165,ROW(INDIRECT("1:"&amp;LEN(Metadata!B165))), 1),"0123456789abcdefghijklmnopqrstuvwxyzABCDEFGHIJKLMNOPQRSTUVWXYZ.")))))</f>
        <v>0</v>
      </c>
      <c r="W165">
        <f>AND(IF(Metadata!C165="",FALSE,TRUE),exact(Metadata!C165,"urban biome"))</f>
        <v>0</v>
      </c>
      <c r="X165">
        <f>AND(IF(Metadata!D165="",FALSE,TRUE),exact(Metadata!D165,"animal-associated habitat"))</f>
        <v>0</v>
      </c>
      <c r="Y165">
        <f>OR(AND(IF(Metadata!E165="",FALSE,TRUE),OR(exact(Metadata!E165,"not applicable"),exact(Metadata!E165,"missing: not collected"),exact(Metadata!E165,"missing: not provided"),exact(Metadata!E165,"missing: restricted access"))),AND(IF(Metadata!E165="",FALSE,ISNUMBER(VALUE(Metadata!E165))),Metadata!E165&gt;0))</f>
        <v>0</v>
      </c>
      <c r="Z165">
        <f>AND(IF(Metadata!F165="",FALSE,TRUE),exact(Metadata!F165,"weeks"))</f>
        <v>0</v>
      </c>
      <c r="AA165">
        <f>AND(IF(Metadata!G165="",FALSE,TRUE),exact(Metadata!G165,"mouse"))</f>
        <v>0</v>
      </c>
      <c r="AB165">
        <f>AND(IF(Metadata!H165="",FALSE,TRUE),exact(Metadata!H165,"Mus musculus"))</f>
        <v>0</v>
      </c>
      <c r="AC165">
        <f>AND(IF(Metadata!I165="",FALSE,TRUE),exact(Metadata!I165,"10090"))</f>
        <v>0</v>
      </c>
      <c r="AD165">
        <f>OR(AND(IF(Metadata!J165="",FALSE,TRUE),OR(exact(Metadata!J165,"not applicable"),exact(Metadata!J165,"missing: not collected"),exact(Metadata!J165,"missing: not provided"),exact(Metadata!J165,"missing: restricted access"))),AND(IF(Metadata!J165="",FALSE,ISNUMBER(VALUE(Metadata!J165))),Metadata!J165&gt;0))</f>
        <v>0</v>
      </c>
      <c r="AE165">
        <f>AND(IF(Metadata!K165="",FALSE,TRUE),exact(Metadata!K165,"g"))</f>
        <v>0</v>
      </c>
    </row>
    <row r="166" spans="1:31">
      <c r="A166" s="5">
        <f>IF(B166=" "," ",HYPERLINK(CONCATENATE("#metadata!",ADDRESS(INDEX($Q$2:$Q$1001,MATCH(ROWS($O$2:O166),$O$2:$O$1001,0),0),1)),INDEX($T$2:$T$1001,MATCH(ROWS($O$2:O166),$O$2:$O$1001,0),0)))</f>
        <v>0</v>
      </c>
      <c r="B166" s="4">
        <f>IF(OR(INDEX($P$2:$P$1001,MATCH(ROWS($O$2:O166),$O$2:$O$1001,0),1)&gt;=100000,INDEX($V$1005:$AE$1005,1,MATCH(COLUMNS($V$1006:V1006),$V$1006:$AE$1006,0))&gt;=100000), " ",IF(INDEX($V$2:$AE$1001,MATCH(ROWS($O$2:O166),$O$2:$O$1001,0),MATCH(COLUMNS($V$1006:V1006),$V$1006:$AE$1006,0)), HYPERLINK("#",""), HYPERLINK(CONCATENATE("#Metadata!", ADDRESS(INDEX($Q$2:$Q$1001,MATCH(ROWS($O$2:O166),$O$2:$O$1001,0),0), INDEX($V$1004:$AE$1004,1,MATCH(COLUMNS($V$1006:V1006),$V$1006:$AE$1006,0)))),"Fix")))</f>
        <v>0</v>
      </c>
      <c r="C166" s="4">
        <f>IF(OR(INDEX($P$2:$P$1001,MATCH(ROWS($O$2:O166),$O$2:$O$1001,0),1)&gt;=100000,INDEX($V$1005:$AE$1005,1,MATCH(COLUMNS($V$1006:W1006),$V$1006:$AE$1006,0))&gt;=100000), " ",IF(INDEX($V$2:$AE$1001,MATCH(ROWS($O$2:O166),$O$2:$O$1001,0),MATCH(COLUMNS($V$1006:W1006),$V$1006:$AE$1006,0)), HYPERLINK("#",""), HYPERLINK(CONCATENATE("#Metadata!", ADDRESS(INDEX($Q$2:$Q$1001,MATCH(ROWS($O$2:O166),$O$2:$O$1001,0),0), INDEX($V$1004:$AE$1004,1,MATCH(COLUMNS($V$1006:W1006),$V$1006:$AE$1006,0)))),"Fix")))</f>
        <v>0</v>
      </c>
      <c r="D166" s="4">
        <f>IF(OR(INDEX($P$2:$P$1001,MATCH(ROWS($O$2:O166),$O$2:$O$1001,0),1)&gt;=100000,INDEX($V$1005:$AE$1005,1,MATCH(COLUMNS($V$1006:X1006),$V$1006:$AE$1006,0))&gt;=100000), " ",IF(INDEX($V$2:$AE$1001,MATCH(ROWS($O$2:O166),$O$2:$O$1001,0),MATCH(COLUMNS($V$1006:X1006),$V$1006:$AE$1006,0)), HYPERLINK("#",""), HYPERLINK(CONCATENATE("#Metadata!", ADDRESS(INDEX($Q$2:$Q$1001,MATCH(ROWS($O$2:O166),$O$2:$O$1001,0),0), INDEX($V$1004:$AE$1004,1,MATCH(COLUMNS($V$1006:X1006),$V$1006:$AE$1006,0)))),"Fix")))</f>
        <v>0</v>
      </c>
      <c r="E166" s="4">
        <f>IF(OR(INDEX($P$2:$P$1001,MATCH(ROWS($O$2:O166),$O$2:$O$1001,0),1)&gt;=100000,INDEX($V$1005:$AE$1005,1,MATCH(COLUMNS($V$1006:Y1006),$V$1006:$AE$1006,0))&gt;=100000), " ",IF(INDEX($V$2:$AE$1001,MATCH(ROWS($O$2:O166),$O$2:$O$1001,0),MATCH(COLUMNS($V$1006:Y1006),$V$1006:$AE$1006,0)), HYPERLINK("#",""), HYPERLINK(CONCATENATE("#Metadata!", ADDRESS(INDEX($Q$2:$Q$1001,MATCH(ROWS($O$2:O166),$O$2:$O$1001,0),0), INDEX($V$1004:$AE$1004,1,MATCH(COLUMNS($V$1006:Y1006),$V$1006:$AE$1006,0)))),"Fix")))</f>
        <v>0</v>
      </c>
      <c r="F166" s="4">
        <f>IF(OR(INDEX($P$2:$P$1001,MATCH(ROWS($O$2:O166),$O$2:$O$1001,0),1)&gt;=100000,INDEX($V$1005:$AE$1005,1,MATCH(COLUMNS($V$1006:Z1006),$V$1006:$AE$1006,0))&gt;=100000), " ",IF(INDEX($V$2:$AE$1001,MATCH(ROWS($O$2:O166),$O$2:$O$1001,0),MATCH(COLUMNS($V$1006:Z1006),$V$1006:$AE$1006,0)), HYPERLINK("#",""), HYPERLINK(CONCATENATE("#Metadata!", ADDRESS(INDEX($Q$2:$Q$1001,MATCH(ROWS($O$2:O166),$O$2:$O$1001,0),0), INDEX($V$1004:$AE$1004,1,MATCH(COLUMNS($V$1006:Z1006),$V$1006:$AE$1006,0)))),"Fix")))</f>
        <v>0</v>
      </c>
      <c r="G166" s="4">
        <f>IF(OR(INDEX($P$2:$P$1001,MATCH(ROWS($O$2:O166),$O$2:$O$1001,0),1)&gt;=100000,INDEX($V$1005:$AE$1005,1,MATCH(COLUMNS($V$1006:AA1006),$V$1006:$AE$1006,0))&gt;=100000), " ",IF(INDEX($V$2:$AE$1001,MATCH(ROWS($O$2:O166),$O$2:$O$1001,0),MATCH(COLUMNS($V$1006:AA1006),$V$1006:$AE$1006,0)), HYPERLINK("#",""), HYPERLINK(CONCATENATE("#Metadata!", ADDRESS(INDEX($Q$2:$Q$1001,MATCH(ROWS($O$2:O166),$O$2:$O$1001,0),0), INDEX($V$1004:$AE$1004,1,MATCH(COLUMNS($V$1006:AA1006),$V$1006:$AE$1006,0)))),"Fix")))</f>
        <v>0</v>
      </c>
      <c r="H166" s="4">
        <f>IF(OR(INDEX($P$2:$P$1001,MATCH(ROWS($O$2:O166),$O$2:$O$1001,0),1)&gt;=100000,INDEX($V$1005:$AE$1005,1,MATCH(COLUMNS($V$1006:AB1006),$V$1006:$AE$1006,0))&gt;=100000), " ",IF(INDEX($V$2:$AE$1001,MATCH(ROWS($O$2:O166),$O$2:$O$1001,0),MATCH(COLUMNS($V$1006:AB1006),$V$1006:$AE$1006,0)), HYPERLINK("#",""), HYPERLINK(CONCATENATE("#Metadata!", ADDRESS(INDEX($Q$2:$Q$1001,MATCH(ROWS($O$2:O166),$O$2:$O$1001,0),0), INDEX($V$1004:$AE$1004,1,MATCH(COLUMNS($V$1006:AB1006),$V$1006:$AE$1006,0)))),"Fix")))</f>
        <v>0</v>
      </c>
      <c r="I166" s="4">
        <f>IF(OR(INDEX($P$2:$P$1001,MATCH(ROWS($O$2:O166),$O$2:$O$1001,0),1)&gt;=100000,INDEX($V$1005:$AE$1005,1,MATCH(COLUMNS($V$1006:AC1006),$V$1006:$AE$1006,0))&gt;=100000), " ",IF(INDEX($V$2:$AE$1001,MATCH(ROWS($O$2:O166),$O$2:$O$1001,0),MATCH(COLUMNS($V$1006:AC1006),$V$1006:$AE$1006,0)), HYPERLINK("#",""), HYPERLINK(CONCATENATE("#Metadata!", ADDRESS(INDEX($Q$2:$Q$1001,MATCH(ROWS($O$2:O166),$O$2:$O$1001,0),0), INDEX($V$1004:$AE$1004,1,MATCH(COLUMNS($V$1006:AC1006),$V$1006:$AE$1006,0)))),"Fix")))</f>
        <v>0</v>
      </c>
      <c r="J166" s="4">
        <f>IF(OR(INDEX($P$2:$P$1001,MATCH(ROWS($O$2:O166),$O$2:$O$1001,0),1)&gt;=100000,INDEX($V$1005:$AE$1005,1,MATCH(COLUMNS($V$1006:AD1006),$V$1006:$AE$1006,0))&gt;=100000), " ",IF(INDEX($V$2:$AE$1001,MATCH(ROWS($O$2:O166),$O$2:$O$1001,0),MATCH(COLUMNS($V$1006:AD1006),$V$1006:$AE$1006,0)), HYPERLINK("#",""), HYPERLINK(CONCATENATE("#Metadata!", ADDRESS(INDEX($Q$2:$Q$1001,MATCH(ROWS($O$2:O166),$O$2:$O$1001,0),0), INDEX($V$1004:$AE$1004,1,MATCH(COLUMNS($V$1006:AD1006),$V$1006:$AE$1006,0)))),"Fix")))</f>
        <v>0</v>
      </c>
      <c r="K166" s="4">
        <f>IF(OR(INDEX($P$2:$P$1001,MATCH(ROWS($O$2:O166),$O$2:$O$1001,0),1)&gt;=100000,INDEX($V$1005:$AE$1005,1,MATCH(COLUMNS($V$1006:AE1006),$V$1006:$AE$1006,0))&gt;=100000), " ",IF(INDEX($V$2:$AE$1001,MATCH(ROWS($O$2:O166),$O$2:$O$1001,0),MATCH(COLUMNS($V$1006:AE1006),$V$1006:$AE$1006,0)), HYPERLINK("#",""), HYPERLINK(CONCATENATE("#Metadata!", ADDRESS(INDEX($Q$2:$Q$1001,MATCH(ROWS($O$2:O166),$O$2:$O$1001,0),0), INDEX($V$1004:$AE$1004,1,MATCH(COLUMNS($V$1006:AE1006),$V$1006:$AE$1006,0)))),"Fix")))</f>
        <v>0</v>
      </c>
      <c r="O166">
        <v>0</v>
      </c>
      <c r="P166">
        <v>0</v>
      </c>
      <c r="Q166">
        <v>0</v>
      </c>
      <c r="R166">
        <f>IF(S166,TRUE,AND(V166:AE166))</f>
        <v>0</v>
      </c>
      <c r="S166">
        <f>COUNTBLANK(Metadata!B166:K166)=COLUMNS(Metadata!B166:K166)</f>
        <v>0</v>
      </c>
      <c r="T166">
        <v>0</v>
      </c>
      <c r="V166">
        <f>AND(IF(Metadata!B166="",FALSE,TRUE),COUNTIF(Metadata!B:B, Metadata!B166) = 1,NOT(ISERROR(SUMPRODUCT(SEARCH(MID(Metadata!B166,ROW(INDIRECT("1:"&amp;LEN(Metadata!B166))), 1),"0123456789abcdefghijklmnopqrstuvwxyzABCDEFGHIJKLMNOPQRSTUVWXYZ.")))))</f>
        <v>0</v>
      </c>
      <c r="W166">
        <f>AND(IF(Metadata!C166="",FALSE,TRUE),exact(Metadata!C166,"urban biome"))</f>
        <v>0</v>
      </c>
      <c r="X166">
        <f>AND(IF(Metadata!D166="",FALSE,TRUE),exact(Metadata!D166,"animal-associated habitat"))</f>
        <v>0</v>
      </c>
      <c r="Y166">
        <f>OR(AND(IF(Metadata!E166="",FALSE,TRUE),OR(exact(Metadata!E166,"not applicable"),exact(Metadata!E166,"missing: not collected"),exact(Metadata!E166,"missing: not provided"),exact(Metadata!E166,"missing: restricted access"))),AND(IF(Metadata!E166="",FALSE,ISNUMBER(VALUE(Metadata!E166))),Metadata!E166&gt;0))</f>
        <v>0</v>
      </c>
      <c r="Z166">
        <f>AND(IF(Metadata!F166="",FALSE,TRUE),exact(Metadata!F166,"weeks"))</f>
        <v>0</v>
      </c>
      <c r="AA166">
        <f>AND(IF(Metadata!G166="",FALSE,TRUE),exact(Metadata!G166,"mouse"))</f>
        <v>0</v>
      </c>
      <c r="AB166">
        <f>AND(IF(Metadata!H166="",FALSE,TRUE),exact(Metadata!H166,"Mus musculus"))</f>
        <v>0</v>
      </c>
      <c r="AC166">
        <f>AND(IF(Metadata!I166="",FALSE,TRUE),exact(Metadata!I166,"10090"))</f>
        <v>0</v>
      </c>
      <c r="AD166">
        <f>OR(AND(IF(Metadata!J166="",FALSE,TRUE),OR(exact(Metadata!J166,"not applicable"),exact(Metadata!J166,"missing: not collected"),exact(Metadata!J166,"missing: not provided"),exact(Metadata!J166,"missing: restricted access"))),AND(IF(Metadata!J166="",FALSE,ISNUMBER(VALUE(Metadata!J166))),Metadata!J166&gt;0))</f>
        <v>0</v>
      </c>
      <c r="AE166">
        <f>AND(IF(Metadata!K166="",FALSE,TRUE),exact(Metadata!K166,"g"))</f>
        <v>0</v>
      </c>
    </row>
    <row r="167" spans="1:31">
      <c r="A167" s="5">
        <f>IF(B167=" "," ",HYPERLINK(CONCATENATE("#metadata!",ADDRESS(INDEX($Q$2:$Q$1001,MATCH(ROWS($O$2:O167),$O$2:$O$1001,0),0),1)),INDEX($T$2:$T$1001,MATCH(ROWS($O$2:O167),$O$2:$O$1001,0),0)))</f>
        <v>0</v>
      </c>
      <c r="B167" s="4">
        <f>IF(OR(INDEX($P$2:$P$1001,MATCH(ROWS($O$2:O167),$O$2:$O$1001,0),1)&gt;=100000,INDEX($V$1005:$AE$1005,1,MATCH(COLUMNS($V$1006:V1006),$V$1006:$AE$1006,0))&gt;=100000), " ",IF(INDEX($V$2:$AE$1001,MATCH(ROWS($O$2:O167),$O$2:$O$1001,0),MATCH(COLUMNS($V$1006:V1006),$V$1006:$AE$1006,0)), HYPERLINK("#",""), HYPERLINK(CONCATENATE("#Metadata!", ADDRESS(INDEX($Q$2:$Q$1001,MATCH(ROWS($O$2:O167),$O$2:$O$1001,0),0), INDEX($V$1004:$AE$1004,1,MATCH(COLUMNS($V$1006:V1006),$V$1006:$AE$1006,0)))),"Fix")))</f>
        <v>0</v>
      </c>
      <c r="C167" s="4">
        <f>IF(OR(INDEX($P$2:$P$1001,MATCH(ROWS($O$2:O167),$O$2:$O$1001,0),1)&gt;=100000,INDEX($V$1005:$AE$1005,1,MATCH(COLUMNS($V$1006:W1006),$V$1006:$AE$1006,0))&gt;=100000), " ",IF(INDEX($V$2:$AE$1001,MATCH(ROWS($O$2:O167),$O$2:$O$1001,0),MATCH(COLUMNS($V$1006:W1006),$V$1006:$AE$1006,0)), HYPERLINK("#",""), HYPERLINK(CONCATENATE("#Metadata!", ADDRESS(INDEX($Q$2:$Q$1001,MATCH(ROWS($O$2:O167),$O$2:$O$1001,0),0), INDEX($V$1004:$AE$1004,1,MATCH(COLUMNS($V$1006:W1006),$V$1006:$AE$1006,0)))),"Fix")))</f>
        <v>0</v>
      </c>
      <c r="D167" s="4">
        <f>IF(OR(INDEX($P$2:$P$1001,MATCH(ROWS($O$2:O167),$O$2:$O$1001,0),1)&gt;=100000,INDEX($V$1005:$AE$1005,1,MATCH(COLUMNS($V$1006:X1006),$V$1006:$AE$1006,0))&gt;=100000), " ",IF(INDEX($V$2:$AE$1001,MATCH(ROWS($O$2:O167),$O$2:$O$1001,0),MATCH(COLUMNS($V$1006:X1006),$V$1006:$AE$1006,0)), HYPERLINK("#",""), HYPERLINK(CONCATENATE("#Metadata!", ADDRESS(INDEX($Q$2:$Q$1001,MATCH(ROWS($O$2:O167),$O$2:$O$1001,0),0), INDEX($V$1004:$AE$1004,1,MATCH(COLUMNS($V$1006:X1006),$V$1006:$AE$1006,0)))),"Fix")))</f>
        <v>0</v>
      </c>
      <c r="E167" s="4">
        <f>IF(OR(INDEX($P$2:$P$1001,MATCH(ROWS($O$2:O167),$O$2:$O$1001,0),1)&gt;=100000,INDEX($V$1005:$AE$1005,1,MATCH(COLUMNS($V$1006:Y1006),$V$1006:$AE$1006,0))&gt;=100000), " ",IF(INDEX($V$2:$AE$1001,MATCH(ROWS($O$2:O167),$O$2:$O$1001,0),MATCH(COLUMNS($V$1006:Y1006),$V$1006:$AE$1006,0)), HYPERLINK("#",""), HYPERLINK(CONCATENATE("#Metadata!", ADDRESS(INDEX($Q$2:$Q$1001,MATCH(ROWS($O$2:O167),$O$2:$O$1001,0),0), INDEX($V$1004:$AE$1004,1,MATCH(COLUMNS($V$1006:Y1006),$V$1006:$AE$1006,0)))),"Fix")))</f>
        <v>0</v>
      </c>
      <c r="F167" s="4">
        <f>IF(OR(INDEX($P$2:$P$1001,MATCH(ROWS($O$2:O167),$O$2:$O$1001,0),1)&gt;=100000,INDEX($V$1005:$AE$1005,1,MATCH(COLUMNS($V$1006:Z1006),$V$1006:$AE$1006,0))&gt;=100000), " ",IF(INDEX($V$2:$AE$1001,MATCH(ROWS($O$2:O167),$O$2:$O$1001,0),MATCH(COLUMNS($V$1006:Z1006),$V$1006:$AE$1006,0)), HYPERLINK("#",""), HYPERLINK(CONCATENATE("#Metadata!", ADDRESS(INDEX($Q$2:$Q$1001,MATCH(ROWS($O$2:O167),$O$2:$O$1001,0),0), INDEX($V$1004:$AE$1004,1,MATCH(COLUMNS($V$1006:Z1006),$V$1006:$AE$1006,0)))),"Fix")))</f>
        <v>0</v>
      </c>
      <c r="G167" s="4">
        <f>IF(OR(INDEX($P$2:$P$1001,MATCH(ROWS($O$2:O167),$O$2:$O$1001,0),1)&gt;=100000,INDEX($V$1005:$AE$1005,1,MATCH(COLUMNS($V$1006:AA1006),$V$1006:$AE$1006,0))&gt;=100000), " ",IF(INDEX($V$2:$AE$1001,MATCH(ROWS($O$2:O167),$O$2:$O$1001,0),MATCH(COLUMNS($V$1006:AA1006),$V$1006:$AE$1006,0)), HYPERLINK("#",""), HYPERLINK(CONCATENATE("#Metadata!", ADDRESS(INDEX($Q$2:$Q$1001,MATCH(ROWS($O$2:O167),$O$2:$O$1001,0),0), INDEX($V$1004:$AE$1004,1,MATCH(COLUMNS($V$1006:AA1006),$V$1006:$AE$1006,0)))),"Fix")))</f>
        <v>0</v>
      </c>
      <c r="H167" s="4">
        <f>IF(OR(INDEX($P$2:$P$1001,MATCH(ROWS($O$2:O167),$O$2:$O$1001,0),1)&gt;=100000,INDEX($V$1005:$AE$1005,1,MATCH(COLUMNS($V$1006:AB1006),$V$1006:$AE$1006,0))&gt;=100000), " ",IF(INDEX($V$2:$AE$1001,MATCH(ROWS($O$2:O167),$O$2:$O$1001,0),MATCH(COLUMNS($V$1006:AB1006),$V$1006:$AE$1006,0)), HYPERLINK("#",""), HYPERLINK(CONCATENATE("#Metadata!", ADDRESS(INDEX($Q$2:$Q$1001,MATCH(ROWS($O$2:O167),$O$2:$O$1001,0),0), INDEX($V$1004:$AE$1004,1,MATCH(COLUMNS($V$1006:AB1006),$V$1006:$AE$1006,0)))),"Fix")))</f>
        <v>0</v>
      </c>
      <c r="I167" s="4">
        <f>IF(OR(INDEX($P$2:$P$1001,MATCH(ROWS($O$2:O167),$O$2:$O$1001,0),1)&gt;=100000,INDEX($V$1005:$AE$1005,1,MATCH(COLUMNS($V$1006:AC1006),$V$1006:$AE$1006,0))&gt;=100000), " ",IF(INDEX($V$2:$AE$1001,MATCH(ROWS($O$2:O167),$O$2:$O$1001,0),MATCH(COLUMNS($V$1006:AC1006),$V$1006:$AE$1006,0)), HYPERLINK("#",""), HYPERLINK(CONCATENATE("#Metadata!", ADDRESS(INDEX($Q$2:$Q$1001,MATCH(ROWS($O$2:O167),$O$2:$O$1001,0),0), INDEX($V$1004:$AE$1004,1,MATCH(COLUMNS($V$1006:AC1006),$V$1006:$AE$1006,0)))),"Fix")))</f>
        <v>0</v>
      </c>
      <c r="J167" s="4">
        <f>IF(OR(INDEX($P$2:$P$1001,MATCH(ROWS($O$2:O167),$O$2:$O$1001,0),1)&gt;=100000,INDEX($V$1005:$AE$1005,1,MATCH(COLUMNS($V$1006:AD1006),$V$1006:$AE$1006,0))&gt;=100000), " ",IF(INDEX($V$2:$AE$1001,MATCH(ROWS($O$2:O167),$O$2:$O$1001,0),MATCH(COLUMNS($V$1006:AD1006),$V$1006:$AE$1006,0)), HYPERLINK("#",""), HYPERLINK(CONCATENATE("#Metadata!", ADDRESS(INDEX($Q$2:$Q$1001,MATCH(ROWS($O$2:O167),$O$2:$O$1001,0),0), INDEX($V$1004:$AE$1004,1,MATCH(COLUMNS($V$1006:AD1006),$V$1006:$AE$1006,0)))),"Fix")))</f>
        <v>0</v>
      </c>
      <c r="K167" s="4">
        <f>IF(OR(INDEX($P$2:$P$1001,MATCH(ROWS($O$2:O167),$O$2:$O$1001,0),1)&gt;=100000,INDEX($V$1005:$AE$1005,1,MATCH(COLUMNS($V$1006:AE1006),$V$1006:$AE$1006,0))&gt;=100000), " ",IF(INDEX($V$2:$AE$1001,MATCH(ROWS($O$2:O167),$O$2:$O$1001,0),MATCH(COLUMNS($V$1006:AE1006),$V$1006:$AE$1006,0)), HYPERLINK("#",""), HYPERLINK(CONCATENATE("#Metadata!", ADDRESS(INDEX($Q$2:$Q$1001,MATCH(ROWS($O$2:O167),$O$2:$O$1001,0),0), INDEX($V$1004:$AE$1004,1,MATCH(COLUMNS($V$1006:AE1006),$V$1006:$AE$1006,0)))),"Fix")))</f>
        <v>0</v>
      </c>
      <c r="O167">
        <v>0</v>
      </c>
      <c r="P167">
        <v>0</v>
      </c>
      <c r="Q167">
        <v>0</v>
      </c>
      <c r="R167">
        <f>IF(S167,TRUE,AND(V167:AE167))</f>
        <v>0</v>
      </c>
      <c r="S167">
        <f>COUNTBLANK(Metadata!B167:K167)=COLUMNS(Metadata!B167:K167)</f>
        <v>0</v>
      </c>
      <c r="T167">
        <v>0</v>
      </c>
      <c r="V167">
        <f>AND(IF(Metadata!B167="",FALSE,TRUE),COUNTIF(Metadata!B:B, Metadata!B167) = 1,NOT(ISERROR(SUMPRODUCT(SEARCH(MID(Metadata!B167,ROW(INDIRECT("1:"&amp;LEN(Metadata!B167))), 1),"0123456789abcdefghijklmnopqrstuvwxyzABCDEFGHIJKLMNOPQRSTUVWXYZ.")))))</f>
        <v>0</v>
      </c>
      <c r="W167">
        <f>AND(IF(Metadata!C167="",FALSE,TRUE),exact(Metadata!C167,"urban biome"))</f>
        <v>0</v>
      </c>
      <c r="X167">
        <f>AND(IF(Metadata!D167="",FALSE,TRUE),exact(Metadata!D167,"animal-associated habitat"))</f>
        <v>0</v>
      </c>
      <c r="Y167">
        <f>OR(AND(IF(Metadata!E167="",FALSE,TRUE),OR(exact(Metadata!E167,"not applicable"),exact(Metadata!E167,"missing: not collected"),exact(Metadata!E167,"missing: not provided"),exact(Metadata!E167,"missing: restricted access"))),AND(IF(Metadata!E167="",FALSE,ISNUMBER(VALUE(Metadata!E167))),Metadata!E167&gt;0))</f>
        <v>0</v>
      </c>
      <c r="Z167">
        <f>AND(IF(Metadata!F167="",FALSE,TRUE),exact(Metadata!F167,"weeks"))</f>
        <v>0</v>
      </c>
      <c r="AA167">
        <f>AND(IF(Metadata!G167="",FALSE,TRUE),exact(Metadata!G167,"mouse"))</f>
        <v>0</v>
      </c>
      <c r="AB167">
        <f>AND(IF(Metadata!H167="",FALSE,TRUE),exact(Metadata!H167,"Mus musculus"))</f>
        <v>0</v>
      </c>
      <c r="AC167">
        <f>AND(IF(Metadata!I167="",FALSE,TRUE),exact(Metadata!I167,"10090"))</f>
        <v>0</v>
      </c>
      <c r="AD167">
        <f>OR(AND(IF(Metadata!J167="",FALSE,TRUE),OR(exact(Metadata!J167,"not applicable"),exact(Metadata!J167,"missing: not collected"),exact(Metadata!J167,"missing: not provided"),exact(Metadata!J167,"missing: restricted access"))),AND(IF(Metadata!J167="",FALSE,ISNUMBER(VALUE(Metadata!J167))),Metadata!J167&gt;0))</f>
        <v>0</v>
      </c>
      <c r="AE167">
        <f>AND(IF(Metadata!K167="",FALSE,TRUE),exact(Metadata!K167,"g"))</f>
        <v>0</v>
      </c>
    </row>
    <row r="168" spans="1:31">
      <c r="A168" s="5">
        <f>IF(B168=" "," ",HYPERLINK(CONCATENATE("#metadata!",ADDRESS(INDEX($Q$2:$Q$1001,MATCH(ROWS($O$2:O168),$O$2:$O$1001,0),0),1)),INDEX($T$2:$T$1001,MATCH(ROWS($O$2:O168),$O$2:$O$1001,0),0)))</f>
        <v>0</v>
      </c>
      <c r="B168" s="4">
        <f>IF(OR(INDEX($P$2:$P$1001,MATCH(ROWS($O$2:O168),$O$2:$O$1001,0),1)&gt;=100000,INDEX($V$1005:$AE$1005,1,MATCH(COLUMNS($V$1006:V1006),$V$1006:$AE$1006,0))&gt;=100000), " ",IF(INDEX($V$2:$AE$1001,MATCH(ROWS($O$2:O168),$O$2:$O$1001,0),MATCH(COLUMNS($V$1006:V1006),$V$1006:$AE$1006,0)), HYPERLINK("#",""), HYPERLINK(CONCATENATE("#Metadata!", ADDRESS(INDEX($Q$2:$Q$1001,MATCH(ROWS($O$2:O168),$O$2:$O$1001,0),0), INDEX($V$1004:$AE$1004,1,MATCH(COLUMNS($V$1006:V1006),$V$1006:$AE$1006,0)))),"Fix")))</f>
        <v>0</v>
      </c>
      <c r="C168" s="4">
        <f>IF(OR(INDEX($P$2:$P$1001,MATCH(ROWS($O$2:O168),$O$2:$O$1001,0),1)&gt;=100000,INDEX($V$1005:$AE$1005,1,MATCH(COLUMNS($V$1006:W1006),$V$1006:$AE$1006,0))&gt;=100000), " ",IF(INDEX($V$2:$AE$1001,MATCH(ROWS($O$2:O168),$O$2:$O$1001,0),MATCH(COLUMNS($V$1006:W1006),$V$1006:$AE$1006,0)), HYPERLINK("#",""), HYPERLINK(CONCATENATE("#Metadata!", ADDRESS(INDEX($Q$2:$Q$1001,MATCH(ROWS($O$2:O168),$O$2:$O$1001,0),0), INDEX($V$1004:$AE$1004,1,MATCH(COLUMNS($V$1006:W1006),$V$1006:$AE$1006,0)))),"Fix")))</f>
        <v>0</v>
      </c>
      <c r="D168" s="4">
        <f>IF(OR(INDEX($P$2:$P$1001,MATCH(ROWS($O$2:O168),$O$2:$O$1001,0),1)&gt;=100000,INDEX($V$1005:$AE$1005,1,MATCH(COLUMNS($V$1006:X1006),$V$1006:$AE$1006,0))&gt;=100000), " ",IF(INDEX($V$2:$AE$1001,MATCH(ROWS($O$2:O168),$O$2:$O$1001,0),MATCH(COLUMNS($V$1006:X1006),$V$1006:$AE$1006,0)), HYPERLINK("#",""), HYPERLINK(CONCATENATE("#Metadata!", ADDRESS(INDEX($Q$2:$Q$1001,MATCH(ROWS($O$2:O168),$O$2:$O$1001,0),0), INDEX($V$1004:$AE$1004,1,MATCH(COLUMNS($V$1006:X1006),$V$1006:$AE$1006,0)))),"Fix")))</f>
        <v>0</v>
      </c>
      <c r="E168" s="4">
        <f>IF(OR(INDEX($P$2:$P$1001,MATCH(ROWS($O$2:O168),$O$2:$O$1001,0),1)&gt;=100000,INDEX($V$1005:$AE$1005,1,MATCH(COLUMNS($V$1006:Y1006),$V$1006:$AE$1006,0))&gt;=100000), " ",IF(INDEX($V$2:$AE$1001,MATCH(ROWS($O$2:O168),$O$2:$O$1001,0),MATCH(COLUMNS($V$1006:Y1006),$V$1006:$AE$1006,0)), HYPERLINK("#",""), HYPERLINK(CONCATENATE("#Metadata!", ADDRESS(INDEX($Q$2:$Q$1001,MATCH(ROWS($O$2:O168),$O$2:$O$1001,0),0), INDEX($V$1004:$AE$1004,1,MATCH(COLUMNS($V$1006:Y1006),$V$1006:$AE$1006,0)))),"Fix")))</f>
        <v>0</v>
      </c>
      <c r="F168" s="4">
        <f>IF(OR(INDEX($P$2:$P$1001,MATCH(ROWS($O$2:O168),$O$2:$O$1001,0),1)&gt;=100000,INDEX($V$1005:$AE$1005,1,MATCH(COLUMNS($V$1006:Z1006),$V$1006:$AE$1006,0))&gt;=100000), " ",IF(INDEX($V$2:$AE$1001,MATCH(ROWS($O$2:O168),$O$2:$O$1001,0),MATCH(COLUMNS($V$1006:Z1006),$V$1006:$AE$1006,0)), HYPERLINK("#",""), HYPERLINK(CONCATENATE("#Metadata!", ADDRESS(INDEX($Q$2:$Q$1001,MATCH(ROWS($O$2:O168),$O$2:$O$1001,0),0), INDEX($V$1004:$AE$1004,1,MATCH(COLUMNS($V$1006:Z1006),$V$1006:$AE$1006,0)))),"Fix")))</f>
        <v>0</v>
      </c>
      <c r="G168" s="4">
        <f>IF(OR(INDEX($P$2:$P$1001,MATCH(ROWS($O$2:O168),$O$2:$O$1001,0),1)&gt;=100000,INDEX($V$1005:$AE$1005,1,MATCH(COLUMNS($V$1006:AA1006),$V$1006:$AE$1006,0))&gt;=100000), " ",IF(INDEX($V$2:$AE$1001,MATCH(ROWS($O$2:O168),$O$2:$O$1001,0),MATCH(COLUMNS($V$1006:AA1006),$V$1006:$AE$1006,0)), HYPERLINK("#",""), HYPERLINK(CONCATENATE("#Metadata!", ADDRESS(INDEX($Q$2:$Q$1001,MATCH(ROWS($O$2:O168),$O$2:$O$1001,0),0), INDEX($V$1004:$AE$1004,1,MATCH(COLUMNS($V$1006:AA1006),$V$1006:$AE$1006,0)))),"Fix")))</f>
        <v>0</v>
      </c>
      <c r="H168" s="4">
        <f>IF(OR(INDEX($P$2:$P$1001,MATCH(ROWS($O$2:O168),$O$2:$O$1001,0),1)&gt;=100000,INDEX($V$1005:$AE$1005,1,MATCH(COLUMNS($V$1006:AB1006),$V$1006:$AE$1006,0))&gt;=100000), " ",IF(INDEX($V$2:$AE$1001,MATCH(ROWS($O$2:O168),$O$2:$O$1001,0),MATCH(COLUMNS($V$1006:AB1006),$V$1006:$AE$1006,0)), HYPERLINK("#",""), HYPERLINK(CONCATENATE("#Metadata!", ADDRESS(INDEX($Q$2:$Q$1001,MATCH(ROWS($O$2:O168),$O$2:$O$1001,0),0), INDEX($V$1004:$AE$1004,1,MATCH(COLUMNS($V$1006:AB1006),$V$1006:$AE$1006,0)))),"Fix")))</f>
        <v>0</v>
      </c>
      <c r="I168" s="4">
        <f>IF(OR(INDEX($P$2:$P$1001,MATCH(ROWS($O$2:O168),$O$2:$O$1001,0),1)&gt;=100000,INDEX($V$1005:$AE$1005,1,MATCH(COLUMNS($V$1006:AC1006),$V$1006:$AE$1006,0))&gt;=100000), " ",IF(INDEX($V$2:$AE$1001,MATCH(ROWS($O$2:O168),$O$2:$O$1001,0),MATCH(COLUMNS($V$1006:AC1006),$V$1006:$AE$1006,0)), HYPERLINK("#",""), HYPERLINK(CONCATENATE("#Metadata!", ADDRESS(INDEX($Q$2:$Q$1001,MATCH(ROWS($O$2:O168),$O$2:$O$1001,0),0), INDEX($V$1004:$AE$1004,1,MATCH(COLUMNS($V$1006:AC1006),$V$1006:$AE$1006,0)))),"Fix")))</f>
        <v>0</v>
      </c>
      <c r="J168" s="4">
        <f>IF(OR(INDEX($P$2:$P$1001,MATCH(ROWS($O$2:O168),$O$2:$O$1001,0),1)&gt;=100000,INDEX($V$1005:$AE$1005,1,MATCH(COLUMNS($V$1006:AD1006),$V$1006:$AE$1006,0))&gt;=100000), " ",IF(INDEX($V$2:$AE$1001,MATCH(ROWS($O$2:O168),$O$2:$O$1001,0),MATCH(COLUMNS($V$1006:AD1006),$V$1006:$AE$1006,0)), HYPERLINK("#",""), HYPERLINK(CONCATENATE("#Metadata!", ADDRESS(INDEX($Q$2:$Q$1001,MATCH(ROWS($O$2:O168),$O$2:$O$1001,0),0), INDEX($V$1004:$AE$1004,1,MATCH(COLUMNS($V$1006:AD1006),$V$1006:$AE$1006,0)))),"Fix")))</f>
        <v>0</v>
      </c>
      <c r="K168" s="4">
        <f>IF(OR(INDEX($P$2:$P$1001,MATCH(ROWS($O$2:O168),$O$2:$O$1001,0),1)&gt;=100000,INDEX($V$1005:$AE$1005,1,MATCH(COLUMNS($V$1006:AE1006),$V$1006:$AE$1006,0))&gt;=100000), " ",IF(INDEX($V$2:$AE$1001,MATCH(ROWS($O$2:O168),$O$2:$O$1001,0),MATCH(COLUMNS($V$1006:AE1006),$V$1006:$AE$1006,0)), HYPERLINK("#",""), HYPERLINK(CONCATENATE("#Metadata!", ADDRESS(INDEX($Q$2:$Q$1001,MATCH(ROWS($O$2:O168),$O$2:$O$1001,0),0), INDEX($V$1004:$AE$1004,1,MATCH(COLUMNS($V$1006:AE1006),$V$1006:$AE$1006,0)))),"Fix")))</f>
        <v>0</v>
      </c>
      <c r="O168">
        <v>0</v>
      </c>
      <c r="P168">
        <v>0</v>
      </c>
      <c r="Q168">
        <v>0</v>
      </c>
      <c r="R168">
        <f>IF(S168,TRUE,AND(V168:AE168))</f>
        <v>0</v>
      </c>
      <c r="S168">
        <f>COUNTBLANK(Metadata!B168:K168)=COLUMNS(Metadata!B168:K168)</f>
        <v>0</v>
      </c>
      <c r="T168">
        <v>0</v>
      </c>
      <c r="V168">
        <f>AND(IF(Metadata!B168="",FALSE,TRUE),COUNTIF(Metadata!B:B, Metadata!B168) = 1,NOT(ISERROR(SUMPRODUCT(SEARCH(MID(Metadata!B168,ROW(INDIRECT("1:"&amp;LEN(Metadata!B168))), 1),"0123456789abcdefghijklmnopqrstuvwxyzABCDEFGHIJKLMNOPQRSTUVWXYZ.")))))</f>
        <v>0</v>
      </c>
      <c r="W168">
        <f>AND(IF(Metadata!C168="",FALSE,TRUE),exact(Metadata!C168,"urban biome"))</f>
        <v>0</v>
      </c>
      <c r="X168">
        <f>AND(IF(Metadata!D168="",FALSE,TRUE),exact(Metadata!D168,"animal-associated habitat"))</f>
        <v>0</v>
      </c>
      <c r="Y168">
        <f>OR(AND(IF(Metadata!E168="",FALSE,TRUE),OR(exact(Metadata!E168,"not applicable"),exact(Metadata!E168,"missing: not collected"),exact(Metadata!E168,"missing: not provided"),exact(Metadata!E168,"missing: restricted access"))),AND(IF(Metadata!E168="",FALSE,ISNUMBER(VALUE(Metadata!E168))),Metadata!E168&gt;0))</f>
        <v>0</v>
      </c>
      <c r="Z168">
        <f>AND(IF(Metadata!F168="",FALSE,TRUE),exact(Metadata!F168,"weeks"))</f>
        <v>0</v>
      </c>
      <c r="AA168">
        <f>AND(IF(Metadata!G168="",FALSE,TRUE),exact(Metadata!G168,"mouse"))</f>
        <v>0</v>
      </c>
      <c r="AB168">
        <f>AND(IF(Metadata!H168="",FALSE,TRUE),exact(Metadata!H168,"Mus musculus"))</f>
        <v>0</v>
      </c>
      <c r="AC168">
        <f>AND(IF(Metadata!I168="",FALSE,TRUE),exact(Metadata!I168,"10090"))</f>
        <v>0</v>
      </c>
      <c r="AD168">
        <f>OR(AND(IF(Metadata!J168="",FALSE,TRUE),OR(exact(Metadata!J168,"not applicable"),exact(Metadata!J168,"missing: not collected"),exact(Metadata!J168,"missing: not provided"),exact(Metadata!J168,"missing: restricted access"))),AND(IF(Metadata!J168="",FALSE,ISNUMBER(VALUE(Metadata!J168))),Metadata!J168&gt;0))</f>
        <v>0</v>
      </c>
      <c r="AE168">
        <f>AND(IF(Metadata!K168="",FALSE,TRUE),exact(Metadata!K168,"g"))</f>
        <v>0</v>
      </c>
    </row>
    <row r="169" spans="1:31">
      <c r="A169" s="5">
        <f>IF(B169=" "," ",HYPERLINK(CONCATENATE("#metadata!",ADDRESS(INDEX($Q$2:$Q$1001,MATCH(ROWS($O$2:O169),$O$2:$O$1001,0),0),1)),INDEX($T$2:$T$1001,MATCH(ROWS($O$2:O169),$O$2:$O$1001,0),0)))</f>
        <v>0</v>
      </c>
      <c r="B169" s="4">
        <f>IF(OR(INDEX($P$2:$P$1001,MATCH(ROWS($O$2:O169),$O$2:$O$1001,0),1)&gt;=100000,INDEX($V$1005:$AE$1005,1,MATCH(COLUMNS($V$1006:V1006),$V$1006:$AE$1006,0))&gt;=100000), " ",IF(INDEX($V$2:$AE$1001,MATCH(ROWS($O$2:O169),$O$2:$O$1001,0),MATCH(COLUMNS($V$1006:V1006),$V$1006:$AE$1006,0)), HYPERLINK("#",""), HYPERLINK(CONCATENATE("#Metadata!", ADDRESS(INDEX($Q$2:$Q$1001,MATCH(ROWS($O$2:O169),$O$2:$O$1001,0),0), INDEX($V$1004:$AE$1004,1,MATCH(COLUMNS($V$1006:V1006),$V$1006:$AE$1006,0)))),"Fix")))</f>
        <v>0</v>
      </c>
      <c r="C169" s="4">
        <f>IF(OR(INDEX($P$2:$P$1001,MATCH(ROWS($O$2:O169),$O$2:$O$1001,0),1)&gt;=100000,INDEX($V$1005:$AE$1005,1,MATCH(COLUMNS($V$1006:W1006),$V$1006:$AE$1006,0))&gt;=100000), " ",IF(INDEX($V$2:$AE$1001,MATCH(ROWS($O$2:O169),$O$2:$O$1001,0),MATCH(COLUMNS($V$1006:W1006),$V$1006:$AE$1006,0)), HYPERLINK("#",""), HYPERLINK(CONCATENATE("#Metadata!", ADDRESS(INDEX($Q$2:$Q$1001,MATCH(ROWS($O$2:O169),$O$2:$O$1001,0),0), INDEX($V$1004:$AE$1004,1,MATCH(COLUMNS($V$1006:W1006),$V$1006:$AE$1006,0)))),"Fix")))</f>
        <v>0</v>
      </c>
      <c r="D169" s="4">
        <f>IF(OR(INDEX($P$2:$P$1001,MATCH(ROWS($O$2:O169),$O$2:$O$1001,0),1)&gt;=100000,INDEX($V$1005:$AE$1005,1,MATCH(COLUMNS($V$1006:X1006),$V$1006:$AE$1006,0))&gt;=100000), " ",IF(INDEX($V$2:$AE$1001,MATCH(ROWS($O$2:O169),$O$2:$O$1001,0),MATCH(COLUMNS($V$1006:X1006),$V$1006:$AE$1006,0)), HYPERLINK("#",""), HYPERLINK(CONCATENATE("#Metadata!", ADDRESS(INDEX($Q$2:$Q$1001,MATCH(ROWS($O$2:O169),$O$2:$O$1001,0),0), INDEX($V$1004:$AE$1004,1,MATCH(COLUMNS($V$1006:X1006),$V$1006:$AE$1006,0)))),"Fix")))</f>
        <v>0</v>
      </c>
      <c r="E169" s="4">
        <f>IF(OR(INDEX($P$2:$P$1001,MATCH(ROWS($O$2:O169),$O$2:$O$1001,0),1)&gt;=100000,INDEX($V$1005:$AE$1005,1,MATCH(COLUMNS($V$1006:Y1006),$V$1006:$AE$1006,0))&gt;=100000), " ",IF(INDEX($V$2:$AE$1001,MATCH(ROWS($O$2:O169),$O$2:$O$1001,0),MATCH(COLUMNS($V$1006:Y1006),$V$1006:$AE$1006,0)), HYPERLINK("#",""), HYPERLINK(CONCATENATE("#Metadata!", ADDRESS(INDEX($Q$2:$Q$1001,MATCH(ROWS($O$2:O169),$O$2:$O$1001,0),0), INDEX($V$1004:$AE$1004,1,MATCH(COLUMNS($V$1006:Y1006),$V$1006:$AE$1006,0)))),"Fix")))</f>
        <v>0</v>
      </c>
      <c r="F169" s="4">
        <f>IF(OR(INDEX($P$2:$P$1001,MATCH(ROWS($O$2:O169),$O$2:$O$1001,0),1)&gt;=100000,INDEX($V$1005:$AE$1005,1,MATCH(COLUMNS($V$1006:Z1006),$V$1006:$AE$1006,0))&gt;=100000), " ",IF(INDEX($V$2:$AE$1001,MATCH(ROWS($O$2:O169),$O$2:$O$1001,0),MATCH(COLUMNS($V$1006:Z1006),$V$1006:$AE$1006,0)), HYPERLINK("#",""), HYPERLINK(CONCATENATE("#Metadata!", ADDRESS(INDEX($Q$2:$Q$1001,MATCH(ROWS($O$2:O169),$O$2:$O$1001,0),0), INDEX($V$1004:$AE$1004,1,MATCH(COLUMNS($V$1006:Z1006),$V$1006:$AE$1006,0)))),"Fix")))</f>
        <v>0</v>
      </c>
      <c r="G169" s="4">
        <f>IF(OR(INDEX($P$2:$P$1001,MATCH(ROWS($O$2:O169),$O$2:$O$1001,0),1)&gt;=100000,INDEX($V$1005:$AE$1005,1,MATCH(COLUMNS($V$1006:AA1006),$V$1006:$AE$1006,0))&gt;=100000), " ",IF(INDEX($V$2:$AE$1001,MATCH(ROWS($O$2:O169),$O$2:$O$1001,0),MATCH(COLUMNS($V$1006:AA1006),$V$1006:$AE$1006,0)), HYPERLINK("#",""), HYPERLINK(CONCATENATE("#Metadata!", ADDRESS(INDEX($Q$2:$Q$1001,MATCH(ROWS($O$2:O169),$O$2:$O$1001,0),0), INDEX($V$1004:$AE$1004,1,MATCH(COLUMNS($V$1006:AA1006),$V$1006:$AE$1006,0)))),"Fix")))</f>
        <v>0</v>
      </c>
      <c r="H169" s="4">
        <f>IF(OR(INDEX($P$2:$P$1001,MATCH(ROWS($O$2:O169),$O$2:$O$1001,0),1)&gt;=100000,INDEX($V$1005:$AE$1005,1,MATCH(COLUMNS($V$1006:AB1006),$V$1006:$AE$1006,0))&gt;=100000), " ",IF(INDEX($V$2:$AE$1001,MATCH(ROWS($O$2:O169),$O$2:$O$1001,0),MATCH(COLUMNS($V$1006:AB1006),$V$1006:$AE$1006,0)), HYPERLINK("#",""), HYPERLINK(CONCATENATE("#Metadata!", ADDRESS(INDEX($Q$2:$Q$1001,MATCH(ROWS($O$2:O169),$O$2:$O$1001,0),0), INDEX($V$1004:$AE$1004,1,MATCH(COLUMNS($V$1006:AB1006),$V$1006:$AE$1006,0)))),"Fix")))</f>
        <v>0</v>
      </c>
      <c r="I169" s="4">
        <f>IF(OR(INDEX($P$2:$P$1001,MATCH(ROWS($O$2:O169),$O$2:$O$1001,0),1)&gt;=100000,INDEX($V$1005:$AE$1005,1,MATCH(COLUMNS($V$1006:AC1006),$V$1006:$AE$1006,0))&gt;=100000), " ",IF(INDEX($V$2:$AE$1001,MATCH(ROWS($O$2:O169),$O$2:$O$1001,0),MATCH(COLUMNS($V$1006:AC1006),$V$1006:$AE$1006,0)), HYPERLINK("#",""), HYPERLINK(CONCATENATE("#Metadata!", ADDRESS(INDEX($Q$2:$Q$1001,MATCH(ROWS($O$2:O169),$O$2:$O$1001,0),0), INDEX($V$1004:$AE$1004,1,MATCH(COLUMNS($V$1006:AC1006),$V$1006:$AE$1006,0)))),"Fix")))</f>
        <v>0</v>
      </c>
      <c r="J169" s="4">
        <f>IF(OR(INDEX($P$2:$P$1001,MATCH(ROWS($O$2:O169),$O$2:$O$1001,0),1)&gt;=100000,INDEX($V$1005:$AE$1005,1,MATCH(COLUMNS($V$1006:AD1006),$V$1006:$AE$1006,0))&gt;=100000), " ",IF(INDEX($V$2:$AE$1001,MATCH(ROWS($O$2:O169),$O$2:$O$1001,0),MATCH(COLUMNS($V$1006:AD1006),$V$1006:$AE$1006,0)), HYPERLINK("#",""), HYPERLINK(CONCATENATE("#Metadata!", ADDRESS(INDEX($Q$2:$Q$1001,MATCH(ROWS($O$2:O169),$O$2:$O$1001,0),0), INDEX($V$1004:$AE$1004,1,MATCH(COLUMNS($V$1006:AD1006),$V$1006:$AE$1006,0)))),"Fix")))</f>
        <v>0</v>
      </c>
      <c r="K169" s="4">
        <f>IF(OR(INDEX($P$2:$P$1001,MATCH(ROWS($O$2:O169),$O$2:$O$1001,0),1)&gt;=100000,INDEX($V$1005:$AE$1005,1,MATCH(COLUMNS($V$1006:AE1006),$V$1006:$AE$1006,0))&gt;=100000), " ",IF(INDEX($V$2:$AE$1001,MATCH(ROWS($O$2:O169),$O$2:$O$1001,0),MATCH(COLUMNS($V$1006:AE1006),$V$1006:$AE$1006,0)), HYPERLINK("#",""), HYPERLINK(CONCATENATE("#Metadata!", ADDRESS(INDEX($Q$2:$Q$1001,MATCH(ROWS($O$2:O169),$O$2:$O$1001,0),0), INDEX($V$1004:$AE$1004,1,MATCH(COLUMNS($V$1006:AE1006),$V$1006:$AE$1006,0)))),"Fix")))</f>
        <v>0</v>
      </c>
      <c r="O169">
        <v>0</v>
      </c>
      <c r="P169">
        <v>0</v>
      </c>
      <c r="Q169">
        <v>0</v>
      </c>
      <c r="R169">
        <f>IF(S169,TRUE,AND(V169:AE169))</f>
        <v>0</v>
      </c>
      <c r="S169">
        <f>COUNTBLANK(Metadata!B169:K169)=COLUMNS(Metadata!B169:K169)</f>
        <v>0</v>
      </c>
      <c r="T169">
        <v>0</v>
      </c>
      <c r="V169">
        <f>AND(IF(Metadata!B169="",FALSE,TRUE),COUNTIF(Metadata!B:B, Metadata!B169) = 1,NOT(ISERROR(SUMPRODUCT(SEARCH(MID(Metadata!B169,ROW(INDIRECT("1:"&amp;LEN(Metadata!B169))), 1),"0123456789abcdefghijklmnopqrstuvwxyzABCDEFGHIJKLMNOPQRSTUVWXYZ.")))))</f>
        <v>0</v>
      </c>
      <c r="W169">
        <f>AND(IF(Metadata!C169="",FALSE,TRUE),exact(Metadata!C169,"urban biome"))</f>
        <v>0</v>
      </c>
      <c r="X169">
        <f>AND(IF(Metadata!D169="",FALSE,TRUE),exact(Metadata!D169,"animal-associated habitat"))</f>
        <v>0</v>
      </c>
      <c r="Y169">
        <f>OR(AND(IF(Metadata!E169="",FALSE,TRUE),OR(exact(Metadata!E169,"not applicable"),exact(Metadata!E169,"missing: not collected"),exact(Metadata!E169,"missing: not provided"),exact(Metadata!E169,"missing: restricted access"))),AND(IF(Metadata!E169="",FALSE,ISNUMBER(VALUE(Metadata!E169))),Metadata!E169&gt;0))</f>
        <v>0</v>
      </c>
      <c r="Z169">
        <f>AND(IF(Metadata!F169="",FALSE,TRUE),exact(Metadata!F169,"weeks"))</f>
        <v>0</v>
      </c>
      <c r="AA169">
        <f>AND(IF(Metadata!G169="",FALSE,TRUE),exact(Metadata!G169,"mouse"))</f>
        <v>0</v>
      </c>
      <c r="AB169">
        <f>AND(IF(Metadata!H169="",FALSE,TRUE),exact(Metadata!H169,"Mus musculus"))</f>
        <v>0</v>
      </c>
      <c r="AC169">
        <f>AND(IF(Metadata!I169="",FALSE,TRUE),exact(Metadata!I169,"10090"))</f>
        <v>0</v>
      </c>
      <c r="AD169">
        <f>OR(AND(IF(Metadata!J169="",FALSE,TRUE),OR(exact(Metadata!J169,"not applicable"),exact(Metadata!J169,"missing: not collected"),exact(Metadata!J169,"missing: not provided"),exact(Metadata!J169,"missing: restricted access"))),AND(IF(Metadata!J169="",FALSE,ISNUMBER(VALUE(Metadata!J169))),Metadata!J169&gt;0))</f>
        <v>0</v>
      </c>
      <c r="AE169">
        <f>AND(IF(Metadata!K169="",FALSE,TRUE),exact(Metadata!K169,"g"))</f>
        <v>0</v>
      </c>
    </row>
    <row r="170" spans="1:31">
      <c r="A170" s="5">
        <f>IF(B170=" "," ",HYPERLINK(CONCATENATE("#metadata!",ADDRESS(INDEX($Q$2:$Q$1001,MATCH(ROWS($O$2:O170),$O$2:$O$1001,0),0),1)),INDEX($T$2:$T$1001,MATCH(ROWS($O$2:O170),$O$2:$O$1001,0),0)))</f>
        <v>0</v>
      </c>
      <c r="B170" s="4">
        <f>IF(OR(INDEX($P$2:$P$1001,MATCH(ROWS($O$2:O170),$O$2:$O$1001,0),1)&gt;=100000,INDEX($V$1005:$AE$1005,1,MATCH(COLUMNS($V$1006:V1006),$V$1006:$AE$1006,0))&gt;=100000), " ",IF(INDEX($V$2:$AE$1001,MATCH(ROWS($O$2:O170),$O$2:$O$1001,0),MATCH(COLUMNS($V$1006:V1006),$V$1006:$AE$1006,0)), HYPERLINK("#",""), HYPERLINK(CONCATENATE("#Metadata!", ADDRESS(INDEX($Q$2:$Q$1001,MATCH(ROWS($O$2:O170),$O$2:$O$1001,0),0), INDEX($V$1004:$AE$1004,1,MATCH(COLUMNS($V$1006:V1006),$V$1006:$AE$1006,0)))),"Fix")))</f>
        <v>0</v>
      </c>
      <c r="C170" s="4">
        <f>IF(OR(INDEX($P$2:$P$1001,MATCH(ROWS($O$2:O170),$O$2:$O$1001,0),1)&gt;=100000,INDEX($V$1005:$AE$1005,1,MATCH(COLUMNS($V$1006:W1006),$V$1006:$AE$1006,0))&gt;=100000), " ",IF(INDEX($V$2:$AE$1001,MATCH(ROWS($O$2:O170),$O$2:$O$1001,0),MATCH(COLUMNS($V$1006:W1006),$V$1006:$AE$1006,0)), HYPERLINK("#",""), HYPERLINK(CONCATENATE("#Metadata!", ADDRESS(INDEX($Q$2:$Q$1001,MATCH(ROWS($O$2:O170),$O$2:$O$1001,0),0), INDEX($V$1004:$AE$1004,1,MATCH(COLUMNS($V$1006:W1006),$V$1006:$AE$1006,0)))),"Fix")))</f>
        <v>0</v>
      </c>
      <c r="D170" s="4">
        <f>IF(OR(INDEX($P$2:$P$1001,MATCH(ROWS($O$2:O170),$O$2:$O$1001,0),1)&gt;=100000,INDEX($V$1005:$AE$1005,1,MATCH(COLUMNS($V$1006:X1006),$V$1006:$AE$1006,0))&gt;=100000), " ",IF(INDEX($V$2:$AE$1001,MATCH(ROWS($O$2:O170),$O$2:$O$1001,0),MATCH(COLUMNS($V$1006:X1006),$V$1006:$AE$1006,0)), HYPERLINK("#",""), HYPERLINK(CONCATENATE("#Metadata!", ADDRESS(INDEX($Q$2:$Q$1001,MATCH(ROWS($O$2:O170),$O$2:$O$1001,0),0), INDEX($V$1004:$AE$1004,1,MATCH(COLUMNS($V$1006:X1006),$V$1006:$AE$1006,0)))),"Fix")))</f>
        <v>0</v>
      </c>
      <c r="E170" s="4">
        <f>IF(OR(INDEX($P$2:$P$1001,MATCH(ROWS($O$2:O170),$O$2:$O$1001,0),1)&gt;=100000,INDEX($V$1005:$AE$1005,1,MATCH(COLUMNS($V$1006:Y1006),$V$1006:$AE$1006,0))&gt;=100000), " ",IF(INDEX($V$2:$AE$1001,MATCH(ROWS($O$2:O170),$O$2:$O$1001,0),MATCH(COLUMNS($V$1006:Y1006),$V$1006:$AE$1006,0)), HYPERLINK("#",""), HYPERLINK(CONCATENATE("#Metadata!", ADDRESS(INDEX($Q$2:$Q$1001,MATCH(ROWS($O$2:O170),$O$2:$O$1001,0),0), INDEX($V$1004:$AE$1004,1,MATCH(COLUMNS($V$1006:Y1006),$V$1006:$AE$1006,0)))),"Fix")))</f>
        <v>0</v>
      </c>
      <c r="F170" s="4">
        <f>IF(OR(INDEX($P$2:$P$1001,MATCH(ROWS($O$2:O170),$O$2:$O$1001,0),1)&gt;=100000,INDEX($V$1005:$AE$1005,1,MATCH(COLUMNS($V$1006:Z1006),$V$1006:$AE$1006,0))&gt;=100000), " ",IF(INDEX($V$2:$AE$1001,MATCH(ROWS($O$2:O170),$O$2:$O$1001,0),MATCH(COLUMNS($V$1006:Z1006),$V$1006:$AE$1006,0)), HYPERLINK("#",""), HYPERLINK(CONCATENATE("#Metadata!", ADDRESS(INDEX($Q$2:$Q$1001,MATCH(ROWS($O$2:O170),$O$2:$O$1001,0),0), INDEX($V$1004:$AE$1004,1,MATCH(COLUMNS($V$1006:Z1006),$V$1006:$AE$1006,0)))),"Fix")))</f>
        <v>0</v>
      </c>
      <c r="G170" s="4">
        <f>IF(OR(INDEX($P$2:$P$1001,MATCH(ROWS($O$2:O170),$O$2:$O$1001,0),1)&gt;=100000,INDEX($V$1005:$AE$1005,1,MATCH(COLUMNS($V$1006:AA1006),$V$1006:$AE$1006,0))&gt;=100000), " ",IF(INDEX($V$2:$AE$1001,MATCH(ROWS($O$2:O170),$O$2:$O$1001,0),MATCH(COLUMNS($V$1006:AA1006),$V$1006:$AE$1006,0)), HYPERLINK("#",""), HYPERLINK(CONCATENATE("#Metadata!", ADDRESS(INDEX($Q$2:$Q$1001,MATCH(ROWS($O$2:O170),$O$2:$O$1001,0),0), INDEX($V$1004:$AE$1004,1,MATCH(COLUMNS($V$1006:AA1006),$V$1006:$AE$1006,0)))),"Fix")))</f>
        <v>0</v>
      </c>
      <c r="H170" s="4">
        <f>IF(OR(INDEX($P$2:$P$1001,MATCH(ROWS($O$2:O170),$O$2:$O$1001,0),1)&gt;=100000,INDEX($V$1005:$AE$1005,1,MATCH(COLUMNS($V$1006:AB1006),$V$1006:$AE$1006,0))&gt;=100000), " ",IF(INDEX($V$2:$AE$1001,MATCH(ROWS($O$2:O170),$O$2:$O$1001,0),MATCH(COLUMNS($V$1006:AB1006),$V$1006:$AE$1006,0)), HYPERLINK("#",""), HYPERLINK(CONCATENATE("#Metadata!", ADDRESS(INDEX($Q$2:$Q$1001,MATCH(ROWS($O$2:O170),$O$2:$O$1001,0),0), INDEX($V$1004:$AE$1004,1,MATCH(COLUMNS($V$1006:AB1006),$V$1006:$AE$1006,0)))),"Fix")))</f>
        <v>0</v>
      </c>
      <c r="I170" s="4">
        <f>IF(OR(INDEX($P$2:$P$1001,MATCH(ROWS($O$2:O170),$O$2:$O$1001,0),1)&gt;=100000,INDEX($V$1005:$AE$1005,1,MATCH(COLUMNS($V$1006:AC1006),$V$1006:$AE$1006,0))&gt;=100000), " ",IF(INDEX($V$2:$AE$1001,MATCH(ROWS($O$2:O170),$O$2:$O$1001,0),MATCH(COLUMNS($V$1006:AC1006),$V$1006:$AE$1006,0)), HYPERLINK("#",""), HYPERLINK(CONCATENATE("#Metadata!", ADDRESS(INDEX($Q$2:$Q$1001,MATCH(ROWS($O$2:O170),$O$2:$O$1001,0),0), INDEX($V$1004:$AE$1004,1,MATCH(COLUMNS($V$1006:AC1006),$V$1006:$AE$1006,0)))),"Fix")))</f>
        <v>0</v>
      </c>
      <c r="J170" s="4">
        <f>IF(OR(INDEX($P$2:$P$1001,MATCH(ROWS($O$2:O170),$O$2:$O$1001,0),1)&gt;=100000,INDEX($V$1005:$AE$1005,1,MATCH(COLUMNS($V$1006:AD1006),$V$1006:$AE$1006,0))&gt;=100000), " ",IF(INDEX($V$2:$AE$1001,MATCH(ROWS($O$2:O170),$O$2:$O$1001,0),MATCH(COLUMNS($V$1006:AD1006),$V$1006:$AE$1006,0)), HYPERLINK("#",""), HYPERLINK(CONCATENATE("#Metadata!", ADDRESS(INDEX($Q$2:$Q$1001,MATCH(ROWS($O$2:O170),$O$2:$O$1001,0),0), INDEX($V$1004:$AE$1004,1,MATCH(COLUMNS($V$1006:AD1006),$V$1006:$AE$1006,0)))),"Fix")))</f>
        <v>0</v>
      </c>
      <c r="K170" s="4">
        <f>IF(OR(INDEX($P$2:$P$1001,MATCH(ROWS($O$2:O170),$O$2:$O$1001,0),1)&gt;=100000,INDEX($V$1005:$AE$1005,1,MATCH(COLUMNS($V$1006:AE1006),$V$1006:$AE$1006,0))&gt;=100000), " ",IF(INDEX($V$2:$AE$1001,MATCH(ROWS($O$2:O170),$O$2:$O$1001,0),MATCH(COLUMNS($V$1006:AE1006),$V$1006:$AE$1006,0)), HYPERLINK("#",""), HYPERLINK(CONCATENATE("#Metadata!", ADDRESS(INDEX($Q$2:$Q$1001,MATCH(ROWS($O$2:O170),$O$2:$O$1001,0),0), INDEX($V$1004:$AE$1004,1,MATCH(COLUMNS($V$1006:AE1006),$V$1006:$AE$1006,0)))),"Fix")))</f>
        <v>0</v>
      </c>
      <c r="O170">
        <v>0</v>
      </c>
      <c r="P170">
        <v>0</v>
      </c>
      <c r="Q170">
        <v>0</v>
      </c>
      <c r="R170">
        <f>IF(S170,TRUE,AND(V170:AE170))</f>
        <v>0</v>
      </c>
      <c r="S170">
        <f>COUNTBLANK(Metadata!B170:K170)=COLUMNS(Metadata!B170:K170)</f>
        <v>0</v>
      </c>
      <c r="T170">
        <v>0</v>
      </c>
      <c r="V170">
        <f>AND(IF(Metadata!B170="",FALSE,TRUE),COUNTIF(Metadata!B:B, Metadata!B170) = 1,NOT(ISERROR(SUMPRODUCT(SEARCH(MID(Metadata!B170,ROW(INDIRECT("1:"&amp;LEN(Metadata!B170))), 1),"0123456789abcdefghijklmnopqrstuvwxyzABCDEFGHIJKLMNOPQRSTUVWXYZ.")))))</f>
        <v>0</v>
      </c>
      <c r="W170">
        <f>AND(IF(Metadata!C170="",FALSE,TRUE),exact(Metadata!C170,"urban biome"))</f>
        <v>0</v>
      </c>
      <c r="X170">
        <f>AND(IF(Metadata!D170="",FALSE,TRUE),exact(Metadata!D170,"animal-associated habitat"))</f>
        <v>0</v>
      </c>
      <c r="Y170">
        <f>OR(AND(IF(Metadata!E170="",FALSE,TRUE),OR(exact(Metadata!E170,"not applicable"),exact(Metadata!E170,"missing: not collected"),exact(Metadata!E170,"missing: not provided"),exact(Metadata!E170,"missing: restricted access"))),AND(IF(Metadata!E170="",FALSE,ISNUMBER(VALUE(Metadata!E170))),Metadata!E170&gt;0))</f>
        <v>0</v>
      </c>
      <c r="Z170">
        <f>AND(IF(Metadata!F170="",FALSE,TRUE),exact(Metadata!F170,"weeks"))</f>
        <v>0</v>
      </c>
      <c r="AA170">
        <f>AND(IF(Metadata!G170="",FALSE,TRUE),exact(Metadata!G170,"mouse"))</f>
        <v>0</v>
      </c>
      <c r="AB170">
        <f>AND(IF(Metadata!H170="",FALSE,TRUE),exact(Metadata!H170,"Mus musculus"))</f>
        <v>0</v>
      </c>
      <c r="AC170">
        <f>AND(IF(Metadata!I170="",FALSE,TRUE),exact(Metadata!I170,"10090"))</f>
        <v>0</v>
      </c>
      <c r="AD170">
        <f>OR(AND(IF(Metadata!J170="",FALSE,TRUE),OR(exact(Metadata!J170,"not applicable"),exact(Metadata!J170,"missing: not collected"),exact(Metadata!J170,"missing: not provided"),exact(Metadata!J170,"missing: restricted access"))),AND(IF(Metadata!J170="",FALSE,ISNUMBER(VALUE(Metadata!J170))),Metadata!J170&gt;0))</f>
        <v>0</v>
      </c>
      <c r="AE170">
        <f>AND(IF(Metadata!K170="",FALSE,TRUE),exact(Metadata!K170,"g"))</f>
        <v>0</v>
      </c>
    </row>
    <row r="171" spans="1:31">
      <c r="A171" s="5">
        <f>IF(B171=" "," ",HYPERLINK(CONCATENATE("#metadata!",ADDRESS(INDEX($Q$2:$Q$1001,MATCH(ROWS($O$2:O171),$O$2:$O$1001,0),0),1)),INDEX($T$2:$T$1001,MATCH(ROWS($O$2:O171),$O$2:$O$1001,0),0)))</f>
        <v>0</v>
      </c>
      <c r="B171" s="4">
        <f>IF(OR(INDEX($P$2:$P$1001,MATCH(ROWS($O$2:O171),$O$2:$O$1001,0),1)&gt;=100000,INDEX($V$1005:$AE$1005,1,MATCH(COLUMNS($V$1006:V1006),$V$1006:$AE$1006,0))&gt;=100000), " ",IF(INDEX($V$2:$AE$1001,MATCH(ROWS($O$2:O171),$O$2:$O$1001,0),MATCH(COLUMNS($V$1006:V1006),$V$1006:$AE$1006,0)), HYPERLINK("#",""), HYPERLINK(CONCATENATE("#Metadata!", ADDRESS(INDEX($Q$2:$Q$1001,MATCH(ROWS($O$2:O171),$O$2:$O$1001,0),0), INDEX($V$1004:$AE$1004,1,MATCH(COLUMNS($V$1006:V1006),$V$1006:$AE$1006,0)))),"Fix")))</f>
        <v>0</v>
      </c>
      <c r="C171" s="4">
        <f>IF(OR(INDEX($P$2:$P$1001,MATCH(ROWS($O$2:O171),$O$2:$O$1001,0),1)&gt;=100000,INDEX($V$1005:$AE$1005,1,MATCH(COLUMNS($V$1006:W1006),$V$1006:$AE$1006,0))&gt;=100000), " ",IF(INDEX($V$2:$AE$1001,MATCH(ROWS($O$2:O171),$O$2:$O$1001,0),MATCH(COLUMNS($V$1006:W1006),$V$1006:$AE$1006,0)), HYPERLINK("#",""), HYPERLINK(CONCATENATE("#Metadata!", ADDRESS(INDEX($Q$2:$Q$1001,MATCH(ROWS($O$2:O171),$O$2:$O$1001,0),0), INDEX($V$1004:$AE$1004,1,MATCH(COLUMNS($V$1006:W1006),$V$1006:$AE$1006,0)))),"Fix")))</f>
        <v>0</v>
      </c>
      <c r="D171" s="4">
        <f>IF(OR(INDEX($P$2:$P$1001,MATCH(ROWS($O$2:O171),$O$2:$O$1001,0),1)&gt;=100000,INDEX($V$1005:$AE$1005,1,MATCH(COLUMNS($V$1006:X1006),$V$1006:$AE$1006,0))&gt;=100000), " ",IF(INDEX($V$2:$AE$1001,MATCH(ROWS($O$2:O171),$O$2:$O$1001,0),MATCH(COLUMNS($V$1006:X1006),$V$1006:$AE$1006,0)), HYPERLINK("#",""), HYPERLINK(CONCATENATE("#Metadata!", ADDRESS(INDEX($Q$2:$Q$1001,MATCH(ROWS($O$2:O171),$O$2:$O$1001,0),0), INDEX($V$1004:$AE$1004,1,MATCH(COLUMNS($V$1006:X1006),$V$1006:$AE$1006,0)))),"Fix")))</f>
        <v>0</v>
      </c>
      <c r="E171" s="4">
        <f>IF(OR(INDEX($P$2:$P$1001,MATCH(ROWS($O$2:O171),$O$2:$O$1001,0),1)&gt;=100000,INDEX($V$1005:$AE$1005,1,MATCH(COLUMNS($V$1006:Y1006),$V$1006:$AE$1006,0))&gt;=100000), " ",IF(INDEX($V$2:$AE$1001,MATCH(ROWS($O$2:O171),$O$2:$O$1001,0),MATCH(COLUMNS($V$1006:Y1006),$V$1006:$AE$1006,0)), HYPERLINK("#",""), HYPERLINK(CONCATENATE("#Metadata!", ADDRESS(INDEX($Q$2:$Q$1001,MATCH(ROWS($O$2:O171),$O$2:$O$1001,0),0), INDEX($V$1004:$AE$1004,1,MATCH(COLUMNS($V$1006:Y1006),$V$1006:$AE$1006,0)))),"Fix")))</f>
        <v>0</v>
      </c>
      <c r="F171" s="4">
        <f>IF(OR(INDEX($P$2:$P$1001,MATCH(ROWS($O$2:O171),$O$2:$O$1001,0),1)&gt;=100000,INDEX($V$1005:$AE$1005,1,MATCH(COLUMNS($V$1006:Z1006),$V$1006:$AE$1006,0))&gt;=100000), " ",IF(INDEX($V$2:$AE$1001,MATCH(ROWS($O$2:O171),$O$2:$O$1001,0),MATCH(COLUMNS($V$1006:Z1006),$V$1006:$AE$1006,0)), HYPERLINK("#",""), HYPERLINK(CONCATENATE("#Metadata!", ADDRESS(INDEX($Q$2:$Q$1001,MATCH(ROWS($O$2:O171),$O$2:$O$1001,0),0), INDEX($V$1004:$AE$1004,1,MATCH(COLUMNS($V$1006:Z1006),$V$1006:$AE$1006,0)))),"Fix")))</f>
        <v>0</v>
      </c>
      <c r="G171" s="4">
        <f>IF(OR(INDEX($P$2:$P$1001,MATCH(ROWS($O$2:O171),$O$2:$O$1001,0),1)&gt;=100000,INDEX($V$1005:$AE$1005,1,MATCH(COLUMNS($V$1006:AA1006),$V$1006:$AE$1006,0))&gt;=100000), " ",IF(INDEX($V$2:$AE$1001,MATCH(ROWS($O$2:O171),$O$2:$O$1001,0),MATCH(COLUMNS($V$1006:AA1006),$V$1006:$AE$1006,0)), HYPERLINK("#",""), HYPERLINK(CONCATENATE("#Metadata!", ADDRESS(INDEX($Q$2:$Q$1001,MATCH(ROWS($O$2:O171),$O$2:$O$1001,0),0), INDEX($V$1004:$AE$1004,1,MATCH(COLUMNS($V$1006:AA1006),$V$1006:$AE$1006,0)))),"Fix")))</f>
        <v>0</v>
      </c>
      <c r="H171" s="4">
        <f>IF(OR(INDEX($P$2:$P$1001,MATCH(ROWS($O$2:O171),$O$2:$O$1001,0),1)&gt;=100000,INDEX($V$1005:$AE$1005,1,MATCH(COLUMNS($V$1006:AB1006),$V$1006:$AE$1006,0))&gt;=100000), " ",IF(INDEX($V$2:$AE$1001,MATCH(ROWS($O$2:O171),$O$2:$O$1001,0),MATCH(COLUMNS($V$1006:AB1006),$V$1006:$AE$1006,0)), HYPERLINK("#",""), HYPERLINK(CONCATENATE("#Metadata!", ADDRESS(INDEX($Q$2:$Q$1001,MATCH(ROWS($O$2:O171),$O$2:$O$1001,0),0), INDEX($V$1004:$AE$1004,1,MATCH(COLUMNS($V$1006:AB1006),$V$1006:$AE$1006,0)))),"Fix")))</f>
        <v>0</v>
      </c>
      <c r="I171" s="4">
        <f>IF(OR(INDEX($P$2:$P$1001,MATCH(ROWS($O$2:O171),$O$2:$O$1001,0),1)&gt;=100000,INDEX($V$1005:$AE$1005,1,MATCH(COLUMNS($V$1006:AC1006),$V$1006:$AE$1006,0))&gt;=100000), " ",IF(INDEX($V$2:$AE$1001,MATCH(ROWS($O$2:O171),$O$2:$O$1001,0),MATCH(COLUMNS($V$1006:AC1006),$V$1006:$AE$1006,0)), HYPERLINK("#",""), HYPERLINK(CONCATENATE("#Metadata!", ADDRESS(INDEX($Q$2:$Q$1001,MATCH(ROWS($O$2:O171),$O$2:$O$1001,0),0), INDEX($V$1004:$AE$1004,1,MATCH(COLUMNS($V$1006:AC1006),$V$1006:$AE$1006,0)))),"Fix")))</f>
        <v>0</v>
      </c>
      <c r="J171" s="4">
        <f>IF(OR(INDEX($P$2:$P$1001,MATCH(ROWS($O$2:O171),$O$2:$O$1001,0),1)&gt;=100000,INDEX($V$1005:$AE$1005,1,MATCH(COLUMNS($V$1006:AD1006),$V$1006:$AE$1006,0))&gt;=100000), " ",IF(INDEX($V$2:$AE$1001,MATCH(ROWS($O$2:O171),$O$2:$O$1001,0),MATCH(COLUMNS($V$1006:AD1006),$V$1006:$AE$1006,0)), HYPERLINK("#",""), HYPERLINK(CONCATENATE("#Metadata!", ADDRESS(INDEX($Q$2:$Q$1001,MATCH(ROWS($O$2:O171),$O$2:$O$1001,0),0), INDEX($V$1004:$AE$1004,1,MATCH(COLUMNS($V$1006:AD1006),$V$1006:$AE$1006,0)))),"Fix")))</f>
        <v>0</v>
      </c>
      <c r="K171" s="4">
        <f>IF(OR(INDEX($P$2:$P$1001,MATCH(ROWS($O$2:O171),$O$2:$O$1001,0),1)&gt;=100000,INDEX($V$1005:$AE$1005,1,MATCH(COLUMNS($V$1006:AE1006),$V$1006:$AE$1006,0))&gt;=100000), " ",IF(INDEX($V$2:$AE$1001,MATCH(ROWS($O$2:O171),$O$2:$O$1001,0),MATCH(COLUMNS($V$1006:AE1006),$V$1006:$AE$1006,0)), HYPERLINK("#",""), HYPERLINK(CONCATENATE("#Metadata!", ADDRESS(INDEX($Q$2:$Q$1001,MATCH(ROWS($O$2:O171),$O$2:$O$1001,0),0), INDEX($V$1004:$AE$1004,1,MATCH(COLUMNS($V$1006:AE1006),$V$1006:$AE$1006,0)))),"Fix")))</f>
        <v>0</v>
      </c>
      <c r="O171">
        <v>0</v>
      </c>
      <c r="P171">
        <v>0</v>
      </c>
      <c r="Q171">
        <v>0</v>
      </c>
      <c r="R171">
        <f>IF(S171,TRUE,AND(V171:AE171))</f>
        <v>0</v>
      </c>
      <c r="S171">
        <f>COUNTBLANK(Metadata!B171:K171)=COLUMNS(Metadata!B171:K171)</f>
        <v>0</v>
      </c>
      <c r="T171">
        <v>0</v>
      </c>
      <c r="V171">
        <f>AND(IF(Metadata!B171="",FALSE,TRUE),COUNTIF(Metadata!B:B, Metadata!B171) = 1,NOT(ISERROR(SUMPRODUCT(SEARCH(MID(Metadata!B171,ROW(INDIRECT("1:"&amp;LEN(Metadata!B171))), 1),"0123456789abcdefghijklmnopqrstuvwxyzABCDEFGHIJKLMNOPQRSTUVWXYZ.")))))</f>
        <v>0</v>
      </c>
      <c r="W171">
        <f>AND(IF(Metadata!C171="",FALSE,TRUE),exact(Metadata!C171,"urban biome"))</f>
        <v>0</v>
      </c>
      <c r="X171">
        <f>AND(IF(Metadata!D171="",FALSE,TRUE),exact(Metadata!D171,"animal-associated habitat"))</f>
        <v>0</v>
      </c>
      <c r="Y171">
        <f>OR(AND(IF(Metadata!E171="",FALSE,TRUE),OR(exact(Metadata!E171,"not applicable"),exact(Metadata!E171,"missing: not collected"),exact(Metadata!E171,"missing: not provided"),exact(Metadata!E171,"missing: restricted access"))),AND(IF(Metadata!E171="",FALSE,ISNUMBER(VALUE(Metadata!E171))),Metadata!E171&gt;0))</f>
        <v>0</v>
      </c>
      <c r="Z171">
        <f>AND(IF(Metadata!F171="",FALSE,TRUE),exact(Metadata!F171,"weeks"))</f>
        <v>0</v>
      </c>
      <c r="AA171">
        <f>AND(IF(Metadata!G171="",FALSE,TRUE),exact(Metadata!G171,"mouse"))</f>
        <v>0</v>
      </c>
      <c r="AB171">
        <f>AND(IF(Metadata!H171="",FALSE,TRUE),exact(Metadata!H171,"Mus musculus"))</f>
        <v>0</v>
      </c>
      <c r="AC171">
        <f>AND(IF(Metadata!I171="",FALSE,TRUE),exact(Metadata!I171,"10090"))</f>
        <v>0</v>
      </c>
      <c r="AD171">
        <f>OR(AND(IF(Metadata!J171="",FALSE,TRUE),OR(exact(Metadata!J171,"not applicable"),exact(Metadata!J171,"missing: not collected"),exact(Metadata!J171,"missing: not provided"),exact(Metadata!J171,"missing: restricted access"))),AND(IF(Metadata!J171="",FALSE,ISNUMBER(VALUE(Metadata!J171))),Metadata!J171&gt;0))</f>
        <v>0</v>
      </c>
      <c r="AE171">
        <f>AND(IF(Metadata!K171="",FALSE,TRUE),exact(Metadata!K171,"g"))</f>
        <v>0</v>
      </c>
    </row>
    <row r="172" spans="1:31">
      <c r="A172" s="5">
        <f>IF(B172=" "," ",HYPERLINK(CONCATENATE("#metadata!",ADDRESS(INDEX($Q$2:$Q$1001,MATCH(ROWS($O$2:O172),$O$2:$O$1001,0),0),1)),INDEX($T$2:$T$1001,MATCH(ROWS($O$2:O172),$O$2:$O$1001,0),0)))</f>
        <v>0</v>
      </c>
      <c r="B172" s="4">
        <f>IF(OR(INDEX($P$2:$P$1001,MATCH(ROWS($O$2:O172),$O$2:$O$1001,0),1)&gt;=100000,INDEX($V$1005:$AE$1005,1,MATCH(COLUMNS($V$1006:V1006),$V$1006:$AE$1006,0))&gt;=100000), " ",IF(INDEX($V$2:$AE$1001,MATCH(ROWS($O$2:O172),$O$2:$O$1001,0),MATCH(COLUMNS($V$1006:V1006),$V$1006:$AE$1006,0)), HYPERLINK("#",""), HYPERLINK(CONCATENATE("#Metadata!", ADDRESS(INDEX($Q$2:$Q$1001,MATCH(ROWS($O$2:O172),$O$2:$O$1001,0),0), INDEX($V$1004:$AE$1004,1,MATCH(COLUMNS($V$1006:V1006),$V$1006:$AE$1006,0)))),"Fix")))</f>
        <v>0</v>
      </c>
      <c r="C172" s="4">
        <f>IF(OR(INDEX($P$2:$P$1001,MATCH(ROWS($O$2:O172),$O$2:$O$1001,0),1)&gt;=100000,INDEX($V$1005:$AE$1005,1,MATCH(COLUMNS($V$1006:W1006),$V$1006:$AE$1006,0))&gt;=100000), " ",IF(INDEX($V$2:$AE$1001,MATCH(ROWS($O$2:O172),$O$2:$O$1001,0),MATCH(COLUMNS($V$1006:W1006),$V$1006:$AE$1006,0)), HYPERLINK("#",""), HYPERLINK(CONCATENATE("#Metadata!", ADDRESS(INDEX($Q$2:$Q$1001,MATCH(ROWS($O$2:O172),$O$2:$O$1001,0),0), INDEX($V$1004:$AE$1004,1,MATCH(COLUMNS($V$1006:W1006),$V$1006:$AE$1006,0)))),"Fix")))</f>
        <v>0</v>
      </c>
      <c r="D172" s="4">
        <f>IF(OR(INDEX($P$2:$P$1001,MATCH(ROWS($O$2:O172),$O$2:$O$1001,0),1)&gt;=100000,INDEX($V$1005:$AE$1005,1,MATCH(COLUMNS($V$1006:X1006),$V$1006:$AE$1006,0))&gt;=100000), " ",IF(INDEX($V$2:$AE$1001,MATCH(ROWS($O$2:O172),$O$2:$O$1001,0),MATCH(COLUMNS($V$1006:X1006),$V$1006:$AE$1006,0)), HYPERLINK("#",""), HYPERLINK(CONCATENATE("#Metadata!", ADDRESS(INDEX($Q$2:$Q$1001,MATCH(ROWS($O$2:O172),$O$2:$O$1001,0),0), INDEX($V$1004:$AE$1004,1,MATCH(COLUMNS($V$1006:X1006),$V$1006:$AE$1006,0)))),"Fix")))</f>
        <v>0</v>
      </c>
      <c r="E172" s="4">
        <f>IF(OR(INDEX($P$2:$P$1001,MATCH(ROWS($O$2:O172),$O$2:$O$1001,0),1)&gt;=100000,INDEX($V$1005:$AE$1005,1,MATCH(COLUMNS($V$1006:Y1006),$V$1006:$AE$1006,0))&gt;=100000), " ",IF(INDEX($V$2:$AE$1001,MATCH(ROWS($O$2:O172),$O$2:$O$1001,0),MATCH(COLUMNS($V$1006:Y1006),$V$1006:$AE$1006,0)), HYPERLINK("#",""), HYPERLINK(CONCATENATE("#Metadata!", ADDRESS(INDEX($Q$2:$Q$1001,MATCH(ROWS($O$2:O172),$O$2:$O$1001,0),0), INDEX($V$1004:$AE$1004,1,MATCH(COLUMNS($V$1006:Y1006),$V$1006:$AE$1006,0)))),"Fix")))</f>
        <v>0</v>
      </c>
      <c r="F172" s="4">
        <f>IF(OR(INDEX($P$2:$P$1001,MATCH(ROWS($O$2:O172),$O$2:$O$1001,0),1)&gt;=100000,INDEX($V$1005:$AE$1005,1,MATCH(COLUMNS($V$1006:Z1006),$V$1006:$AE$1006,0))&gt;=100000), " ",IF(INDEX($V$2:$AE$1001,MATCH(ROWS($O$2:O172),$O$2:$O$1001,0),MATCH(COLUMNS($V$1006:Z1006),$V$1006:$AE$1006,0)), HYPERLINK("#",""), HYPERLINK(CONCATENATE("#Metadata!", ADDRESS(INDEX($Q$2:$Q$1001,MATCH(ROWS($O$2:O172),$O$2:$O$1001,0),0), INDEX($V$1004:$AE$1004,1,MATCH(COLUMNS($V$1006:Z1006),$V$1006:$AE$1006,0)))),"Fix")))</f>
        <v>0</v>
      </c>
      <c r="G172" s="4">
        <f>IF(OR(INDEX($P$2:$P$1001,MATCH(ROWS($O$2:O172),$O$2:$O$1001,0),1)&gt;=100000,INDEX($V$1005:$AE$1005,1,MATCH(COLUMNS($V$1006:AA1006),$V$1006:$AE$1006,0))&gt;=100000), " ",IF(INDEX($V$2:$AE$1001,MATCH(ROWS($O$2:O172),$O$2:$O$1001,0),MATCH(COLUMNS($V$1006:AA1006),$V$1006:$AE$1006,0)), HYPERLINK("#",""), HYPERLINK(CONCATENATE("#Metadata!", ADDRESS(INDEX($Q$2:$Q$1001,MATCH(ROWS($O$2:O172),$O$2:$O$1001,0),0), INDEX($V$1004:$AE$1004,1,MATCH(COLUMNS($V$1006:AA1006),$V$1006:$AE$1006,0)))),"Fix")))</f>
        <v>0</v>
      </c>
      <c r="H172" s="4">
        <f>IF(OR(INDEX($P$2:$P$1001,MATCH(ROWS($O$2:O172),$O$2:$O$1001,0),1)&gt;=100000,INDEX($V$1005:$AE$1005,1,MATCH(COLUMNS($V$1006:AB1006),$V$1006:$AE$1006,0))&gt;=100000), " ",IF(INDEX($V$2:$AE$1001,MATCH(ROWS($O$2:O172),$O$2:$O$1001,0),MATCH(COLUMNS($V$1006:AB1006),$V$1006:$AE$1006,0)), HYPERLINK("#",""), HYPERLINK(CONCATENATE("#Metadata!", ADDRESS(INDEX($Q$2:$Q$1001,MATCH(ROWS($O$2:O172),$O$2:$O$1001,0),0), INDEX($V$1004:$AE$1004,1,MATCH(COLUMNS($V$1006:AB1006),$V$1006:$AE$1006,0)))),"Fix")))</f>
        <v>0</v>
      </c>
      <c r="I172" s="4">
        <f>IF(OR(INDEX($P$2:$P$1001,MATCH(ROWS($O$2:O172),$O$2:$O$1001,0),1)&gt;=100000,INDEX($V$1005:$AE$1005,1,MATCH(COLUMNS($V$1006:AC1006),$V$1006:$AE$1006,0))&gt;=100000), " ",IF(INDEX($V$2:$AE$1001,MATCH(ROWS($O$2:O172),$O$2:$O$1001,0),MATCH(COLUMNS($V$1006:AC1006),$V$1006:$AE$1006,0)), HYPERLINK("#",""), HYPERLINK(CONCATENATE("#Metadata!", ADDRESS(INDEX($Q$2:$Q$1001,MATCH(ROWS($O$2:O172),$O$2:$O$1001,0),0), INDEX($V$1004:$AE$1004,1,MATCH(COLUMNS($V$1006:AC1006),$V$1006:$AE$1006,0)))),"Fix")))</f>
        <v>0</v>
      </c>
      <c r="J172" s="4">
        <f>IF(OR(INDEX($P$2:$P$1001,MATCH(ROWS($O$2:O172),$O$2:$O$1001,0),1)&gt;=100000,INDEX($V$1005:$AE$1005,1,MATCH(COLUMNS($V$1006:AD1006),$V$1006:$AE$1006,0))&gt;=100000), " ",IF(INDEX($V$2:$AE$1001,MATCH(ROWS($O$2:O172),$O$2:$O$1001,0),MATCH(COLUMNS($V$1006:AD1006),$V$1006:$AE$1006,0)), HYPERLINK("#",""), HYPERLINK(CONCATENATE("#Metadata!", ADDRESS(INDEX($Q$2:$Q$1001,MATCH(ROWS($O$2:O172),$O$2:$O$1001,0),0), INDEX($V$1004:$AE$1004,1,MATCH(COLUMNS($V$1006:AD1006),$V$1006:$AE$1006,0)))),"Fix")))</f>
        <v>0</v>
      </c>
      <c r="K172" s="4">
        <f>IF(OR(INDEX($P$2:$P$1001,MATCH(ROWS($O$2:O172),$O$2:$O$1001,0),1)&gt;=100000,INDEX($V$1005:$AE$1005,1,MATCH(COLUMNS($V$1006:AE1006),$V$1006:$AE$1006,0))&gt;=100000), " ",IF(INDEX($V$2:$AE$1001,MATCH(ROWS($O$2:O172),$O$2:$O$1001,0),MATCH(COLUMNS($V$1006:AE1006),$V$1006:$AE$1006,0)), HYPERLINK("#",""), HYPERLINK(CONCATENATE("#Metadata!", ADDRESS(INDEX($Q$2:$Q$1001,MATCH(ROWS($O$2:O172),$O$2:$O$1001,0),0), INDEX($V$1004:$AE$1004,1,MATCH(COLUMNS($V$1006:AE1006),$V$1006:$AE$1006,0)))),"Fix")))</f>
        <v>0</v>
      </c>
      <c r="O172">
        <v>0</v>
      </c>
      <c r="P172">
        <v>0</v>
      </c>
      <c r="Q172">
        <v>0</v>
      </c>
      <c r="R172">
        <f>IF(S172,TRUE,AND(V172:AE172))</f>
        <v>0</v>
      </c>
      <c r="S172">
        <f>COUNTBLANK(Metadata!B172:K172)=COLUMNS(Metadata!B172:K172)</f>
        <v>0</v>
      </c>
      <c r="T172">
        <v>0</v>
      </c>
      <c r="V172">
        <f>AND(IF(Metadata!B172="",FALSE,TRUE),COUNTIF(Metadata!B:B, Metadata!B172) = 1,NOT(ISERROR(SUMPRODUCT(SEARCH(MID(Metadata!B172,ROW(INDIRECT("1:"&amp;LEN(Metadata!B172))), 1),"0123456789abcdefghijklmnopqrstuvwxyzABCDEFGHIJKLMNOPQRSTUVWXYZ.")))))</f>
        <v>0</v>
      </c>
      <c r="W172">
        <f>AND(IF(Metadata!C172="",FALSE,TRUE),exact(Metadata!C172,"urban biome"))</f>
        <v>0</v>
      </c>
      <c r="X172">
        <f>AND(IF(Metadata!D172="",FALSE,TRUE),exact(Metadata!D172,"animal-associated habitat"))</f>
        <v>0</v>
      </c>
      <c r="Y172">
        <f>OR(AND(IF(Metadata!E172="",FALSE,TRUE),OR(exact(Metadata!E172,"not applicable"),exact(Metadata!E172,"missing: not collected"),exact(Metadata!E172,"missing: not provided"),exact(Metadata!E172,"missing: restricted access"))),AND(IF(Metadata!E172="",FALSE,ISNUMBER(VALUE(Metadata!E172))),Metadata!E172&gt;0))</f>
        <v>0</v>
      </c>
      <c r="Z172">
        <f>AND(IF(Metadata!F172="",FALSE,TRUE),exact(Metadata!F172,"weeks"))</f>
        <v>0</v>
      </c>
      <c r="AA172">
        <f>AND(IF(Metadata!G172="",FALSE,TRUE),exact(Metadata!G172,"mouse"))</f>
        <v>0</v>
      </c>
      <c r="AB172">
        <f>AND(IF(Metadata!H172="",FALSE,TRUE),exact(Metadata!H172,"Mus musculus"))</f>
        <v>0</v>
      </c>
      <c r="AC172">
        <f>AND(IF(Metadata!I172="",FALSE,TRUE),exact(Metadata!I172,"10090"))</f>
        <v>0</v>
      </c>
      <c r="AD172">
        <f>OR(AND(IF(Metadata!J172="",FALSE,TRUE),OR(exact(Metadata!J172,"not applicable"),exact(Metadata!J172,"missing: not collected"),exact(Metadata!J172,"missing: not provided"),exact(Metadata!J172,"missing: restricted access"))),AND(IF(Metadata!J172="",FALSE,ISNUMBER(VALUE(Metadata!J172))),Metadata!J172&gt;0))</f>
        <v>0</v>
      </c>
      <c r="AE172">
        <f>AND(IF(Metadata!K172="",FALSE,TRUE),exact(Metadata!K172,"g"))</f>
        <v>0</v>
      </c>
    </row>
    <row r="173" spans="1:31">
      <c r="A173" s="5">
        <f>IF(B173=" "," ",HYPERLINK(CONCATENATE("#metadata!",ADDRESS(INDEX($Q$2:$Q$1001,MATCH(ROWS($O$2:O173),$O$2:$O$1001,0),0),1)),INDEX($T$2:$T$1001,MATCH(ROWS($O$2:O173),$O$2:$O$1001,0),0)))</f>
        <v>0</v>
      </c>
      <c r="B173" s="4">
        <f>IF(OR(INDEX($P$2:$P$1001,MATCH(ROWS($O$2:O173),$O$2:$O$1001,0),1)&gt;=100000,INDEX($V$1005:$AE$1005,1,MATCH(COLUMNS($V$1006:V1006),$V$1006:$AE$1006,0))&gt;=100000), " ",IF(INDEX($V$2:$AE$1001,MATCH(ROWS($O$2:O173),$O$2:$O$1001,0),MATCH(COLUMNS($V$1006:V1006),$V$1006:$AE$1006,0)), HYPERLINK("#",""), HYPERLINK(CONCATENATE("#Metadata!", ADDRESS(INDEX($Q$2:$Q$1001,MATCH(ROWS($O$2:O173),$O$2:$O$1001,0),0), INDEX($V$1004:$AE$1004,1,MATCH(COLUMNS($V$1006:V1006),$V$1006:$AE$1006,0)))),"Fix")))</f>
        <v>0</v>
      </c>
      <c r="C173" s="4">
        <f>IF(OR(INDEX($P$2:$P$1001,MATCH(ROWS($O$2:O173),$O$2:$O$1001,0),1)&gt;=100000,INDEX($V$1005:$AE$1005,1,MATCH(COLUMNS($V$1006:W1006),$V$1006:$AE$1006,0))&gt;=100000), " ",IF(INDEX($V$2:$AE$1001,MATCH(ROWS($O$2:O173),$O$2:$O$1001,0),MATCH(COLUMNS($V$1006:W1006),$V$1006:$AE$1006,0)), HYPERLINK("#",""), HYPERLINK(CONCATENATE("#Metadata!", ADDRESS(INDEX($Q$2:$Q$1001,MATCH(ROWS($O$2:O173),$O$2:$O$1001,0),0), INDEX($V$1004:$AE$1004,1,MATCH(COLUMNS($V$1006:W1006),$V$1006:$AE$1006,0)))),"Fix")))</f>
        <v>0</v>
      </c>
      <c r="D173" s="4">
        <f>IF(OR(INDEX($P$2:$P$1001,MATCH(ROWS($O$2:O173),$O$2:$O$1001,0),1)&gt;=100000,INDEX($V$1005:$AE$1005,1,MATCH(COLUMNS($V$1006:X1006),$V$1006:$AE$1006,0))&gt;=100000), " ",IF(INDEX($V$2:$AE$1001,MATCH(ROWS($O$2:O173),$O$2:$O$1001,0),MATCH(COLUMNS($V$1006:X1006),$V$1006:$AE$1006,0)), HYPERLINK("#",""), HYPERLINK(CONCATENATE("#Metadata!", ADDRESS(INDEX($Q$2:$Q$1001,MATCH(ROWS($O$2:O173),$O$2:$O$1001,0),0), INDEX($V$1004:$AE$1004,1,MATCH(COLUMNS($V$1006:X1006),$V$1006:$AE$1006,0)))),"Fix")))</f>
        <v>0</v>
      </c>
      <c r="E173" s="4">
        <f>IF(OR(INDEX($P$2:$P$1001,MATCH(ROWS($O$2:O173),$O$2:$O$1001,0),1)&gt;=100000,INDEX($V$1005:$AE$1005,1,MATCH(COLUMNS($V$1006:Y1006),$V$1006:$AE$1006,0))&gt;=100000), " ",IF(INDEX($V$2:$AE$1001,MATCH(ROWS($O$2:O173),$O$2:$O$1001,0),MATCH(COLUMNS($V$1006:Y1006),$V$1006:$AE$1006,0)), HYPERLINK("#",""), HYPERLINK(CONCATENATE("#Metadata!", ADDRESS(INDEX($Q$2:$Q$1001,MATCH(ROWS($O$2:O173),$O$2:$O$1001,0),0), INDEX($V$1004:$AE$1004,1,MATCH(COLUMNS($V$1006:Y1006),$V$1006:$AE$1006,0)))),"Fix")))</f>
        <v>0</v>
      </c>
      <c r="F173" s="4">
        <f>IF(OR(INDEX($P$2:$P$1001,MATCH(ROWS($O$2:O173),$O$2:$O$1001,0),1)&gt;=100000,INDEX($V$1005:$AE$1005,1,MATCH(COLUMNS($V$1006:Z1006),$V$1006:$AE$1006,0))&gt;=100000), " ",IF(INDEX($V$2:$AE$1001,MATCH(ROWS($O$2:O173),$O$2:$O$1001,0),MATCH(COLUMNS($V$1006:Z1006),$V$1006:$AE$1006,0)), HYPERLINK("#",""), HYPERLINK(CONCATENATE("#Metadata!", ADDRESS(INDEX($Q$2:$Q$1001,MATCH(ROWS($O$2:O173),$O$2:$O$1001,0),0), INDEX($V$1004:$AE$1004,1,MATCH(COLUMNS($V$1006:Z1006),$V$1006:$AE$1006,0)))),"Fix")))</f>
        <v>0</v>
      </c>
      <c r="G173" s="4">
        <f>IF(OR(INDEX($P$2:$P$1001,MATCH(ROWS($O$2:O173),$O$2:$O$1001,0),1)&gt;=100000,INDEX($V$1005:$AE$1005,1,MATCH(COLUMNS($V$1006:AA1006),$V$1006:$AE$1006,0))&gt;=100000), " ",IF(INDEX($V$2:$AE$1001,MATCH(ROWS($O$2:O173),$O$2:$O$1001,0),MATCH(COLUMNS($V$1006:AA1006),$V$1006:$AE$1006,0)), HYPERLINK("#",""), HYPERLINK(CONCATENATE("#Metadata!", ADDRESS(INDEX($Q$2:$Q$1001,MATCH(ROWS($O$2:O173),$O$2:$O$1001,0),0), INDEX($V$1004:$AE$1004,1,MATCH(COLUMNS($V$1006:AA1006),$V$1006:$AE$1006,0)))),"Fix")))</f>
        <v>0</v>
      </c>
      <c r="H173" s="4">
        <f>IF(OR(INDEX($P$2:$P$1001,MATCH(ROWS($O$2:O173),$O$2:$O$1001,0),1)&gt;=100000,INDEX($V$1005:$AE$1005,1,MATCH(COLUMNS($V$1006:AB1006),$V$1006:$AE$1006,0))&gt;=100000), " ",IF(INDEX($V$2:$AE$1001,MATCH(ROWS($O$2:O173),$O$2:$O$1001,0),MATCH(COLUMNS($V$1006:AB1006),$V$1006:$AE$1006,0)), HYPERLINK("#",""), HYPERLINK(CONCATENATE("#Metadata!", ADDRESS(INDEX($Q$2:$Q$1001,MATCH(ROWS($O$2:O173),$O$2:$O$1001,0),0), INDEX($V$1004:$AE$1004,1,MATCH(COLUMNS($V$1006:AB1006),$V$1006:$AE$1006,0)))),"Fix")))</f>
        <v>0</v>
      </c>
      <c r="I173" s="4">
        <f>IF(OR(INDEX($P$2:$P$1001,MATCH(ROWS($O$2:O173),$O$2:$O$1001,0),1)&gt;=100000,INDEX($V$1005:$AE$1005,1,MATCH(COLUMNS($V$1006:AC1006),$V$1006:$AE$1006,0))&gt;=100000), " ",IF(INDEX($V$2:$AE$1001,MATCH(ROWS($O$2:O173),$O$2:$O$1001,0),MATCH(COLUMNS($V$1006:AC1006),$V$1006:$AE$1006,0)), HYPERLINK("#",""), HYPERLINK(CONCATENATE("#Metadata!", ADDRESS(INDEX($Q$2:$Q$1001,MATCH(ROWS($O$2:O173),$O$2:$O$1001,0),0), INDEX($V$1004:$AE$1004,1,MATCH(COLUMNS($V$1006:AC1006),$V$1006:$AE$1006,0)))),"Fix")))</f>
        <v>0</v>
      </c>
      <c r="J173" s="4">
        <f>IF(OR(INDEX($P$2:$P$1001,MATCH(ROWS($O$2:O173),$O$2:$O$1001,0),1)&gt;=100000,INDEX($V$1005:$AE$1005,1,MATCH(COLUMNS($V$1006:AD1006),$V$1006:$AE$1006,0))&gt;=100000), " ",IF(INDEX($V$2:$AE$1001,MATCH(ROWS($O$2:O173),$O$2:$O$1001,0),MATCH(COLUMNS($V$1006:AD1006),$V$1006:$AE$1006,0)), HYPERLINK("#",""), HYPERLINK(CONCATENATE("#Metadata!", ADDRESS(INDEX($Q$2:$Q$1001,MATCH(ROWS($O$2:O173),$O$2:$O$1001,0),0), INDEX($V$1004:$AE$1004,1,MATCH(COLUMNS($V$1006:AD1006),$V$1006:$AE$1006,0)))),"Fix")))</f>
        <v>0</v>
      </c>
      <c r="K173" s="4">
        <f>IF(OR(INDEX($P$2:$P$1001,MATCH(ROWS($O$2:O173),$O$2:$O$1001,0),1)&gt;=100000,INDEX($V$1005:$AE$1005,1,MATCH(COLUMNS($V$1006:AE1006),$V$1006:$AE$1006,0))&gt;=100000), " ",IF(INDEX($V$2:$AE$1001,MATCH(ROWS($O$2:O173),$O$2:$O$1001,0),MATCH(COLUMNS($V$1006:AE1006),$V$1006:$AE$1006,0)), HYPERLINK("#",""), HYPERLINK(CONCATENATE("#Metadata!", ADDRESS(INDEX($Q$2:$Q$1001,MATCH(ROWS($O$2:O173),$O$2:$O$1001,0),0), INDEX($V$1004:$AE$1004,1,MATCH(COLUMNS($V$1006:AE1006),$V$1006:$AE$1006,0)))),"Fix")))</f>
        <v>0</v>
      </c>
      <c r="O173">
        <v>0</v>
      </c>
      <c r="P173">
        <v>0</v>
      </c>
      <c r="Q173">
        <v>0</v>
      </c>
      <c r="R173">
        <f>IF(S173,TRUE,AND(V173:AE173))</f>
        <v>0</v>
      </c>
      <c r="S173">
        <f>COUNTBLANK(Metadata!B173:K173)=COLUMNS(Metadata!B173:K173)</f>
        <v>0</v>
      </c>
      <c r="T173">
        <v>0</v>
      </c>
      <c r="V173">
        <f>AND(IF(Metadata!B173="",FALSE,TRUE),COUNTIF(Metadata!B:B, Metadata!B173) = 1,NOT(ISERROR(SUMPRODUCT(SEARCH(MID(Metadata!B173,ROW(INDIRECT("1:"&amp;LEN(Metadata!B173))), 1),"0123456789abcdefghijklmnopqrstuvwxyzABCDEFGHIJKLMNOPQRSTUVWXYZ.")))))</f>
        <v>0</v>
      </c>
      <c r="W173">
        <f>AND(IF(Metadata!C173="",FALSE,TRUE),exact(Metadata!C173,"urban biome"))</f>
        <v>0</v>
      </c>
      <c r="X173">
        <f>AND(IF(Metadata!D173="",FALSE,TRUE),exact(Metadata!D173,"animal-associated habitat"))</f>
        <v>0</v>
      </c>
      <c r="Y173">
        <f>OR(AND(IF(Metadata!E173="",FALSE,TRUE),OR(exact(Metadata!E173,"not applicable"),exact(Metadata!E173,"missing: not collected"),exact(Metadata!E173,"missing: not provided"),exact(Metadata!E173,"missing: restricted access"))),AND(IF(Metadata!E173="",FALSE,ISNUMBER(VALUE(Metadata!E173))),Metadata!E173&gt;0))</f>
        <v>0</v>
      </c>
      <c r="Z173">
        <f>AND(IF(Metadata!F173="",FALSE,TRUE),exact(Metadata!F173,"weeks"))</f>
        <v>0</v>
      </c>
      <c r="AA173">
        <f>AND(IF(Metadata!G173="",FALSE,TRUE),exact(Metadata!G173,"mouse"))</f>
        <v>0</v>
      </c>
      <c r="AB173">
        <f>AND(IF(Metadata!H173="",FALSE,TRUE),exact(Metadata!H173,"Mus musculus"))</f>
        <v>0</v>
      </c>
      <c r="AC173">
        <f>AND(IF(Metadata!I173="",FALSE,TRUE),exact(Metadata!I173,"10090"))</f>
        <v>0</v>
      </c>
      <c r="AD173">
        <f>OR(AND(IF(Metadata!J173="",FALSE,TRUE),OR(exact(Metadata!J173,"not applicable"),exact(Metadata!J173,"missing: not collected"),exact(Metadata!J173,"missing: not provided"),exact(Metadata!J173,"missing: restricted access"))),AND(IF(Metadata!J173="",FALSE,ISNUMBER(VALUE(Metadata!J173))),Metadata!J173&gt;0))</f>
        <v>0</v>
      </c>
      <c r="AE173">
        <f>AND(IF(Metadata!K173="",FALSE,TRUE),exact(Metadata!K173,"g"))</f>
        <v>0</v>
      </c>
    </row>
    <row r="174" spans="1:31">
      <c r="A174" s="5">
        <f>IF(B174=" "," ",HYPERLINK(CONCATENATE("#metadata!",ADDRESS(INDEX($Q$2:$Q$1001,MATCH(ROWS($O$2:O174),$O$2:$O$1001,0),0),1)),INDEX($T$2:$T$1001,MATCH(ROWS($O$2:O174),$O$2:$O$1001,0),0)))</f>
        <v>0</v>
      </c>
      <c r="B174" s="4">
        <f>IF(OR(INDEX($P$2:$P$1001,MATCH(ROWS($O$2:O174),$O$2:$O$1001,0),1)&gt;=100000,INDEX($V$1005:$AE$1005,1,MATCH(COLUMNS($V$1006:V1006),$V$1006:$AE$1006,0))&gt;=100000), " ",IF(INDEX($V$2:$AE$1001,MATCH(ROWS($O$2:O174),$O$2:$O$1001,0),MATCH(COLUMNS($V$1006:V1006),$V$1006:$AE$1006,0)), HYPERLINK("#",""), HYPERLINK(CONCATENATE("#Metadata!", ADDRESS(INDEX($Q$2:$Q$1001,MATCH(ROWS($O$2:O174),$O$2:$O$1001,0),0), INDEX($V$1004:$AE$1004,1,MATCH(COLUMNS($V$1006:V1006),$V$1006:$AE$1006,0)))),"Fix")))</f>
        <v>0</v>
      </c>
      <c r="C174" s="4">
        <f>IF(OR(INDEX($P$2:$P$1001,MATCH(ROWS($O$2:O174),$O$2:$O$1001,0),1)&gt;=100000,INDEX($V$1005:$AE$1005,1,MATCH(COLUMNS($V$1006:W1006),$V$1006:$AE$1006,0))&gt;=100000), " ",IF(INDEX($V$2:$AE$1001,MATCH(ROWS($O$2:O174),$O$2:$O$1001,0),MATCH(COLUMNS($V$1006:W1006),$V$1006:$AE$1006,0)), HYPERLINK("#",""), HYPERLINK(CONCATENATE("#Metadata!", ADDRESS(INDEX($Q$2:$Q$1001,MATCH(ROWS($O$2:O174),$O$2:$O$1001,0),0), INDEX($V$1004:$AE$1004,1,MATCH(COLUMNS($V$1006:W1006),$V$1006:$AE$1006,0)))),"Fix")))</f>
        <v>0</v>
      </c>
      <c r="D174" s="4">
        <f>IF(OR(INDEX($P$2:$P$1001,MATCH(ROWS($O$2:O174),$O$2:$O$1001,0),1)&gt;=100000,INDEX($V$1005:$AE$1005,1,MATCH(COLUMNS($V$1006:X1006),$V$1006:$AE$1006,0))&gt;=100000), " ",IF(INDEX($V$2:$AE$1001,MATCH(ROWS($O$2:O174),$O$2:$O$1001,0),MATCH(COLUMNS($V$1006:X1006),$V$1006:$AE$1006,0)), HYPERLINK("#",""), HYPERLINK(CONCATENATE("#Metadata!", ADDRESS(INDEX($Q$2:$Q$1001,MATCH(ROWS($O$2:O174),$O$2:$O$1001,0),0), INDEX($V$1004:$AE$1004,1,MATCH(COLUMNS($V$1006:X1006),$V$1006:$AE$1006,0)))),"Fix")))</f>
        <v>0</v>
      </c>
      <c r="E174" s="4">
        <f>IF(OR(INDEX($P$2:$P$1001,MATCH(ROWS($O$2:O174),$O$2:$O$1001,0),1)&gt;=100000,INDEX($V$1005:$AE$1005,1,MATCH(COLUMNS($V$1006:Y1006),$V$1006:$AE$1006,0))&gt;=100000), " ",IF(INDEX($V$2:$AE$1001,MATCH(ROWS($O$2:O174),$O$2:$O$1001,0),MATCH(COLUMNS($V$1006:Y1006),$V$1006:$AE$1006,0)), HYPERLINK("#",""), HYPERLINK(CONCATENATE("#Metadata!", ADDRESS(INDEX($Q$2:$Q$1001,MATCH(ROWS($O$2:O174),$O$2:$O$1001,0),0), INDEX($V$1004:$AE$1004,1,MATCH(COLUMNS($V$1006:Y1006),$V$1006:$AE$1006,0)))),"Fix")))</f>
        <v>0</v>
      </c>
      <c r="F174" s="4">
        <f>IF(OR(INDEX($P$2:$P$1001,MATCH(ROWS($O$2:O174),$O$2:$O$1001,0),1)&gt;=100000,INDEX($V$1005:$AE$1005,1,MATCH(COLUMNS($V$1006:Z1006),$V$1006:$AE$1006,0))&gt;=100000), " ",IF(INDEX($V$2:$AE$1001,MATCH(ROWS($O$2:O174),$O$2:$O$1001,0),MATCH(COLUMNS($V$1006:Z1006),$V$1006:$AE$1006,0)), HYPERLINK("#",""), HYPERLINK(CONCATENATE("#Metadata!", ADDRESS(INDEX($Q$2:$Q$1001,MATCH(ROWS($O$2:O174),$O$2:$O$1001,0),0), INDEX($V$1004:$AE$1004,1,MATCH(COLUMNS($V$1006:Z1006),$V$1006:$AE$1006,0)))),"Fix")))</f>
        <v>0</v>
      </c>
      <c r="G174" s="4">
        <f>IF(OR(INDEX($P$2:$P$1001,MATCH(ROWS($O$2:O174),$O$2:$O$1001,0),1)&gt;=100000,INDEX($V$1005:$AE$1005,1,MATCH(COLUMNS($V$1006:AA1006),$V$1006:$AE$1006,0))&gt;=100000), " ",IF(INDEX($V$2:$AE$1001,MATCH(ROWS($O$2:O174),$O$2:$O$1001,0),MATCH(COLUMNS($V$1006:AA1006),$V$1006:$AE$1006,0)), HYPERLINK("#",""), HYPERLINK(CONCATENATE("#Metadata!", ADDRESS(INDEX($Q$2:$Q$1001,MATCH(ROWS($O$2:O174),$O$2:$O$1001,0),0), INDEX($V$1004:$AE$1004,1,MATCH(COLUMNS($V$1006:AA1006),$V$1006:$AE$1006,0)))),"Fix")))</f>
        <v>0</v>
      </c>
      <c r="H174" s="4">
        <f>IF(OR(INDEX($P$2:$P$1001,MATCH(ROWS($O$2:O174),$O$2:$O$1001,0),1)&gt;=100000,INDEX($V$1005:$AE$1005,1,MATCH(COLUMNS($V$1006:AB1006),$V$1006:$AE$1006,0))&gt;=100000), " ",IF(INDEX($V$2:$AE$1001,MATCH(ROWS($O$2:O174),$O$2:$O$1001,0),MATCH(COLUMNS($V$1006:AB1006),$V$1006:$AE$1006,0)), HYPERLINK("#",""), HYPERLINK(CONCATENATE("#Metadata!", ADDRESS(INDEX($Q$2:$Q$1001,MATCH(ROWS($O$2:O174),$O$2:$O$1001,0),0), INDEX($V$1004:$AE$1004,1,MATCH(COLUMNS($V$1006:AB1006),$V$1006:$AE$1006,0)))),"Fix")))</f>
        <v>0</v>
      </c>
      <c r="I174" s="4">
        <f>IF(OR(INDEX($P$2:$P$1001,MATCH(ROWS($O$2:O174),$O$2:$O$1001,0),1)&gt;=100000,INDEX($V$1005:$AE$1005,1,MATCH(COLUMNS($V$1006:AC1006),$V$1006:$AE$1006,0))&gt;=100000), " ",IF(INDEX($V$2:$AE$1001,MATCH(ROWS($O$2:O174),$O$2:$O$1001,0),MATCH(COLUMNS($V$1006:AC1006),$V$1006:$AE$1006,0)), HYPERLINK("#",""), HYPERLINK(CONCATENATE("#Metadata!", ADDRESS(INDEX($Q$2:$Q$1001,MATCH(ROWS($O$2:O174),$O$2:$O$1001,0),0), INDEX($V$1004:$AE$1004,1,MATCH(COLUMNS($V$1006:AC1006),$V$1006:$AE$1006,0)))),"Fix")))</f>
        <v>0</v>
      </c>
      <c r="J174" s="4">
        <f>IF(OR(INDEX($P$2:$P$1001,MATCH(ROWS($O$2:O174),$O$2:$O$1001,0),1)&gt;=100000,INDEX($V$1005:$AE$1005,1,MATCH(COLUMNS($V$1006:AD1006),$V$1006:$AE$1006,0))&gt;=100000), " ",IF(INDEX($V$2:$AE$1001,MATCH(ROWS($O$2:O174),$O$2:$O$1001,0),MATCH(COLUMNS($V$1006:AD1006),$V$1006:$AE$1006,0)), HYPERLINK("#",""), HYPERLINK(CONCATENATE("#Metadata!", ADDRESS(INDEX($Q$2:$Q$1001,MATCH(ROWS($O$2:O174),$O$2:$O$1001,0),0), INDEX($V$1004:$AE$1004,1,MATCH(COLUMNS($V$1006:AD1006),$V$1006:$AE$1006,0)))),"Fix")))</f>
        <v>0</v>
      </c>
      <c r="K174" s="4">
        <f>IF(OR(INDEX($P$2:$P$1001,MATCH(ROWS($O$2:O174),$O$2:$O$1001,0),1)&gt;=100000,INDEX($V$1005:$AE$1005,1,MATCH(COLUMNS($V$1006:AE1006),$V$1006:$AE$1006,0))&gt;=100000), " ",IF(INDEX($V$2:$AE$1001,MATCH(ROWS($O$2:O174),$O$2:$O$1001,0),MATCH(COLUMNS($V$1006:AE1006),$V$1006:$AE$1006,0)), HYPERLINK("#",""), HYPERLINK(CONCATENATE("#Metadata!", ADDRESS(INDEX($Q$2:$Q$1001,MATCH(ROWS($O$2:O174),$O$2:$O$1001,0),0), INDEX($V$1004:$AE$1004,1,MATCH(COLUMNS($V$1006:AE1006),$V$1006:$AE$1006,0)))),"Fix")))</f>
        <v>0</v>
      </c>
      <c r="O174">
        <v>0</v>
      </c>
      <c r="P174">
        <v>0</v>
      </c>
      <c r="Q174">
        <v>0</v>
      </c>
      <c r="R174">
        <f>IF(S174,TRUE,AND(V174:AE174))</f>
        <v>0</v>
      </c>
      <c r="S174">
        <f>COUNTBLANK(Metadata!B174:K174)=COLUMNS(Metadata!B174:K174)</f>
        <v>0</v>
      </c>
      <c r="T174">
        <v>0</v>
      </c>
      <c r="V174">
        <f>AND(IF(Metadata!B174="",FALSE,TRUE),COUNTIF(Metadata!B:B, Metadata!B174) = 1,NOT(ISERROR(SUMPRODUCT(SEARCH(MID(Metadata!B174,ROW(INDIRECT("1:"&amp;LEN(Metadata!B174))), 1),"0123456789abcdefghijklmnopqrstuvwxyzABCDEFGHIJKLMNOPQRSTUVWXYZ.")))))</f>
        <v>0</v>
      </c>
      <c r="W174">
        <f>AND(IF(Metadata!C174="",FALSE,TRUE),exact(Metadata!C174,"urban biome"))</f>
        <v>0</v>
      </c>
      <c r="X174">
        <f>AND(IF(Metadata!D174="",FALSE,TRUE),exact(Metadata!D174,"animal-associated habitat"))</f>
        <v>0</v>
      </c>
      <c r="Y174">
        <f>OR(AND(IF(Metadata!E174="",FALSE,TRUE),OR(exact(Metadata!E174,"not applicable"),exact(Metadata!E174,"missing: not collected"),exact(Metadata!E174,"missing: not provided"),exact(Metadata!E174,"missing: restricted access"))),AND(IF(Metadata!E174="",FALSE,ISNUMBER(VALUE(Metadata!E174))),Metadata!E174&gt;0))</f>
        <v>0</v>
      </c>
      <c r="Z174">
        <f>AND(IF(Metadata!F174="",FALSE,TRUE),exact(Metadata!F174,"weeks"))</f>
        <v>0</v>
      </c>
      <c r="AA174">
        <f>AND(IF(Metadata!G174="",FALSE,TRUE),exact(Metadata!G174,"mouse"))</f>
        <v>0</v>
      </c>
      <c r="AB174">
        <f>AND(IF(Metadata!H174="",FALSE,TRUE),exact(Metadata!H174,"Mus musculus"))</f>
        <v>0</v>
      </c>
      <c r="AC174">
        <f>AND(IF(Metadata!I174="",FALSE,TRUE),exact(Metadata!I174,"10090"))</f>
        <v>0</v>
      </c>
      <c r="AD174">
        <f>OR(AND(IF(Metadata!J174="",FALSE,TRUE),OR(exact(Metadata!J174,"not applicable"),exact(Metadata!J174,"missing: not collected"),exact(Metadata!J174,"missing: not provided"),exact(Metadata!J174,"missing: restricted access"))),AND(IF(Metadata!J174="",FALSE,ISNUMBER(VALUE(Metadata!J174))),Metadata!J174&gt;0))</f>
        <v>0</v>
      </c>
      <c r="AE174">
        <f>AND(IF(Metadata!K174="",FALSE,TRUE),exact(Metadata!K174,"g"))</f>
        <v>0</v>
      </c>
    </row>
    <row r="175" spans="1:31">
      <c r="A175" s="5">
        <f>IF(B175=" "," ",HYPERLINK(CONCATENATE("#metadata!",ADDRESS(INDEX($Q$2:$Q$1001,MATCH(ROWS($O$2:O175),$O$2:$O$1001,0),0),1)),INDEX($T$2:$T$1001,MATCH(ROWS($O$2:O175),$O$2:$O$1001,0),0)))</f>
        <v>0</v>
      </c>
      <c r="B175" s="4">
        <f>IF(OR(INDEX($P$2:$P$1001,MATCH(ROWS($O$2:O175),$O$2:$O$1001,0),1)&gt;=100000,INDEX($V$1005:$AE$1005,1,MATCH(COLUMNS($V$1006:V1006),$V$1006:$AE$1006,0))&gt;=100000), " ",IF(INDEX($V$2:$AE$1001,MATCH(ROWS($O$2:O175),$O$2:$O$1001,0),MATCH(COLUMNS($V$1006:V1006),$V$1006:$AE$1006,0)), HYPERLINK("#",""), HYPERLINK(CONCATENATE("#Metadata!", ADDRESS(INDEX($Q$2:$Q$1001,MATCH(ROWS($O$2:O175),$O$2:$O$1001,0),0), INDEX($V$1004:$AE$1004,1,MATCH(COLUMNS($V$1006:V1006),$V$1006:$AE$1006,0)))),"Fix")))</f>
        <v>0</v>
      </c>
      <c r="C175" s="4">
        <f>IF(OR(INDEX($P$2:$P$1001,MATCH(ROWS($O$2:O175),$O$2:$O$1001,0),1)&gt;=100000,INDEX($V$1005:$AE$1005,1,MATCH(COLUMNS($V$1006:W1006),$V$1006:$AE$1006,0))&gt;=100000), " ",IF(INDEX($V$2:$AE$1001,MATCH(ROWS($O$2:O175),$O$2:$O$1001,0),MATCH(COLUMNS($V$1006:W1006),$V$1006:$AE$1006,0)), HYPERLINK("#",""), HYPERLINK(CONCATENATE("#Metadata!", ADDRESS(INDEX($Q$2:$Q$1001,MATCH(ROWS($O$2:O175),$O$2:$O$1001,0),0), INDEX($V$1004:$AE$1004,1,MATCH(COLUMNS($V$1006:W1006),$V$1006:$AE$1006,0)))),"Fix")))</f>
        <v>0</v>
      </c>
      <c r="D175" s="4">
        <f>IF(OR(INDEX($P$2:$P$1001,MATCH(ROWS($O$2:O175),$O$2:$O$1001,0),1)&gt;=100000,INDEX($V$1005:$AE$1005,1,MATCH(COLUMNS($V$1006:X1006),$V$1006:$AE$1006,0))&gt;=100000), " ",IF(INDEX($V$2:$AE$1001,MATCH(ROWS($O$2:O175),$O$2:$O$1001,0),MATCH(COLUMNS($V$1006:X1006),$V$1006:$AE$1006,0)), HYPERLINK("#",""), HYPERLINK(CONCATENATE("#Metadata!", ADDRESS(INDEX($Q$2:$Q$1001,MATCH(ROWS($O$2:O175),$O$2:$O$1001,0),0), INDEX($V$1004:$AE$1004,1,MATCH(COLUMNS($V$1006:X1006),$V$1006:$AE$1006,0)))),"Fix")))</f>
        <v>0</v>
      </c>
      <c r="E175" s="4">
        <f>IF(OR(INDEX($P$2:$P$1001,MATCH(ROWS($O$2:O175),$O$2:$O$1001,0),1)&gt;=100000,INDEX($V$1005:$AE$1005,1,MATCH(COLUMNS($V$1006:Y1006),$V$1006:$AE$1006,0))&gt;=100000), " ",IF(INDEX($V$2:$AE$1001,MATCH(ROWS($O$2:O175),$O$2:$O$1001,0),MATCH(COLUMNS($V$1006:Y1006),$V$1006:$AE$1006,0)), HYPERLINK("#",""), HYPERLINK(CONCATENATE("#Metadata!", ADDRESS(INDEX($Q$2:$Q$1001,MATCH(ROWS($O$2:O175),$O$2:$O$1001,0),0), INDEX($V$1004:$AE$1004,1,MATCH(COLUMNS($V$1006:Y1006),$V$1006:$AE$1006,0)))),"Fix")))</f>
        <v>0</v>
      </c>
      <c r="F175" s="4">
        <f>IF(OR(INDEX($P$2:$P$1001,MATCH(ROWS($O$2:O175),$O$2:$O$1001,0),1)&gt;=100000,INDEX($V$1005:$AE$1005,1,MATCH(COLUMNS($V$1006:Z1006),$V$1006:$AE$1006,0))&gt;=100000), " ",IF(INDEX($V$2:$AE$1001,MATCH(ROWS($O$2:O175),$O$2:$O$1001,0),MATCH(COLUMNS($V$1006:Z1006),$V$1006:$AE$1006,0)), HYPERLINK("#",""), HYPERLINK(CONCATENATE("#Metadata!", ADDRESS(INDEX($Q$2:$Q$1001,MATCH(ROWS($O$2:O175),$O$2:$O$1001,0),0), INDEX($V$1004:$AE$1004,1,MATCH(COLUMNS($V$1006:Z1006),$V$1006:$AE$1006,0)))),"Fix")))</f>
        <v>0</v>
      </c>
      <c r="G175" s="4">
        <f>IF(OR(INDEX($P$2:$P$1001,MATCH(ROWS($O$2:O175),$O$2:$O$1001,0),1)&gt;=100000,INDEX($V$1005:$AE$1005,1,MATCH(COLUMNS($V$1006:AA1006),$V$1006:$AE$1006,0))&gt;=100000), " ",IF(INDEX($V$2:$AE$1001,MATCH(ROWS($O$2:O175),$O$2:$O$1001,0),MATCH(COLUMNS($V$1006:AA1006),$V$1006:$AE$1006,0)), HYPERLINK("#",""), HYPERLINK(CONCATENATE("#Metadata!", ADDRESS(INDEX($Q$2:$Q$1001,MATCH(ROWS($O$2:O175),$O$2:$O$1001,0),0), INDEX($V$1004:$AE$1004,1,MATCH(COLUMNS($V$1006:AA1006),$V$1006:$AE$1006,0)))),"Fix")))</f>
        <v>0</v>
      </c>
      <c r="H175" s="4">
        <f>IF(OR(INDEX($P$2:$P$1001,MATCH(ROWS($O$2:O175),$O$2:$O$1001,0),1)&gt;=100000,INDEX($V$1005:$AE$1005,1,MATCH(COLUMNS($V$1006:AB1006),$V$1006:$AE$1006,0))&gt;=100000), " ",IF(INDEX($V$2:$AE$1001,MATCH(ROWS($O$2:O175),$O$2:$O$1001,0),MATCH(COLUMNS($V$1006:AB1006),$V$1006:$AE$1006,0)), HYPERLINK("#",""), HYPERLINK(CONCATENATE("#Metadata!", ADDRESS(INDEX($Q$2:$Q$1001,MATCH(ROWS($O$2:O175),$O$2:$O$1001,0),0), INDEX($V$1004:$AE$1004,1,MATCH(COLUMNS($V$1006:AB1006),$V$1006:$AE$1006,0)))),"Fix")))</f>
        <v>0</v>
      </c>
      <c r="I175" s="4">
        <f>IF(OR(INDEX($P$2:$P$1001,MATCH(ROWS($O$2:O175),$O$2:$O$1001,0),1)&gt;=100000,INDEX($V$1005:$AE$1005,1,MATCH(COLUMNS($V$1006:AC1006),$V$1006:$AE$1006,0))&gt;=100000), " ",IF(INDEX($V$2:$AE$1001,MATCH(ROWS($O$2:O175),$O$2:$O$1001,0),MATCH(COLUMNS($V$1006:AC1006),$V$1006:$AE$1006,0)), HYPERLINK("#",""), HYPERLINK(CONCATENATE("#Metadata!", ADDRESS(INDEX($Q$2:$Q$1001,MATCH(ROWS($O$2:O175),$O$2:$O$1001,0),0), INDEX($V$1004:$AE$1004,1,MATCH(COLUMNS($V$1006:AC1006),$V$1006:$AE$1006,0)))),"Fix")))</f>
        <v>0</v>
      </c>
      <c r="J175" s="4">
        <f>IF(OR(INDEX($P$2:$P$1001,MATCH(ROWS($O$2:O175),$O$2:$O$1001,0),1)&gt;=100000,INDEX($V$1005:$AE$1005,1,MATCH(COLUMNS($V$1006:AD1006),$V$1006:$AE$1006,0))&gt;=100000), " ",IF(INDEX($V$2:$AE$1001,MATCH(ROWS($O$2:O175),$O$2:$O$1001,0),MATCH(COLUMNS($V$1006:AD1006),$V$1006:$AE$1006,0)), HYPERLINK("#",""), HYPERLINK(CONCATENATE("#Metadata!", ADDRESS(INDEX($Q$2:$Q$1001,MATCH(ROWS($O$2:O175),$O$2:$O$1001,0),0), INDEX($V$1004:$AE$1004,1,MATCH(COLUMNS($V$1006:AD1006),$V$1006:$AE$1006,0)))),"Fix")))</f>
        <v>0</v>
      </c>
      <c r="K175" s="4">
        <f>IF(OR(INDEX($P$2:$P$1001,MATCH(ROWS($O$2:O175),$O$2:$O$1001,0),1)&gt;=100000,INDEX($V$1005:$AE$1005,1,MATCH(COLUMNS($V$1006:AE1006),$V$1006:$AE$1006,0))&gt;=100000), " ",IF(INDEX($V$2:$AE$1001,MATCH(ROWS($O$2:O175),$O$2:$O$1001,0),MATCH(COLUMNS($V$1006:AE1006),$V$1006:$AE$1006,0)), HYPERLINK("#",""), HYPERLINK(CONCATENATE("#Metadata!", ADDRESS(INDEX($Q$2:$Q$1001,MATCH(ROWS($O$2:O175),$O$2:$O$1001,0),0), INDEX($V$1004:$AE$1004,1,MATCH(COLUMNS($V$1006:AE1006),$V$1006:$AE$1006,0)))),"Fix")))</f>
        <v>0</v>
      </c>
      <c r="O175">
        <v>0</v>
      </c>
      <c r="P175">
        <v>0</v>
      </c>
      <c r="Q175">
        <v>0</v>
      </c>
      <c r="R175">
        <f>IF(S175,TRUE,AND(V175:AE175))</f>
        <v>0</v>
      </c>
      <c r="S175">
        <f>COUNTBLANK(Metadata!B175:K175)=COLUMNS(Metadata!B175:K175)</f>
        <v>0</v>
      </c>
      <c r="T175">
        <v>0</v>
      </c>
      <c r="V175">
        <f>AND(IF(Metadata!B175="",FALSE,TRUE),COUNTIF(Metadata!B:B, Metadata!B175) = 1,NOT(ISERROR(SUMPRODUCT(SEARCH(MID(Metadata!B175,ROW(INDIRECT("1:"&amp;LEN(Metadata!B175))), 1),"0123456789abcdefghijklmnopqrstuvwxyzABCDEFGHIJKLMNOPQRSTUVWXYZ.")))))</f>
        <v>0</v>
      </c>
      <c r="W175">
        <f>AND(IF(Metadata!C175="",FALSE,TRUE),exact(Metadata!C175,"urban biome"))</f>
        <v>0</v>
      </c>
      <c r="X175">
        <f>AND(IF(Metadata!D175="",FALSE,TRUE),exact(Metadata!D175,"animal-associated habitat"))</f>
        <v>0</v>
      </c>
      <c r="Y175">
        <f>OR(AND(IF(Metadata!E175="",FALSE,TRUE),OR(exact(Metadata!E175,"not applicable"),exact(Metadata!E175,"missing: not collected"),exact(Metadata!E175,"missing: not provided"),exact(Metadata!E175,"missing: restricted access"))),AND(IF(Metadata!E175="",FALSE,ISNUMBER(VALUE(Metadata!E175))),Metadata!E175&gt;0))</f>
        <v>0</v>
      </c>
      <c r="Z175">
        <f>AND(IF(Metadata!F175="",FALSE,TRUE),exact(Metadata!F175,"weeks"))</f>
        <v>0</v>
      </c>
      <c r="AA175">
        <f>AND(IF(Metadata!G175="",FALSE,TRUE),exact(Metadata!G175,"mouse"))</f>
        <v>0</v>
      </c>
      <c r="AB175">
        <f>AND(IF(Metadata!H175="",FALSE,TRUE),exact(Metadata!H175,"Mus musculus"))</f>
        <v>0</v>
      </c>
      <c r="AC175">
        <f>AND(IF(Metadata!I175="",FALSE,TRUE),exact(Metadata!I175,"10090"))</f>
        <v>0</v>
      </c>
      <c r="AD175">
        <f>OR(AND(IF(Metadata!J175="",FALSE,TRUE),OR(exact(Metadata!J175,"not applicable"),exact(Metadata!J175,"missing: not collected"),exact(Metadata!J175,"missing: not provided"),exact(Metadata!J175,"missing: restricted access"))),AND(IF(Metadata!J175="",FALSE,ISNUMBER(VALUE(Metadata!J175))),Metadata!J175&gt;0))</f>
        <v>0</v>
      </c>
      <c r="AE175">
        <f>AND(IF(Metadata!K175="",FALSE,TRUE),exact(Metadata!K175,"g"))</f>
        <v>0</v>
      </c>
    </row>
    <row r="176" spans="1:31">
      <c r="A176" s="5">
        <f>IF(B176=" "," ",HYPERLINK(CONCATENATE("#metadata!",ADDRESS(INDEX($Q$2:$Q$1001,MATCH(ROWS($O$2:O176),$O$2:$O$1001,0),0),1)),INDEX($T$2:$T$1001,MATCH(ROWS($O$2:O176),$O$2:$O$1001,0),0)))</f>
        <v>0</v>
      </c>
      <c r="B176" s="4">
        <f>IF(OR(INDEX($P$2:$P$1001,MATCH(ROWS($O$2:O176),$O$2:$O$1001,0),1)&gt;=100000,INDEX($V$1005:$AE$1005,1,MATCH(COLUMNS($V$1006:V1006),$V$1006:$AE$1006,0))&gt;=100000), " ",IF(INDEX($V$2:$AE$1001,MATCH(ROWS($O$2:O176),$O$2:$O$1001,0),MATCH(COLUMNS($V$1006:V1006),$V$1006:$AE$1006,0)), HYPERLINK("#",""), HYPERLINK(CONCATENATE("#Metadata!", ADDRESS(INDEX($Q$2:$Q$1001,MATCH(ROWS($O$2:O176),$O$2:$O$1001,0),0), INDEX($V$1004:$AE$1004,1,MATCH(COLUMNS($V$1006:V1006),$V$1006:$AE$1006,0)))),"Fix")))</f>
        <v>0</v>
      </c>
      <c r="C176" s="4">
        <f>IF(OR(INDEX($P$2:$P$1001,MATCH(ROWS($O$2:O176),$O$2:$O$1001,0),1)&gt;=100000,INDEX($V$1005:$AE$1005,1,MATCH(COLUMNS($V$1006:W1006),$V$1006:$AE$1006,0))&gt;=100000), " ",IF(INDEX($V$2:$AE$1001,MATCH(ROWS($O$2:O176),$O$2:$O$1001,0),MATCH(COLUMNS($V$1006:W1006),$V$1006:$AE$1006,0)), HYPERLINK("#",""), HYPERLINK(CONCATENATE("#Metadata!", ADDRESS(INDEX($Q$2:$Q$1001,MATCH(ROWS($O$2:O176),$O$2:$O$1001,0),0), INDEX($V$1004:$AE$1004,1,MATCH(COLUMNS($V$1006:W1006),$V$1006:$AE$1006,0)))),"Fix")))</f>
        <v>0</v>
      </c>
      <c r="D176" s="4">
        <f>IF(OR(INDEX($P$2:$P$1001,MATCH(ROWS($O$2:O176),$O$2:$O$1001,0),1)&gt;=100000,INDEX($V$1005:$AE$1005,1,MATCH(COLUMNS($V$1006:X1006),$V$1006:$AE$1006,0))&gt;=100000), " ",IF(INDEX($V$2:$AE$1001,MATCH(ROWS($O$2:O176),$O$2:$O$1001,0),MATCH(COLUMNS($V$1006:X1006),$V$1006:$AE$1006,0)), HYPERLINK("#",""), HYPERLINK(CONCATENATE("#Metadata!", ADDRESS(INDEX($Q$2:$Q$1001,MATCH(ROWS($O$2:O176),$O$2:$O$1001,0),0), INDEX($V$1004:$AE$1004,1,MATCH(COLUMNS($V$1006:X1006),$V$1006:$AE$1006,0)))),"Fix")))</f>
        <v>0</v>
      </c>
      <c r="E176" s="4">
        <f>IF(OR(INDEX($P$2:$P$1001,MATCH(ROWS($O$2:O176),$O$2:$O$1001,0),1)&gt;=100000,INDEX($V$1005:$AE$1005,1,MATCH(COLUMNS($V$1006:Y1006),$V$1006:$AE$1006,0))&gt;=100000), " ",IF(INDEX($V$2:$AE$1001,MATCH(ROWS($O$2:O176),$O$2:$O$1001,0),MATCH(COLUMNS($V$1006:Y1006),$V$1006:$AE$1006,0)), HYPERLINK("#",""), HYPERLINK(CONCATENATE("#Metadata!", ADDRESS(INDEX($Q$2:$Q$1001,MATCH(ROWS($O$2:O176),$O$2:$O$1001,0),0), INDEX($V$1004:$AE$1004,1,MATCH(COLUMNS($V$1006:Y1006),$V$1006:$AE$1006,0)))),"Fix")))</f>
        <v>0</v>
      </c>
      <c r="F176" s="4">
        <f>IF(OR(INDEX($P$2:$P$1001,MATCH(ROWS($O$2:O176),$O$2:$O$1001,0),1)&gt;=100000,INDEX($V$1005:$AE$1005,1,MATCH(COLUMNS($V$1006:Z1006),$V$1006:$AE$1006,0))&gt;=100000), " ",IF(INDEX($V$2:$AE$1001,MATCH(ROWS($O$2:O176),$O$2:$O$1001,0),MATCH(COLUMNS($V$1006:Z1006),$V$1006:$AE$1006,0)), HYPERLINK("#",""), HYPERLINK(CONCATENATE("#Metadata!", ADDRESS(INDEX($Q$2:$Q$1001,MATCH(ROWS($O$2:O176),$O$2:$O$1001,0),0), INDEX($V$1004:$AE$1004,1,MATCH(COLUMNS($V$1006:Z1006),$V$1006:$AE$1006,0)))),"Fix")))</f>
        <v>0</v>
      </c>
      <c r="G176" s="4">
        <f>IF(OR(INDEX($P$2:$P$1001,MATCH(ROWS($O$2:O176),$O$2:$O$1001,0),1)&gt;=100000,INDEX($V$1005:$AE$1005,1,MATCH(COLUMNS($V$1006:AA1006),$V$1006:$AE$1006,0))&gt;=100000), " ",IF(INDEX($V$2:$AE$1001,MATCH(ROWS($O$2:O176),$O$2:$O$1001,0),MATCH(COLUMNS($V$1006:AA1006),$V$1006:$AE$1006,0)), HYPERLINK("#",""), HYPERLINK(CONCATENATE("#Metadata!", ADDRESS(INDEX($Q$2:$Q$1001,MATCH(ROWS($O$2:O176),$O$2:$O$1001,0),0), INDEX($V$1004:$AE$1004,1,MATCH(COLUMNS($V$1006:AA1006),$V$1006:$AE$1006,0)))),"Fix")))</f>
        <v>0</v>
      </c>
      <c r="H176" s="4">
        <f>IF(OR(INDEX($P$2:$P$1001,MATCH(ROWS($O$2:O176),$O$2:$O$1001,0),1)&gt;=100000,INDEX($V$1005:$AE$1005,1,MATCH(COLUMNS($V$1006:AB1006),$V$1006:$AE$1006,0))&gt;=100000), " ",IF(INDEX($V$2:$AE$1001,MATCH(ROWS($O$2:O176),$O$2:$O$1001,0),MATCH(COLUMNS($V$1006:AB1006),$V$1006:$AE$1006,0)), HYPERLINK("#",""), HYPERLINK(CONCATENATE("#Metadata!", ADDRESS(INDEX($Q$2:$Q$1001,MATCH(ROWS($O$2:O176),$O$2:$O$1001,0),0), INDEX($V$1004:$AE$1004,1,MATCH(COLUMNS($V$1006:AB1006),$V$1006:$AE$1006,0)))),"Fix")))</f>
        <v>0</v>
      </c>
      <c r="I176" s="4">
        <f>IF(OR(INDEX($P$2:$P$1001,MATCH(ROWS($O$2:O176),$O$2:$O$1001,0),1)&gt;=100000,INDEX($V$1005:$AE$1005,1,MATCH(COLUMNS($V$1006:AC1006),$V$1006:$AE$1006,0))&gt;=100000), " ",IF(INDEX($V$2:$AE$1001,MATCH(ROWS($O$2:O176),$O$2:$O$1001,0),MATCH(COLUMNS($V$1006:AC1006),$V$1006:$AE$1006,0)), HYPERLINK("#",""), HYPERLINK(CONCATENATE("#Metadata!", ADDRESS(INDEX($Q$2:$Q$1001,MATCH(ROWS($O$2:O176),$O$2:$O$1001,0),0), INDEX($V$1004:$AE$1004,1,MATCH(COLUMNS($V$1006:AC1006),$V$1006:$AE$1006,0)))),"Fix")))</f>
        <v>0</v>
      </c>
      <c r="J176" s="4">
        <f>IF(OR(INDEX($P$2:$P$1001,MATCH(ROWS($O$2:O176),$O$2:$O$1001,0),1)&gt;=100000,INDEX($V$1005:$AE$1005,1,MATCH(COLUMNS($V$1006:AD1006),$V$1006:$AE$1006,0))&gt;=100000), " ",IF(INDEX($V$2:$AE$1001,MATCH(ROWS($O$2:O176),$O$2:$O$1001,0),MATCH(COLUMNS($V$1006:AD1006),$V$1006:$AE$1006,0)), HYPERLINK("#",""), HYPERLINK(CONCATENATE("#Metadata!", ADDRESS(INDEX($Q$2:$Q$1001,MATCH(ROWS($O$2:O176),$O$2:$O$1001,0),0), INDEX($V$1004:$AE$1004,1,MATCH(COLUMNS($V$1006:AD1006),$V$1006:$AE$1006,0)))),"Fix")))</f>
        <v>0</v>
      </c>
      <c r="K176" s="4">
        <f>IF(OR(INDEX($P$2:$P$1001,MATCH(ROWS($O$2:O176),$O$2:$O$1001,0),1)&gt;=100000,INDEX($V$1005:$AE$1005,1,MATCH(COLUMNS($V$1006:AE1006),$V$1006:$AE$1006,0))&gt;=100000), " ",IF(INDEX($V$2:$AE$1001,MATCH(ROWS($O$2:O176),$O$2:$O$1001,0),MATCH(COLUMNS($V$1006:AE1006),$V$1006:$AE$1006,0)), HYPERLINK("#",""), HYPERLINK(CONCATENATE("#Metadata!", ADDRESS(INDEX($Q$2:$Q$1001,MATCH(ROWS($O$2:O176),$O$2:$O$1001,0),0), INDEX($V$1004:$AE$1004,1,MATCH(COLUMNS($V$1006:AE1006),$V$1006:$AE$1006,0)))),"Fix")))</f>
        <v>0</v>
      </c>
      <c r="O176">
        <v>0</v>
      </c>
      <c r="P176">
        <v>0</v>
      </c>
      <c r="Q176">
        <v>0</v>
      </c>
      <c r="R176">
        <f>IF(S176,TRUE,AND(V176:AE176))</f>
        <v>0</v>
      </c>
      <c r="S176">
        <f>COUNTBLANK(Metadata!B176:K176)=COLUMNS(Metadata!B176:K176)</f>
        <v>0</v>
      </c>
      <c r="T176">
        <v>0</v>
      </c>
      <c r="V176">
        <f>AND(IF(Metadata!B176="",FALSE,TRUE),COUNTIF(Metadata!B:B, Metadata!B176) = 1,NOT(ISERROR(SUMPRODUCT(SEARCH(MID(Metadata!B176,ROW(INDIRECT("1:"&amp;LEN(Metadata!B176))), 1),"0123456789abcdefghijklmnopqrstuvwxyzABCDEFGHIJKLMNOPQRSTUVWXYZ.")))))</f>
        <v>0</v>
      </c>
      <c r="W176">
        <f>AND(IF(Metadata!C176="",FALSE,TRUE),exact(Metadata!C176,"urban biome"))</f>
        <v>0</v>
      </c>
      <c r="X176">
        <f>AND(IF(Metadata!D176="",FALSE,TRUE),exact(Metadata!D176,"animal-associated habitat"))</f>
        <v>0</v>
      </c>
      <c r="Y176">
        <f>OR(AND(IF(Metadata!E176="",FALSE,TRUE),OR(exact(Metadata!E176,"not applicable"),exact(Metadata!E176,"missing: not collected"),exact(Metadata!E176,"missing: not provided"),exact(Metadata!E176,"missing: restricted access"))),AND(IF(Metadata!E176="",FALSE,ISNUMBER(VALUE(Metadata!E176))),Metadata!E176&gt;0))</f>
        <v>0</v>
      </c>
      <c r="Z176">
        <f>AND(IF(Metadata!F176="",FALSE,TRUE),exact(Metadata!F176,"weeks"))</f>
        <v>0</v>
      </c>
      <c r="AA176">
        <f>AND(IF(Metadata!G176="",FALSE,TRUE),exact(Metadata!G176,"mouse"))</f>
        <v>0</v>
      </c>
      <c r="AB176">
        <f>AND(IF(Metadata!H176="",FALSE,TRUE),exact(Metadata!H176,"Mus musculus"))</f>
        <v>0</v>
      </c>
      <c r="AC176">
        <f>AND(IF(Metadata!I176="",FALSE,TRUE),exact(Metadata!I176,"10090"))</f>
        <v>0</v>
      </c>
      <c r="AD176">
        <f>OR(AND(IF(Metadata!J176="",FALSE,TRUE),OR(exact(Metadata!J176,"not applicable"),exact(Metadata!J176,"missing: not collected"),exact(Metadata!J176,"missing: not provided"),exact(Metadata!J176,"missing: restricted access"))),AND(IF(Metadata!J176="",FALSE,ISNUMBER(VALUE(Metadata!J176))),Metadata!J176&gt;0))</f>
        <v>0</v>
      </c>
      <c r="AE176">
        <f>AND(IF(Metadata!K176="",FALSE,TRUE),exact(Metadata!K176,"g"))</f>
        <v>0</v>
      </c>
    </row>
    <row r="177" spans="1:31">
      <c r="A177" s="5">
        <f>IF(B177=" "," ",HYPERLINK(CONCATENATE("#metadata!",ADDRESS(INDEX($Q$2:$Q$1001,MATCH(ROWS($O$2:O177),$O$2:$O$1001,0),0),1)),INDEX($T$2:$T$1001,MATCH(ROWS($O$2:O177),$O$2:$O$1001,0),0)))</f>
        <v>0</v>
      </c>
      <c r="B177" s="4">
        <f>IF(OR(INDEX($P$2:$P$1001,MATCH(ROWS($O$2:O177),$O$2:$O$1001,0),1)&gt;=100000,INDEX($V$1005:$AE$1005,1,MATCH(COLUMNS($V$1006:V1006),$V$1006:$AE$1006,0))&gt;=100000), " ",IF(INDEX($V$2:$AE$1001,MATCH(ROWS($O$2:O177),$O$2:$O$1001,0),MATCH(COLUMNS($V$1006:V1006),$V$1006:$AE$1006,0)), HYPERLINK("#",""), HYPERLINK(CONCATENATE("#Metadata!", ADDRESS(INDEX($Q$2:$Q$1001,MATCH(ROWS($O$2:O177),$O$2:$O$1001,0),0), INDEX($V$1004:$AE$1004,1,MATCH(COLUMNS($V$1006:V1006),$V$1006:$AE$1006,0)))),"Fix")))</f>
        <v>0</v>
      </c>
      <c r="C177" s="4">
        <f>IF(OR(INDEX($P$2:$P$1001,MATCH(ROWS($O$2:O177),$O$2:$O$1001,0),1)&gt;=100000,INDEX($V$1005:$AE$1005,1,MATCH(COLUMNS($V$1006:W1006),$V$1006:$AE$1006,0))&gt;=100000), " ",IF(INDEX($V$2:$AE$1001,MATCH(ROWS($O$2:O177),$O$2:$O$1001,0),MATCH(COLUMNS($V$1006:W1006),$V$1006:$AE$1006,0)), HYPERLINK("#",""), HYPERLINK(CONCATENATE("#Metadata!", ADDRESS(INDEX($Q$2:$Q$1001,MATCH(ROWS($O$2:O177),$O$2:$O$1001,0),0), INDEX($V$1004:$AE$1004,1,MATCH(COLUMNS($V$1006:W1006),$V$1006:$AE$1006,0)))),"Fix")))</f>
        <v>0</v>
      </c>
      <c r="D177" s="4">
        <f>IF(OR(INDEX($P$2:$P$1001,MATCH(ROWS($O$2:O177),$O$2:$O$1001,0),1)&gt;=100000,INDEX($V$1005:$AE$1005,1,MATCH(COLUMNS($V$1006:X1006),$V$1006:$AE$1006,0))&gt;=100000), " ",IF(INDEX($V$2:$AE$1001,MATCH(ROWS($O$2:O177),$O$2:$O$1001,0),MATCH(COLUMNS($V$1006:X1006),$V$1006:$AE$1006,0)), HYPERLINK("#",""), HYPERLINK(CONCATENATE("#Metadata!", ADDRESS(INDEX($Q$2:$Q$1001,MATCH(ROWS($O$2:O177),$O$2:$O$1001,0),0), INDEX($V$1004:$AE$1004,1,MATCH(COLUMNS($V$1006:X1006),$V$1006:$AE$1006,0)))),"Fix")))</f>
        <v>0</v>
      </c>
      <c r="E177" s="4">
        <f>IF(OR(INDEX($P$2:$P$1001,MATCH(ROWS($O$2:O177),$O$2:$O$1001,0),1)&gt;=100000,INDEX($V$1005:$AE$1005,1,MATCH(COLUMNS($V$1006:Y1006),$V$1006:$AE$1006,0))&gt;=100000), " ",IF(INDEX($V$2:$AE$1001,MATCH(ROWS($O$2:O177),$O$2:$O$1001,0),MATCH(COLUMNS($V$1006:Y1006),$V$1006:$AE$1006,0)), HYPERLINK("#",""), HYPERLINK(CONCATENATE("#Metadata!", ADDRESS(INDEX($Q$2:$Q$1001,MATCH(ROWS($O$2:O177),$O$2:$O$1001,0),0), INDEX($V$1004:$AE$1004,1,MATCH(COLUMNS($V$1006:Y1006),$V$1006:$AE$1006,0)))),"Fix")))</f>
        <v>0</v>
      </c>
      <c r="F177" s="4">
        <f>IF(OR(INDEX($P$2:$P$1001,MATCH(ROWS($O$2:O177),$O$2:$O$1001,0),1)&gt;=100000,INDEX($V$1005:$AE$1005,1,MATCH(COLUMNS($V$1006:Z1006),$V$1006:$AE$1006,0))&gt;=100000), " ",IF(INDEX($V$2:$AE$1001,MATCH(ROWS($O$2:O177),$O$2:$O$1001,0),MATCH(COLUMNS($V$1006:Z1006),$V$1006:$AE$1006,0)), HYPERLINK("#",""), HYPERLINK(CONCATENATE("#Metadata!", ADDRESS(INDEX($Q$2:$Q$1001,MATCH(ROWS($O$2:O177),$O$2:$O$1001,0),0), INDEX($V$1004:$AE$1004,1,MATCH(COLUMNS($V$1006:Z1006),$V$1006:$AE$1006,0)))),"Fix")))</f>
        <v>0</v>
      </c>
      <c r="G177" s="4">
        <f>IF(OR(INDEX($P$2:$P$1001,MATCH(ROWS($O$2:O177),$O$2:$O$1001,0),1)&gt;=100000,INDEX($V$1005:$AE$1005,1,MATCH(COLUMNS($V$1006:AA1006),$V$1006:$AE$1006,0))&gt;=100000), " ",IF(INDEX($V$2:$AE$1001,MATCH(ROWS($O$2:O177),$O$2:$O$1001,0),MATCH(COLUMNS($V$1006:AA1006),$V$1006:$AE$1006,0)), HYPERLINK("#",""), HYPERLINK(CONCATENATE("#Metadata!", ADDRESS(INDEX($Q$2:$Q$1001,MATCH(ROWS($O$2:O177),$O$2:$O$1001,0),0), INDEX($V$1004:$AE$1004,1,MATCH(COLUMNS($V$1006:AA1006),$V$1006:$AE$1006,0)))),"Fix")))</f>
        <v>0</v>
      </c>
      <c r="H177" s="4">
        <f>IF(OR(INDEX($P$2:$P$1001,MATCH(ROWS($O$2:O177),$O$2:$O$1001,0),1)&gt;=100000,INDEX($V$1005:$AE$1005,1,MATCH(COLUMNS($V$1006:AB1006),$V$1006:$AE$1006,0))&gt;=100000), " ",IF(INDEX($V$2:$AE$1001,MATCH(ROWS($O$2:O177),$O$2:$O$1001,0),MATCH(COLUMNS($V$1006:AB1006),$V$1006:$AE$1006,0)), HYPERLINK("#",""), HYPERLINK(CONCATENATE("#Metadata!", ADDRESS(INDEX($Q$2:$Q$1001,MATCH(ROWS($O$2:O177),$O$2:$O$1001,0),0), INDEX($V$1004:$AE$1004,1,MATCH(COLUMNS($V$1006:AB1006),$V$1006:$AE$1006,0)))),"Fix")))</f>
        <v>0</v>
      </c>
      <c r="I177" s="4">
        <f>IF(OR(INDEX($P$2:$P$1001,MATCH(ROWS($O$2:O177),$O$2:$O$1001,0),1)&gt;=100000,INDEX($V$1005:$AE$1005,1,MATCH(COLUMNS($V$1006:AC1006),$V$1006:$AE$1006,0))&gt;=100000), " ",IF(INDEX($V$2:$AE$1001,MATCH(ROWS($O$2:O177),$O$2:$O$1001,0),MATCH(COLUMNS($V$1006:AC1006),$V$1006:$AE$1006,0)), HYPERLINK("#",""), HYPERLINK(CONCATENATE("#Metadata!", ADDRESS(INDEX($Q$2:$Q$1001,MATCH(ROWS($O$2:O177),$O$2:$O$1001,0),0), INDEX($V$1004:$AE$1004,1,MATCH(COLUMNS($V$1006:AC1006),$V$1006:$AE$1006,0)))),"Fix")))</f>
        <v>0</v>
      </c>
      <c r="J177" s="4">
        <f>IF(OR(INDEX($P$2:$P$1001,MATCH(ROWS($O$2:O177),$O$2:$O$1001,0),1)&gt;=100000,INDEX($V$1005:$AE$1005,1,MATCH(COLUMNS($V$1006:AD1006),$V$1006:$AE$1006,0))&gt;=100000), " ",IF(INDEX($V$2:$AE$1001,MATCH(ROWS($O$2:O177),$O$2:$O$1001,0),MATCH(COLUMNS($V$1006:AD1006),$V$1006:$AE$1006,0)), HYPERLINK("#",""), HYPERLINK(CONCATENATE("#Metadata!", ADDRESS(INDEX($Q$2:$Q$1001,MATCH(ROWS($O$2:O177),$O$2:$O$1001,0),0), INDEX($V$1004:$AE$1004,1,MATCH(COLUMNS($V$1006:AD1006),$V$1006:$AE$1006,0)))),"Fix")))</f>
        <v>0</v>
      </c>
      <c r="K177" s="4">
        <f>IF(OR(INDEX($P$2:$P$1001,MATCH(ROWS($O$2:O177),$O$2:$O$1001,0),1)&gt;=100000,INDEX($V$1005:$AE$1005,1,MATCH(COLUMNS($V$1006:AE1006),$V$1006:$AE$1006,0))&gt;=100000), " ",IF(INDEX($V$2:$AE$1001,MATCH(ROWS($O$2:O177),$O$2:$O$1001,0),MATCH(COLUMNS($V$1006:AE1006),$V$1006:$AE$1006,0)), HYPERLINK("#",""), HYPERLINK(CONCATENATE("#Metadata!", ADDRESS(INDEX($Q$2:$Q$1001,MATCH(ROWS($O$2:O177),$O$2:$O$1001,0),0), INDEX($V$1004:$AE$1004,1,MATCH(COLUMNS($V$1006:AE1006),$V$1006:$AE$1006,0)))),"Fix")))</f>
        <v>0</v>
      </c>
      <c r="O177">
        <v>0</v>
      </c>
      <c r="P177">
        <v>0</v>
      </c>
      <c r="Q177">
        <v>0</v>
      </c>
      <c r="R177">
        <f>IF(S177,TRUE,AND(V177:AE177))</f>
        <v>0</v>
      </c>
      <c r="S177">
        <f>COUNTBLANK(Metadata!B177:K177)=COLUMNS(Metadata!B177:K177)</f>
        <v>0</v>
      </c>
      <c r="T177">
        <v>0</v>
      </c>
      <c r="V177">
        <f>AND(IF(Metadata!B177="",FALSE,TRUE),COUNTIF(Metadata!B:B, Metadata!B177) = 1,NOT(ISERROR(SUMPRODUCT(SEARCH(MID(Metadata!B177,ROW(INDIRECT("1:"&amp;LEN(Metadata!B177))), 1),"0123456789abcdefghijklmnopqrstuvwxyzABCDEFGHIJKLMNOPQRSTUVWXYZ.")))))</f>
        <v>0</v>
      </c>
      <c r="W177">
        <f>AND(IF(Metadata!C177="",FALSE,TRUE),exact(Metadata!C177,"urban biome"))</f>
        <v>0</v>
      </c>
      <c r="X177">
        <f>AND(IF(Metadata!D177="",FALSE,TRUE),exact(Metadata!D177,"animal-associated habitat"))</f>
        <v>0</v>
      </c>
      <c r="Y177">
        <f>OR(AND(IF(Metadata!E177="",FALSE,TRUE),OR(exact(Metadata!E177,"not applicable"),exact(Metadata!E177,"missing: not collected"),exact(Metadata!E177,"missing: not provided"),exact(Metadata!E177,"missing: restricted access"))),AND(IF(Metadata!E177="",FALSE,ISNUMBER(VALUE(Metadata!E177))),Metadata!E177&gt;0))</f>
        <v>0</v>
      </c>
      <c r="Z177">
        <f>AND(IF(Metadata!F177="",FALSE,TRUE),exact(Metadata!F177,"weeks"))</f>
        <v>0</v>
      </c>
      <c r="AA177">
        <f>AND(IF(Metadata!G177="",FALSE,TRUE),exact(Metadata!G177,"mouse"))</f>
        <v>0</v>
      </c>
      <c r="AB177">
        <f>AND(IF(Metadata!H177="",FALSE,TRUE),exact(Metadata!H177,"Mus musculus"))</f>
        <v>0</v>
      </c>
      <c r="AC177">
        <f>AND(IF(Metadata!I177="",FALSE,TRUE),exact(Metadata!I177,"10090"))</f>
        <v>0</v>
      </c>
      <c r="AD177">
        <f>OR(AND(IF(Metadata!J177="",FALSE,TRUE),OR(exact(Metadata!J177,"not applicable"),exact(Metadata!J177,"missing: not collected"),exact(Metadata!J177,"missing: not provided"),exact(Metadata!J177,"missing: restricted access"))),AND(IF(Metadata!J177="",FALSE,ISNUMBER(VALUE(Metadata!J177))),Metadata!J177&gt;0))</f>
        <v>0</v>
      </c>
      <c r="AE177">
        <f>AND(IF(Metadata!K177="",FALSE,TRUE),exact(Metadata!K177,"g"))</f>
        <v>0</v>
      </c>
    </row>
    <row r="178" spans="1:31">
      <c r="A178" s="5">
        <f>IF(B178=" "," ",HYPERLINK(CONCATENATE("#metadata!",ADDRESS(INDEX($Q$2:$Q$1001,MATCH(ROWS($O$2:O178),$O$2:$O$1001,0),0),1)),INDEX($T$2:$T$1001,MATCH(ROWS($O$2:O178),$O$2:$O$1001,0),0)))</f>
        <v>0</v>
      </c>
      <c r="B178" s="4">
        <f>IF(OR(INDEX($P$2:$P$1001,MATCH(ROWS($O$2:O178),$O$2:$O$1001,0),1)&gt;=100000,INDEX($V$1005:$AE$1005,1,MATCH(COLUMNS($V$1006:V1006),$V$1006:$AE$1006,0))&gt;=100000), " ",IF(INDEX($V$2:$AE$1001,MATCH(ROWS($O$2:O178),$O$2:$O$1001,0),MATCH(COLUMNS($V$1006:V1006),$V$1006:$AE$1006,0)), HYPERLINK("#",""), HYPERLINK(CONCATENATE("#Metadata!", ADDRESS(INDEX($Q$2:$Q$1001,MATCH(ROWS($O$2:O178),$O$2:$O$1001,0),0), INDEX($V$1004:$AE$1004,1,MATCH(COLUMNS($V$1006:V1006),$V$1006:$AE$1006,0)))),"Fix")))</f>
        <v>0</v>
      </c>
      <c r="C178" s="4">
        <f>IF(OR(INDEX($P$2:$P$1001,MATCH(ROWS($O$2:O178),$O$2:$O$1001,0),1)&gt;=100000,INDEX($V$1005:$AE$1005,1,MATCH(COLUMNS($V$1006:W1006),$V$1006:$AE$1006,0))&gt;=100000), " ",IF(INDEX($V$2:$AE$1001,MATCH(ROWS($O$2:O178),$O$2:$O$1001,0),MATCH(COLUMNS($V$1006:W1006),$V$1006:$AE$1006,0)), HYPERLINK("#",""), HYPERLINK(CONCATENATE("#Metadata!", ADDRESS(INDEX($Q$2:$Q$1001,MATCH(ROWS($O$2:O178),$O$2:$O$1001,0),0), INDEX($V$1004:$AE$1004,1,MATCH(COLUMNS($V$1006:W1006),$V$1006:$AE$1006,0)))),"Fix")))</f>
        <v>0</v>
      </c>
      <c r="D178" s="4">
        <f>IF(OR(INDEX($P$2:$P$1001,MATCH(ROWS($O$2:O178),$O$2:$O$1001,0),1)&gt;=100000,INDEX($V$1005:$AE$1005,1,MATCH(COLUMNS($V$1006:X1006),$V$1006:$AE$1006,0))&gt;=100000), " ",IF(INDEX($V$2:$AE$1001,MATCH(ROWS($O$2:O178),$O$2:$O$1001,0),MATCH(COLUMNS($V$1006:X1006),$V$1006:$AE$1006,0)), HYPERLINK("#",""), HYPERLINK(CONCATENATE("#Metadata!", ADDRESS(INDEX($Q$2:$Q$1001,MATCH(ROWS($O$2:O178),$O$2:$O$1001,0),0), INDEX($V$1004:$AE$1004,1,MATCH(COLUMNS($V$1006:X1006),$V$1006:$AE$1006,0)))),"Fix")))</f>
        <v>0</v>
      </c>
      <c r="E178" s="4">
        <f>IF(OR(INDEX($P$2:$P$1001,MATCH(ROWS($O$2:O178),$O$2:$O$1001,0),1)&gt;=100000,INDEX($V$1005:$AE$1005,1,MATCH(COLUMNS($V$1006:Y1006),$V$1006:$AE$1006,0))&gt;=100000), " ",IF(INDEX($V$2:$AE$1001,MATCH(ROWS($O$2:O178),$O$2:$O$1001,0),MATCH(COLUMNS($V$1006:Y1006),$V$1006:$AE$1006,0)), HYPERLINK("#",""), HYPERLINK(CONCATENATE("#Metadata!", ADDRESS(INDEX($Q$2:$Q$1001,MATCH(ROWS($O$2:O178),$O$2:$O$1001,0),0), INDEX($V$1004:$AE$1004,1,MATCH(COLUMNS($V$1006:Y1006),$V$1006:$AE$1006,0)))),"Fix")))</f>
        <v>0</v>
      </c>
      <c r="F178" s="4">
        <f>IF(OR(INDEX($P$2:$P$1001,MATCH(ROWS($O$2:O178),$O$2:$O$1001,0),1)&gt;=100000,INDEX($V$1005:$AE$1005,1,MATCH(COLUMNS($V$1006:Z1006),$V$1006:$AE$1006,0))&gt;=100000), " ",IF(INDEX($V$2:$AE$1001,MATCH(ROWS($O$2:O178),$O$2:$O$1001,0),MATCH(COLUMNS($V$1006:Z1006),$V$1006:$AE$1006,0)), HYPERLINK("#",""), HYPERLINK(CONCATENATE("#Metadata!", ADDRESS(INDEX($Q$2:$Q$1001,MATCH(ROWS($O$2:O178),$O$2:$O$1001,0),0), INDEX($V$1004:$AE$1004,1,MATCH(COLUMNS($V$1006:Z1006),$V$1006:$AE$1006,0)))),"Fix")))</f>
        <v>0</v>
      </c>
      <c r="G178" s="4">
        <f>IF(OR(INDEX($P$2:$P$1001,MATCH(ROWS($O$2:O178),$O$2:$O$1001,0),1)&gt;=100000,INDEX($V$1005:$AE$1005,1,MATCH(COLUMNS($V$1006:AA1006),$V$1006:$AE$1006,0))&gt;=100000), " ",IF(INDEX($V$2:$AE$1001,MATCH(ROWS($O$2:O178),$O$2:$O$1001,0),MATCH(COLUMNS($V$1006:AA1006),$V$1006:$AE$1006,0)), HYPERLINK("#",""), HYPERLINK(CONCATENATE("#Metadata!", ADDRESS(INDEX($Q$2:$Q$1001,MATCH(ROWS($O$2:O178),$O$2:$O$1001,0),0), INDEX($V$1004:$AE$1004,1,MATCH(COLUMNS($V$1006:AA1006),$V$1006:$AE$1006,0)))),"Fix")))</f>
        <v>0</v>
      </c>
      <c r="H178" s="4">
        <f>IF(OR(INDEX($P$2:$P$1001,MATCH(ROWS($O$2:O178),$O$2:$O$1001,0),1)&gt;=100000,INDEX($V$1005:$AE$1005,1,MATCH(COLUMNS($V$1006:AB1006),$V$1006:$AE$1006,0))&gt;=100000), " ",IF(INDEX($V$2:$AE$1001,MATCH(ROWS($O$2:O178),$O$2:$O$1001,0),MATCH(COLUMNS($V$1006:AB1006),$V$1006:$AE$1006,0)), HYPERLINK("#",""), HYPERLINK(CONCATENATE("#Metadata!", ADDRESS(INDEX($Q$2:$Q$1001,MATCH(ROWS($O$2:O178),$O$2:$O$1001,0),0), INDEX($V$1004:$AE$1004,1,MATCH(COLUMNS($V$1006:AB1006),$V$1006:$AE$1006,0)))),"Fix")))</f>
        <v>0</v>
      </c>
      <c r="I178" s="4">
        <f>IF(OR(INDEX($P$2:$P$1001,MATCH(ROWS($O$2:O178),$O$2:$O$1001,0),1)&gt;=100000,INDEX($V$1005:$AE$1005,1,MATCH(COLUMNS($V$1006:AC1006),$V$1006:$AE$1006,0))&gt;=100000), " ",IF(INDEX($V$2:$AE$1001,MATCH(ROWS($O$2:O178),$O$2:$O$1001,0),MATCH(COLUMNS($V$1006:AC1006),$V$1006:$AE$1006,0)), HYPERLINK("#",""), HYPERLINK(CONCATENATE("#Metadata!", ADDRESS(INDEX($Q$2:$Q$1001,MATCH(ROWS($O$2:O178),$O$2:$O$1001,0),0), INDEX($V$1004:$AE$1004,1,MATCH(COLUMNS($V$1006:AC1006),$V$1006:$AE$1006,0)))),"Fix")))</f>
        <v>0</v>
      </c>
      <c r="J178" s="4">
        <f>IF(OR(INDEX($P$2:$P$1001,MATCH(ROWS($O$2:O178),$O$2:$O$1001,0),1)&gt;=100000,INDEX($V$1005:$AE$1005,1,MATCH(COLUMNS($V$1006:AD1006),$V$1006:$AE$1006,0))&gt;=100000), " ",IF(INDEX($V$2:$AE$1001,MATCH(ROWS($O$2:O178),$O$2:$O$1001,0),MATCH(COLUMNS($V$1006:AD1006),$V$1006:$AE$1006,0)), HYPERLINK("#",""), HYPERLINK(CONCATENATE("#Metadata!", ADDRESS(INDEX($Q$2:$Q$1001,MATCH(ROWS($O$2:O178),$O$2:$O$1001,0),0), INDEX($V$1004:$AE$1004,1,MATCH(COLUMNS($V$1006:AD1006),$V$1006:$AE$1006,0)))),"Fix")))</f>
        <v>0</v>
      </c>
      <c r="K178" s="4">
        <f>IF(OR(INDEX($P$2:$P$1001,MATCH(ROWS($O$2:O178),$O$2:$O$1001,0),1)&gt;=100000,INDEX($V$1005:$AE$1005,1,MATCH(COLUMNS($V$1006:AE1006),$V$1006:$AE$1006,0))&gt;=100000), " ",IF(INDEX($V$2:$AE$1001,MATCH(ROWS($O$2:O178),$O$2:$O$1001,0),MATCH(COLUMNS($V$1006:AE1006),$V$1006:$AE$1006,0)), HYPERLINK("#",""), HYPERLINK(CONCATENATE("#Metadata!", ADDRESS(INDEX($Q$2:$Q$1001,MATCH(ROWS($O$2:O178),$O$2:$O$1001,0),0), INDEX($V$1004:$AE$1004,1,MATCH(COLUMNS($V$1006:AE1006),$V$1006:$AE$1006,0)))),"Fix")))</f>
        <v>0</v>
      </c>
      <c r="O178">
        <v>0</v>
      </c>
      <c r="P178">
        <v>0</v>
      </c>
      <c r="Q178">
        <v>0</v>
      </c>
      <c r="R178">
        <f>IF(S178,TRUE,AND(V178:AE178))</f>
        <v>0</v>
      </c>
      <c r="S178">
        <f>COUNTBLANK(Metadata!B178:K178)=COLUMNS(Metadata!B178:K178)</f>
        <v>0</v>
      </c>
      <c r="T178">
        <v>0</v>
      </c>
      <c r="V178">
        <f>AND(IF(Metadata!B178="",FALSE,TRUE),COUNTIF(Metadata!B:B, Metadata!B178) = 1,NOT(ISERROR(SUMPRODUCT(SEARCH(MID(Metadata!B178,ROW(INDIRECT("1:"&amp;LEN(Metadata!B178))), 1),"0123456789abcdefghijklmnopqrstuvwxyzABCDEFGHIJKLMNOPQRSTUVWXYZ.")))))</f>
        <v>0</v>
      </c>
      <c r="W178">
        <f>AND(IF(Metadata!C178="",FALSE,TRUE),exact(Metadata!C178,"urban biome"))</f>
        <v>0</v>
      </c>
      <c r="X178">
        <f>AND(IF(Metadata!D178="",FALSE,TRUE),exact(Metadata!D178,"animal-associated habitat"))</f>
        <v>0</v>
      </c>
      <c r="Y178">
        <f>OR(AND(IF(Metadata!E178="",FALSE,TRUE),OR(exact(Metadata!E178,"not applicable"),exact(Metadata!E178,"missing: not collected"),exact(Metadata!E178,"missing: not provided"),exact(Metadata!E178,"missing: restricted access"))),AND(IF(Metadata!E178="",FALSE,ISNUMBER(VALUE(Metadata!E178))),Metadata!E178&gt;0))</f>
        <v>0</v>
      </c>
      <c r="Z178">
        <f>AND(IF(Metadata!F178="",FALSE,TRUE),exact(Metadata!F178,"weeks"))</f>
        <v>0</v>
      </c>
      <c r="AA178">
        <f>AND(IF(Metadata!G178="",FALSE,TRUE),exact(Metadata!G178,"mouse"))</f>
        <v>0</v>
      </c>
      <c r="AB178">
        <f>AND(IF(Metadata!H178="",FALSE,TRUE),exact(Metadata!H178,"Mus musculus"))</f>
        <v>0</v>
      </c>
      <c r="AC178">
        <f>AND(IF(Metadata!I178="",FALSE,TRUE),exact(Metadata!I178,"10090"))</f>
        <v>0</v>
      </c>
      <c r="AD178">
        <f>OR(AND(IF(Metadata!J178="",FALSE,TRUE),OR(exact(Metadata!J178,"not applicable"),exact(Metadata!J178,"missing: not collected"),exact(Metadata!J178,"missing: not provided"),exact(Metadata!J178,"missing: restricted access"))),AND(IF(Metadata!J178="",FALSE,ISNUMBER(VALUE(Metadata!J178))),Metadata!J178&gt;0))</f>
        <v>0</v>
      </c>
      <c r="AE178">
        <f>AND(IF(Metadata!K178="",FALSE,TRUE),exact(Metadata!K178,"g"))</f>
        <v>0</v>
      </c>
    </row>
    <row r="179" spans="1:31">
      <c r="A179" s="5">
        <f>IF(B179=" "," ",HYPERLINK(CONCATENATE("#metadata!",ADDRESS(INDEX($Q$2:$Q$1001,MATCH(ROWS($O$2:O179),$O$2:$O$1001,0),0),1)),INDEX($T$2:$T$1001,MATCH(ROWS($O$2:O179),$O$2:$O$1001,0),0)))</f>
        <v>0</v>
      </c>
      <c r="B179" s="4">
        <f>IF(OR(INDEX($P$2:$P$1001,MATCH(ROWS($O$2:O179),$O$2:$O$1001,0),1)&gt;=100000,INDEX($V$1005:$AE$1005,1,MATCH(COLUMNS($V$1006:V1006),$V$1006:$AE$1006,0))&gt;=100000), " ",IF(INDEX($V$2:$AE$1001,MATCH(ROWS($O$2:O179),$O$2:$O$1001,0),MATCH(COLUMNS($V$1006:V1006),$V$1006:$AE$1006,0)), HYPERLINK("#",""), HYPERLINK(CONCATENATE("#Metadata!", ADDRESS(INDEX($Q$2:$Q$1001,MATCH(ROWS($O$2:O179),$O$2:$O$1001,0),0), INDEX($V$1004:$AE$1004,1,MATCH(COLUMNS($V$1006:V1006),$V$1006:$AE$1006,0)))),"Fix")))</f>
        <v>0</v>
      </c>
      <c r="C179" s="4">
        <f>IF(OR(INDEX($P$2:$P$1001,MATCH(ROWS($O$2:O179),$O$2:$O$1001,0),1)&gt;=100000,INDEX($V$1005:$AE$1005,1,MATCH(COLUMNS($V$1006:W1006),$V$1006:$AE$1006,0))&gt;=100000), " ",IF(INDEX($V$2:$AE$1001,MATCH(ROWS($O$2:O179),$O$2:$O$1001,0),MATCH(COLUMNS($V$1006:W1006),$V$1006:$AE$1006,0)), HYPERLINK("#",""), HYPERLINK(CONCATENATE("#Metadata!", ADDRESS(INDEX($Q$2:$Q$1001,MATCH(ROWS($O$2:O179),$O$2:$O$1001,0),0), INDEX($V$1004:$AE$1004,1,MATCH(COLUMNS($V$1006:W1006),$V$1006:$AE$1006,0)))),"Fix")))</f>
        <v>0</v>
      </c>
      <c r="D179" s="4">
        <f>IF(OR(INDEX($P$2:$P$1001,MATCH(ROWS($O$2:O179),$O$2:$O$1001,0),1)&gt;=100000,INDEX($V$1005:$AE$1005,1,MATCH(COLUMNS($V$1006:X1006),$V$1006:$AE$1006,0))&gt;=100000), " ",IF(INDEX($V$2:$AE$1001,MATCH(ROWS($O$2:O179),$O$2:$O$1001,0),MATCH(COLUMNS($V$1006:X1006),$V$1006:$AE$1006,0)), HYPERLINK("#",""), HYPERLINK(CONCATENATE("#Metadata!", ADDRESS(INDEX($Q$2:$Q$1001,MATCH(ROWS($O$2:O179),$O$2:$O$1001,0),0), INDEX($V$1004:$AE$1004,1,MATCH(COLUMNS($V$1006:X1006),$V$1006:$AE$1006,0)))),"Fix")))</f>
        <v>0</v>
      </c>
      <c r="E179" s="4">
        <f>IF(OR(INDEX($P$2:$P$1001,MATCH(ROWS($O$2:O179),$O$2:$O$1001,0),1)&gt;=100000,INDEX($V$1005:$AE$1005,1,MATCH(COLUMNS($V$1006:Y1006),$V$1006:$AE$1006,0))&gt;=100000), " ",IF(INDEX($V$2:$AE$1001,MATCH(ROWS($O$2:O179),$O$2:$O$1001,0),MATCH(COLUMNS($V$1006:Y1006),$V$1006:$AE$1006,0)), HYPERLINK("#",""), HYPERLINK(CONCATENATE("#Metadata!", ADDRESS(INDEX($Q$2:$Q$1001,MATCH(ROWS($O$2:O179),$O$2:$O$1001,0),0), INDEX($V$1004:$AE$1004,1,MATCH(COLUMNS($V$1006:Y1006),$V$1006:$AE$1006,0)))),"Fix")))</f>
        <v>0</v>
      </c>
      <c r="F179" s="4">
        <f>IF(OR(INDEX($P$2:$P$1001,MATCH(ROWS($O$2:O179),$O$2:$O$1001,0),1)&gt;=100000,INDEX($V$1005:$AE$1005,1,MATCH(COLUMNS($V$1006:Z1006),$V$1006:$AE$1006,0))&gt;=100000), " ",IF(INDEX($V$2:$AE$1001,MATCH(ROWS($O$2:O179),$O$2:$O$1001,0),MATCH(COLUMNS($V$1006:Z1006),$V$1006:$AE$1006,0)), HYPERLINK("#",""), HYPERLINK(CONCATENATE("#Metadata!", ADDRESS(INDEX($Q$2:$Q$1001,MATCH(ROWS($O$2:O179),$O$2:$O$1001,0),0), INDEX($V$1004:$AE$1004,1,MATCH(COLUMNS($V$1006:Z1006),$V$1006:$AE$1006,0)))),"Fix")))</f>
        <v>0</v>
      </c>
      <c r="G179" s="4">
        <f>IF(OR(INDEX($P$2:$P$1001,MATCH(ROWS($O$2:O179),$O$2:$O$1001,0),1)&gt;=100000,INDEX($V$1005:$AE$1005,1,MATCH(COLUMNS($V$1006:AA1006),$V$1006:$AE$1006,0))&gt;=100000), " ",IF(INDEX($V$2:$AE$1001,MATCH(ROWS($O$2:O179),$O$2:$O$1001,0),MATCH(COLUMNS($V$1006:AA1006),$V$1006:$AE$1006,0)), HYPERLINK("#",""), HYPERLINK(CONCATENATE("#Metadata!", ADDRESS(INDEX($Q$2:$Q$1001,MATCH(ROWS($O$2:O179),$O$2:$O$1001,0),0), INDEX($V$1004:$AE$1004,1,MATCH(COLUMNS($V$1006:AA1006),$V$1006:$AE$1006,0)))),"Fix")))</f>
        <v>0</v>
      </c>
      <c r="H179" s="4">
        <f>IF(OR(INDEX($P$2:$P$1001,MATCH(ROWS($O$2:O179),$O$2:$O$1001,0),1)&gt;=100000,INDEX($V$1005:$AE$1005,1,MATCH(COLUMNS($V$1006:AB1006),$V$1006:$AE$1006,0))&gt;=100000), " ",IF(INDEX($V$2:$AE$1001,MATCH(ROWS($O$2:O179),$O$2:$O$1001,0),MATCH(COLUMNS($V$1006:AB1006),$V$1006:$AE$1006,0)), HYPERLINK("#",""), HYPERLINK(CONCATENATE("#Metadata!", ADDRESS(INDEX($Q$2:$Q$1001,MATCH(ROWS($O$2:O179),$O$2:$O$1001,0),0), INDEX($V$1004:$AE$1004,1,MATCH(COLUMNS($V$1006:AB1006),$V$1006:$AE$1006,0)))),"Fix")))</f>
        <v>0</v>
      </c>
      <c r="I179" s="4">
        <f>IF(OR(INDEX($P$2:$P$1001,MATCH(ROWS($O$2:O179),$O$2:$O$1001,0),1)&gt;=100000,INDEX($V$1005:$AE$1005,1,MATCH(COLUMNS($V$1006:AC1006),$V$1006:$AE$1006,0))&gt;=100000), " ",IF(INDEX($V$2:$AE$1001,MATCH(ROWS($O$2:O179),$O$2:$O$1001,0),MATCH(COLUMNS($V$1006:AC1006),$V$1006:$AE$1006,0)), HYPERLINK("#",""), HYPERLINK(CONCATENATE("#Metadata!", ADDRESS(INDEX($Q$2:$Q$1001,MATCH(ROWS($O$2:O179),$O$2:$O$1001,0),0), INDEX($V$1004:$AE$1004,1,MATCH(COLUMNS($V$1006:AC1006),$V$1006:$AE$1006,0)))),"Fix")))</f>
        <v>0</v>
      </c>
      <c r="J179" s="4">
        <f>IF(OR(INDEX($P$2:$P$1001,MATCH(ROWS($O$2:O179),$O$2:$O$1001,0),1)&gt;=100000,INDEX($V$1005:$AE$1005,1,MATCH(COLUMNS($V$1006:AD1006),$V$1006:$AE$1006,0))&gt;=100000), " ",IF(INDEX($V$2:$AE$1001,MATCH(ROWS($O$2:O179),$O$2:$O$1001,0),MATCH(COLUMNS($V$1006:AD1006),$V$1006:$AE$1006,0)), HYPERLINK("#",""), HYPERLINK(CONCATENATE("#Metadata!", ADDRESS(INDEX($Q$2:$Q$1001,MATCH(ROWS($O$2:O179),$O$2:$O$1001,0),0), INDEX($V$1004:$AE$1004,1,MATCH(COLUMNS($V$1006:AD1006),$V$1006:$AE$1006,0)))),"Fix")))</f>
        <v>0</v>
      </c>
      <c r="K179" s="4">
        <f>IF(OR(INDEX($P$2:$P$1001,MATCH(ROWS($O$2:O179),$O$2:$O$1001,0),1)&gt;=100000,INDEX($V$1005:$AE$1005,1,MATCH(COLUMNS($V$1006:AE1006),$V$1006:$AE$1006,0))&gt;=100000), " ",IF(INDEX($V$2:$AE$1001,MATCH(ROWS($O$2:O179),$O$2:$O$1001,0),MATCH(COLUMNS($V$1006:AE1006),$V$1006:$AE$1006,0)), HYPERLINK("#",""), HYPERLINK(CONCATENATE("#Metadata!", ADDRESS(INDEX($Q$2:$Q$1001,MATCH(ROWS($O$2:O179),$O$2:$O$1001,0),0), INDEX($V$1004:$AE$1004,1,MATCH(COLUMNS($V$1006:AE1006),$V$1006:$AE$1006,0)))),"Fix")))</f>
        <v>0</v>
      </c>
      <c r="O179">
        <v>0</v>
      </c>
      <c r="P179">
        <v>0</v>
      </c>
      <c r="Q179">
        <v>0</v>
      </c>
      <c r="R179">
        <f>IF(S179,TRUE,AND(V179:AE179))</f>
        <v>0</v>
      </c>
      <c r="S179">
        <f>COUNTBLANK(Metadata!B179:K179)=COLUMNS(Metadata!B179:K179)</f>
        <v>0</v>
      </c>
      <c r="T179">
        <v>0</v>
      </c>
      <c r="V179">
        <f>AND(IF(Metadata!B179="",FALSE,TRUE),COUNTIF(Metadata!B:B, Metadata!B179) = 1,NOT(ISERROR(SUMPRODUCT(SEARCH(MID(Metadata!B179,ROW(INDIRECT("1:"&amp;LEN(Metadata!B179))), 1),"0123456789abcdefghijklmnopqrstuvwxyzABCDEFGHIJKLMNOPQRSTUVWXYZ.")))))</f>
        <v>0</v>
      </c>
      <c r="W179">
        <f>AND(IF(Metadata!C179="",FALSE,TRUE),exact(Metadata!C179,"urban biome"))</f>
        <v>0</v>
      </c>
      <c r="X179">
        <f>AND(IF(Metadata!D179="",FALSE,TRUE),exact(Metadata!D179,"animal-associated habitat"))</f>
        <v>0</v>
      </c>
      <c r="Y179">
        <f>OR(AND(IF(Metadata!E179="",FALSE,TRUE),OR(exact(Metadata!E179,"not applicable"),exact(Metadata!E179,"missing: not collected"),exact(Metadata!E179,"missing: not provided"),exact(Metadata!E179,"missing: restricted access"))),AND(IF(Metadata!E179="",FALSE,ISNUMBER(VALUE(Metadata!E179))),Metadata!E179&gt;0))</f>
        <v>0</v>
      </c>
      <c r="Z179">
        <f>AND(IF(Metadata!F179="",FALSE,TRUE),exact(Metadata!F179,"weeks"))</f>
        <v>0</v>
      </c>
      <c r="AA179">
        <f>AND(IF(Metadata!G179="",FALSE,TRUE),exact(Metadata!G179,"mouse"))</f>
        <v>0</v>
      </c>
      <c r="AB179">
        <f>AND(IF(Metadata!H179="",FALSE,TRUE),exact(Metadata!H179,"Mus musculus"))</f>
        <v>0</v>
      </c>
      <c r="AC179">
        <f>AND(IF(Metadata!I179="",FALSE,TRUE),exact(Metadata!I179,"10090"))</f>
        <v>0</v>
      </c>
      <c r="AD179">
        <f>OR(AND(IF(Metadata!J179="",FALSE,TRUE),OR(exact(Metadata!J179,"not applicable"),exact(Metadata!J179,"missing: not collected"),exact(Metadata!J179,"missing: not provided"),exact(Metadata!J179,"missing: restricted access"))),AND(IF(Metadata!J179="",FALSE,ISNUMBER(VALUE(Metadata!J179))),Metadata!J179&gt;0))</f>
        <v>0</v>
      </c>
      <c r="AE179">
        <f>AND(IF(Metadata!K179="",FALSE,TRUE),exact(Metadata!K179,"g"))</f>
        <v>0</v>
      </c>
    </row>
    <row r="180" spans="1:31">
      <c r="A180" s="5">
        <f>IF(B180=" "," ",HYPERLINK(CONCATENATE("#metadata!",ADDRESS(INDEX($Q$2:$Q$1001,MATCH(ROWS($O$2:O180),$O$2:$O$1001,0),0),1)),INDEX($T$2:$T$1001,MATCH(ROWS($O$2:O180),$O$2:$O$1001,0),0)))</f>
        <v>0</v>
      </c>
      <c r="B180" s="4">
        <f>IF(OR(INDEX($P$2:$P$1001,MATCH(ROWS($O$2:O180),$O$2:$O$1001,0),1)&gt;=100000,INDEX($V$1005:$AE$1005,1,MATCH(COLUMNS($V$1006:V1006),$V$1006:$AE$1006,0))&gt;=100000), " ",IF(INDEX($V$2:$AE$1001,MATCH(ROWS($O$2:O180),$O$2:$O$1001,0),MATCH(COLUMNS($V$1006:V1006),$V$1006:$AE$1006,0)), HYPERLINK("#",""), HYPERLINK(CONCATENATE("#Metadata!", ADDRESS(INDEX($Q$2:$Q$1001,MATCH(ROWS($O$2:O180),$O$2:$O$1001,0),0), INDEX($V$1004:$AE$1004,1,MATCH(COLUMNS($V$1006:V1006),$V$1006:$AE$1006,0)))),"Fix")))</f>
        <v>0</v>
      </c>
      <c r="C180" s="4">
        <f>IF(OR(INDEX($P$2:$P$1001,MATCH(ROWS($O$2:O180),$O$2:$O$1001,0),1)&gt;=100000,INDEX($V$1005:$AE$1005,1,MATCH(COLUMNS($V$1006:W1006),$V$1006:$AE$1006,0))&gt;=100000), " ",IF(INDEX($V$2:$AE$1001,MATCH(ROWS($O$2:O180),$O$2:$O$1001,0),MATCH(COLUMNS($V$1006:W1006),$V$1006:$AE$1006,0)), HYPERLINK("#",""), HYPERLINK(CONCATENATE("#Metadata!", ADDRESS(INDEX($Q$2:$Q$1001,MATCH(ROWS($O$2:O180),$O$2:$O$1001,0),0), INDEX($V$1004:$AE$1004,1,MATCH(COLUMNS($V$1006:W1006),$V$1006:$AE$1006,0)))),"Fix")))</f>
        <v>0</v>
      </c>
      <c r="D180" s="4">
        <f>IF(OR(INDEX($P$2:$P$1001,MATCH(ROWS($O$2:O180),$O$2:$O$1001,0),1)&gt;=100000,INDEX($V$1005:$AE$1005,1,MATCH(COLUMNS($V$1006:X1006),$V$1006:$AE$1006,0))&gt;=100000), " ",IF(INDEX($V$2:$AE$1001,MATCH(ROWS($O$2:O180),$O$2:$O$1001,0),MATCH(COLUMNS($V$1006:X1006),$V$1006:$AE$1006,0)), HYPERLINK("#",""), HYPERLINK(CONCATENATE("#Metadata!", ADDRESS(INDEX($Q$2:$Q$1001,MATCH(ROWS($O$2:O180),$O$2:$O$1001,0),0), INDEX($V$1004:$AE$1004,1,MATCH(COLUMNS($V$1006:X1006),$V$1006:$AE$1006,0)))),"Fix")))</f>
        <v>0</v>
      </c>
      <c r="E180" s="4">
        <f>IF(OR(INDEX($P$2:$P$1001,MATCH(ROWS($O$2:O180),$O$2:$O$1001,0),1)&gt;=100000,INDEX($V$1005:$AE$1005,1,MATCH(COLUMNS($V$1006:Y1006),$V$1006:$AE$1006,0))&gt;=100000), " ",IF(INDEX($V$2:$AE$1001,MATCH(ROWS($O$2:O180),$O$2:$O$1001,0),MATCH(COLUMNS($V$1006:Y1006),$V$1006:$AE$1006,0)), HYPERLINK("#",""), HYPERLINK(CONCATENATE("#Metadata!", ADDRESS(INDEX($Q$2:$Q$1001,MATCH(ROWS($O$2:O180),$O$2:$O$1001,0),0), INDEX($V$1004:$AE$1004,1,MATCH(COLUMNS($V$1006:Y1006),$V$1006:$AE$1006,0)))),"Fix")))</f>
        <v>0</v>
      </c>
      <c r="F180" s="4">
        <f>IF(OR(INDEX($P$2:$P$1001,MATCH(ROWS($O$2:O180),$O$2:$O$1001,0),1)&gt;=100000,INDEX($V$1005:$AE$1005,1,MATCH(COLUMNS($V$1006:Z1006),$V$1006:$AE$1006,0))&gt;=100000), " ",IF(INDEX($V$2:$AE$1001,MATCH(ROWS($O$2:O180),$O$2:$O$1001,0),MATCH(COLUMNS($V$1006:Z1006),$V$1006:$AE$1006,0)), HYPERLINK("#",""), HYPERLINK(CONCATENATE("#Metadata!", ADDRESS(INDEX($Q$2:$Q$1001,MATCH(ROWS($O$2:O180),$O$2:$O$1001,0),0), INDEX($V$1004:$AE$1004,1,MATCH(COLUMNS($V$1006:Z1006),$V$1006:$AE$1006,0)))),"Fix")))</f>
        <v>0</v>
      </c>
      <c r="G180" s="4">
        <f>IF(OR(INDEX($P$2:$P$1001,MATCH(ROWS($O$2:O180),$O$2:$O$1001,0),1)&gt;=100000,INDEX($V$1005:$AE$1005,1,MATCH(COLUMNS($V$1006:AA1006),$V$1006:$AE$1006,0))&gt;=100000), " ",IF(INDEX($V$2:$AE$1001,MATCH(ROWS($O$2:O180),$O$2:$O$1001,0),MATCH(COLUMNS($V$1006:AA1006),$V$1006:$AE$1006,0)), HYPERLINK("#",""), HYPERLINK(CONCATENATE("#Metadata!", ADDRESS(INDEX($Q$2:$Q$1001,MATCH(ROWS($O$2:O180),$O$2:$O$1001,0),0), INDEX($V$1004:$AE$1004,1,MATCH(COLUMNS($V$1006:AA1006),$V$1006:$AE$1006,0)))),"Fix")))</f>
        <v>0</v>
      </c>
      <c r="H180" s="4">
        <f>IF(OR(INDEX($P$2:$P$1001,MATCH(ROWS($O$2:O180),$O$2:$O$1001,0),1)&gt;=100000,INDEX($V$1005:$AE$1005,1,MATCH(COLUMNS($V$1006:AB1006),$V$1006:$AE$1006,0))&gt;=100000), " ",IF(INDEX($V$2:$AE$1001,MATCH(ROWS($O$2:O180),$O$2:$O$1001,0),MATCH(COLUMNS($V$1006:AB1006),$V$1006:$AE$1006,0)), HYPERLINK("#",""), HYPERLINK(CONCATENATE("#Metadata!", ADDRESS(INDEX($Q$2:$Q$1001,MATCH(ROWS($O$2:O180),$O$2:$O$1001,0),0), INDEX($V$1004:$AE$1004,1,MATCH(COLUMNS($V$1006:AB1006),$V$1006:$AE$1006,0)))),"Fix")))</f>
        <v>0</v>
      </c>
      <c r="I180" s="4">
        <f>IF(OR(INDEX($P$2:$P$1001,MATCH(ROWS($O$2:O180),$O$2:$O$1001,0),1)&gt;=100000,INDEX($V$1005:$AE$1005,1,MATCH(COLUMNS($V$1006:AC1006),$V$1006:$AE$1006,0))&gt;=100000), " ",IF(INDEX($V$2:$AE$1001,MATCH(ROWS($O$2:O180),$O$2:$O$1001,0),MATCH(COLUMNS($V$1006:AC1006),$V$1006:$AE$1006,0)), HYPERLINK("#",""), HYPERLINK(CONCATENATE("#Metadata!", ADDRESS(INDEX($Q$2:$Q$1001,MATCH(ROWS($O$2:O180),$O$2:$O$1001,0),0), INDEX($V$1004:$AE$1004,1,MATCH(COLUMNS($V$1006:AC1006),$V$1006:$AE$1006,0)))),"Fix")))</f>
        <v>0</v>
      </c>
      <c r="J180" s="4">
        <f>IF(OR(INDEX($P$2:$P$1001,MATCH(ROWS($O$2:O180),$O$2:$O$1001,0),1)&gt;=100000,INDEX($V$1005:$AE$1005,1,MATCH(COLUMNS($V$1006:AD1006),$V$1006:$AE$1006,0))&gt;=100000), " ",IF(INDEX($V$2:$AE$1001,MATCH(ROWS($O$2:O180),$O$2:$O$1001,0),MATCH(COLUMNS($V$1006:AD1006),$V$1006:$AE$1006,0)), HYPERLINK("#",""), HYPERLINK(CONCATENATE("#Metadata!", ADDRESS(INDEX($Q$2:$Q$1001,MATCH(ROWS($O$2:O180),$O$2:$O$1001,0),0), INDEX($V$1004:$AE$1004,1,MATCH(COLUMNS($V$1006:AD1006),$V$1006:$AE$1006,0)))),"Fix")))</f>
        <v>0</v>
      </c>
      <c r="K180" s="4">
        <f>IF(OR(INDEX($P$2:$P$1001,MATCH(ROWS($O$2:O180),$O$2:$O$1001,0),1)&gt;=100000,INDEX($V$1005:$AE$1005,1,MATCH(COLUMNS($V$1006:AE1006),$V$1006:$AE$1006,0))&gt;=100000), " ",IF(INDEX($V$2:$AE$1001,MATCH(ROWS($O$2:O180),$O$2:$O$1001,0),MATCH(COLUMNS($V$1006:AE1006),$V$1006:$AE$1006,0)), HYPERLINK("#",""), HYPERLINK(CONCATENATE("#Metadata!", ADDRESS(INDEX($Q$2:$Q$1001,MATCH(ROWS($O$2:O180),$O$2:$O$1001,0),0), INDEX($V$1004:$AE$1004,1,MATCH(COLUMNS($V$1006:AE1006),$V$1006:$AE$1006,0)))),"Fix")))</f>
        <v>0</v>
      </c>
      <c r="O180">
        <v>0</v>
      </c>
      <c r="P180">
        <v>0</v>
      </c>
      <c r="Q180">
        <v>0</v>
      </c>
      <c r="R180">
        <f>IF(S180,TRUE,AND(V180:AE180))</f>
        <v>0</v>
      </c>
      <c r="S180">
        <f>COUNTBLANK(Metadata!B180:K180)=COLUMNS(Metadata!B180:K180)</f>
        <v>0</v>
      </c>
      <c r="T180">
        <v>0</v>
      </c>
      <c r="V180">
        <f>AND(IF(Metadata!B180="",FALSE,TRUE),COUNTIF(Metadata!B:B, Metadata!B180) = 1,NOT(ISERROR(SUMPRODUCT(SEARCH(MID(Metadata!B180,ROW(INDIRECT("1:"&amp;LEN(Metadata!B180))), 1),"0123456789abcdefghijklmnopqrstuvwxyzABCDEFGHIJKLMNOPQRSTUVWXYZ.")))))</f>
        <v>0</v>
      </c>
      <c r="W180">
        <f>AND(IF(Metadata!C180="",FALSE,TRUE),exact(Metadata!C180,"urban biome"))</f>
        <v>0</v>
      </c>
      <c r="X180">
        <f>AND(IF(Metadata!D180="",FALSE,TRUE),exact(Metadata!D180,"animal-associated habitat"))</f>
        <v>0</v>
      </c>
      <c r="Y180">
        <f>OR(AND(IF(Metadata!E180="",FALSE,TRUE),OR(exact(Metadata!E180,"not applicable"),exact(Metadata!E180,"missing: not collected"),exact(Metadata!E180,"missing: not provided"),exact(Metadata!E180,"missing: restricted access"))),AND(IF(Metadata!E180="",FALSE,ISNUMBER(VALUE(Metadata!E180))),Metadata!E180&gt;0))</f>
        <v>0</v>
      </c>
      <c r="Z180">
        <f>AND(IF(Metadata!F180="",FALSE,TRUE),exact(Metadata!F180,"weeks"))</f>
        <v>0</v>
      </c>
      <c r="AA180">
        <f>AND(IF(Metadata!G180="",FALSE,TRUE),exact(Metadata!G180,"mouse"))</f>
        <v>0</v>
      </c>
      <c r="AB180">
        <f>AND(IF(Metadata!H180="",FALSE,TRUE),exact(Metadata!H180,"Mus musculus"))</f>
        <v>0</v>
      </c>
      <c r="AC180">
        <f>AND(IF(Metadata!I180="",FALSE,TRUE),exact(Metadata!I180,"10090"))</f>
        <v>0</v>
      </c>
      <c r="AD180">
        <f>OR(AND(IF(Metadata!J180="",FALSE,TRUE),OR(exact(Metadata!J180,"not applicable"),exact(Metadata!J180,"missing: not collected"),exact(Metadata!J180,"missing: not provided"),exact(Metadata!J180,"missing: restricted access"))),AND(IF(Metadata!J180="",FALSE,ISNUMBER(VALUE(Metadata!J180))),Metadata!J180&gt;0))</f>
        <v>0</v>
      </c>
      <c r="AE180">
        <f>AND(IF(Metadata!K180="",FALSE,TRUE),exact(Metadata!K180,"g"))</f>
        <v>0</v>
      </c>
    </row>
    <row r="181" spans="1:31">
      <c r="A181" s="5">
        <f>IF(B181=" "," ",HYPERLINK(CONCATENATE("#metadata!",ADDRESS(INDEX($Q$2:$Q$1001,MATCH(ROWS($O$2:O181),$O$2:$O$1001,0),0),1)),INDEX($T$2:$T$1001,MATCH(ROWS($O$2:O181),$O$2:$O$1001,0),0)))</f>
        <v>0</v>
      </c>
      <c r="B181" s="4">
        <f>IF(OR(INDEX($P$2:$P$1001,MATCH(ROWS($O$2:O181),$O$2:$O$1001,0),1)&gt;=100000,INDEX($V$1005:$AE$1005,1,MATCH(COLUMNS($V$1006:V1006),$V$1006:$AE$1006,0))&gt;=100000), " ",IF(INDEX($V$2:$AE$1001,MATCH(ROWS($O$2:O181),$O$2:$O$1001,0),MATCH(COLUMNS($V$1006:V1006),$V$1006:$AE$1006,0)), HYPERLINK("#",""), HYPERLINK(CONCATENATE("#Metadata!", ADDRESS(INDEX($Q$2:$Q$1001,MATCH(ROWS($O$2:O181),$O$2:$O$1001,0),0), INDEX($V$1004:$AE$1004,1,MATCH(COLUMNS($V$1006:V1006),$V$1006:$AE$1006,0)))),"Fix")))</f>
        <v>0</v>
      </c>
      <c r="C181" s="4">
        <f>IF(OR(INDEX($P$2:$P$1001,MATCH(ROWS($O$2:O181),$O$2:$O$1001,0),1)&gt;=100000,INDEX($V$1005:$AE$1005,1,MATCH(COLUMNS($V$1006:W1006),$V$1006:$AE$1006,0))&gt;=100000), " ",IF(INDEX($V$2:$AE$1001,MATCH(ROWS($O$2:O181),$O$2:$O$1001,0),MATCH(COLUMNS($V$1006:W1006),$V$1006:$AE$1006,0)), HYPERLINK("#",""), HYPERLINK(CONCATENATE("#Metadata!", ADDRESS(INDEX($Q$2:$Q$1001,MATCH(ROWS($O$2:O181),$O$2:$O$1001,0),0), INDEX($V$1004:$AE$1004,1,MATCH(COLUMNS($V$1006:W1006),$V$1006:$AE$1006,0)))),"Fix")))</f>
        <v>0</v>
      </c>
      <c r="D181" s="4">
        <f>IF(OR(INDEX($P$2:$P$1001,MATCH(ROWS($O$2:O181),$O$2:$O$1001,0),1)&gt;=100000,INDEX($V$1005:$AE$1005,1,MATCH(COLUMNS($V$1006:X1006),$V$1006:$AE$1006,0))&gt;=100000), " ",IF(INDEX($V$2:$AE$1001,MATCH(ROWS($O$2:O181),$O$2:$O$1001,0),MATCH(COLUMNS($V$1006:X1006),$V$1006:$AE$1006,0)), HYPERLINK("#",""), HYPERLINK(CONCATENATE("#Metadata!", ADDRESS(INDEX($Q$2:$Q$1001,MATCH(ROWS($O$2:O181),$O$2:$O$1001,0),0), INDEX($V$1004:$AE$1004,1,MATCH(COLUMNS($V$1006:X1006),$V$1006:$AE$1006,0)))),"Fix")))</f>
        <v>0</v>
      </c>
      <c r="E181" s="4">
        <f>IF(OR(INDEX($P$2:$P$1001,MATCH(ROWS($O$2:O181),$O$2:$O$1001,0),1)&gt;=100000,INDEX($V$1005:$AE$1005,1,MATCH(COLUMNS($V$1006:Y1006),$V$1006:$AE$1006,0))&gt;=100000), " ",IF(INDEX($V$2:$AE$1001,MATCH(ROWS($O$2:O181),$O$2:$O$1001,0),MATCH(COLUMNS($V$1006:Y1006),$V$1006:$AE$1006,0)), HYPERLINK("#",""), HYPERLINK(CONCATENATE("#Metadata!", ADDRESS(INDEX($Q$2:$Q$1001,MATCH(ROWS($O$2:O181),$O$2:$O$1001,0),0), INDEX($V$1004:$AE$1004,1,MATCH(COLUMNS($V$1006:Y1006),$V$1006:$AE$1006,0)))),"Fix")))</f>
        <v>0</v>
      </c>
      <c r="F181" s="4">
        <f>IF(OR(INDEX($P$2:$P$1001,MATCH(ROWS($O$2:O181),$O$2:$O$1001,0),1)&gt;=100000,INDEX($V$1005:$AE$1005,1,MATCH(COLUMNS($V$1006:Z1006),$V$1006:$AE$1006,0))&gt;=100000), " ",IF(INDEX($V$2:$AE$1001,MATCH(ROWS($O$2:O181),$O$2:$O$1001,0),MATCH(COLUMNS($V$1006:Z1006),$V$1006:$AE$1006,0)), HYPERLINK("#",""), HYPERLINK(CONCATENATE("#Metadata!", ADDRESS(INDEX($Q$2:$Q$1001,MATCH(ROWS($O$2:O181),$O$2:$O$1001,0),0), INDEX($V$1004:$AE$1004,1,MATCH(COLUMNS($V$1006:Z1006),$V$1006:$AE$1006,0)))),"Fix")))</f>
        <v>0</v>
      </c>
      <c r="G181" s="4">
        <f>IF(OR(INDEX($P$2:$P$1001,MATCH(ROWS($O$2:O181),$O$2:$O$1001,0),1)&gt;=100000,INDEX($V$1005:$AE$1005,1,MATCH(COLUMNS($V$1006:AA1006),$V$1006:$AE$1006,0))&gt;=100000), " ",IF(INDEX($V$2:$AE$1001,MATCH(ROWS($O$2:O181),$O$2:$O$1001,0),MATCH(COLUMNS($V$1006:AA1006),$V$1006:$AE$1006,0)), HYPERLINK("#",""), HYPERLINK(CONCATENATE("#Metadata!", ADDRESS(INDEX($Q$2:$Q$1001,MATCH(ROWS($O$2:O181),$O$2:$O$1001,0),0), INDEX($V$1004:$AE$1004,1,MATCH(COLUMNS($V$1006:AA1006),$V$1006:$AE$1006,0)))),"Fix")))</f>
        <v>0</v>
      </c>
      <c r="H181" s="4">
        <f>IF(OR(INDEX($P$2:$P$1001,MATCH(ROWS($O$2:O181),$O$2:$O$1001,0),1)&gt;=100000,INDEX($V$1005:$AE$1005,1,MATCH(COLUMNS($V$1006:AB1006),$V$1006:$AE$1006,0))&gt;=100000), " ",IF(INDEX($V$2:$AE$1001,MATCH(ROWS($O$2:O181),$O$2:$O$1001,0),MATCH(COLUMNS($V$1006:AB1006),$V$1006:$AE$1006,0)), HYPERLINK("#",""), HYPERLINK(CONCATENATE("#Metadata!", ADDRESS(INDEX($Q$2:$Q$1001,MATCH(ROWS($O$2:O181),$O$2:$O$1001,0),0), INDEX($V$1004:$AE$1004,1,MATCH(COLUMNS($V$1006:AB1006),$V$1006:$AE$1006,0)))),"Fix")))</f>
        <v>0</v>
      </c>
      <c r="I181" s="4">
        <f>IF(OR(INDEX($P$2:$P$1001,MATCH(ROWS($O$2:O181),$O$2:$O$1001,0),1)&gt;=100000,INDEX($V$1005:$AE$1005,1,MATCH(COLUMNS($V$1006:AC1006),$V$1006:$AE$1006,0))&gt;=100000), " ",IF(INDEX($V$2:$AE$1001,MATCH(ROWS($O$2:O181),$O$2:$O$1001,0),MATCH(COLUMNS($V$1006:AC1006),$V$1006:$AE$1006,0)), HYPERLINK("#",""), HYPERLINK(CONCATENATE("#Metadata!", ADDRESS(INDEX($Q$2:$Q$1001,MATCH(ROWS($O$2:O181),$O$2:$O$1001,0),0), INDEX($V$1004:$AE$1004,1,MATCH(COLUMNS($V$1006:AC1006),$V$1006:$AE$1006,0)))),"Fix")))</f>
        <v>0</v>
      </c>
      <c r="J181" s="4">
        <f>IF(OR(INDEX($P$2:$P$1001,MATCH(ROWS($O$2:O181),$O$2:$O$1001,0),1)&gt;=100000,INDEX($V$1005:$AE$1005,1,MATCH(COLUMNS($V$1006:AD1006),$V$1006:$AE$1006,0))&gt;=100000), " ",IF(INDEX($V$2:$AE$1001,MATCH(ROWS($O$2:O181),$O$2:$O$1001,0),MATCH(COLUMNS($V$1006:AD1006),$V$1006:$AE$1006,0)), HYPERLINK("#",""), HYPERLINK(CONCATENATE("#Metadata!", ADDRESS(INDEX($Q$2:$Q$1001,MATCH(ROWS($O$2:O181),$O$2:$O$1001,0),0), INDEX($V$1004:$AE$1004,1,MATCH(COLUMNS($V$1006:AD1006),$V$1006:$AE$1006,0)))),"Fix")))</f>
        <v>0</v>
      </c>
      <c r="K181" s="4">
        <f>IF(OR(INDEX($P$2:$P$1001,MATCH(ROWS($O$2:O181),$O$2:$O$1001,0),1)&gt;=100000,INDEX($V$1005:$AE$1005,1,MATCH(COLUMNS($V$1006:AE1006),$V$1006:$AE$1006,0))&gt;=100000), " ",IF(INDEX($V$2:$AE$1001,MATCH(ROWS($O$2:O181),$O$2:$O$1001,0),MATCH(COLUMNS($V$1006:AE1006),$V$1006:$AE$1006,0)), HYPERLINK("#",""), HYPERLINK(CONCATENATE("#Metadata!", ADDRESS(INDEX($Q$2:$Q$1001,MATCH(ROWS($O$2:O181),$O$2:$O$1001,0),0), INDEX($V$1004:$AE$1004,1,MATCH(COLUMNS($V$1006:AE1006),$V$1006:$AE$1006,0)))),"Fix")))</f>
        <v>0</v>
      </c>
      <c r="O181">
        <v>0</v>
      </c>
      <c r="P181">
        <v>0</v>
      </c>
      <c r="Q181">
        <v>0</v>
      </c>
      <c r="R181">
        <f>IF(S181,TRUE,AND(V181:AE181))</f>
        <v>0</v>
      </c>
      <c r="S181">
        <f>COUNTBLANK(Metadata!B181:K181)=COLUMNS(Metadata!B181:K181)</f>
        <v>0</v>
      </c>
      <c r="T181">
        <v>0</v>
      </c>
      <c r="V181">
        <f>AND(IF(Metadata!B181="",FALSE,TRUE),COUNTIF(Metadata!B:B, Metadata!B181) = 1,NOT(ISERROR(SUMPRODUCT(SEARCH(MID(Metadata!B181,ROW(INDIRECT("1:"&amp;LEN(Metadata!B181))), 1),"0123456789abcdefghijklmnopqrstuvwxyzABCDEFGHIJKLMNOPQRSTUVWXYZ.")))))</f>
        <v>0</v>
      </c>
      <c r="W181">
        <f>AND(IF(Metadata!C181="",FALSE,TRUE),exact(Metadata!C181,"urban biome"))</f>
        <v>0</v>
      </c>
      <c r="X181">
        <f>AND(IF(Metadata!D181="",FALSE,TRUE),exact(Metadata!D181,"animal-associated habitat"))</f>
        <v>0</v>
      </c>
      <c r="Y181">
        <f>OR(AND(IF(Metadata!E181="",FALSE,TRUE),OR(exact(Metadata!E181,"not applicable"),exact(Metadata!E181,"missing: not collected"),exact(Metadata!E181,"missing: not provided"),exact(Metadata!E181,"missing: restricted access"))),AND(IF(Metadata!E181="",FALSE,ISNUMBER(VALUE(Metadata!E181))),Metadata!E181&gt;0))</f>
        <v>0</v>
      </c>
      <c r="Z181">
        <f>AND(IF(Metadata!F181="",FALSE,TRUE),exact(Metadata!F181,"weeks"))</f>
        <v>0</v>
      </c>
      <c r="AA181">
        <f>AND(IF(Metadata!G181="",FALSE,TRUE),exact(Metadata!G181,"mouse"))</f>
        <v>0</v>
      </c>
      <c r="AB181">
        <f>AND(IF(Metadata!H181="",FALSE,TRUE),exact(Metadata!H181,"Mus musculus"))</f>
        <v>0</v>
      </c>
      <c r="AC181">
        <f>AND(IF(Metadata!I181="",FALSE,TRUE),exact(Metadata!I181,"10090"))</f>
        <v>0</v>
      </c>
      <c r="AD181">
        <f>OR(AND(IF(Metadata!J181="",FALSE,TRUE),OR(exact(Metadata!J181,"not applicable"),exact(Metadata!J181,"missing: not collected"),exact(Metadata!J181,"missing: not provided"),exact(Metadata!J181,"missing: restricted access"))),AND(IF(Metadata!J181="",FALSE,ISNUMBER(VALUE(Metadata!J181))),Metadata!J181&gt;0))</f>
        <v>0</v>
      </c>
      <c r="AE181">
        <f>AND(IF(Metadata!K181="",FALSE,TRUE),exact(Metadata!K181,"g"))</f>
        <v>0</v>
      </c>
    </row>
    <row r="182" spans="1:31">
      <c r="A182" s="5">
        <f>IF(B182=" "," ",HYPERLINK(CONCATENATE("#metadata!",ADDRESS(INDEX($Q$2:$Q$1001,MATCH(ROWS($O$2:O182),$O$2:$O$1001,0),0),1)),INDEX($T$2:$T$1001,MATCH(ROWS($O$2:O182),$O$2:$O$1001,0),0)))</f>
        <v>0</v>
      </c>
      <c r="B182" s="4">
        <f>IF(OR(INDEX($P$2:$P$1001,MATCH(ROWS($O$2:O182),$O$2:$O$1001,0),1)&gt;=100000,INDEX($V$1005:$AE$1005,1,MATCH(COLUMNS($V$1006:V1006),$V$1006:$AE$1006,0))&gt;=100000), " ",IF(INDEX($V$2:$AE$1001,MATCH(ROWS($O$2:O182),$O$2:$O$1001,0),MATCH(COLUMNS($V$1006:V1006),$V$1006:$AE$1006,0)), HYPERLINK("#",""), HYPERLINK(CONCATENATE("#Metadata!", ADDRESS(INDEX($Q$2:$Q$1001,MATCH(ROWS($O$2:O182),$O$2:$O$1001,0),0), INDEX($V$1004:$AE$1004,1,MATCH(COLUMNS($V$1006:V1006),$V$1006:$AE$1006,0)))),"Fix")))</f>
        <v>0</v>
      </c>
      <c r="C182" s="4">
        <f>IF(OR(INDEX($P$2:$P$1001,MATCH(ROWS($O$2:O182),$O$2:$O$1001,0),1)&gt;=100000,INDEX($V$1005:$AE$1005,1,MATCH(COLUMNS($V$1006:W1006),$V$1006:$AE$1006,0))&gt;=100000), " ",IF(INDEX($V$2:$AE$1001,MATCH(ROWS($O$2:O182),$O$2:$O$1001,0),MATCH(COLUMNS($V$1006:W1006),$V$1006:$AE$1006,0)), HYPERLINK("#",""), HYPERLINK(CONCATENATE("#Metadata!", ADDRESS(INDEX($Q$2:$Q$1001,MATCH(ROWS($O$2:O182),$O$2:$O$1001,0),0), INDEX($V$1004:$AE$1004,1,MATCH(COLUMNS($V$1006:W1006),$V$1006:$AE$1006,0)))),"Fix")))</f>
        <v>0</v>
      </c>
      <c r="D182" s="4">
        <f>IF(OR(INDEX($P$2:$P$1001,MATCH(ROWS($O$2:O182),$O$2:$O$1001,0),1)&gt;=100000,INDEX($V$1005:$AE$1005,1,MATCH(COLUMNS($V$1006:X1006),$V$1006:$AE$1006,0))&gt;=100000), " ",IF(INDEX($V$2:$AE$1001,MATCH(ROWS($O$2:O182),$O$2:$O$1001,0),MATCH(COLUMNS($V$1006:X1006),$V$1006:$AE$1006,0)), HYPERLINK("#",""), HYPERLINK(CONCATENATE("#Metadata!", ADDRESS(INDEX($Q$2:$Q$1001,MATCH(ROWS($O$2:O182),$O$2:$O$1001,0),0), INDEX($V$1004:$AE$1004,1,MATCH(COLUMNS($V$1006:X1006),$V$1006:$AE$1006,0)))),"Fix")))</f>
        <v>0</v>
      </c>
      <c r="E182" s="4">
        <f>IF(OR(INDEX($P$2:$P$1001,MATCH(ROWS($O$2:O182),$O$2:$O$1001,0),1)&gt;=100000,INDEX($V$1005:$AE$1005,1,MATCH(COLUMNS($V$1006:Y1006),$V$1006:$AE$1006,0))&gt;=100000), " ",IF(INDEX($V$2:$AE$1001,MATCH(ROWS($O$2:O182),$O$2:$O$1001,0),MATCH(COLUMNS($V$1006:Y1006),$V$1006:$AE$1006,0)), HYPERLINK("#",""), HYPERLINK(CONCATENATE("#Metadata!", ADDRESS(INDEX($Q$2:$Q$1001,MATCH(ROWS($O$2:O182),$O$2:$O$1001,0),0), INDEX($V$1004:$AE$1004,1,MATCH(COLUMNS($V$1006:Y1006),$V$1006:$AE$1006,0)))),"Fix")))</f>
        <v>0</v>
      </c>
      <c r="F182" s="4">
        <f>IF(OR(INDEX($P$2:$P$1001,MATCH(ROWS($O$2:O182),$O$2:$O$1001,0),1)&gt;=100000,INDEX($V$1005:$AE$1005,1,MATCH(COLUMNS($V$1006:Z1006),$V$1006:$AE$1006,0))&gt;=100000), " ",IF(INDEX($V$2:$AE$1001,MATCH(ROWS($O$2:O182),$O$2:$O$1001,0),MATCH(COLUMNS($V$1006:Z1006),$V$1006:$AE$1006,0)), HYPERLINK("#",""), HYPERLINK(CONCATENATE("#Metadata!", ADDRESS(INDEX($Q$2:$Q$1001,MATCH(ROWS($O$2:O182),$O$2:$O$1001,0),0), INDEX($V$1004:$AE$1004,1,MATCH(COLUMNS($V$1006:Z1006),$V$1006:$AE$1006,0)))),"Fix")))</f>
        <v>0</v>
      </c>
      <c r="G182" s="4">
        <f>IF(OR(INDEX($P$2:$P$1001,MATCH(ROWS($O$2:O182),$O$2:$O$1001,0),1)&gt;=100000,INDEX($V$1005:$AE$1005,1,MATCH(COLUMNS($V$1006:AA1006),$V$1006:$AE$1006,0))&gt;=100000), " ",IF(INDEX($V$2:$AE$1001,MATCH(ROWS($O$2:O182),$O$2:$O$1001,0),MATCH(COLUMNS($V$1006:AA1006),$V$1006:$AE$1006,0)), HYPERLINK("#",""), HYPERLINK(CONCATENATE("#Metadata!", ADDRESS(INDEX($Q$2:$Q$1001,MATCH(ROWS($O$2:O182),$O$2:$O$1001,0),0), INDEX($V$1004:$AE$1004,1,MATCH(COLUMNS($V$1006:AA1006),$V$1006:$AE$1006,0)))),"Fix")))</f>
        <v>0</v>
      </c>
      <c r="H182" s="4">
        <f>IF(OR(INDEX($P$2:$P$1001,MATCH(ROWS($O$2:O182),$O$2:$O$1001,0),1)&gt;=100000,INDEX($V$1005:$AE$1005,1,MATCH(COLUMNS($V$1006:AB1006),$V$1006:$AE$1006,0))&gt;=100000), " ",IF(INDEX($V$2:$AE$1001,MATCH(ROWS($O$2:O182),$O$2:$O$1001,0),MATCH(COLUMNS($V$1006:AB1006),$V$1006:$AE$1006,0)), HYPERLINK("#",""), HYPERLINK(CONCATENATE("#Metadata!", ADDRESS(INDEX($Q$2:$Q$1001,MATCH(ROWS($O$2:O182),$O$2:$O$1001,0),0), INDEX($V$1004:$AE$1004,1,MATCH(COLUMNS($V$1006:AB1006),$V$1006:$AE$1006,0)))),"Fix")))</f>
        <v>0</v>
      </c>
      <c r="I182" s="4">
        <f>IF(OR(INDEX($P$2:$P$1001,MATCH(ROWS($O$2:O182),$O$2:$O$1001,0),1)&gt;=100000,INDEX($V$1005:$AE$1005,1,MATCH(COLUMNS($V$1006:AC1006),$V$1006:$AE$1006,0))&gt;=100000), " ",IF(INDEX($V$2:$AE$1001,MATCH(ROWS($O$2:O182),$O$2:$O$1001,0),MATCH(COLUMNS($V$1006:AC1006),$V$1006:$AE$1006,0)), HYPERLINK("#",""), HYPERLINK(CONCATENATE("#Metadata!", ADDRESS(INDEX($Q$2:$Q$1001,MATCH(ROWS($O$2:O182),$O$2:$O$1001,0),0), INDEX($V$1004:$AE$1004,1,MATCH(COLUMNS($V$1006:AC1006),$V$1006:$AE$1006,0)))),"Fix")))</f>
        <v>0</v>
      </c>
      <c r="J182" s="4">
        <f>IF(OR(INDEX($P$2:$P$1001,MATCH(ROWS($O$2:O182),$O$2:$O$1001,0),1)&gt;=100000,INDEX($V$1005:$AE$1005,1,MATCH(COLUMNS($V$1006:AD1006),$V$1006:$AE$1006,0))&gt;=100000), " ",IF(INDEX($V$2:$AE$1001,MATCH(ROWS($O$2:O182),$O$2:$O$1001,0),MATCH(COLUMNS($V$1006:AD1006),$V$1006:$AE$1006,0)), HYPERLINK("#",""), HYPERLINK(CONCATENATE("#Metadata!", ADDRESS(INDEX($Q$2:$Q$1001,MATCH(ROWS($O$2:O182),$O$2:$O$1001,0),0), INDEX($V$1004:$AE$1004,1,MATCH(COLUMNS($V$1006:AD1006),$V$1006:$AE$1006,0)))),"Fix")))</f>
        <v>0</v>
      </c>
      <c r="K182" s="4">
        <f>IF(OR(INDEX($P$2:$P$1001,MATCH(ROWS($O$2:O182),$O$2:$O$1001,0),1)&gt;=100000,INDEX($V$1005:$AE$1005,1,MATCH(COLUMNS($V$1006:AE1006),$V$1006:$AE$1006,0))&gt;=100000), " ",IF(INDEX($V$2:$AE$1001,MATCH(ROWS($O$2:O182),$O$2:$O$1001,0),MATCH(COLUMNS($V$1006:AE1006),$V$1006:$AE$1006,0)), HYPERLINK("#",""), HYPERLINK(CONCATENATE("#Metadata!", ADDRESS(INDEX($Q$2:$Q$1001,MATCH(ROWS($O$2:O182),$O$2:$O$1001,0),0), INDEX($V$1004:$AE$1004,1,MATCH(COLUMNS($V$1006:AE1006),$V$1006:$AE$1006,0)))),"Fix")))</f>
        <v>0</v>
      </c>
      <c r="O182">
        <v>0</v>
      </c>
      <c r="P182">
        <v>0</v>
      </c>
      <c r="Q182">
        <v>0</v>
      </c>
      <c r="R182">
        <f>IF(S182,TRUE,AND(V182:AE182))</f>
        <v>0</v>
      </c>
      <c r="S182">
        <f>COUNTBLANK(Metadata!B182:K182)=COLUMNS(Metadata!B182:K182)</f>
        <v>0</v>
      </c>
      <c r="T182">
        <v>0</v>
      </c>
      <c r="V182">
        <f>AND(IF(Metadata!B182="",FALSE,TRUE),COUNTIF(Metadata!B:B, Metadata!B182) = 1,NOT(ISERROR(SUMPRODUCT(SEARCH(MID(Metadata!B182,ROW(INDIRECT("1:"&amp;LEN(Metadata!B182))), 1),"0123456789abcdefghijklmnopqrstuvwxyzABCDEFGHIJKLMNOPQRSTUVWXYZ.")))))</f>
        <v>0</v>
      </c>
      <c r="W182">
        <f>AND(IF(Metadata!C182="",FALSE,TRUE),exact(Metadata!C182,"urban biome"))</f>
        <v>0</v>
      </c>
      <c r="X182">
        <f>AND(IF(Metadata!D182="",FALSE,TRUE),exact(Metadata!D182,"animal-associated habitat"))</f>
        <v>0</v>
      </c>
      <c r="Y182">
        <f>OR(AND(IF(Metadata!E182="",FALSE,TRUE),OR(exact(Metadata!E182,"not applicable"),exact(Metadata!E182,"missing: not collected"),exact(Metadata!E182,"missing: not provided"),exact(Metadata!E182,"missing: restricted access"))),AND(IF(Metadata!E182="",FALSE,ISNUMBER(VALUE(Metadata!E182))),Metadata!E182&gt;0))</f>
        <v>0</v>
      </c>
      <c r="Z182">
        <f>AND(IF(Metadata!F182="",FALSE,TRUE),exact(Metadata!F182,"weeks"))</f>
        <v>0</v>
      </c>
      <c r="AA182">
        <f>AND(IF(Metadata!G182="",FALSE,TRUE),exact(Metadata!G182,"mouse"))</f>
        <v>0</v>
      </c>
      <c r="AB182">
        <f>AND(IF(Metadata!H182="",FALSE,TRUE),exact(Metadata!H182,"Mus musculus"))</f>
        <v>0</v>
      </c>
      <c r="AC182">
        <f>AND(IF(Metadata!I182="",FALSE,TRUE),exact(Metadata!I182,"10090"))</f>
        <v>0</v>
      </c>
      <c r="AD182">
        <f>OR(AND(IF(Metadata!J182="",FALSE,TRUE),OR(exact(Metadata!J182,"not applicable"),exact(Metadata!J182,"missing: not collected"),exact(Metadata!J182,"missing: not provided"),exact(Metadata!J182,"missing: restricted access"))),AND(IF(Metadata!J182="",FALSE,ISNUMBER(VALUE(Metadata!J182))),Metadata!J182&gt;0))</f>
        <v>0</v>
      </c>
      <c r="AE182">
        <f>AND(IF(Metadata!K182="",FALSE,TRUE),exact(Metadata!K182,"g"))</f>
        <v>0</v>
      </c>
    </row>
    <row r="183" spans="1:31">
      <c r="A183" s="5">
        <f>IF(B183=" "," ",HYPERLINK(CONCATENATE("#metadata!",ADDRESS(INDEX($Q$2:$Q$1001,MATCH(ROWS($O$2:O183),$O$2:$O$1001,0),0),1)),INDEX($T$2:$T$1001,MATCH(ROWS($O$2:O183),$O$2:$O$1001,0),0)))</f>
        <v>0</v>
      </c>
      <c r="B183" s="4">
        <f>IF(OR(INDEX($P$2:$P$1001,MATCH(ROWS($O$2:O183),$O$2:$O$1001,0),1)&gt;=100000,INDEX($V$1005:$AE$1005,1,MATCH(COLUMNS($V$1006:V1006),$V$1006:$AE$1006,0))&gt;=100000), " ",IF(INDEX($V$2:$AE$1001,MATCH(ROWS($O$2:O183),$O$2:$O$1001,0),MATCH(COLUMNS($V$1006:V1006),$V$1006:$AE$1006,0)), HYPERLINK("#",""), HYPERLINK(CONCATENATE("#Metadata!", ADDRESS(INDEX($Q$2:$Q$1001,MATCH(ROWS($O$2:O183),$O$2:$O$1001,0),0), INDEX($V$1004:$AE$1004,1,MATCH(COLUMNS($V$1006:V1006),$V$1006:$AE$1006,0)))),"Fix")))</f>
        <v>0</v>
      </c>
      <c r="C183" s="4">
        <f>IF(OR(INDEX($P$2:$P$1001,MATCH(ROWS($O$2:O183),$O$2:$O$1001,0),1)&gt;=100000,INDEX($V$1005:$AE$1005,1,MATCH(COLUMNS($V$1006:W1006),$V$1006:$AE$1006,0))&gt;=100000), " ",IF(INDEX($V$2:$AE$1001,MATCH(ROWS($O$2:O183),$O$2:$O$1001,0),MATCH(COLUMNS($V$1006:W1006),$V$1006:$AE$1006,0)), HYPERLINK("#",""), HYPERLINK(CONCATENATE("#Metadata!", ADDRESS(INDEX($Q$2:$Q$1001,MATCH(ROWS($O$2:O183),$O$2:$O$1001,0),0), INDEX($V$1004:$AE$1004,1,MATCH(COLUMNS($V$1006:W1006),$V$1006:$AE$1006,0)))),"Fix")))</f>
        <v>0</v>
      </c>
      <c r="D183" s="4">
        <f>IF(OR(INDEX($P$2:$P$1001,MATCH(ROWS($O$2:O183),$O$2:$O$1001,0),1)&gt;=100000,INDEX($V$1005:$AE$1005,1,MATCH(COLUMNS($V$1006:X1006),$V$1006:$AE$1006,0))&gt;=100000), " ",IF(INDEX($V$2:$AE$1001,MATCH(ROWS($O$2:O183),$O$2:$O$1001,0),MATCH(COLUMNS($V$1006:X1006),$V$1006:$AE$1006,0)), HYPERLINK("#",""), HYPERLINK(CONCATENATE("#Metadata!", ADDRESS(INDEX($Q$2:$Q$1001,MATCH(ROWS($O$2:O183),$O$2:$O$1001,0),0), INDEX($V$1004:$AE$1004,1,MATCH(COLUMNS($V$1006:X1006),$V$1006:$AE$1006,0)))),"Fix")))</f>
        <v>0</v>
      </c>
      <c r="E183" s="4">
        <f>IF(OR(INDEX($P$2:$P$1001,MATCH(ROWS($O$2:O183),$O$2:$O$1001,0),1)&gt;=100000,INDEX($V$1005:$AE$1005,1,MATCH(COLUMNS($V$1006:Y1006),$V$1006:$AE$1006,0))&gt;=100000), " ",IF(INDEX($V$2:$AE$1001,MATCH(ROWS($O$2:O183),$O$2:$O$1001,0),MATCH(COLUMNS($V$1006:Y1006),$V$1006:$AE$1006,0)), HYPERLINK("#",""), HYPERLINK(CONCATENATE("#Metadata!", ADDRESS(INDEX($Q$2:$Q$1001,MATCH(ROWS($O$2:O183),$O$2:$O$1001,0),0), INDEX($V$1004:$AE$1004,1,MATCH(COLUMNS($V$1006:Y1006),$V$1006:$AE$1006,0)))),"Fix")))</f>
        <v>0</v>
      </c>
      <c r="F183" s="4">
        <f>IF(OR(INDEX($P$2:$P$1001,MATCH(ROWS($O$2:O183),$O$2:$O$1001,0),1)&gt;=100000,INDEX($V$1005:$AE$1005,1,MATCH(COLUMNS($V$1006:Z1006),$V$1006:$AE$1006,0))&gt;=100000), " ",IF(INDEX($V$2:$AE$1001,MATCH(ROWS($O$2:O183),$O$2:$O$1001,0),MATCH(COLUMNS($V$1006:Z1006),$V$1006:$AE$1006,0)), HYPERLINK("#",""), HYPERLINK(CONCATENATE("#Metadata!", ADDRESS(INDEX($Q$2:$Q$1001,MATCH(ROWS($O$2:O183),$O$2:$O$1001,0),0), INDEX($V$1004:$AE$1004,1,MATCH(COLUMNS($V$1006:Z1006),$V$1006:$AE$1006,0)))),"Fix")))</f>
        <v>0</v>
      </c>
      <c r="G183" s="4">
        <f>IF(OR(INDEX($P$2:$P$1001,MATCH(ROWS($O$2:O183),$O$2:$O$1001,0),1)&gt;=100000,INDEX($V$1005:$AE$1005,1,MATCH(COLUMNS($V$1006:AA1006),$V$1006:$AE$1006,0))&gt;=100000), " ",IF(INDEX($V$2:$AE$1001,MATCH(ROWS($O$2:O183),$O$2:$O$1001,0),MATCH(COLUMNS($V$1006:AA1006),$V$1006:$AE$1006,0)), HYPERLINK("#",""), HYPERLINK(CONCATENATE("#Metadata!", ADDRESS(INDEX($Q$2:$Q$1001,MATCH(ROWS($O$2:O183),$O$2:$O$1001,0),0), INDEX($V$1004:$AE$1004,1,MATCH(COLUMNS($V$1006:AA1006),$V$1006:$AE$1006,0)))),"Fix")))</f>
        <v>0</v>
      </c>
      <c r="H183" s="4">
        <f>IF(OR(INDEX($P$2:$P$1001,MATCH(ROWS($O$2:O183),$O$2:$O$1001,0),1)&gt;=100000,INDEX($V$1005:$AE$1005,1,MATCH(COLUMNS($V$1006:AB1006),$V$1006:$AE$1006,0))&gt;=100000), " ",IF(INDEX($V$2:$AE$1001,MATCH(ROWS($O$2:O183),$O$2:$O$1001,0),MATCH(COLUMNS($V$1006:AB1006),$V$1006:$AE$1006,0)), HYPERLINK("#",""), HYPERLINK(CONCATENATE("#Metadata!", ADDRESS(INDEX($Q$2:$Q$1001,MATCH(ROWS($O$2:O183),$O$2:$O$1001,0),0), INDEX($V$1004:$AE$1004,1,MATCH(COLUMNS($V$1006:AB1006),$V$1006:$AE$1006,0)))),"Fix")))</f>
        <v>0</v>
      </c>
      <c r="I183" s="4">
        <f>IF(OR(INDEX($P$2:$P$1001,MATCH(ROWS($O$2:O183),$O$2:$O$1001,0),1)&gt;=100000,INDEX($V$1005:$AE$1005,1,MATCH(COLUMNS($V$1006:AC1006),$V$1006:$AE$1006,0))&gt;=100000), " ",IF(INDEX($V$2:$AE$1001,MATCH(ROWS($O$2:O183),$O$2:$O$1001,0),MATCH(COLUMNS($V$1006:AC1006),$V$1006:$AE$1006,0)), HYPERLINK("#",""), HYPERLINK(CONCATENATE("#Metadata!", ADDRESS(INDEX($Q$2:$Q$1001,MATCH(ROWS($O$2:O183),$O$2:$O$1001,0),0), INDEX($V$1004:$AE$1004,1,MATCH(COLUMNS($V$1006:AC1006),$V$1006:$AE$1006,0)))),"Fix")))</f>
        <v>0</v>
      </c>
      <c r="J183" s="4">
        <f>IF(OR(INDEX($P$2:$P$1001,MATCH(ROWS($O$2:O183),$O$2:$O$1001,0),1)&gt;=100000,INDEX($V$1005:$AE$1005,1,MATCH(COLUMNS($V$1006:AD1006),$V$1006:$AE$1006,0))&gt;=100000), " ",IF(INDEX($V$2:$AE$1001,MATCH(ROWS($O$2:O183),$O$2:$O$1001,0),MATCH(COLUMNS($V$1006:AD1006),$V$1006:$AE$1006,0)), HYPERLINK("#",""), HYPERLINK(CONCATENATE("#Metadata!", ADDRESS(INDEX($Q$2:$Q$1001,MATCH(ROWS($O$2:O183),$O$2:$O$1001,0),0), INDEX($V$1004:$AE$1004,1,MATCH(COLUMNS($V$1006:AD1006),$V$1006:$AE$1006,0)))),"Fix")))</f>
        <v>0</v>
      </c>
      <c r="K183" s="4">
        <f>IF(OR(INDEX($P$2:$P$1001,MATCH(ROWS($O$2:O183),$O$2:$O$1001,0),1)&gt;=100000,INDEX($V$1005:$AE$1005,1,MATCH(COLUMNS($V$1006:AE1006),$V$1006:$AE$1006,0))&gt;=100000), " ",IF(INDEX($V$2:$AE$1001,MATCH(ROWS($O$2:O183),$O$2:$O$1001,0),MATCH(COLUMNS($V$1006:AE1006),$V$1006:$AE$1006,0)), HYPERLINK("#",""), HYPERLINK(CONCATENATE("#Metadata!", ADDRESS(INDEX($Q$2:$Q$1001,MATCH(ROWS($O$2:O183),$O$2:$O$1001,0),0), INDEX($V$1004:$AE$1004,1,MATCH(COLUMNS($V$1006:AE1006),$V$1006:$AE$1006,0)))),"Fix")))</f>
        <v>0</v>
      </c>
      <c r="O183">
        <v>0</v>
      </c>
      <c r="P183">
        <v>0</v>
      </c>
      <c r="Q183">
        <v>0</v>
      </c>
      <c r="R183">
        <f>IF(S183,TRUE,AND(V183:AE183))</f>
        <v>0</v>
      </c>
      <c r="S183">
        <f>COUNTBLANK(Metadata!B183:K183)=COLUMNS(Metadata!B183:K183)</f>
        <v>0</v>
      </c>
      <c r="T183">
        <v>0</v>
      </c>
      <c r="V183">
        <f>AND(IF(Metadata!B183="",FALSE,TRUE),COUNTIF(Metadata!B:B, Metadata!B183) = 1,NOT(ISERROR(SUMPRODUCT(SEARCH(MID(Metadata!B183,ROW(INDIRECT("1:"&amp;LEN(Metadata!B183))), 1),"0123456789abcdefghijklmnopqrstuvwxyzABCDEFGHIJKLMNOPQRSTUVWXYZ.")))))</f>
        <v>0</v>
      </c>
      <c r="W183">
        <f>AND(IF(Metadata!C183="",FALSE,TRUE),exact(Metadata!C183,"urban biome"))</f>
        <v>0</v>
      </c>
      <c r="X183">
        <f>AND(IF(Metadata!D183="",FALSE,TRUE),exact(Metadata!D183,"animal-associated habitat"))</f>
        <v>0</v>
      </c>
      <c r="Y183">
        <f>OR(AND(IF(Metadata!E183="",FALSE,TRUE),OR(exact(Metadata!E183,"not applicable"),exact(Metadata!E183,"missing: not collected"),exact(Metadata!E183,"missing: not provided"),exact(Metadata!E183,"missing: restricted access"))),AND(IF(Metadata!E183="",FALSE,ISNUMBER(VALUE(Metadata!E183))),Metadata!E183&gt;0))</f>
        <v>0</v>
      </c>
      <c r="Z183">
        <f>AND(IF(Metadata!F183="",FALSE,TRUE),exact(Metadata!F183,"weeks"))</f>
        <v>0</v>
      </c>
      <c r="AA183">
        <f>AND(IF(Metadata!G183="",FALSE,TRUE),exact(Metadata!G183,"mouse"))</f>
        <v>0</v>
      </c>
      <c r="AB183">
        <f>AND(IF(Metadata!H183="",FALSE,TRUE),exact(Metadata!H183,"Mus musculus"))</f>
        <v>0</v>
      </c>
      <c r="AC183">
        <f>AND(IF(Metadata!I183="",FALSE,TRUE),exact(Metadata!I183,"10090"))</f>
        <v>0</v>
      </c>
      <c r="AD183">
        <f>OR(AND(IF(Metadata!J183="",FALSE,TRUE),OR(exact(Metadata!J183,"not applicable"),exact(Metadata!J183,"missing: not collected"),exact(Metadata!J183,"missing: not provided"),exact(Metadata!J183,"missing: restricted access"))),AND(IF(Metadata!J183="",FALSE,ISNUMBER(VALUE(Metadata!J183))),Metadata!J183&gt;0))</f>
        <v>0</v>
      </c>
      <c r="AE183">
        <f>AND(IF(Metadata!K183="",FALSE,TRUE),exact(Metadata!K183,"g"))</f>
        <v>0</v>
      </c>
    </row>
    <row r="184" spans="1:31">
      <c r="A184" s="5">
        <f>IF(B184=" "," ",HYPERLINK(CONCATENATE("#metadata!",ADDRESS(INDEX($Q$2:$Q$1001,MATCH(ROWS($O$2:O184),$O$2:$O$1001,0),0),1)),INDEX($T$2:$T$1001,MATCH(ROWS($O$2:O184),$O$2:$O$1001,0),0)))</f>
        <v>0</v>
      </c>
      <c r="B184" s="4">
        <f>IF(OR(INDEX($P$2:$P$1001,MATCH(ROWS($O$2:O184),$O$2:$O$1001,0),1)&gt;=100000,INDEX($V$1005:$AE$1005,1,MATCH(COLUMNS($V$1006:V1006),$V$1006:$AE$1006,0))&gt;=100000), " ",IF(INDEX($V$2:$AE$1001,MATCH(ROWS($O$2:O184),$O$2:$O$1001,0),MATCH(COLUMNS($V$1006:V1006),$V$1006:$AE$1006,0)), HYPERLINK("#",""), HYPERLINK(CONCATENATE("#Metadata!", ADDRESS(INDEX($Q$2:$Q$1001,MATCH(ROWS($O$2:O184),$O$2:$O$1001,0),0), INDEX($V$1004:$AE$1004,1,MATCH(COLUMNS($V$1006:V1006),$V$1006:$AE$1006,0)))),"Fix")))</f>
        <v>0</v>
      </c>
      <c r="C184" s="4">
        <f>IF(OR(INDEX($P$2:$P$1001,MATCH(ROWS($O$2:O184),$O$2:$O$1001,0),1)&gt;=100000,INDEX($V$1005:$AE$1005,1,MATCH(COLUMNS($V$1006:W1006),$V$1006:$AE$1006,0))&gt;=100000), " ",IF(INDEX($V$2:$AE$1001,MATCH(ROWS($O$2:O184),$O$2:$O$1001,0),MATCH(COLUMNS($V$1006:W1006),$V$1006:$AE$1006,0)), HYPERLINK("#",""), HYPERLINK(CONCATENATE("#Metadata!", ADDRESS(INDEX($Q$2:$Q$1001,MATCH(ROWS($O$2:O184),$O$2:$O$1001,0),0), INDEX($V$1004:$AE$1004,1,MATCH(COLUMNS($V$1006:W1006),$V$1006:$AE$1006,0)))),"Fix")))</f>
        <v>0</v>
      </c>
      <c r="D184" s="4">
        <f>IF(OR(INDEX($P$2:$P$1001,MATCH(ROWS($O$2:O184),$O$2:$O$1001,0),1)&gt;=100000,INDEX($V$1005:$AE$1005,1,MATCH(COLUMNS($V$1006:X1006),$V$1006:$AE$1006,0))&gt;=100000), " ",IF(INDEX($V$2:$AE$1001,MATCH(ROWS($O$2:O184),$O$2:$O$1001,0),MATCH(COLUMNS($V$1006:X1006),$V$1006:$AE$1006,0)), HYPERLINK("#",""), HYPERLINK(CONCATENATE("#Metadata!", ADDRESS(INDEX($Q$2:$Q$1001,MATCH(ROWS($O$2:O184),$O$2:$O$1001,0),0), INDEX($V$1004:$AE$1004,1,MATCH(COLUMNS($V$1006:X1006),$V$1006:$AE$1006,0)))),"Fix")))</f>
        <v>0</v>
      </c>
      <c r="E184" s="4">
        <f>IF(OR(INDEX($P$2:$P$1001,MATCH(ROWS($O$2:O184),$O$2:$O$1001,0),1)&gt;=100000,INDEX($V$1005:$AE$1005,1,MATCH(COLUMNS($V$1006:Y1006),$V$1006:$AE$1006,0))&gt;=100000), " ",IF(INDEX($V$2:$AE$1001,MATCH(ROWS($O$2:O184),$O$2:$O$1001,0),MATCH(COLUMNS($V$1006:Y1006),$V$1006:$AE$1006,0)), HYPERLINK("#",""), HYPERLINK(CONCATENATE("#Metadata!", ADDRESS(INDEX($Q$2:$Q$1001,MATCH(ROWS($O$2:O184),$O$2:$O$1001,0),0), INDEX($V$1004:$AE$1004,1,MATCH(COLUMNS($V$1006:Y1006),$V$1006:$AE$1006,0)))),"Fix")))</f>
        <v>0</v>
      </c>
      <c r="F184" s="4">
        <f>IF(OR(INDEX($P$2:$P$1001,MATCH(ROWS($O$2:O184),$O$2:$O$1001,0),1)&gt;=100000,INDEX($V$1005:$AE$1005,1,MATCH(COLUMNS($V$1006:Z1006),$V$1006:$AE$1006,0))&gt;=100000), " ",IF(INDEX($V$2:$AE$1001,MATCH(ROWS($O$2:O184),$O$2:$O$1001,0),MATCH(COLUMNS($V$1006:Z1006),$V$1006:$AE$1006,0)), HYPERLINK("#",""), HYPERLINK(CONCATENATE("#Metadata!", ADDRESS(INDEX($Q$2:$Q$1001,MATCH(ROWS($O$2:O184),$O$2:$O$1001,0),0), INDEX($V$1004:$AE$1004,1,MATCH(COLUMNS($V$1006:Z1006),$V$1006:$AE$1006,0)))),"Fix")))</f>
        <v>0</v>
      </c>
      <c r="G184" s="4">
        <f>IF(OR(INDEX($P$2:$P$1001,MATCH(ROWS($O$2:O184),$O$2:$O$1001,0),1)&gt;=100000,INDEX($V$1005:$AE$1005,1,MATCH(COLUMNS($V$1006:AA1006),$V$1006:$AE$1006,0))&gt;=100000), " ",IF(INDEX($V$2:$AE$1001,MATCH(ROWS($O$2:O184),$O$2:$O$1001,0),MATCH(COLUMNS($V$1006:AA1006),$V$1006:$AE$1006,0)), HYPERLINK("#",""), HYPERLINK(CONCATENATE("#Metadata!", ADDRESS(INDEX($Q$2:$Q$1001,MATCH(ROWS($O$2:O184),$O$2:$O$1001,0),0), INDEX($V$1004:$AE$1004,1,MATCH(COLUMNS($V$1006:AA1006),$V$1006:$AE$1006,0)))),"Fix")))</f>
        <v>0</v>
      </c>
      <c r="H184" s="4">
        <f>IF(OR(INDEX($P$2:$P$1001,MATCH(ROWS($O$2:O184),$O$2:$O$1001,0),1)&gt;=100000,INDEX($V$1005:$AE$1005,1,MATCH(COLUMNS($V$1006:AB1006),$V$1006:$AE$1006,0))&gt;=100000), " ",IF(INDEX($V$2:$AE$1001,MATCH(ROWS($O$2:O184),$O$2:$O$1001,0),MATCH(COLUMNS($V$1006:AB1006),$V$1006:$AE$1006,0)), HYPERLINK("#",""), HYPERLINK(CONCATENATE("#Metadata!", ADDRESS(INDEX($Q$2:$Q$1001,MATCH(ROWS($O$2:O184),$O$2:$O$1001,0),0), INDEX($V$1004:$AE$1004,1,MATCH(COLUMNS($V$1006:AB1006),$V$1006:$AE$1006,0)))),"Fix")))</f>
        <v>0</v>
      </c>
      <c r="I184" s="4">
        <f>IF(OR(INDEX($P$2:$P$1001,MATCH(ROWS($O$2:O184),$O$2:$O$1001,0),1)&gt;=100000,INDEX($V$1005:$AE$1005,1,MATCH(COLUMNS($V$1006:AC1006),$V$1006:$AE$1006,0))&gt;=100000), " ",IF(INDEX($V$2:$AE$1001,MATCH(ROWS($O$2:O184),$O$2:$O$1001,0),MATCH(COLUMNS($V$1006:AC1006),$V$1006:$AE$1006,0)), HYPERLINK("#",""), HYPERLINK(CONCATENATE("#Metadata!", ADDRESS(INDEX($Q$2:$Q$1001,MATCH(ROWS($O$2:O184),$O$2:$O$1001,0),0), INDEX($V$1004:$AE$1004,1,MATCH(COLUMNS($V$1006:AC1006),$V$1006:$AE$1006,0)))),"Fix")))</f>
        <v>0</v>
      </c>
      <c r="J184" s="4">
        <f>IF(OR(INDEX($P$2:$P$1001,MATCH(ROWS($O$2:O184),$O$2:$O$1001,0),1)&gt;=100000,INDEX($V$1005:$AE$1005,1,MATCH(COLUMNS($V$1006:AD1006),$V$1006:$AE$1006,0))&gt;=100000), " ",IF(INDEX($V$2:$AE$1001,MATCH(ROWS($O$2:O184),$O$2:$O$1001,0),MATCH(COLUMNS($V$1006:AD1006),$V$1006:$AE$1006,0)), HYPERLINK("#",""), HYPERLINK(CONCATENATE("#Metadata!", ADDRESS(INDEX($Q$2:$Q$1001,MATCH(ROWS($O$2:O184),$O$2:$O$1001,0),0), INDEX($V$1004:$AE$1004,1,MATCH(COLUMNS($V$1006:AD1006),$V$1006:$AE$1006,0)))),"Fix")))</f>
        <v>0</v>
      </c>
      <c r="K184" s="4">
        <f>IF(OR(INDEX($P$2:$P$1001,MATCH(ROWS($O$2:O184),$O$2:$O$1001,0),1)&gt;=100000,INDEX($V$1005:$AE$1005,1,MATCH(COLUMNS($V$1006:AE1006),$V$1006:$AE$1006,0))&gt;=100000), " ",IF(INDEX($V$2:$AE$1001,MATCH(ROWS($O$2:O184),$O$2:$O$1001,0),MATCH(COLUMNS($V$1006:AE1006),$V$1006:$AE$1006,0)), HYPERLINK("#",""), HYPERLINK(CONCATENATE("#Metadata!", ADDRESS(INDEX($Q$2:$Q$1001,MATCH(ROWS($O$2:O184),$O$2:$O$1001,0),0), INDEX($V$1004:$AE$1004,1,MATCH(COLUMNS($V$1006:AE1006),$V$1006:$AE$1006,0)))),"Fix")))</f>
        <v>0</v>
      </c>
      <c r="O184">
        <v>0</v>
      </c>
      <c r="P184">
        <v>0</v>
      </c>
      <c r="Q184">
        <v>0</v>
      </c>
      <c r="R184">
        <f>IF(S184,TRUE,AND(V184:AE184))</f>
        <v>0</v>
      </c>
      <c r="S184">
        <f>COUNTBLANK(Metadata!B184:K184)=COLUMNS(Metadata!B184:K184)</f>
        <v>0</v>
      </c>
      <c r="T184">
        <v>0</v>
      </c>
      <c r="V184">
        <f>AND(IF(Metadata!B184="",FALSE,TRUE),COUNTIF(Metadata!B:B, Metadata!B184) = 1,NOT(ISERROR(SUMPRODUCT(SEARCH(MID(Metadata!B184,ROW(INDIRECT("1:"&amp;LEN(Metadata!B184))), 1),"0123456789abcdefghijklmnopqrstuvwxyzABCDEFGHIJKLMNOPQRSTUVWXYZ.")))))</f>
        <v>0</v>
      </c>
      <c r="W184">
        <f>AND(IF(Metadata!C184="",FALSE,TRUE),exact(Metadata!C184,"urban biome"))</f>
        <v>0</v>
      </c>
      <c r="X184">
        <f>AND(IF(Metadata!D184="",FALSE,TRUE),exact(Metadata!D184,"animal-associated habitat"))</f>
        <v>0</v>
      </c>
      <c r="Y184">
        <f>OR(AND(IF(Metadata!E184="",FALSE,TRUE),OR(exact(Metadata!E184,"not applicable"),exact(Metadata!E184,"missing: not collected"),exact(Metadata!E184,"missing: not provided"),exact(Metadata!E184,"missing: restricted access"))),AND(IF(Metadata!E184="",FALSE,ISNUMBER(VALUE(Metadata!E184))),Metadata!E184&gt;0))</f>
        <v>0</v>
      </c>
      <c r="Z184">
        <f>AND(IF(Metadata!F184="",FALSE,TRUE),exact(Metadata!F184,"weeks"))</f>
        <v>0</v>
      </c>
      <c r="AA184">
        <f>AND(IF(Metadata!G184="",FALSE,TRUE),exact(Metadata!G184,"mouse"))</f>
        <v>0</v>
      </c>
      <c r="AB184">
        <f>AND(IF(Metadata!H184="",FALSE,TRUE),exact(Metadata!H184,"Mus musculus"))</f>
        <v>0</v>
      </c>
      <c r="AC184">
        <f>AND(IF(Metadata!I184="",FALSE,TRUE),exact(Metadata!I184,"10090"))</f>
        <v>0</v>
      </c>
      <c r="AD184">
        <f>OR(AND(IF(Metadata!J184="",FALSE,TRUE),OR(exact(Metadata!J184,"not applicable"),exact(Metadata!J184,"missing: not collected"),exact(Metadata!J184,"missing: not provided"),exact(Metadata!J184,"missing: restricted access"))),AND(IF(Metadata!J184="",FALSE,ISNUMBER(VALUE(Metadata!J184))),Metadata!J184&gt;0))</f>
        <v>0</v>
      </c>
      <c r="AE184">
        <f>AND(IF(Metadata!K184="",FALSE,TRUE),exact(Metadata!K184,"g"))</f>
        <v>0</v>
      </c>
    </row>
    <row r="185" spans="1:31">
      <c r="A185" s="5">
        <f>IF(B185=" "," ",HYPERLINK(CONCATENATE("#metadata!",ADDRESS(INDEX($Q$2:$Q$1001,MATCH(ROWS($O$2:O185),$O$2:$O$1001,0),0),1)),INDEX($T$2:$T$1001,MATCH(ROWS($O$2:O185),$O$2:$O$1001,0),0)))</f>
        <v>0</v>
      </c>
      <c r="B185" s="4">
        <f>IF(OR(INDEX($P$2:$P$1001,MATCH(ROWS($O$2:O185),$O$2:$O$1001,0),1)&gt;=100000,INDEX($V$1005:$AE$1005,1,MATCH(COLUMNS($V$1006:V1006),$V$1006:$AE$1006,0))&gt;=100000), " ",IF(INDEX($V$2:$AE$1001,MATCH(ROWS($O$2:O185),$O$2:$O$1001,0),MATCH(COLUMNS($V$1006:V1006),$V$1006:$AE$1006,0)), HYPERLINK("#",""), HYPERLINK(CONCATENATE("#Metadata!", ADDRESS(INDEX($Q$2:$Q$1001,MATCH(ROWS($O$2:O185),$O$2:$O$1001,0),0), INDEX($V$1004:$AE$1004,1,MATCH(COLUMNS($V$1006:V1006),$V$1006:$AE$1006,0)))),"Fix")))</f>
        <v>0</v>
      </c>
      <c r="C185" s="4">
        <f>IF(OR(INDEX($P$2:$P$1001,MATCH(ROWS($O$2:O185),$O$2:$O$1001,0),1)&gt;=100000,INDEX($V$1005:$AE$1005,1,MATCH(COLUMNS($V$1006:W1006),$V$1006:$AE$1006,0))&gt;=100000), " ",IF(INDEX($V$2:$AE$1001,MATCH(ROWS($O$2:O185),$O$2:$O$1001,0),MATCH(COLUMNS($V$1006:W1006),$V$1006:$AE$1006,0)), HYPERLINK("#",""), HYPERLINK(CONCATENATE("#Metadata!", ADDRESS(INDEX($Q$2:$Q$1001,MATCH(ROWS($O$2:O185),$O$2:$O$1001,0),0), INDEX($V$1004:$AE$1004,1,MATCH(COLUMNS($V$1006:W1006),$V$1006:$AE$1006,0)))),"Fix")))</f>
        <v>0</v>
      </c>
      <c r="D185" s="4">
        <f>IF(OR(INDEX($P$2:$P$1001,MATCH(ROWS($O$2:O185),$O$2:$O$1001,0),1)&gt;=100000,INDEX($V$1005:$AE$1005,1,MATCH(COLUMNS($V$1006:X1006),$V$1006:$AE$1006,0))&gt;=100000), " ",IF(INDEX($V$2:$AE$1001,MATCH(ROWS($O$2:O185),$O$2:$O$1001,0),MATCH(COLUMNS($V$1006:X1006),$V$1006:$AE$1006,0)), HYPERLINK("#",""), HYPERLINK(CONCATENATE("#Metadata!", ADDRESS(INDEX($Q$2:$Q$1001,MATCH(ROWS($O$2:O185),$O$2:$O$1001,0),0), INDEX($V$1004:$AE$1004,1,MATCH(COLUMNS($V$1006:X1006),$V$1006:$AE$1006,0)))),"Fix")))</f>
        <v>0</v>
      </c>
      <c r="E185" s="4">
        <f>IF(OR(INDEX($P$2:$P$1001,MATCH(ROWS($O$2:O185),$O$2:$O$1001,0),1)&gt;=100000,INDEX($V$1005:$AE$1005,1,MATCH(COLUMNS($V$1006:Y1006),$V$1006:$AE$1006,0))&gt;=100000), " ",IF(INDEX($V$2:$AE$1001,MATCH(ROWS($O$2:O185),$O$2:$O$1001,0),MATCH(COLUMNS($V$1006:Y1006),$V$1006:$AE$1006,0)), HYPERLINK("#",""), HYPERLINK(CONCATENATE("#Metadata!", ADDRESS(INDEX($Q$2:$Q$1001,MATCH(ROWS($O$2:O185),$O$2:$O$1001,0),0), INDEX($V$1004:$AE$1004,1,MATCH(COLUMNS($V$1006:Y1006),$V$1006:$AE$1006,0)))),"Fix")))</f>
        <v>0</v>
      </c>
      <c r="F185" s="4">
        <f>IF(OR(INDEX($P$2:$P$1001,MATCH(ROWS($O$2:O185),$O$2:$O$1001,0),1)&gt;=100000,INDEX($V$1005:$AE$1005,1,MATCH(COLUMNS($V$1006:Z1006),$V$1006:$AE$1006,0))&gt;=100000), " ",IF(INDEX($V$2:$AE$1001,MATCH(ROWS($O$2:O185),$O$2:$O$1001,0),MATCH(COLUMNS($V$1006:Z1006),$V$1006:$AE$1006,0)), HYPERLINK("#",""), HYPERLINK(CONCATENATE("#Metadata!", ADDRESS(INDEX($Q$2:$Q$1001,MATCH(ROWS($O$2:O185),$O$2:$O$1001,0),0), INDEX($V$1004:$AE$1004,1,MATCH(COLUMNS($V$1006:Z1006),$V$1006:$AE$1006,0)))),"Fix")))</f>
        <v>0</v>
      </c>
      <c r="G185" s="4">
        <f>IF(OR(INDEX($P$2:$P$1001,MATCH(ROWS($O$2:O185),$O$2:$O$1001,0),1)&gt;=100000,INDEX($V$1005:$AE$1005,1,MATCH(COLUMNS($V$1006:AA1006),$V$1006:$AE$1006,0))&gt;=100000), " ",IF(INDEX($V$2:$AE$1001,MATCH(ROWS($O$2:O185),$O$2:$O$1001,0),MATCH(COLUMNS($V$1006:AA1006),$V$1006:$AE$1006,0)), HYPERLINK("#",""), HYPERLINK(CONCATENATE("#Metadata!", ADDRESS(INDEX($Q$2:$Q$1001,MATCH(ROWS($O$2:O185),$O$2:$O$1001,0),0), INDEX($V$1004:$AE$1004,1,MATCH(COLUMNS($V$1006:AA1006),$V$1006:$AE$1006,0)))),"Fix")))</f>
        <v>0</v>
      </c>
      <c r="H185" s="4">
        <f>IF(OR(INDEX($P$2:$P$1001,MATCH(ROWS($O$2:O185),$O$2:$O$1001,0),1)&gt;=100000,INDEX($V$1005:$AE$1005,1,MATCH(COLUMNS($V$1006:AB1006),$V$1006:$AE$1006,0))&gt;=100000), " ",IF(INDEX($V$2:$AE$1001,MATCH(ROWS($O$2:O185),$O$2:$O$1001,0),MATCH(COLUMNS($V$1006:AB1006),$V$1006:$AE$1006,0)), HYPERLINK("#",""), HYPERLINK(CONCATENATE("#Metadata!", ADDRESS(INDEX($Q$2:$Q$1001,MATCH(ROWS($O$2:O185),$O$2:$O$1001,0),0), INDEX($V$1004:$AE$1004,1,MATCH(COLUMNS($V$1006:AB1006),$V$1006:$AE$1006,0)))),"Fix")))</f>
        <v>0</v>
      </c>
      <c r="I185" s="4">
        <f>IF(OR(INDEX($P$2:$P$1001,MATCH(ROWS($O$2:O185),$O$2:$O$1001,0),1)&gt;=100000,INDEX($V$1005:$AE$1005,1,MATCH(COLUMNS($V$1006:AC1006),$V$1006:$AE$1006,0))&gt;=100000), " ",IF(INDEX($V$2:$AE$1001,MATCH(ROWS($O$2:O185),$O$2:$O$1001,0),MATCH(COLUMNS($V$1006:AC1006),$V$1006:$AE$1006,0)), HYPERLINK("#",""), HYPERLINK(CONCATENATE("#Metadata!", ADDRESS(INDEX($Q$2:$Q$1001,MATCH(ROWS($O$2:O185),$O$2:$O$1001,0),0), INDEX($V$1004:$AE$1004,1,MATCH(COLUMNS($V$1006:AC1006),$V$1006:$AE$1006,0)))),"Fix")))</f>
        <v>0</v>
      </c>
      <c r="J185" s="4">
        <f>IF(OR(INDEX($P$2:$P$1001,MATCH(ROWS($O$2:O185),$O$2:$O$1001,0),1)&gt;=100000,INDEX($V$1005:$AE$1005,1,MATCH(COLUMNS($V$1006:AD1006),$V$1006:$AE$1006,0))&gt;=100000), " ",IF(INDEX($V$2:$AE$1001,MATCH(ROWS($O$2:O185),$O$2:$O$1001,0),MATCH(COLUMNS($V$1006:AD1006),$V$1006:$AE$1006,0)), HYPERLINK("#",""), HYPERLINK(CONCATENATE("#Metadata!", ADDRESS(INDEX($Q$2:$Q$1001,MATCH(ROWS($O$2:O185),$O$2:$O$1001,0),0), INDEX($V$1004:$AE$1004,1,MATCH(COLUMNS($V$1006:AD1006),$V$1006:$AE$1006,0)))),"Fix")))</f>
        <v>0</v>
      </c>
      <c r="K185" s="4">
        <f>IF(OR(INDEX($P$2:$P$1001,MATCH(ROWS($O$2:O185),$O$2:$O$1001,0),1)&gt;=100000,INDEX($V$1005:$AE$1005,1,MATCH(COLUMNS($V$1006:AE1006),$V$1006:$AE$1006,0))&gt;=100000), " ",IF(INDEX($V$2:$AE$1001,MATCH(ROWS($O$2:O185),$O$2:$O$1001,0),MATCH(COLUMNS($V$1006:AE1006),$V$1006:$AE$1006,0)), HYPERLINK("#",""), HYPERLINK(CONCATENATE("#Metadata!", ADDRESS(INDEX($Q$2:$Q$1001,MATCH(ROWS($O$2:O185),$O$2:$O$1001,0),0), INDEX($V$1004:$AE$1004,1,MATCH(COLUMNS($V$1006:AE1006),$V$1006:$AE$1006,0)))),"Fix")))</f>
        <v>0</v>
      </c>
      <c r="O185">
        <v>0</v>
      </c>
      <c r="P185">
        <v>0</v>
      </c>
      <c r="Q185">
        <v>0</v>
      </c>
      <c r="R185">
        <f>IF(S185,TRUE,AND(V185:AE185))</f>
        <v>0</v>
      </c>
      <c r="S185">
        <f>COUNTBLANK(Metadata!B185:K185)=COLUMNS(Metadata!B185:K185)</f>
        <v>0</v>
      </c>
      <c r="T185">
        <v>0</v>
      </c>
      <c r="V185">
        <f>AND(IF(Metadata!B185="",FALSE,TRUE),COUNTIF(Metadata!B:B, Metadata!B185) = 1,NOT(ISERROR(SUMPRODUCT(SEARCH(MID(Metadata!B185,ROW(INDIRECT("1:"&amp;LEN(Metadata!B185))), 1),"0123456789abcdefghijklmnopqrstuvwxyzABCDEFGHIJKLMNOPQRSTUVWXYZ.")))))</f>
        <v>0</v>
      </c>
      <c r="W185">
        <f>AND(IF(Metadata!C185="",FALSE,TRUE),exact(Metadata!C185,"urban biome"))</f>
        <v>0</v>
      </c>
      <c r="X185">
        <f>AND(IF(Metadata!D185="",FALSE,TRUE),exact(Metadata!D185,"animal-associated habitat"))</f>
        <v>0</v>
      </c>
      <c r="Y185">
        <f>OR(AND(IF(Metadata!E185="",FALSE,TRUE),OR(exact(Metadata!E185,"not applicable"),exact(Metadata!E185,"missing: not collected"),exact(Metadata!E185,"missing: not provided"),exact(Metadata!E185,"missing: restricted access"))),AND(IF(Metadata!E185="",FALSE,ISNUMBER(VALUE(Metadata!E185))),Metadata!E185&gt;0))</f>
        <v>0</v>
      </c>
      <c r="Z185">
        <f>AND(IF(Metadata!F185="",FALSE,TRUE),exact(Metadata!F185,"weeks"))</f>
        <v>0</v>
      </c>
      <c r="AA185">
        <f>AND(IF(Metadata!G185="",FALSE,TRUE),exact(Metadata!G185,"mouse"))</f>
        <v>0</v>
      </c>
      <c r="AB185">
        <f>AND(IF(Metadata!H185="",FALSE,TRUE),exact(Metadata!H185,"Mus musculus"))</f>
        <v>0</v>
      </c>
      <c r="AC185">
        <f>AND(IF(Metadata!I185="",FALSE,TRUE),exact(Metadata!I185,"10090"))</f>
        <v>0</v>
      </c>
      <c r="AD185">
        <f>OR(AND(IF(Metadata!J185="",FALSE,TRUE),OR(exact(Metadata!J185,"not applicable"),exact(Metadata!J185,"missing: not collected"),exact(Metadata!J185,"missing: not provided"),exact(Metadata!J185,"missing: restricted access"))),AND(IF(Metadata!J185="",FALSE,ISNUMBER(VALUE(Metadata!J185))),Metadata!J185&gt;0))</f>
        <v>0</v>
      </c>
      <c r="AE185">
        <f>AND(IF(Metadata!K185="",FALSE,TRUE),exact(Metadata!K185,"g"))</f>
        <v>0</v>
      </c>
    </row>
    <row r="186" spans="1:31">
      <c r="A186" s="5">
        <f>IF(B186=" "," ",HYPERLINK(CONCATENATE("#metadata!",ADDRESS(INDEX($Q$2:$Q$1001,MATCH(ROWS($O$2:O186),$O$2:$O$1001,0),0),1)),INDEX($T$2:$T$1001,MATCH(ROWS($O$2:O186),$O$2:$O$1001,0),0)))</f>
        <v>0</v>
      </c>
      <c r="B186" s="4">
        <f>IF(OR(INDEX($P$2:$P$1001,MATCH(ROWS($O$2:O186),$O$2:$O$1001,0),1)&gt;=100000,INDEX($V$1005:$AE$1005,1,MATCH(COLUMNS($V$1006:V1006),$V$1006:$AE$1006,0))&gt;=100000), " ",IF(INDEX($V$2:$AE$1001,MATCH(ROWS($O$2:O186),$O$2:$O$1001,0),MATCH(COLUMNS($V$1006:V1006),$V$1006:$AE$1006,0)), HYPERLINK("#",""), HYPERLINK(CONCATENATE("#Metadata!", ADDRESS(INDEX($Q$2:$Q$1001,MATCH(ROWS($O$2:O186),$O$2:$O$1001,0),0), INDEX($V$1004:$AE$1004,1,MATCH(COLUMNS($V$1006:V1006),$V$1006:$AE$1006,0)))),"Fix")))</f>
        <v>0</v>
      </c>
      <c r="C186" s="4">
        <f>IF(OR(INDEX($P$2:$P$1001,MATCH(ROWS($O$2:O186),$O$2:$O$1001,0),1)&gt;=100000,INDEX($V$1005:$AE$1005,1,MATCH(COLUMNS($V$1006:W1006),$V$1006:$AE$1006,0))&gt;=100000), " ",IF(INDEX($V$2:$AE$1001,MATCH(ROWS($O$2:O186),$O$2:$O$1001,0),MATCH(COLUMNS($V$1006:W1006),$V$1006:$AE$1006,0)), HYPERLINK("#",""), HYPERLINK(CONCATENATE("#Metadata!", ADDRESS(INDEX($Q$2:$Q$1001,MATCH(ROWS($O$2:O186),$O$2:$O$1001,0),0), INDEX($V$1004:$AE$1004,1,MATCH(COLUMNS($V$1006:W1006),$V$1006:$AE$1006,0)))),"Fix")))</f>
        <v>0</v>
      </c>
      <c r="D186" s="4">
        <f>IF(OR(INDEX($P$2:$P$1001,MATCH(ROWS($O$2:O186),$O$2:$O$1001,0),1)&gt;=100000,INDEX($V$1005:$AE$1005,1,MATCH(COLUMNS($V$1006:X1006),$V$1006:$AE$1006,0))&gt;=100000), " ",IF(INDEX($V$2:$AE$1001,MATCH(ROWS($O$2:O186),$O$2:$O$1001,0),MATCH(COLUMNS($V$1006:X1006),$V$1006:$AE$1006,0)), HYPERLINK("#",""), HYPERLINK(CONCATENATE("#Metadata!", ADDRESS(INDEX($Q$2:$Q$1001,MATCH(ROWS($O$2:O186),$O$2:$O$1001,0),0), INDEX($V$1004:$AE$1004,1,MATCH(COLUMNS($V$1006:X1006),$V$1006:$AE$1006,0)))),"Fix")))</f>
        <v>0</v>
      </c>
      <c r="E186" s="4">
        <f>IF(OR(INDEX($P$2:$P$1001,MATCH(ROWS($O$2:O186),$O$2:$O$1001,0),1)&gt;=100000,INDEX($V$1005:$AE$1005,1,MATCH(COLUMNS($V$1006:Y1006),$V$1006:$AE$1006,0))&gt;=100000), " ",IF(INDEX($V$2:$AE$1001,MATCH(ROWS($O$2:O186),$O$2:$O$1001,0),MATCH(COLUMNS($V$1006:Y1006),$V$1006:$AE$1006,0)), HYPERLINK("#",""), HYPERLINK(CONCATENATE("#Metadata!", ADDRESS(INDEX($Q$2:$Q$1001,MATCH(ROWS($O$2:O186),$O$2:$O$1001,0),0), INDEX($V$1004:$AE$1004,1,MATCH(COLUMNS($V$1006:Y1006),$V$1006:$AE$1006,0)))),"Fix")))</f>
        <v>0</v>
      </c>
      <c r="F186" s="4">
        <f>IF(OR(INDEX($P$2:$P$1001,MATCH(ROWS($O$2:O186),$O$2:$O$1001,0),1)&gt;=100000,INDEX($V$1005:$AE$1005,1,MATCH(COLUMNS($V$1006:Z1006),$V$1006:$AE$1006,0))&gt;=100000), " ",IF(INDEX($V$2:$AE$1001,MATCH(ROWS($O$2:O186),$O$2:$O$1001,0),MATCH(COLUMNS($V$1006:Z1006),$V$1006:$AE$1006,0)), HYPERLINK("#",""), HYPERLINK(CONCATENATE("#Metadata!", ADDRESS(INDEX($Q$2:$Q$1001,MATCH(ROWS($O$2:O186),$O$2:$O$1001,0),0), INDEX($V$1004:$AE$1004,1,MATCH(COLUMNS($V$1006:Z1006),$V$1006:$AE$1006,0)))),"Fix")))</f>
        <v>0</v>
      </c>
      <c r="G186" s="4">
        <f>IF(OR(INDEX($P$2:$P$1001,MATCH(ROWS($O$2:O186),$O$2:$O$1001,0),1)&gt;=100000,INDEX($V$1005:$AE$1005,1,MATCH(COLUMNS($V$1006:AA1006),$V$1006:$AE$1006,0))&gt;=100000), " ",IF(INDEX($V$2:$AE$1001,MATCH(ROWS($O$2:O186),$O$2:$O$1001,0),MATCH(COLUMNS($V$1006:AA1006),$V$1006:$AE$1006,0)), HYPERLINK("#",""), HYPERLINK(CONCATENATE("#Metadata!", ADDRESS(INDEX($Q$2:$Q$1001,MATCH(ROWS($O$2:O186),$O$2:$O$1001,0),0), INDEX($V$1004:$AE$1004,1,MATCH(COLUMNS($V$1006:AA1006),$V$1006:$AE$1006,0)))),"Fix")))</f>
        <v>0</v>
      </c>
      <c r="H186" s="4">
        <f>IF(OR(INDEX($P$2:$P$1001,MATCH(ROWS($O$2:O186),$O$2:$O$1001,0),1)&gt;=100000,INDEX($V$1005:$AE$1005,1,MATCH(COLUMNS($V$1006:AB1006),$V$1006:$AE$1006,0))&gt;=100000), " ",IF(INDEX($V$2:$AE$1001,MATCH(ROWS($O$2:O186),$O$2:$O$1001,0),MATCH(COLUMNS($V$1006:AB1006),$V$1006:$AE$1006,0)), HYPERLINK("#",""), HYPERLINK(CONCATENATE("#Metadata!", ADDRESS(INDEX($Q$2:$Q$1001,MATCH(ROWS($O$2:O186),$O$2:$O$1001,0),0), INDEX($V$1004:$AE$1004,1,MATCH(COLUMNS($V$1006:AB1006),$V$1006:$AE$1006,0)))),"Fix")))</f>
        <v>0</v>
      </c>
      <c r="I186" s="4">
        <f>IF(OR(INDEX($P$2:$P$1001,MATCH(ROWS($O$2:O186),$O$2:$O$1001,0),1)&gt;=100000,INDEX($V$1005:$AE$1005,1,MATCH(COLUMNS($V$1006:AC1006),$V$1006:$AE$1006,0))&gt;=100000), " ",IF(INDEX($V$2:$AE$1001,MATCH(ROWS($O$2:O186),$O$2:$O$1001,0),MATCH(COLUMNS($V$1006:AC1006),$V$1006:$AE$1006,0)), HYPERLINK("#",""), HYPERLINK(CONCATENATE("#Metadata!", ADDRESS(INDEX($Q$2:$Q$1001,MATCH(ROWS($O$2:O186),$O$2:$O$1001,0),0), INDEX($V$1004:$AE$1004,1,MATCH(COLUMNS($V$1006:AC1006),$V$1006:$AE$1006,0)))),"Fix")))</f>
        <v>0</v>
      </c>
      <c r="J186" s="4">
        <f>IF(OR(INDEX($P$2:$P$1001,MATCH(ROWS($O$2:O186),$O$2:$O$1001,0),1)&gt;=100000,INDEX($V$1005:$AE$1005,1,MATCH(COLUMNS($V$1006:AD1006),$V$1006:$AE$1006,0))&gt;=100000), " ",IF(INDEX($V$2:$AE$1001,MATCH(ROWS($O$2:O186),$O$2:$O$1001,0),MATCH(COLUMNS($V$1006:AD1006),$V$1006:$AE$1006,0)), HYPERLINK("#",""), HYPERLINK(CONCATENATE("#Metadata!", ADDRESS(INDEX($Q$2:$Q$1001,MATCH(ROWS($O$2:O186),$O$2:$O$1001,0),0), INDEX($V$1004:$AE$1004,1,MATCH(COLUMNS($V$1006:AD1006),$V$1006:$AE$1006,0)))),"Fix")))</f>
        <v>0</v>
      </c>
      <c r="K186" s="4">
        <f>IF(OR(INDEX($P$2:$P$1001,MATCH(ROWS($O$2:O186),$O$2:$O$1001,0),1)&gt;=100000,INDEX($V$1005:$AE$1005,1,MATCH(COLUMNS($V$1006:AE1006),$V$1006:$AE$1006,0))&gt;=100000), " ",IF(INDEX($V$2:$AE$1001,MATCH(ROWS($O$2:O186),$O$2:$O$1001,0),MATCH(COLUMNS($V$1006:AE1006),$V$1006:$AE$1006,0)), HYPERLINK("#",""), HYPERLINK(CONCATENATE("#Metadata!", ADDRESS(INDEX($Q$2:$Q$1001,MATCH(ROWS($O$2:O186),$O$2:$O$1001,0),0), INDEX($V$1004:$AE$1004,1,MATCH(COLUMNS($V$1006:AE1006),$V$1006:$AE$1006,0)))),"Fix")))</f>
        <v>0</v>
      </c>
      <c r="O186">
        <v>0</v>
      </c>
      <c r="P186">
        <v>0</v>
      </c>
      <c r="Q186">
        <v>0</v>
      </c>
      <c r="R186">
        <f>IF(S186,TRUE,AND(V186:AE186))</f>
        <v>0</v>
      </c>
      <c r="S186">
        <f>COUNTBLANK(Metadata!B186:K186)=COLUMNS(Metadata!B186:K186)</f>
        <v>0</v>
      </c>
      <c r="T186">
        <v>0</v>
      </c>
      <c r="V186">
        <f>AND(IF(Metadata!B186="",FALSE,TRUE),COUNTIF(Metadata!B:B, Metadata!B186) = 1,NOT(ISERROR(SUMPRODUCT(SEARCH(MID(Metadata!B186,ROW(INDIRECT("1:"&amp;LEN(Metadata!B186))), 1),"0123456789abcdefghijklmnopqrstuvwxyzABCDEFGHIJKLMNOPQRSTUVWXYZ.")))))</f>
        <v>0</v>
      </c>
      <c r="W186">
        <f>AND(IF(Metadata!C186="",FALSE,TRUE),exact(Metadata!C186,"urban biome"))</f>
        <v>0</v>
      </c>
      <c r="X186">
        <f>AND(IF(Metadata!D186="",FALSE,TRUE),exact(Metadata!D186,"animal-associated habitat"))</f>
        <v>0</v>
      </c>
      <c r="Y186">
        <f>OR(AND(IF(Metadata!E186="",FALSE,TRUE),OR(exact(Metadata!E186,"not applicable"),exact(Metadata!E186,"missing: not collected"),exact(Metadata!E186,"missing: not provided"),exact(Metadata!E186,"missing: restricted access"))),AND(IF(Metadata!E186="",FALSE,ISNUMBER(VALUE(Metadata!E186))),Metadata!E186&gt;0))</f>
        <v>0</v>
      </c>
      <c r="Z186">
        <f>AND(IF(Metadata!F186="",FALSE,TRUE),exact(Metadata!F186,"weeks"))</f>
        <v>0</v>
      </c>
      <c r="AA186">
        <f>AND(IF(Metadata!G186="",FALSE,TRUE),exact(Metadata!G186,"mouse"))</f>
        <v>0</v>
      </c>
      <c r="AB186">
        <f>AND(IF(Metadata!H186="",FALSE,TRUE),exact(Metadata!H186,"Mus musculus"))</f>
        <v>0</v>
      </c>
      <c r="AC186">
        <f>AND(IF(Metadata!I186="",FALSE,TRUE),exact(Metadata!I186,"10090"))</f>
        <v>0</v>
      </c>
      <c r="AD186">
        <f>OR(AND(IF(Metadata!J186="",FALSE,TRUE),OR(exact(Metadata!J186,"not applicable"),exact(Metadata!J186,"missing: not collected"),exact(Metadata!J186,"missing: not provided"),exact(Metadata!J186,"missing: restricted access"))),AND(IF(Metadata!J186="",FALSE,ISNUMBER(VALUE(Metadata!J186))),Metadata!J186&gt;0))</f>
        <v>0</v>
      </c>
      <c r="AE186">
        <f>AND(IF(Metadata!K186="",FALSE,TRUE),exact(Metadata!K186,"g"))</f>
        <v>0</v>
      </c>
    </row>
    <row r="187" spans="1:31">
      <c r="A187" s="5">
        <f>IF(B187=" "," ",HYPERLINK(CONCATENATE("#metadata!",ADDRESS(INDEX($Q$2:$Q$1001,MATCH(ROWS($O$2:O187),$O$2:$O$1001,0),0),1)),INDEX($T$2:$T$1001,MATCH(ROWS($O$2:O187),$O$2:$O$1001,0),0)))</f>
        <v>0</v>
      </c>
      <c r="B187" s="4">
        <f>IF(OR(INDEX($P$2:$P$1001,MATCH(ROWS($O$2:O187),$O$2:$O$1001,0),1)&gt;=100000,INDEX($V$1005:$AE$1005,1,MATCH(COLUMNS($V$1006:V1006),$V$1006:$AE$1006,0))&gt;=100000), " ",IF(INDEX($V$2:$AE$1001,MATCH(ROWS($O$2:O187),$O$2:$O$1001,0),MATCH(COLUMNS($V$1006:V1006),$V$1006:$AE$1006,0)), HYPERLINK("#",""), HYPERLINK(CONCATENATE("#Metadata!", ADDRESS(INDEX($Q$2:$Q$1001,MATCH(ROWS($O$2:O187),$O$2:$O$1001,0),0), INDEX($V$1004:$AE$1004,1,MATCH(COLUMNS($V$1006:V1006),$V$1006:$AE$1006,0)))),"Fix")))</f>
        <v>0</v>
      </c>
      <c r="C187" s="4">
        <f>IF(OR(INDEX($P$2:$P$1001,MATCH(ROWS($O$2:O187),$O$2:$O$1001,0),1)&gt;=100000,INDEX($V$1005:$AE$1005,1,MATCH(COLUMNS($V$1006:W1006),$V$1006:$AE$1006,0))&gt;=100000), " ",IF(INDEX($V$2:$AE$1001,MATCH(ROWS($O$2:O187),$O$2:$O$1001,0),MATCH(COLUMNS($V$1006:W1006),$V$1006:$AE$1006,0)), HYPERLINK("#",""), HYPERLINK(CONCATENATE("#Metadata!", ADDRESS(INDEX($Q$2:$Q$1001,MATCH(ROWS($O$2:O187),$O$2:$O$1001,0),0), INDEX($V$1004:$AE$1004,1,MATCH(COLUMNS($V$1006:W1006),$V$1006:$AE$1006,0)))),"Fix")))</f>
        <v>0</v>
      </c>
      <c r="D187" s="4">
        <f>IF(OR(INDEX($P$2:$P$1001,MATCH(ROWS($O$2:O187),$O$2:$O$1001,0),1)&gt;=100000,INDEX($V$1005:$AE$1005,1,MATCH(COLUMNS($V$1006:X1006),$V$1006:$AE$1006,0))&gt;=100000), " ",IF(INDEX($V$2:$AE$1001,MATCH(ROWS($O$2:O187),$O$2:$O$1001,0),MATCH(COLUMNS($V$1006:X1006),$V$1006:$AE$1006,0)), HYPERLINK("#",""), HYPERLINK(CONCATENATE("#Metadata!", ADDRESS(INDEX($Q$2:$Q$1001,MATCH(ROWS($O$2:O187),$O$2:$O$1001,0),0), INDEX($V$1004:$AE$1004,1,MATCH(COLUMNS($V$1006:X1006),$V$1006:$AE$1006,0)))),"Fix")))</f>
        <v>0</v>
      </c>
      <c r="E187" s="4">
        <f>IF(OR(INDEX($P$2:$P$1001,MATCH(ROWS($O$2:O187),$O$2:$O$1001,0),1)&gt;=100000,INDEX($V$1005:$AE$1005,1,MATCH(COLUMNS($V$1006:Y1006),$V$1006:$AE$1006,0))&gt;=100000), " ",IF(INDEX($V$2:$AE$1001,MATCH(ROWS($O$2:O187),$O$2:$O$1001,0),MATCH(COLUMNS($V$1006:Y1006),$V$1006:$AE$1006,0)), HYPERLINK("#",""), HYPERLINK(CONCATENATE("#Metadata!", ADDRESS(INDEX($Q$2:$Q$1001,MATCH(ROWS($O$2:O187),$O$2:$O$1001,0),0), INDEX($V$1004:$AE$1004,1,MATCH(COLUMNS($V$1006:Y1006),$V$1006:$AE$1006,0)))),"Fix")))</f>
        <v>0</v>
      </c>
      <c r="F187" s="4">
        <f>IF(OR(INDEX($P$2:$P$1001,MATCH(ROWS($O$2:O187),$O$2:$O$1001,0),1)&gt;=100000,INDEX($V$1005:$AE$1005,1,MATCH(COLUMNS($V$1006:Z1006),$V$1006:$AE$1006,0))&gt;=100000), " ",IF(INDEX($V$2:$AE$1001,MATCH(ROWS($O$2:O187),$O$2:$O$1001,0),MATCH(COLUMNS($V$1006:Z1006),$V$1006:$AE$1006,0)), HYPERLINK("#",""), HYPERLINK(CONCATENATE("#Metadata!", ADDRESS(INDEX($Q$2:$Q$1001,MATCH(ROWS($O$2:O187),$O$2:$O$1001,0),0), INDEX($V$1004:$AE$1004,1,MATCH(COLUMNS($V$1006:Z1006),$V$1006:$AE$1006,0)))),"Fix")))</f>
        <v>0</v>
      </c>
      <c r="G187" s="4">
        <f>IF(OR(INDEX($P$2:$P$1001,MATCH(ROWS($O$2:O187),$O$2:$O$1001,0),1)&gt;=100000,INDEX($V$1005:$AE$1005,1,MATCH(COLUMNS($V$1006:AA1006),$V$1006:$AE$1006,0))&gt;=100000), " ",IF(INDEX($V$2:$AE$1001,MATCH(ROWS($O$2:O187),$O$2:$O$1001,0),MATCH(COLUMNS($V$1006:AA1006),$V$1006:$AE$1006,0)), HYPERLINK("#",""), HYPERLINK(CONCATENATE("#Metadata!", ADDRESS(INDEX($Q$2:$Q$1001,MATCH(ROWS($O$2:O187),$O$2:$O$1001,0),0), INDEX($V$1004:$AE$1004,1,MATCH(COLUMNS($V$1006:AA1006),$V$1006:$AE$1006,0)))),"Fix")))</f>
        <v>0</v>
      </c>
      <c r="H187" s="4">
        <f>IF(OR(INDEX($P$2:$P$1001,MATCH(ROWS($O$2:O187),$O$2:$O$1001,0),1)&gt;=100000,INDEX($V$1005:$AE$1005,1,MATCH(COLUMNS($V$1006:AB1006),$V$1006:$AE$1006,0))&gt;=100000), " ",IF(INDEX($V$2:$AE$1001,MATCH(ROWS($O$2:O187),$O$2:$O$1001,0),MATCH(COLUMNS($V$1006:AB1006),$V$1006:$AE$1006,0)), HYPERLINK("#",""), HYPERLINK(CONCATENATE("#Metadata!", ADDRESS(INDEX($Q$2:$Q$1001,MATCH(ROWS($O$2:O187),$O$2:$O$1001,0),0), INDEX($V$1004:$AE$1004,1,MATCH(COLUMNS($V$1006:AB1006),$V$1006:$AE$1006,0)))),"Fix")))</f>
        <v>0</v>
      </c>
      <c r="I187" s="4">
        <f>IF(OR(INDEX($P$2:$P$1001,MATCH(ROWS($O$2:O187),$O$2:$O$1001,0),1)&gt;=100000,INDEX($V$1005:$AE$1005,1,MATCH(COLUMNS($V$1006:AC1006),$V$1006:$AE$1006,0))&gt;=100000), " ",IF(INDEX($V$2:$AE$1001,MATCH(ROWS($O$2:O187),$O$2:$O$1001,0),MATCH(COLUMNS($V$1006:AC1006),$V$1006:$AE$1006,0)), HYPERLINK("#",""), HYPERLINK(CONCATENATE("#Metadata!", ADDRESS(INDEX($Q$2:$Q$1001,MATCH(ROWS($O$2:O187),$O$2:$O$1001,0),0), INDEX($V$1004:$AE$1004,1,MATCH(COLUMNS($V$1006:AC1006),$V$1006:$AE$1006,0)))),"Fix")))</f>
        <v>0</v>
      </c>
      <c r="J187" s="4">
        <f>IF(OR(INDEX($P$2:$P$1001,MATCH(ROWS($O$2:O187),$O$2:$O$1001,0),1)&gt;=100000,INDEX($V$1005:$AE$1005,1,MATCH(COLUMNS($V$1006:AD1006),$V$1006:$AE$1006,0))&gt;=100000), " ",IF(INDEX($V$2:$AE$1001,MATCH(ROWS($O$2:O187),$O$2:$O$1001,0),MATCH(COLUMNS($V$1006:AD1006),$V$1006:$AE$1006,0)), HYPERLINK("#",""), HYPERLINK(CONCATENATE("#Metadata!", ADDRESS(INDEX($Q$2:$Q$1001,MATCH(ROWS($O$2:O187),$O$2:$O$1001,0),0), INDEX($V$1004:$AE$1004,1,MATCH(COLUMNS($V$1006:AD1006),$V$1006:$AE$1006,0)))),"Fix")))</f>
        <v>0</v>
      </c>
      <c r="K187" s="4">
        <f>IF(OR(INDEX($P$2:$P$1001,MATCH(ROWS($O$2:O187),$O$2:$O$1001,0),1)&gt;=100000,INDEX($V$1005:$AE$1005,1,MATCH(COLUMNS($V$1006:AE1006),$V$1006:$AE$1006,0))&gt;=100000), " ",IF(INDEX($V$2:$AE$1001,MATCH(ROWS($O$2:O187),$O$2:$O$1001,0),MATCH(COLUMNS($V$1006:AE1006),$V$1006:$AE$1006,0)), HYPERLINK("#",""), HYPERLINK(CONCATENATE("#Metadata!", ADDRESS(INDEX($Q$2:$Q$1001,MATCH(ROWS($O$2:O187),$O$2:$O$1001,0),0), INDEX($V$1004:$AE$1004,1,MATCH(COLUMNS($V$1006:AE1006),$V$1006:$AE$1006,0)))),"Fix")))</f>
        <v>0</v>
      </c>
      <c r="O187">
        <v>0</v>
      </c>
      <c r="P187">
        <v>0</v>
      </c>
      <c r="Q187">
        <v>0</v>
      </c>
      <c r="R187">
        <f>IF(S187,TRUE,AND(V187:AE187))</f>
        <v>0</v>
      </c>
      <c r="S187">
        <f>COUNTBLANK(Metadata!B187:K187)=COLUMNS(Metadata!B187:K187)</f>
        <v>0</v>
      </c>
      <c r="T187">
        <v>0</v>
      </c>
      <c r="V187">
        <f>AND(IF(Metadata!B187="",FALSE,TRUE),COUNTIF(Metadata!B:B, Metadata!B187) = 1,NOT(ISERROR(SUMPRODUCT(SEARCH(MID(Metadata!B187,ROW(INDIRECT("1:"&amp;LEN(Metadata!B187))), 1),"0123456789abcdefghijklmnopqrstuvwxyzABCDEFGHIJKLMNOPQRSTUVWXYZ.")))))</f>
        <v>0</v>
      </c>
      <c r="W187">
        <f>AND(IF(Metadata!C187="",FALSE,TRUE),exact(Metadata!C187,"urban biome"))</f>
        <v>0</v>
      </c>
      <c r="X187">
        <f>AND(IF(Metadata!D187="",FALSE,TRUE),exact(Metadata!D187,"animal-associated habitat"))</f>
        <v>0</v>
      </c>
      <c r="Y187">
        <f>OR(AND(IF(Metadata!E187="",FALSE,TRUE),OR(exact(Metadata!E187,"not applicable"),exact(Metadata!E187,"missing: not collected"),exact(Metadata!E187,"missing: not provided"),exact(Metadata!E187,"missing: restricted access"))),AND(IF(Metadata!E187="",FALSE,ISNUMBER(VALUE(Metadata!E187))),Metadata!E187&gt;0))</f>
        <v>0</v>
      </c>
      <c r="Z187">
        <f>AND(IF(Metadata!F187="",FALSE,TRUE),exact(Metadata!F187,"weeks"))</f>
        <v>0</v>
      </c>
      <c r="AA187">
        <f>AND(IF(Metadata!G187="",FALSE,TRUE),exact(Metadata!G187,"mouse"))</f>
        <v>0</v>
      </c>
      <c r="AB187">
        <f>AND(IF(Metadata!H187="",FALSE,TRUE),exact(Metadata!H187,"Mus musculus"))</f>
        <v>0</v>
      </c>
      <c r="AC187">
        <f>AND(IF(Metadata!I187="",FALSE,TRUE),exact(Metadata!I187,"10090"))</f>
        <v>0</v>
      </c>
      <c r="AD187">
        <f>OR(AND(IF(Metadata!J187="",FALSE,TRUE),OR(exact(Metadata!J187,"not applicable"),exact(Metadata!J187,"missing: not collected"),exact(Metadata!J187,"missing: not provided"),exact(Metadata!J187,"missing: restricted access"))),AND(IF(Metadata!J187="",FALSE,ISNUMBER(VALUE(Metadata!J187))),Metadata!J187&gt;0))</f>
        <v>0</v>
      </c>
      <c r="AE187">
        <f>AND(IF(Metadata!K187="",FALSE,TRUE),exact(Metadata!K187,"g"))</f>
        <v>0</v>
      </c>
    </row>
    <row r="188" spans="1:31">
      <c r="A188" s="5">
        <f>IF(B188=" "," ",HYPERLINK(CONCATENATE("#metadata!",ADDRESS(INDEX($Q$2:$Q$1001,MATCH(ROWS($O$2:O188),$O$2:$O$1001,0),0),1)),INDEX($T$2:$T$1001,MATCH(ROWS($O$2:O188),$O$2:$O$1001,0),0)))</f>
        <v>0</v>
      </c>
      <c r="B188" s="4">
        <f>IF(OR(INDEX($P$2:$P$1001,MATCH(ROWS($O$2:O188),$O$2:$O$1001,0),1)&gt;=100000,INDEX($V$1005:$AE$1005,1,MATCH(COLUMNS($V$1006:V1006),$V$1006:$AE$1006,0))&gt;=100000), " ",IF(INDEX($V$2:$AE$1001,MATCH(ROWS($O$2:O188),$O$2:$O$1001,0),MATCH(COLUMNS($V$1006:V1006),$V$1006:$AE$1006,0)), HYPERLINK("#",""), HYPERLINK(CONCATENATE("#Metadata!", ADDRESS(INDEX($Q$2:$Q$1001,MATCH(ROWS($O$2:O188),$O$2:$O$1001,0),0), INDEX($V$1004:$AE$1004,1,MATCH(COLUMNS($V$1006:V1006),$V$1006:$AE$1006,0)))),"Fix")))</f>
        <v>0</v>
      </c>
      <c r="C188" s="4">
        <f>IF(OR(INDEX($P$2:$P$1001,MATCH(ROWS($O$2:O188),$O$2:$O$1001,0),1)&gt;=100000,INDEX($V$1005:$AE$1005,1,MATCH(COLUMNS($V$1006:W1006),$V$1006:$AE$1006,0))&gt;=100000), " ",IF(INDEX($V$2:$AE$1001,MATCH(ROWS($O$2:O188),$O$2:$O$1001,0),MATCH(COLUMNS($V$1006:W1006),$V$1006:$AE$1006,0)), HYPERLINK("#",""), HYPERLINK(CONCATENATE("#Metadata!", ADDRESS(INDEX($Q$2:$Q$1001,MATCH(ROWS($O$2:O188),$O$2:$O$1001,0),0), INDEX($V$1004:$AE$1004,1,MATCH(COLUMNS($V$1006:W1006),$V$1006:$AE$1006,0)))),"Fix")))</f>
        <v>0</v>
      </c>
      <c r="D188" s="4">
        <f>IF(OR(INDEX($P$2:$P$1001,MATCH(ROWS($O$2:O188),$O$2:$O$1001,0),1)&gt;=100000,INDEX($V$1005:$AE$1005,1,MATCH(COLUMNS($V$1006:X1006),$V$1006:$AE$1006,0))&gt;=100000), " ",IF(INDEX($V$2:$AE$1001,MATCH(ROWS($O$2:O188),$O$2:$O$1001,0),MATCH(COLUMNS($V$1006:X1006),$V$1006:$AE$1006,0)), HYPERLINK("#",""), HYPERLINK(CONCATENATE("#Metadata!", ADDRESS(INDEX($Q$2:$Q$1001,MATCH(ROWS($O$2:O188),$O$2:$O$1001,0),0), INDEX($V$1004:$AE$1004,1,MATCH(COLUMNS($V$1006:X1006),$V$1006:$AE$1006,0)))),"Fix")))</f>
        <v>0</v>
      </c>
      <c r="E188" s="4">
        <f>IF(OR(INDEX($P$2:$P$1001,MATCH(ROWS($O$2:O188),$O$2:$O$1001,0),1)&gt;=100000,INDEX($V$1005:$AE$1005,1,MATCH(COLUMNS($V$1006:Y1006),$V$1006:$AE$1006,0))&gt;=100000), " ",IF(INDEX($V$2:$AE$1001,MATCH(ROWS($O$2:O188),$O$2:$O$1001,0),MATCH(COLUMNS($V$1006:Y1006),$V$1006:$AE$1006,0)), HYPERLINK("#",""), HYPERLINK(CONCATENATE("#Metadata!", ADDRESS(INDEX($Q$2:$Q$1001,MATCH(ROWS($O$2:O188),$O$2:$O$1001,0),0), INDEX($V$1004:$AE$1004,1,MATCH(COLUMNS($V$1006:Y1006),$V$1006:$AE$1006,0)))),"Fix")))</f>
        <v>0</v>
      </c>
      <c r="F188" s="4">
        <f>IF(OR(INDEX($P$2:$P$1001,MATCH(ROWS($O$2:O188),$O$2:$O$1001,0),1)&gt;=100000,INDEX($V$1005:$AE$1005,1,MATCH(COLUMNS($V$1006:Z1006),$V$1006:$AE$1006,0))&gt;=100000), " ",IF(INDEX($V$2:$AE$1001,MATCH(ROWS($O$2:O188),$O$2:$O$1001,0),MATCH(COLUMNS($V$1006:Z1006),$V$1006:$AE$1006,0)), HYPERLINK("#",""), HYPERLINK(CONCATENATE("#Metadata!", ADDRESS(INDEX($Q$2:$Q$1001,MATCH(ROWS($O$2:O188),$O$2:$O$1001,0),0), INDEX($V$1004:$AE$1004,1,MATCH(COLUMNS($V$1006:Z1006),$V$1006:$AE$1006,0)))),"Fix")))</f>
        <v>0</v>
      </c>
      <c r="G188" s="4">
        <f>IF(OR(INDEX($P$2:$P$1001,MATCH(ROWS($O$2:O188),$O$2:$O$1001,0),1)&gt;=100000,INDEX($V$1005:$AE$1005,1,MATCH(COLUMNS($V$1006:AA1006),$V$1006:$AE$1006,0))&gt;=100000), " ",IF(INDEX($V$2:$AE$1001,MATCH(ROWS($O$2:O188),$O$2:$O$1001,0),MATCH(COLUMNS($V$1006:AA1006),$V$1006:$AE$1006,0)), HYPERLINK("#",""), HYPERLINK(CONCATENATE("#Metadata!", ADDRESS(INDEX($Q$2:$Q$1001,MATCH(ROWS($O$2:O188),$O$2:$O$1001,0),0), INDEX($V$1004:$AE$1004,1,MATCH(COLUMNS($V$1006:AA1006),$V$1006:$AE$1006,0)))),"Fix")))</f>
        <v>0</v>
      </c>
      <c r="H188" s="4">
        <f>IF(OR(INDEX($P$2:$P$1001,MATCH(ROWS($O$2:O188),$O$2:$O$1001,0),1)&gt;=100000,INDEX($V$1005:$AE$1005,1,MATCH(COLUMNS($V$1006:AB1006),$V$1006:$AE$1006,0))&gt;=100000), " ",IF(INDEX($V$2:$AE$1001,MATCH(ROWS($O$2:O188),$O$2:$O$1001,0),MATCH(COLUMNS($V$1006:AB1006),$V$1006:$AE$1006,0)), HYPERLINK("#",""), HYPERLINK(CONCATENATE("#Metadata!", ADDRESS(INDEX($Q$2:$Q$1001,MATCH(ROWS($O$2:O188),$O$2:$O$1001,0),0), INDEX($V$1004:$AE$1004,1,MATCH(COLUMNS($V$1006:AB1006),$V$1006:$AE$1006,0)))),"Fix")))</f>
        <v>0</v>
      </c>
      <c r="I188" s="4">
        <f>IF(OR(INDEX($P$2:$P$1001,MATCH(ROWS($O$2:O188),$O$2:$O$1001,0),1)&gt;=100000,INDEX($V$1005:$AE$1005,1,MATCH(COLUMNS($V$1006:AC1006),$V$1006:$AE$1006,0))&gt;=100000), " ",IF(INDEX($V$2:$AE$1001,MATCH(ROWS($O$2:O188),$O$2:$O$1001,0),MATCH(COLUMNS($V$1006:AC1006),$V$1006:$AE$1006,0)), HYPERLINK("#",""), HYPERLINK(CONCATENATE("#Metadata!", ADDRESS(INDEX($Q$2:$Q$1001,MATCH(ROWS($O$2:O188),$O$2:$O$1001,0),0), INDEX($V$1004:$AE$1004,1,MATCH(COLUMNS($V$1006:AC1006),$V$1006:$AE$1006,0)))),"Fix")))</f>
        <v>0</v>
      </c>
      <c r="J188" s="4">
        <f>IF(OR(INDEX($P$2:$P$1001,MATCH(ROWS($O$2:O188),$O$2:$O$1001,0),1)&gt;=100000,INDEX($V$1005:$AE$1005,1,MATCH(COLUMNS($V$1006:AD1006),$V$1006:$AE$1006,0))&gt;=100000), " ",IF(INDEX($V$2:$AE$1001,MATCH(ROWS($O$2:O188),$O$2:$O$1001,0),MATCH(COLUMNS($V$1006:AD1006),$V$1006:$AE$1006,0)), HYPERLINK("#",""), HYPERLINK(CONCATENATE("#Metadata!", ADDRESS(INDEX($Q$2:$Q$1001,MATCH(ROWS($O$2:O188),$O$2:$O$1001,0),0), INDEX($V$1004:$AE$1004,1,MATCH(COLUMNS($V$1006:AD1006),$V$1006:$AE$1006,0)))),"Fix")))</f>
        <v>0</v>
      </c>
      <c r="K188" s="4">
        <f>IF(OR(INDEX($P$2:$P$1001,MATCH(ROWS($O$2:O188),$O$2:$O$1001,0),1)&gt;=100000,INDEX($V$1005:$AE$1005,1,MATCH(COLUMNS($V$1006:AE1006),$V$1006:$AE$1006,0))&gt;=100000), " ",IF(INDEX($V$2:$AE$1001,MATCH(ROWS($O$2:O188),$O$2:$O$1001,0),MATCH(COLUMNS($V$1006:AE1006),$V$1006:$AE$1006,0)), HYPERLINK("#",""), HYPERLINK(CONCATENATE("#Metadata!", ADDRESS(INDEX($Q$2:$Q$1001,MATCH(ROWS($O$2:O188),$O$2:$O$1001,0),0), INDEX($V$1004:$AE$1004,1,MATCH(COLUMNS($V$1006:AE1006),$V$1006:$AE$1006,0)))),"Fix")))</f>
        <v>0</v>
      </c>
      <c r="O188">
        <v>0</v>
      </c>
      <c r="P188">
        <v>0</v>
      </c>
      <c r="Q188">
        <v>0</v>
      </c>
      <c r="R188">
        <f>IF(S188,TRUE,AND(V188:AE188))</f>
        <v>0</v>
      </c>
      <c r="S188">
        <f>COUNTBLANK(Metadata!B188:K188)=COLUMNS(Metadata!B188:K188)</f>
        <v>0</v>
      </c>
      <c r="T188">
        <v>0</v>
      </c>
      <c r="V188">
        <f>AND(IF(Metadata!B188="",FALSE,TRUE),COUNTIF(Metadata!B:B, Metadata!B188) = 1,NOT(ISERROR(SUMPRODUCT(SEARCH(MID(Metadata!B188,ROW(INDIRECT("1:"&amp;LEN(Metadata!B188))), 1),"0123456789abcdefghijklmnopqrstuvwxyzABCDEFGHIJKLMNOPQRSTUVWXYZ.")))))</f>
        <v>0</v>
      </c>
      <c r="W188">
        <f>AND(IF(Metadata!C188="",FALSE,TRUE),exact(Metadata!C188,"urban biome"))</f>
        <v>0</v>
      </c>
      <c r="X188">
        <f>AND(IF(Metadata!D188="",FALSE,TRUE),exact(Metadata!D188,"animal-associated habitat"))</f>
        <v>0</v>
      </c>
      <c r="Y188">
        <f>OR(AND(IF(Metadata!E188="",FALSE,TRUE),OR(exact(Metadata!E188,"not applicable"),exact(Metadata!E188,"missing: not collected"),exact(Metadata!E188,"missing: not provided"),exact(Metadata!E188,"missing: restricted access"))),AND(IF(Metadata!E188="",FALSE,ISNUMBER(VALUE(Metadata!E188))),Metadata!E188&gt;0))</f>
        <v>0</v>
      </c>
      <c r="Z188">
        <f>AND(IF(Metadata!F188="",FALSE,TRUE),exact(Metadata!F188,"weeks"))</f>
        <v>0</v>
      </c>
      <c r="AA188">
        <f>AND(IF(Metadata!G188="",FALSE,TRUE),exact(Metadata!G188,"mouse"))</f>
        <v>0</v>
      </c>
      <c r="AB188">
        <f>AND(IF(Metadata!H188="",FALSE,TRUE),exact(Metadata!H188,"Mus musculus"))</f>
        <v>0</v>
      </c>
      <c r="AC188">
        <f>AND(IF(Metadata!I188="",FALSE,TRUE),exact(Metadata!I188,"10090"))</f>
        <v>0</v>
      </c>
      <c r="AD188">
        <f>OR(AND(IF(Metadata!J188="",FALSE,TRUE),OR(exact(Metadata!J188,"not applicable"),exact(Metadata!J188,"missing: not collected"),exact(Metadata!J188,"missing: not provided"),exact(Metadata!J188,"missing: restricted access"))),AND(IF(Metadata!J188="",FALSE,ISNUMBER(VALUE(Metadata!J188))),Metadata!J188&gt;0))</f>
        <v>0</v>
      </c>
      <c r="AE188">
        <f>AND(IF(Metadata!K188="",FALSE,TRUE),exact(Metadata!K188,"g"))</f>
        <v>0</v>
      </c>
    </row>
    <row r="189" spans="1:31">
      <c r="A189" s="5">
        <f>IF(B189=" "," ",HYPERLINK(CONCATENATE("#metadata!",ADDRESS(INDEX($Q$2:$Q$1001,MATCH(ROWS($O$2:O189),$O$2:$O$1001,0),0),1)),INDEX($T$2:$T$1001,MATCH(ROWS($O$2:O189),$O$2:$O$1001,0),0)))</f>
        <v>0</v>
      </c>
      <c r="B189" s="4">
        <f>IF(OR(INDEX($P$2:$P$1001,MATCH(ROWS($O$2:O189),$O$2:$O$1001,0),1)&gt;=100000,INDEX($V$1005:$AE$1005,1,MATCH(COLUMNS($V$1006:V1006),$V$1006:$AE$1006,0))&gt;=100000), " ",IF(INDEX($V$2:$AE$1001,MATCH(ROWS($O$2:O189),$O$2:$O$1001,0),MATCH(COLUMNS($V$1006:V1006),$V$1006:$AE$1006,0)), HYPERLINK("#",""), HYPERLINK(CONCATENATE("#Metadata!", ADDRESS(INDEX($Q$2:$Q$1001,MATCH(ROWS($O$2:O189),$O$2:$O$1001,0),0), INDEX($V$1004:$AE$1004,1,MATCH(COLUMNS($V$1006:V1006),$V$1006:$AE$1006,0)))),"Fix")))</f>
        <v>0</v>
      </c>
      <c r="C189" s="4">
        <f>IF(OR(INDEX($P$2:$P$1001,MATCH(ROWS($O$2:O189),$O$2:$O$1001,0),1)&gt;=100000,INDEX($V$1005:$AE$1005,1,MATCH(COLUMNS($V$1006:W1006),$V$1006:$AE$1006,0))&gt;=100000), " ",IF(INDEX($V$2:$AE$1001,MATCH(ROWS($O$2:O189),$O$2:$O$1001,0),MATCH(COLUMNS($V$1006:W1006),$V$1006:$AE$1006,0)), HYPERLINK("#",""), HYPERLINK(CONCATENATE("#Metadata!", ADDRESS(INDEX($Q$2:$Q$1001,MATCH(ROWS($O$2:O189),$O$2:$O$1001,0),0), INDEX($V$1004:$AE$1004,1,MATCH(COLUMNS($V$1006:W1006),$V$1006:$AE$1006,0)))),"Fix")))</f>
        <v>0</v>
      </c>
      <c r="D189" s="4">
        <f>IF(OR(INDEX($P$2:$P$1001,MATCH(ROWS($O$2:O189),$O$2:$O$1001,0),1)&gt;=100000,INDEX($V$1005:$AE$1005,1,MATCH(COLUMNS($V$1006:X1006),$V$1006:$AE$1006,0))&gt;=100000), " ",IF(INDEX($V$2:$AE$1001,MATCH(ROWS($O$2:O189),$O$2:$O$1001,0),MATCH(COLUMNS($V$1006:X1006),$V$1006:$AE$1006,0)), HYPERLINK("#",""), HYPERLINK(CONCATENATE("#Metadata!", ADDRESS(INDEX($Q$2:$Q$1001,MATCH(ROWS($O$2:O189),$O$2:$O$1001,0),0), INDEX($V$1004:$AE$1004,1,MATCH(COLUMNS($V$1006:X1006),$V$1006:$AE$1006,0)))),"Fix")))</f>
        <v>0</v>
      </c>
      <c r="E189" s="4">
        <f>IF(OR(INDEX($P$2:$P$1001,MATCH(ROWS($O$2:O189),$O$2:$O$1001,0),1)&gt;=100000,INDEX($V$1005:$AE$1005,1,MATCH(COLUMNS($V$1006:Y1006),$V$1006:$AE$1006,0))&gt;=100000), " ",IF(INDEX($V$2:$AE$1001,MATCH(ROWS($O$2:O189),$O$2:$O$1001,0),MATCH(COLUMNS($V$1006:Y1006),$V$1006:$AE$1006,0)), HYPERLINK("#",""), HYPERLINK(CONCATENATE("#Metadata!", ADDRESS(INDEX($Q$2:$Q$1001,MATCH(ROWS($O$2:O189),$O$2:$O$1001,0),0), INDEX($V$1004:$AE$1004,1,MATCH(COLUMNS($V$1006:Y1006),$V$1006:$AE$1006,0)))),"Fix")))</f>
        <v>0</v>
      </c>
      <c r="F189" s="4">
        <f>IF(OR(INDEX($P$2:$P$1001,MATCH(ROWS($O$2:O189),$O$2:$O$1001,0),1)&gt;=100000,INDEX($V$1005:$AE$1005,1,MATCH(COLUMNS($V$1006:Z1006),$V$1006:$AE$1006,0))&gt;=100000), " ",IF(INDEX($V$2:$AE$1001,MATCH(ROWS($O$2:O189),$O$2:$O$1001,0),MATCH(COLUMNS($V$1006:Z1006),$V$1006:$AE$1006,0)), HYPERLINK("#",""), HYPERLINK(CONCATENATE("#Metadata!", ADDRESS(INDEX($Q$2:$Q$1001,MATCH(ROWS($O$2:O189),$O$2:$O$1001,0),0), INDEX($V$1004:$AE$1004,1,MATCH(COLUMNS($V$1006:Z1006),$V$1006:$AE$1006,0)))),"Fix")))</f>
        <v>0</v>
      </c>
      <c r="G189" s="4">
        <f>IF(OR(INDEX($P$2:$P$1001,MATCH(ROWS($O$2:O189),$O$2:$O$1001,0),1)&gt;=100000,INDEX($V$1005:$AE$1005,1,MATCH(COLUMNS($V$1006:AA1006),$V$1006:$AE$1006,0))&gt;=100000), " ",IF(INDEX($V$2:$AE$1001,MATCH(ROWS($O$2:O189),$O$2:$O$1001,0),MATCH(COLUMNS($V$1006:AA1006),$V$1006:$AE$1006,0)), HYPERLINK("#",""), HYPERLINK(CONCATENATE("#Metadata!", ADDRESS(INDEX($Q$2:$Q$1001,MATCH(ROWS($O$2:O189),$O$2:$O$1001,0),0), INDEX($V$1004:$AE$1004,1,MATCH(COLUMNS($V$1006:AA1006),$V$1006:$AE$1006,0)))),"Fix")))</f>
        <v>0</v>
      </c>
      <c r="H189" s="4">
        <f>IF(OR(INDEX($P$2:$P$1001,MATCH(ROWS($O$2:O189),$O$2:$O$1001,0),1)&gt;=100000,INDEX($V$1005:$AE$1005,1,MATCH(COLUMNS($V$1006:AB1006),$V$1006:$AE$1006,0))&gt;=100000), " ",IF(INDEX($V$2:$AE$1001,MATCH(ROWS($O$2:O189),$O$2:$O$1001,0),MATCH(COLUMNS($V$1006:AB1006),$V$1006:$AE$1006,0)), HYPERLINK("#",""), HYPERLINK(CONCATENATE("#Metadata!", ADDRESS(INDEX($Q$2:$Q$1001,MATCH(ROWS($O$2:O189),$O$2:$O$1001,0),0), INDEX($V$1004:$AE$1004,1,MATCH(COLUMNS($V$1006:AB1006),$V$1006:$AE$1006,0)))),"Fix")))</f>
        <v>0</v>
      </c>
      <c r="I189" s="4">
        <f>IF(OR(INDEX($P$2:$P$1001,MATCH(ROWS($O$2:O189),$O$2:$O$1001,0),1)&gt;=100000,INDEX($V$1005:$AE$1005,1,MATCH(COLUMNS($V$1006:AC1006),$V$1006:$AE$1006,0))&gt;=100000), " ",IF(INDEX($V$2:$AE$1001,MATCH(ROWS($O$2:O189),$O$2:$O$1001,0),MATCH(COLUMNS($V$1006:AC1006),$V$1006:$AE$1006,0)), HYPERLINK("#",""), HYPERLINK(CONCATENATE("#Metadata!", ADDRESS(INDEX($Q$2:$Q$1001,MATCH(ROWS($O$2:O189),$O$2:$O$1001,0),0), INDEX($V$1004:$AE$1004,1,MATCH(COLUMNS($V$1006:AC1006),$V$1006:$AE$1006,0)))),"Fix")))</f>
        <v>0</v>
      </c>
      <c r="J189" s="4">
        <f>IF(OR(INDEX($P$2:$P$1001,MATCH(ROWS($O$2:O189),$O$2:$O$1001,0),1)&gt;=100000,INDEX($V$1005:$AE$1005,1,MATCH(COLUMNS($V$1006:AD1006),$V$1006:$AE$1006,0))&gt;=100000), " ",IF(INDEX($V$2:$AE$1001,MATCH(ROWS($O$2:O189),$O$2:$O$1001,0),MATCH(COLUMNS($V$1006:AD1006),$V$1006:$AE$1006,0)), HYPERLINK("#",""), HYPERLINK(CONCATENATE("#Metadata!", ADDRESS(INDEX($Q$2:$Q$1001,MATCH(ROWS($O$2:O189),$O$2:$O$1001,0),0), INDEX($V$1004:$AE$1004,1,MATCH(COLUMNS($V$1006:AD1006),$V$1006:$AE$1006,0)))),"Fix")))</f>
        <v>0</v>
      </c>
      <c r="K189" s="4">
        <f>IF(OR(INDEX($P$2:$P$1001,MATCH(ROWS($O$2:O189),$O$2:$O$1001,0),1)&gt;=100000,INDEX($V$1005:$AE$1005,1,MATCH(COLUMNS($V$1006:AE1006),$V$1006:$AE$1006,0))&gt;=100000), " ",IF(INDEX($V$2:$AE$1001,MATCH(ROWS($O$2:O189),$O$2:$O$1001,0),MATCH(COLUMNS($V$1006:AE1006),$V$1006:$AE$1006,0)), HYPERLINK("#",""), HYPERLINK(CONCATENATE("#Metadata!", ADDRESS(INDEX($Q$2:$Q$1001,MATCH(ROWS($O$2:O189),$O$2:$O$1001,0),0), INDEX($V$1004:$AE$1004,1,MATCH(COLUMNS($V$1006:AE1006),$V$1006:$AE$1006,0)))),"Fix")))</f>
        <v>0</v>
      </c>
      <c r="O189">
        <v>0</v>
      </c>
      <c r="P189">
        <v>0</v>
      </c>
      <c r="Q189">
        <v>0</v>
      </c>
      <c r="R189">
        <f>IF(S189,TRUE,AND(V189:AE189))</f>
        <v>0</v>
      </c>
      <c r="S189">
        <f>COUNTBLANK(Metadata!B189:K189)=COLUMNS(Metadata!B189:K189)</f>
        <v>0</v>
      </c>
      <c r="T189">
        <v>0</v>
      </c>
      <c r="V189">
        <f>AND(IF(Metadata!B189="",FALSE,TRUE),COUNTIF(Metadata!B:B, Metadata!B189) = 1,NOT(ISERROR(SUMPRODUCT(SEARCH(MID(Metadata!B189,ROW(INDIRECT("1:"&amp;LEN(Metadata!B189))), 1),"0123456789abcdefghijklmnopqrstuvwxyzABCDEFGHIJKLMNOPQRSTUVWXYZ.")))))</f>
        <v>0</v>
      </c>
      <c r="W189">
        <f>AND(IF(Metadata!C189="",FALSE,TRUE),exact(Metadata!C189,"urban biome"))</f>
        <v>0</v>
      </c>
      <c r="X189">
        <f>AND(IF(Metadata!D189="",FALSE,TRUE),exact(Metadata!D189,"animal-associated habitat"))</f>
        <v>0</v>
      </c>
      <c r="Y189">
        <f>OR(AND(IF(Metadata!E189="",FALSE,TRUE),OR(exact(Metadata!E189,"not applicable"),exact(Metadata!E189,"missing: not collected"),exact(Metadata!E189,"missing: not provided"),exact(Metadata!E189,"missing: restricted access"))),AND(IF(Metadata!E189="",FALSE,ISNUMBER(VALUE(Metadata!E189))),Metadata!E189&gt;0))</f>
        <v>0</v>
      </c>
      <c r="Z189">
        <f>AND(IF(Metadata!F189="",FALSE,TRUE),exact(Metadata!F189,"weeks"))</f>
        <v>0</v>
      </c>
      <c r="AA189">
        <f>AND(IF(Metadata!G189="",FALSE,TRUE),exact(Metadata!G189,"mouse"))</f>
        <v>0</v>
      </c>
      <c r="AB189">
        <f>AND(IF(Metadata!H189="",FALSE,TRUE),exact(Metadata!H189,"Mus musculus"))</f>
        <v>0</v>
      </c>
      <c r="AC189">
        <f>AND(IF(Metadata!I189="",FALSE,TRUE),exact(Metadata!I189,"10090"))</f>
        <v>0</v>
      </c>
      <c r="AD189">
        <f>OR(AND(IF(Metadata!J189="",FALSE,TRUE),OR(exact(Metadata!J189,"not applicable"),exact(Metadata!J189,"missing: not collected"),exact(Metadata!J189,"missing: not provided"),exact(Metadata!J189,"missing: restricted access"))),AND(IF(Metadata!J189="",FALSE,ISNUMBER(VALUE(Metadata!J189))),Metadata!J189&gt;0))</f>
        <v>0</v>
      </c>
      <c r="AE189">
        <f>AND(IF(Metadata!K189="",FALSE,TRUE),exact(Metadata!K189,"g"))</f>
        <v>0</v>
      </c>
    </row>
    <row r="190" spans="1:31">
      <c r="A190" s="5">
        <f>IF(B190=" "," ",HYPERLINK(CONCATENATE("#metadata!",ADDRESS(INDEX($Q$2:$Q$1001,MATCH(ROWS($O$2:O190),$O$2:$O$1001,0),0),1)),INDEX($T$2:$T$1001,MATCH(ROWS($O$2:O190),$O$2:$O$1001,0),0)))</f>
        <v>0</v>
      </c>
      <c r="B190" s="4">
        <f>IF(OR(INDEX($P$2:$P$1001,MATCH(ROWS($O$2:O190),$O$2:$O$1001,0),1)&gt;=100000,INDEX($V$1005:$AE$1005,1,MATCH(COLUMNS($V$1006:V1006),$V$1006:$AE$1006,0))&gt;=100000), " ",IF(INDEX($V$2:$AE$1001,MATCH(ROWS($O$2:O190),$O$2:$O$1001,0),MATCH(COLUMNS($V$1006:V1006),$V$1006:$AE$1006,0)), HYPERLINK("#",""), HYPERLINK(CONCATENATE("#Metadata!", ADDRESS(INDEX($Q$2:$Q$1001,MATCH(ROWS($O$2:O190),$O$2:$O$1001,0),0), INDEX($V$1004:$AE$1004,1,MATCH(COLUMNS($V$1006:V1006),$V$1006:$AE$1006,0)))),"Fix")))</f>
        <v>0</v>
      </c>
      <c r="C190" s="4">
        <f>IF(OR(INDEX($P$2:$P$1001,MATCH(ROWS($O$2:O190),$O$2:$O$1001,0),1)&gt;=100000,INDEX($V$1005:$AE$1005,1,MATCH(COLUMNS($V$1006:W1006),$V$1006:$AE$1006,0))&gt;=100000), " ",IF(INDEX($V$2:$AE$1001,MATCH(ROWS($O$2:O190),$O$2:$O$1001,0),MATCH(COLUMNS($V$1006:W1006),$V$1006:$AE$1006,0)), HYPERLINK("#",""), HYPERLINK(CONCATENATE("#Metadata!", ADDRESS(INDEX($Q$2:$Q$1001,MATCH(ROWS($O$2:O190),$O$2:$O$1001,0),0), INDEX($V$1004:$AE$1004,1,MATCH(COLUMNS($V$1006:W1006),$V$1006:$AE$1006,0)))),"Fix")))</f>
        <v>0</v>
      </c>
      <c r="D190" s="4">
        <f>IF(OR(INDEX($P$2:$P$1001,MATCH(ROWS($O$2:O190),$O$2:$O$1001,0),1)&gt;=100000,INDEX($V$1005:$AE$1005,1,MATCH(COLUMNS($V$1006:X1006),$V$1006:$AE$1006,0))&gt;=100000), " ",IF(INDEX($V$2:$AE$1001,MATCH(ROWS($O$2:O190),$O$2:$O$1001,0),MATCH(COLUMNS($V$1006:X1006),$V$1006:$AE$1006,0)), HYPERLINK("#",""), HYPERLINK(CONCATENATE("#Metadata!", ADDRESS(INDEX($Q$2:$Q$1001,MATCH(ROWS($O$2:O190),$O$2:$O$1001,0),0), INDEX($V$1004:$AE$1004,1,MATCH(COLUMNS($V$1006:X1006),$V$1006:$AE$1006,0)))),"Fix")))</f>
        <v>0</v>
      </c>
      <c r="E190" s="4">
        <f>IF(OR(INDEX($P$2:$P$1001,MATCH(ROWS($O$2:O190),$O$2:$O$1001,0),1)&gt;=100000,INDEX($V$1005:$AE$1005,1,MATCH(COLUMNS($V$1006:Y1006),$V$1006:$AE$1006,0))&gt;=100000), " ",IF(INDEX($V$2:$AE$1001,MATCH(ROWS($O$2:O190),$O$2:$O$1001,0),MATCH(COLUMNS($V$1006:Y1006),$V$1006:$AE$1006,0)), HYPERLINK("#",""), HYPERLINK(CONCATENATE("#Metadata!", ADDRESS(INDEX($Q$2:$Q$1001,MATCH(ROWS($O$2:O190),$O$2:$O$1001,0),0), INDEX($V$1004:$AE$1004,1,MATCH(COLUMNS($V$1006:Y1006),$V$1006:$AE$1006,0)))),"Fix")))</f>
        <v>0</v>
      </c>
      <c r="F190" s="4">
        <f>IF(OR(INDEX($P$2:$P$1001,MATCH(ROWS($O$2:O190),$O$2:$O$1001,0),1)&gt;=100000,INDEX($V$1005:$AE$1005,1,MATCH(COLUMNS($V$1006:Z1006),$V$1006:$AE$1006,0))&gt;=100000), " ",IF(INDEX($V$2:$AE$1001,MATCH(ROWS($O$2:O190),$O$2:$O$1001,0),MATCH(COLUMNS($V$1006:Z1006),$V$1006:$AE$1006,0)), HYPERLINK("#",""), HYPERLINK(CONCATENATE("#Metadata!", ADDRESS(INDEX($Q$2:$Q$1001,MATCH(ROWS($O$2:O190),$O$2:$O$1001,0),0), INDEX($V$1004:$AE$1004,1,MATCH(COLUMNS($V$1006:Z1006),$V$1006:$AE$1006,0)))),"Fix")))</f>
        <v>0</v>
      </c>
      <c r="G190" s="4">
        <f>IF(OR(INDEX($P$2:$P$1001,MATCH(ROWS($O$2:O190),$O$2:$O$1001,0),1)&gt;=100000,INDEX($V$1005:$AE$1005,1,MATCH(COLUMNS($V$1006:AA1006),$V$1006:$AE$1006,0))&gt;=100000), " ",IF(INDEX($V$2:$AE$1001,MATCH(ROWS($O$2:O190),$O$2:$O$1001,0),MATCH(COLUMNS($V$1006:AA1006),$V$1006:$AE$1006,0)), HYPERLINK("#",""), HYPERLINK(CONCATENATE("#Metadata!", ADDRESS(INDEX($Q$2:$Q$1001,MATCH(ROWS($O$2:O190),$O$2:$O$1001,0),0), INDEX($V$1004:$AE$1004,1,MATCH(COLUMNS($V$1006:AA1006),$V$1006:$AE$1006,0)))),"Fix")))</f>
        <v>0</v>
      </c>
      <c r="H190" s="4">
        <f>IF(OR(INDEX($P$2:$P$1001,MATCH(ROWS($O$2:O190),$O$2:$O$1001,0),1)&gt;=100000,INDEX($V$1005:$AE$1005,1,MATCH(COLUMNS($V$1006:AB1006),$V$1006:$AE$1006,0))&gt;=100000), " ",IF(INDEX($V$2:$AE$1001,MATCH(ROWS($O$2:O190),$O$2:$O$1001,0),MATCH(COLUMNS($V$1006:AB1006),$V$1006:$AE$1006,0)), HYPERLINK("#",""), HYPERLINK(CONCATENATE("#Metadata!", ADDRESS(INDEX($Q$2:$Q$1001,MATCH(ROWS($O$2:O190),$O$2:$O$1001,0),0), INDEX($V$1004:$AE$1004,1,MATCH(COLUMNS($V$1006:AB1006),$V$1006:$AE$1006,0)))),"Fix")))</f>
        <v>0</v>
      </c>
      <c r="I190" s="4">
        <f>IF(OR(INDEX($P$2:$P$1001,MATCH(ROWS($O$2:O190),$O$2:$O$1001,0),1)&gt;=100000,INDEX($V$1005:$AE$1005,1,MATCH(COLUMNS($V$1006:AC1006),$V$1006:$AE$1006,0))&gt;=100000), " ",IF(INDEX($V$2:$AE$1001,MATCH(ROWS($O$2:O190),$O$2:$O$1001,0),MATCH(COLUMNS($V$1006:AC1006),$V$1006:$AE$1006,0)), HYPERLINK("#",""), HYPERLINK(CONCATENATE("#Metadata!", ADDRESS(INDEX($Q$2:$Q$1001,MATCH(ROWS($O$2:O190),$O$2:$O$1001,0),0), INDEX($V$1004:$AE$1004,1,MATCH(COLUMNS($V$1006:AC1006),$V$1006:$AE$1006,0)))),"Fix")))</f>
        <v>0</v>
      </c>
      <c r="J190" s="4">
        <f>IF(OR(INDEX($P$2:$P$1001,MATCH(ROWS($O$2:O190),$O$2:$O$1001,0),1)&gt;=100000,INDEX($V$1005:$AE$1005,1,MATCH(COLUMNS($V$1006:AD1006),$V$1006:$AE$1006,0))&gt;=100000), " ",IF(INDEX($V$2:$AE$1001,MATCH(ROWS($O$2:O190),$O$2:$O$1001,0),MATCH(COLUMNS($V$1006:AD1006),$V$1006:$AE$1006,0)), HYPERLINK("#",""), HYPERLINK(CONCATENATE("#Metadata!", ADDRESS(INDEX($Q$2:$Q$1001,MATCH(ROWS($O$2:O190),$O$2:$O$1001,0),0), INDEX($V$1004:$AE$1004,1,MATCH(COLUMNS($V$1006:AD1006),$V$1006:$AE$1006,0)))),"Fix")))</f>
        <v>0</v>
      </c>
      <c r="K190" s="4">
        <f>IF(OR(INDEX($P$2:$P$1001,MATCH(ROWS($O$2:O190),$O$2:$O$1001,0),1)&gt;=100000,INDEX($V$1005:$AE$1005,1,MATCH(COLUMNS($V$1006:AE1006),$V$1006:$AE$1006,0))&gt;=100000), " ",IF(INDEX($V$2:$AE$1001,MATCH(ROWS($O$2:O190),$O$2:$O$1001,0),MATCH(COLUMNS($V$1006:AE1006),$V$1006:$AE$1006,0)), HYPERLINK("#",""), HYPERLINK(CONCATENATE("#Metadata!", ADDRESS(INDEX($Q$2:$Q$1001,MATCH(ROWS($O$2:O190),$O$2:$O$1001,0),0), INDEX($V$1004:$AE$1004,1,MATCH(COLUMNS($V$1006:AE1006),$V$1006:$AE$1006,0)))),"Fix")))</f>
        <v>0</v>
      </c>
      <c r="O190">
        <v>0</v>
      </c>
      <c r="P190">
        <v>0</v>
      </c>
      <c r="Q190">
        <v>0</v>
      </c>
      <c r="R190">
        <f>IF(S190,TRUE,AND(V190:AE190))</f>
        <v>0</v>
      </c>
      <c r="S190">
        <f>COUNTBLANK(Metadata!B190:K190)=COLUMNS(Metadata!B190:K190)</f>
        <v>0</v>
      </c>
      <c r="T190">
        <v>0</v>
      </c>
      <c r="V190">
        <f>AND(IF(Metadata!B190="",FALSE,TRUE),COUNTIF(Metadata!B:B, Metadata!B190) = 1,NOT(ISERROR(SUMPRODUCT(SEARCH(MID(Metadata!B190,ROW(INDIRECT("1:"&amp;LEN(Metadata!B190))), 1),"0123456789abcdefghijklmnopqrstuvwxyzABCDEFGHIJKLMNOPQRSTUVWXYZ.")))))</f>
        <v>0</v>
      </c>
      <c r="W190">
        <f>AND(IF(Metadata!C190="",FALSE,TRUE),exact(Metadata!C190,"urban biome"))</f>
        <v>0</v>
      </c>
      <c r="X190">
        <f>AND(IF(Metadata!D190="",FALSE,TRUE),exact(Metadata!D190,"animal-associated habitat"))</f>
        <v>0</v>
      </c>
      <c r="Y190">
        <f>OR(AND(IF(Metadata!E190="",FALSE,TRUE),OR(exact(Metadata!E190,"not applicable"),exact(Metadata!E190,"missing: not collected"),exact(Metadata!E190,"missing: not provided"),exact(Metadata!E190,"missing: restricted access"))),AND(IF(Metadata!E190="",FALSE,ISNUMBER(VALUE(Metadata!E190))),Metadata!E190&gt;0))</f>
        <v>0</v>
      </c>
      <c r="Z190">
        <f>AND(IF(Metadata!F190="",FALSE,TRUE),exact(Metadata!F190,"weeks"))</f>
        <v>0</v>
      </c>
      <c r="AA190">
        <f>AND(IF(Metadata!G190="",FALSE,TRUE),exact(Metadata!G190,"mouse"))</f>
        <v>0</v>
      </c>
      <c r="AB190">
        <f>AND(IF(Metadata!H190="",FALSE,TRUE),exact(Metadata!H190,"Mus musculus"))</f>
        <v>0</v>
      </c>
      <c r="AC190">
        <f>AND(IF(Metadata!I190="",FALSE,TRUE),exact(Metadata!I190,"10090"))</f>
        <v>0</v>
      </c>
      <c r="AD190">
        <f>OR(AND(IF(Metadata!J190="",FALSE,TRUE),OR(exact(Metadata!J190,"not applicable"),exact(Metadata!J190,"missing: not collected"),exact(Metadata!J190,"missing: not provided"),exact(Metadata!J190,"missing: restricted access"))),AND(IF(Metadata!J190="",FALSE,ISNUMBER(VALUE(Metadata!J190))),Metadata!J190&gt;0))</f>
        <v>0</v>
      </c>
      <c r="AE190">
        <f>AND(IF(Metadata!K190="",FALSE,TRUE),exact(Metadata!K190,"g"))</f>
        <v>0</v>
      </c>
    </row>
    <row r="191" spans="1:31">
      <c r="A191" s="5">
        <f>IF(B191=" "," ",HYPERLINK(CONCATENATE("#metadata!",ADDRESS(INDEX($Q$2:$Q$1001,MATCH(ROWS($O$2:O191),$O$2:$O$1001,0),0),1)),INDEX($T$2:$T$1001,MATCH(ROWS($O$2:O191),$O$2:$O$1001,0),0)))</f>
        <v>0</v>
      </c>
      <c r="B191" s="4">
        <f>IF(OR(INDEX($P$2:$P$1001,MATCH(ROWS($O$2:O191),$O$2:$O$1001,0),1)&gt;=100000,INDEX($V$1005:$AE$1005,1,MATCH(COLUMNS($V$1006:V1006),$V$1006:$AE$1006,0))&gt;=100000), " ",IF(INDEX($V$2:$AE$1001,MATCH(ROWS($O$2:O191),$O$2:$O$1001,0),MATCH(COLUMNS($V$1006:V1006),$V$1006:$AE$1006,0)), HYPERLINK("#",""), HYPERLINK(CONCATENATE("#Metadata!", ADDRESS(INDEX($Q$2:$Q$1001,MATCH(ROWS($O$2:O191),$O$2:$O$1001,0),0), INDEX($V$1004:$AE$1004,1,MATCH(COLUMNS($V$1006:V1006),$V$1006:$AE$1006,0)))),"Fix")))</f>
        <v>0</v>
      </c>
      <c r="C191" s="4">
        <f>IF(OR(INDEX($P$2:$P$1001,MATCH(ROWS($O$2:O191),$O$2:$O$1001,0),1)&gt;=100000,INDEX($V$1005:$AE$1005,1,MATCH(COLUMNS($V$1006:W1006),$V$1006:$AE$1006,0))&gt;=100000), " ",IF(INDEX($V$2:$AE$1001,MATCH(ROWS($O$2:O191),$O$2:$O$1001,0),MATCH(COLUMNS($V$1006:W1006),$V$1006:$AE$1006,0)), HYPERLINK("#",""), HYPERLINK(CONCATENATE("#Metadata!", ADDRESS(INDEX($Q$2:$Q$1001,MATCH(ROWS($O$2:O191),$O$2:$O$1001,0),0), INDEX($V$1004:$AE$1004,1,MATCH(COLUMNS($V$1006:W1006),$V$1006:$AE$1006,0)))),"Fix")))</f>
        <v>0</v>
      </c>
      <c r="D191" s="4">
        <f>IF(OR(INDEX($P$2:$P$1001,MATCH(ROWS($O$2:O191),$O$2:$O$1001,0),1)&gt;=100000,INDEX($V$1005:$AE$1005,1,MATCH(COLUMNS($V$1006:X1006),$V$1006:$AE$1006,0))&gt;=100000), " ",IF(INDEX($V$2:$AE$1001,MATCH(ROWS($O$2:O191),$O$2:$O$1001,0),MATCH(COLUMNS($V$1006:X1006),$V$1006:$AE$1006,0)), HYPERLINK("#",""), HYPERLINK(CONCATENATE("#Metadata!", ADDRESS(INDEX($Q$2:$Q$1001,MATCH(ROWS($O$2:O191),$O$2:$O$1001,0),0), INDEX($V$1004:$AE$1004,1,MATCH(COLUMNS($V$1006:X1006),$V$1006:$AE$1006,0)))),"Fix")))</f>
        <v>0</v>
      </c>
      <c r="E191" s="4">
        <f>IF(OR(INDEX($P$2:$P$1001,MATCH(ROWS($O$2:O191),$O$2:$O$1001,0),1)&gt;=100000,INDEX($V$1005:$AE$1005,1,MATCH(COLUMNS($V$1006:Y1006),$V$1006:$AE$1006,0))&gt;=100000), " ",IF(INDEX($V$2:$AE$1001,MATCH(ROWS($O$2:O191),$O$2:$O$1001,0),MATCH(COLUMNS($V$1006:Y1006),$V$1006:$AE$1006,0)), HYPERLINK("#",""), HYPERLINK(CONCATENATE("#Metadata!", ADDRESS(INDEX($Q$2:$Q$1001,MATCH(ROWS($O$2:O191),$O$2:$O$1001,0),0), INDEX($V$1004:$AE$1004,1,MATCH(COLUMNS($V$1006:Y1006),$V$1006:$AE$1006,0)))),"Fix")))</f>
        <v>0</v>
      </c>
      <c r="F191" s="4">
        <f>IF(OR(INDEX($P$2:$P$1001,MATCH(ROWS($O$2:O191),$O$2:$O$1001,0),1)&gt;=100000,INDEX($V$1005:$AE$1005,1,MATCH(COLUMNS($V$1006:Z1006),$V$1006:$AE$1006,0))&gt;=100000), " ",IF(INDEX($V$2:$AE$1001,MATCH(ROWS($O$2:O191),$O$2:$O$1001,0),MATCH(COLUMNS($V$1006:Z1006),$V$1006:$AE$1006,0)), HYPERLINK("#",""), HYPERLINK(CONCATENATE("#Metadata!", ADDRESS(INDEX($Q$2:$Q$1001,MATCH(ROWS($O$2:O191),$O$2:$O$1001,0),0), INDEX($V$1004:$AE$1004,1,MATCH(COLUMNS($V$1006:Z1006),$V$1006:$AE$1006,0)))),"Fix")))</f>
        <v>0</v>
      </c>
      <c r="G191" s="4">
        <f>IF(OR(INDEX($P$2:$P$1001,MATCH(ROWS($O$2:O191),$O$2:$O$1001,0),1)&gt;=100000,INDEX($V$1005:$AE$1005,1,MATCH(COLUMNS($V$1006:AA1006),$V$1006:$AE$1006,0))&gt;=100000), " ",IF(INDEX($V$2:$AE$1001,MATCH(ROWS($O$2:O191),$O$2:$O$1001,0),MATCH(COLUMNS($V$1006:AA1006),$V$1006:$AE$1006,0)), HYPERLINK("#",""), HYPERLINK(CONCATENATE("#Metadata!", ADDRESS(INDEX($Q$2:$Q$1001,MATCH(ROWS($O$2:O191),$O$2:$O$1001,0),0), INDEX($V$1004:$AE$1004,1,MATCH(COLUMNS($V$1006:AA1006),$V$1006:$AE$1006,0)))),"Fix")))</f>
        <v>0</v>
      </c>
      <c r="H191" s="4">
        <f>IF(OR(INDEX($P$2:$P$1001,MATCH(ROWS($O$2:O191),$O$2:$O$1001,0),1)&gt;=100000,INDEX($V$1005:$AE$1005,1,MATCH(COLUMNS($V$1006:AB1006),$V$1006:$AE$1006,0))&gt;=100000), " ",IF(INDEX($V$2:$AE$1001,MATCH(ROWS($O$2:O191),$O$2:$O$1001,0),MATCH(COLUMNS($V$1006:AB1006),$V$1006:$AE$1006,0)), HYPERLINK("#",""), HYPERLINK(CONCATENATE("#Metadata!", ADDRESS(INDEX($Q$2:$Q$1001,MATCH(ROWS($O$2:O191),$O$2:$O$1001,0),0), INDEX($V$1004:$AE$1004,1,MATCH(COLUMNS($V$1006:AB1006),$V$1006:$AE$1006,0)))),"Fix")))</f>
        <v>0</v>
      </c>
      <c r="I191" s="4">
        <f>IF(OR(INDEX($P$2:$P$1001,MATCH(ROWS($O$2:O191),$O$2:$O$1001,0),1)&gt;=100000,INDEX($V$1005:$AE$1005,1,MATCH(COLUMNS($V$1006:AC1006),$V$1006:$AE$1006,0))&gt;=100000), " ",IF(INDEX($V$2:$AE$1001,MATCH(ROWS($O$2:O191),$O$2:$O$1001,0),MATCH(COLUMNS($V$1006:AC1006),$V$1006:$AE$1006,0)), HYPERLINK("#",""), HYPERLINK(CONCATENATE("#Metadata!", ADDRESS(INDEX($Q$2:$Q$1001,MATCH(ROWS($O$2:O191),$O$2:$O$1001,0),0), INDEX($V$1004:$AE$1004,1,MATCH(COLUMNS($V$1006:AC1006),$V$1006:$AE$1006,0)))),"Fix")))</f>
        <v>0</v>
      </c>
      <c r="J191" s="4">
        <f>IF(OR(INDEX($P$2:$P$1001,MATCH(ROWS($O$2:O191),$O$2:$O$1001,0),1)&gt;=100000,INDEX($V$1005:$AE$1005,1,MATCH(COLUMNS($V$1006:AD1006),$V$1006:$AE$1006,0))&gt;=100000), " ",IF(INDEX($V$2:$AE$1001,MATCH(ROWS($O$2:O191),$O$2:$O$1001,0),MATCH(COLUMNS($V$1006:AD1006),$V$1006:$AE$1006,0)), HYPERLINK("#",""), HYPERLINK(CONCATENATE("#Metadata!", ADDRESS(INDEX($Q$2:$Q$1001,MATCH(ROWS($O$2:O191),$O$2:$O$1001,0),0), INDEX($V$1004:$AE$1004,1,MATCH(COLUMNS($V$1006:AD1006),$V$1006:$AE$1006,0)))),"Fix")))</f>
        <v>0</v>
      </c>
      <c r="K191" s="4">
        <f>IF(OR(INDEX($P$2:$P$1001,MATCH(ROWS($O$2:O191),$O$2:$O$1001,0),1)&gt;=100000,INDEX($V$1005:$AE$1005,1,MATCH(COLUMNS($V$1006:AE1006),$V$1006:$AE$1006,0))&gt;=100000), " ",IF(INDEX($V$2:$AE$1001,MATCH(ROWS($O$2:O191),$O$2:$O$1001,0),MATCH(COLUMNS($V$1006:AE1006),$V$1006:$AE$1006,0)), HYPERLINK("#",""), HYPERLINK(CONCATENATE("#Metadata!", ADDRESS(INDEX($Q$2:$Q$1001,MATCH(ROWS($O$2:O191),$O$2:$O$1001,0),0), INDEX($V$1004:$AE$1004,1,MATCH(COLUMNS($V$1006:AE1006),$V$1006:$AE$1006,0)))),"Fix")))</f>
        <v>0</v>
      </c>
      <c r="O191">
        <v>0</v>
      </c>
      <c r="P191">
        <v>0</v>
      </c>
      <c r="Q191">
        <v>0</v>
      </c>
      <c r="R191">
        <f>IF(S191,TRUE,AND(V191:AE191))</f>
        <v>0</v>
      </c>
      <c r="S191">
        <f>COUNTBLANK(Metadata!B191:K191)=COLUMNS(Metadata!B191:K191)</f>
        <v>0</v>
      </c>
      <c r="T191">
        <v>0</v>
      </c>
      <c r="V191">
        <f>AND(IF(Metadata!B191="",FALSE,TRUE),COUNTIF(Metadata!B:B, Metadata!B191) = 1,NOT(ISERROR(SUMPRODUCT(SEARCH(MID(Metadata!B191,ROW(INDIRECT("1:"&amp;LEN(Metadata!B191))), 1),"0123456789abcdefghijklmnopqrstuvwxyzABCDEFGHIJKLMNOPQRSTUVWXYZ.")))))</f>
        <v>0</v>
      </c>
      <c r="W191">
        <f>AND(IF(Metadata!C191="",FALSE,TRUE),exact(Metadata!C191,"urban biome"))</f>
        <v>0</v>
      </c>
      <c r="X191">
        <f>AND(IF(Metadata!D191="",FALSE,TRUE),exact(Metadata!D191,"animal-associated habitat"))</f>
        <v>0</v>
      </c>
      <c r="Y191">
        <f>OR(AND(IF(Metadata!E191="",FALSE,TRUE),OR(exact(Metadata!E191,"not applicable"),exact(Metadata!E191,"missing: not collected"),exact(Metadata!E191,"missing: not provided"),exact(Metadata!E191,"missing: restricted access"))),AND(IF(Metadata!E191="",FALSE,ISNUMBER(VALUE(Metadata!E191))),Metadata!E191&gt;0))</f>
        <v>0</v>
      </c>
      <c r="Z191">
        <f>AND(IF(Metadata!F191="",FALSE,TRUE),exact(Metadata!F191,"weeks"))</f>
        <v>0</v>
      </c>
      <c r="AA191">
        <f>AND(IF(Metadata!G191="",FALSE,TRUE),exact(Metadata!G191,"mouse"))</f>
        <v>0</v>
      </c>
      <c r="AB191">
        <f>AND(IF(Metadata!H191="",FALSE,TRUE),exact(Metadata!H191,"Mus musculus"))</f>
        <v>0</v>
      </c>
      <c r="AC191">
        <f>AND(IF(Metadata!I191="",FALSE,TRUE),exact(Metadata!I191,"10090"))</f>
        <v>0</v>
      </c>
      <c r="AD191">
        <f>OR(AND(IF(Metadata!J191="",FALSE,TRUE),OR(exact(Metadata!J191,"not applicable"),exact(Metadata!J191,"missing: not collected"),exact(Metadata!J191,"missing: not provided"),exact(Metadata!J191,"missing: restricted access"))),AND(IF(Metadata!J191="",FALSE,ISNUMBER(VALUE(Metadata!J191))),Metadata!J191&gt;0))</f>
        <v>0</v>
      </c>
      <c r="AE191">
        <f>AND(IF(Metadata!K191="",FALSE,TRUE),exact(Metadata!K191,"g"))</f>
        <v>0</v>
      </c>
    </row>
    <row r="192" spans="1:31">
      <c r="A192" s="5">
        <f>IF(B192=" "," ",HYPERLINK(CONCATENATE("#metadata!",ADDRESS(INDEX($Q$2:$Q$1001,MATCH(ROWS($O$2:O192),$O$2:$O$1001,0),0),1)),INDEX($T$2:$T$1001,MATCH(ROWS($O$2:O192),$O$2:$O$1001,0),0)))</f>
        <v>0</v>
      </c>
      <c r="B192" s="4">
        <f>IF(OR(INDEX($P$2:$P$1001,MATCH(ROWS($O$2:O192),$O$2:$O$1001,0),1)&gt;=100000,INDEX($V$1005:$AE$1005,1,MATCH(COLUMNS($V$1006:V1006),$V$1006:$AE$1006,0))&gt;=100000), " ",IF(INDEX($V$2:$AE$1001,MATCH(ROWS($O$2:O192),$O$2:$O$1001,0),MATCH(COLUMNS($V$1006:V1006),$V$1006:$AE$1006,0)), HYPERLINK("#",""), HYPERLINK(CONCATENATE("#Metadata!", ADDRESS(INDEX($Q$2:$Q$1001,MATCH(ROWS($O$2:O192),$O$2:$O$1001,0),0), INDEX($V$1004:$AE$1004,1,MATCH(COLUMNS($V$1006:V1006),$V$1006:$AE$1006,0)))),"Fix")))</f>
        <v>0</v>
      </c>
      <c r="C192" s="4">
        <f>IF(OR(INDEX($P$2:$P$1001,MATCH(ROWS($O$2:O192),$O$2:$O$1001,0),1)&gt;=100000,INDEX($V$1005:$AE$1005,1,MATCH(COLUMNS($V$1006:W1006),$V$1006:$AE$1006,0))&gt;=100000), " ",IF(INDEX($V$2:$AE$1001,MATCH(ROWS($O$2:O192),$O$2:$O$1001,0),MATCH(COLUMNS($V$1006:W1006),$V$1006:$AE$1006,0)), HYPERLINK("#",""), HYPERLINK(CONCATENATE("#Metadata!", ADDRESS(INDEX($Q$2:$Q$1001,MATCH(ROWS($O$2:O192),$O$2:$O$1001,0),0), INDEX($V$1004:$AE$1004,1,MATCH(COLUMNS($V$1006:W1006),$V$1006:$AE$1006,0)))),"Fix")))</f>
        <v>0</v>
      </c>
      <c r="D192" s="4">
        <f>IF(OR(INDEX($P$2:$P$1001,MATCH(ROWS($O$2:O192),$O$2:$O$1001,0),1)&gt;=100000,INDEX($V$1005:$AE$1005,1,MATCH(COLUMNS($V$1006:X1006),$V$1006:$AE$1006,0))&gt;=100000), " ",IF(INDEX($V$2:$AE$1001,MATCH(ROWS($O$2:O192),$O$2:$O$1001,0),MATCH(COLUMNS($V$1006:X1006),$V$1006:$AE$1006,0)), HYPERLINK("#",""), HYPERLINK(CONCATENATE("#Metadata!", ADDRESS(INDEX($Q$2:$Q$1001,MATCH(ROWS($O$2:O192),$O$2:$O$1001,0),0), INDEX($V$1004:$AE$1004,1,MATCH(COLUMNS($V$1006:X1006),$V$1006:$AE$1006,0)))),"Fix")))</f>
        <v>0</v>
      </c>
      <c r="E192" s="4">
        <f>IF(OR(INDEX($P$2:$P$1001,MATCH(ROWS($O$2:O192),$O$2:$O$1001,0),1)&gt;=100000,INDEX($V$1005:$AE$1005,1,MATCH(COLUMNS($V$1006:Y1006),$V$1006:$AE$1006,0))&gt;=100000), " ",IF(INDEX($V$2:$AE$1001,MATCH(ROWS($O$2:O192),$O$2:$O$1001,0),MATCH(COLUMNS($V$1006:Y1006),$V$1006:$AE$1006,0)), HYPERLINK("#",""), HYPERLINK(CONCATENATE("#Metadata!", ADDRESS(INDEX($Q$2:$Q$1001,MATCH(ROWS($O$2:O192),$O$2:$O$1001,0),0), INDEX($V$1004:$AE$1004,1,MATCH(COLUMNS($V$1006:Y1006),$V$1006:$AE$1006,0)))),"Fix")))</f>
        <v>0</v>
      </c>
      <c r="F192" s="4">
        <f>IF(OR(INDEX($P$2:$P$1001,MATCH(ROWS($O$2:O192),$O$2:$O$1001,0),1)&gt;=100000,INDEX($V$1005:$AE$1005,1,MATCH(COLUMNS($V$1006:Z1006),$V$1006:$AE$1006,0))&gt;=100000), " ",IF(INDEX($V$2:$AE$1001,MATCH(ROWS($O$2:O192),$O$2:$O$1001,0),MATCH(COLUMNS($V$1006:Z1006),$V$1006:$AE$1006,0)), HYPERLINK("#",""), HYPERLINK(CONCATENATE("#Metadata!", ADDRESS(INDEX($Q$2:$Q$1001,MATCH(ROWS($O$2:O192),$O$2:$O$1001,0),0), INDEX($V$1004:$AE$1004,1,MATCH(COLUMNS($V$1006:Z1006),$V$1006:$AE$1006,0)))),"Fix")))</f>
        <v>0</v>
      </c>
      <c r="G192" s="4">
        <f>IF(OR(INDEX($P$2:$P$1001,MATCH(ROWS($O$2:O192),$O$2:$O$1001,0),1)&gt;=100000,INDEX($V$1005:$AE$1005,1,MATCH(COLUMNS($V$1006:AA1006),$V$1006:$AE$1006,0))&gt;=100000), " ",IF(INDEX($V$2:$AE$1001,MATCH(ROWS($O$2:O192),$O$2:$O$1001,0),MATCH(COLUMNS($V$1006:AA1006),$V$1006:$AE$1006,0)), HYPERLINK("#",""), HYPERLINK(CONCATENATE("#Metadata!", ADDRESS(INDEX($Q$2:$Q$1001,MATCH(ROWS($O$2:O192),$O$2:$O$1001,0),0), INDEX($V$1004:$AE$1004,1,MATCH(COLUMNS($V$1006:AA1006),$V$1006:$AE$1006,0)))),"Fix")))</f>
        <v>0</v>
      </c>
      <c r="H192" s="4">
        <f>IF(OR(INDEX($P$2:$P$1001,MATCH(ROWS($O$2:O192),$O$2:$O$1001,0),1)&gt;=100000,INDEX($V$1005:$AE$1005,1,MATCH(COLUMNS($V$1006:AB1006),$V$1006:$AE$1006,0))&gt;=100000), " ",IF(INDEX($V$2:$AE$1001,MATCH(ROWS($O$2:O192),$O$2:$O$1001,0),MATCH(COLUMNS($V$1006:AB1006),$V$1006:$AE$1006,0)), HYPERLINK("#",""), HYPERLINK(CONCATENATE("#Metadata!", ADDRESS(INDEX($Q$2:$Q$1001,MATCH(ROWS($O$2:O192),$O$2:$O$1001,0),0), INDEX($V$1004:$AE$1004,1,MATCH(COLUMNS($V$1006:AB1006),$V$1006:$AE$1006,0)))),"Fix")))</f>
        <v>0</v>
      </c>
      <c r="I192" s="4">
        <f>IF(OR(INDEX($P$2:$P$1001,MATCH(ROWS($O$2:O192),$O$2:$O$1001,0),1)&gt;=100000,INDEX($V$1005:$AE$1005,1,MATCH(COLUMNS($V$1006:AC1006),$V$1006:$AE$1006,0))&gt;=100000), " ",IF(INDEX($V$2:$AE$1001,MATCH(ROWS($O$2:O192),$O$2:$O$1001,0),MATCH(COLUMNS($V$1006:AC1006),$V$1006:$AE$1006,0)), HYPERLINK("#",""), HYPERLINK(CONCATENATE("#Metadata!", ADDRESS(INDEX($Q$2:$Q$1001,MATCH(ROWS($O$2:O192),$O$2:$O$1001,0),0), INDEX($V$1004:$AE$1004,1,MATCH(COLUMNS($V$1006:AC1006),$V$1006:$AE$1006,0)))),"Fix")))</f>
        <v>0</v>
      </c>
      <c r="J192" s="4">
        <f>IF(OR(INDEX($P$2:$P$1001,MATCH(ROWS($O$2:O192),$O$2:$O$1001,0),1)&gt;=100000,INDEX($V$1005:$AE$1005,1,MATCH(COLUMNS($V$1006:AD1006),$V$1006:$AE$1006,0))&gt;=100000), " ",IF(INDEX($V$2:$AE$1001,MATCH(ROWS($O$2:O192),$O$2:$O$1001,0),MATCH(COLUMNS($V$1006:AD1006),$V$1006:$AE$1006,0)), HYPERLINK("#",""), HYPERLINK(CONCATENATE("#Metadata!", ADDRESS(INDEX($Q$2:$Q$1001,MATCH(ROWS($O$2:O192),$O$2:$O$1001,0),0), INDEX($V$1004:$AE$1004,1,MATCH(COLUMNS($V$1006:AD1006),$V$1006:$AE$1006,0)))),"Fix")))</f>
        <v>0</v>
      </c>
      <c r="K192" s="4">
        <f>IF(OR(INDEX($P$2:$P$1001,MATCH(ROWS($O$2:O192),$O$2:$O$1001,0),1)&gt;=100000,INDEX($V$1005:$AE$1005,1,MATCH(COLUMNS($V$1006:AE1006),$V$1006:$AE$1006,0))&gt;=100000), " ",IF(INDEX($V$2:$AE$1001,MATCH(ROWS($O$2:O192),$O$2:$O$1001,0),MATCH(COLUMNS($V$1006:AE1006),$V$1006:$AE$1006,0)), HYPERLINK("#",""), HYPERLINK(CONCATENATE("#Metadata!", ADDRESS(INDEX($Q$2:$Q$1001,MATCH(ROWS($O$2:O192),$O$2:$O$1001,0),0), INDEX($V$1004:$AE$1004,1,MATCH(COLUMNS($V$1006:AE1006),$V$1006:$AE$1006,0)))),"Fix")))</f>
        <v>0</v>
      </c>
      <c r="O192">
        <v>0</v>
      </c>
      <c r="P192">
        <v>0</v>
      </c>
      <c r="Q192">
        <v>0</v>
      </c>
      <c r="R192">
        <f>IF(S192,TRUE,AND(V192:AE192))</f>
        <v>0</v>
      </c>
      <c r="S192">
        <f>COUNTBLANK(Metadata!B192:K192)=COLUMNS(Metadata!B192:K192)</f>
        <v>0</v>
      </c>
      <c r="T192">
        <v>0</v>
      </c>
      <c r="V192">
        <f>AND(IF(Metadata!B192="",FALSE,TRUE),COUNTIF(Metadata!B:B, Metadata!B192) = 1,NOT(ISERROR(SUMPRODUCT(SEARCH(MID(Metadata!B192,ROW(INDIRECT("1:"&amp;LEN(Metadata!B192))), 1),"0123456789abcdefghijklmnopqrstuvwxyzABCDEFGHIJKLMNOPQRSTUVWXYZ.")))))</f>
        <v>0</v>
      </c>
      <c r="W192">
        <f>AND(IF(Metadata!C192="",FALSE,TRUE),exact(Metadata!C192,"urban biome"))</f>
        <v>0</v>
      </c>
      <c r="X192">
        <f>AND(IF(Metadata!D192="",FALSE,TRUE),exact(Metadata!D192,"animal-associated habitat"))</f>
        <v>0</v>
      </c>
      <c r="Y192">
        <f>OR(AND(IF(Metadata!E192="",FALSE,TRUE),OR(exact(Metadata!E192,"not applicable"),exact(Metadata!E192,"missing: not collected"),exact(Metadata!E192,"missing: not provided"),exact(Metadata!E192,"missing: restricted access"))),AND(IF(Metadata!E192="",FALSE,ISNUMBER(VALUE(Metadata!E192))),Metadata!E192&gt;0))</f>
        <v>0</v>
      </c>
      <c r="Z192">
        <f>AND(IF(Metadata!F192="",FALSE,TRUE),exact(Metadata!F192,"weeks"))</f>
        <v>0</v>
      </c>
      <c r="AA192">
        <f>AND(IF(Metadata!G192="",FALSE,TRUE),exact(Metadata!G192,"mouse"))</f>
        <v>0</v>
      </c>
      <c r="AB192">
        <f>AND(IF(Metadata!H192="",FALSE,TRUE),exact(Metadata!H192,"Mus musculus"))</f>
        <v>0</v>
      </c>
      <c r="AC192">
        <f>AND(IF(Metadata!I192="",FALSE,TRUE),exact(Metadata!I192,"10090"))</f>
        <v>0</v>
      </c>
      <c r="AD192">
        <f>OR(AND(IF(Metadata!J192="",FALSE,TRUE),OR(exact(Metadata!J192,"not applicable"),exact(Metadata!J192,"missing: not collected"),exact(Metadata!J192,"missing: not provided"),exact(Metadata!J192,"missing: restricted access"))),AND(IF(Metadata!J192="",FALSE,ISNUMBER(VALUE(Metadata!J192))),Metadata!J192&gt;0))</f>
        <v>0</v>
      </c>
      <c r="AE192">
        <f>AND(IF(Metadata!K192="",FALSE,TRUE),exact(Metadata!K192,"g"))</f>
        <v>0</v>
      </c>
    </row>
    <row r="193" spans="1:31">
      <c r="A193" s="5">
        <f>IF(B193=" "," ",HYPERLINK(CONCATENATE("#metadata!",ADDRESS(INDEX($Q$2:$Q$1001,MATCH(ROWS($O$2:O193),$O$2:$O$1001,0),0),1)),INDEX($T$2:$T$1001,MATCH(ROWS($O$2:O193),$O$2:$O$1001,0),0)))</f>
        <v>0</v>
      </c>
      <c r="B193" s="4">
        <f>IF(OR(INDEX($P$2:$P$1001,MATCH(ROWS($O$2:O193),$O$2:$O$1001,0),1)&gt;=100000,INDEX($V$1005:$AE$1005,1,MATCH(COLUMNS($V$1006:V1006),$V$1006:$AE$1006,0))&gt;=100000), " ",IF(INDEX($V$2:$AE$1001,MATCH(ROWS($O$2:O193),$O$2:$O$1001,0),MATCH(COLUMNS($V$1006:V1006),$V$1006:$AE$1006,0)), HYPERLINK("#",""), HYPERLINK(CONCATENATE("#Metadata!", ADDRESS(INDEX($Q$2:$Q$1001,MATCH(ROWS($O$2:O193),$O$2:$O$1001,0),0), INDEX($V$1004:$AE$1004,1,MATCH(COLUMNS($V$1006:V1006),$V$1006:$AE$1006,0)))),"Fix")))</f>
        <v>0</v>
      </c>
      <c r="C193" s="4">
        <f>IF(OR(INDEX($P$2:$P$1001,MATCH(ROWS($O$2:O193),$O$2:$O$1001,0),1)&gt;=100000,INDEX($V$1005:$AE$1005,1,MATCH(COLUMNS($V$1006:W1006),$V$1006:$AE$1006,0))&gt;=100000), " ",IF(INDEX($V$2:$AE$1001,MATCH(ROWS($O$2:O193),$O$2:$O$1001,0),MATCH(COLUMNS($V$1006:W1006),$V$1006:$AE$1006,0)), HYPERLINK("#",""), HYPERLINK(CONCATENATE("#Metadata!", ADDRESS(INDEX($Q$2:$Q$1001,MATCH(ROWS($O$2:O193),$O$2:$O$1001,0),0), INDEX($V$1004:$AE$1004,1,MATCH(COLUMNS($V$1006:W1006),$V$1006:$AE$1006,0)))),"Fix")))</f>
        <v>0</v>
      </c>
      <c r="D193" s="4">
        <f>IF(OR(INDEX($P$2:$P$1001,MATCH(ROWS($O$2:O193),$O$2:$O$1001,0),1)&gt;=100000,INDEX($V$1005:$AE$1005,1,MATCH(COLUMNS($V$1006:X1006),$V$1006:$AE$1006,0))&gt;=100000), " ",IF(INDEX($V$2:$AE$1001,MATCH(ROWS($O$2:O193),$O$2:$O$1001,0),MATCH(COLUMNS($V$1006:X1006),$V$1006:$AE$1006,0)), HYPERLINK("#",""), HYPERLINK(CONCATENATE("#Metadata!", ADDRESS(INDEX($Q$2:$Q$1001,MATCH(ROWS($O$2:O193),$O$2:$O$1001,0),0), INDEX($V$1004:$AE$1004,1,MATCH(COLUMNS($V$1006:X1006),$V$1006:$AE$1006,0)))),"Fix")))</f>
        <v>0</v>
      </c>
      <c r="E193" s="4">
        <f>IF(OR(INDEX($P$2:$P$1001,MATCH(ROWS($O$2:O193),$O$2:$O$1001,0),1)&gt;=100000,INDEX($V$1005:$AE$1005,1,MATCH(COLUMNS($V$1006:Y1006),$V$1006:$AE$1006,0))&gt;=100000), " ",IF(INDEX($V$2:$AE$1001,MATCH(ROWS($O$2:O193),$O$2:$O$1001,0),MATCH(COLUMNS($V$1006:Y1006),$V$1006:$AE$1006,0)), HYPERLINK("#",""), HYPERLINK(CONCATENATE("#Metadata!", ADDRESS(INDEX($Q$2:$Q$1001,MATCH(ROWS($O$2:O193),$O$2:$O$1001,0),0), INDEX($V$1004:$AE$1004,1,MATCH(COLUMNS($V$1006:Y1006),$V$1006:$AE$1006,0)))),"Fix")))</f>
        <v>0</v>
      </c>
      <c r="F193" s="4">
        <f>IF(OR(INDEX($P$2:$P$1001,MATCH(ROWS($O$2:O193),$O$2:$O$1001,0),1)&gt;=100000,INDEX($V$1005:$AE$1005,1,MATCH(COLUMNS($V$1006:Z1006),$V$1006:$AE$1006,0))&gt;=100000), " ",IF(INDEX($V$2:$AE$1001,MATCH(ROWS($O$2:O193),$O$2:$O$1001,0),MATCH(COLUMNS($V$1006:Z1006),$V$1006:$AE$1006,0)), HYPERLINK("#",""), HYPERLINK(CONCATENATE("#Metadata!", ADDRESS(INDEX($Q$2:$Q$1001,MATCH(ROWS($O$2:O193),$O$2:$O$1001,0),0), INDEX($V$1004:$AE$1004,1,MATCH(COLUMNS($V$1006:Z1006),$V$1006:$AE$1006,0)))),"Fix")))</f>
        <v>0</v>
      </c>
      <c r="G193" s="4">
        <f>IF(OR(INDEX($P$2:$P$1001,MATCH(ROWS($O$2:O193),$O$2:$O$1001,0),1)&gt;=100000,INDEX($V$1005:$AE$1005,1,MATCH(COLUMNS($V$1006:AA1006),$V$1006:$AE$1006,0))&gt;=100000), " ",IF(INDEX($V$2:$AE$1001,MATCH(ROWS($O$2:O193),$O$2:$O$1001,0),MATCH(COLUMNS($V$1006:AA1006),$V$1006:$AE$1006,0)), HYPERLINK("#",""), HYPERLINK(CONCATENATE("#Metadata!", ADDRESS(INDEX($Q$2:$Q$1001,MATCH(ROWS($O$2:O193),$O$2:$O$1001,0),0), INDEX($V$1004:$AE$1004,1,MATCH(COLUMNS($V$1006:AA1006),$V$1006:$AE$1006,0)))),"Fix")))</f>
        <v>0</v>
      </c>
      <c r="H193" s="4">
        <f>IF(OR(INDEX($P$2:$P$1001,MATCH(ROWS($O$2:O193),$O$2:$O$1001,0),1)&gt;=100000,INDEX($V$1005:$AE$1005,1,MATCH(COLUMNS($V$1006:AB1006),$V$1006:$AE$1006,0))&gt;=100000), " ",IF(INDEX($V$2:$AE$1001,MATCH(ROWS($O$2:O193),$O$2:$O$1001,0),MATCH(COLUMNS($V$1006:AB1006),$V$1006:$AE$1006,0)), HYPERLINK("#",""), HYPERLINK(CONCATENATE("#Metadata!", ADDRESS(INDEX($Q$2:$Q$1001,MATCH(ROWS($O$2:O193),$O$2:$O$1001,0),0), INDEX($V$1004:$AE$1004,1,MATCH(COLUMNS($V$1006:AB1006),$V$1006:$AE$1006,0)))),"Fix")))</f>
        <v>0</v>
      </c>
      <c r="I193" s="4">
        <f>IF(OR(INDEX($P$2:$P$1001,MATCH(ROWS($O$2:O193),$O$2:$O$1001,0),1)&gt;=100000,INDEX($V$1005:$AE$1005,1,MATCH(COLUMNS($V$1006:AC1006),$V$1006:$AE$1006,0))&gt;=100000), " ",IF(INDEX($V$2:$AE$1001,MATCH(ROWS($O$2:O193),$O$2:$O$1001,0),MATCH(COLUMNS($V$1006:AC1006),$V$1006:$AE$1006,0)), HYPERLINK("#",""), HYPERLINK(CONCATENATE("#Metadata!", ADDRESS(INDEX($Q$2:$Q$1001,MATCH(ROWS($O$2:O193),$O$2:$O$1001,0),0), INDEX($V$1004:$AE$1004,1,MATCH(COLUMNS($V$1006:AC1006),$V$1006:$AE$1006,0)))),"Fix")))</f>
        <v>0</v>
      </c>
      <c r="J193" s="4">
        <f>IF(OR(INDEX($P$2:$P$1001,MATCH(ROWS($O$2:O193),$O$2:$O$1001,0),1)&gt;=100000,INDEX($V$1005:$AE$1005,1,MATCH(COLUMNS($V$1006:AD1006),$V$1006:$AE$1006,0))&gt;=100000), " ",IF(INDEX($V$2:$AE$1001,MATCH(ROWS($O$2:O193),$O$2:$O$1001,0),MATCH(COLUMNS($V$1006:AD1006),$V$1006:$AE$1006,0)), HYPERLINK("#",""), HYPERLINK(CONCATENATE("#Metadata!", ADDRESS(INDEX($Q$2:$Q$1001,MATCH(ROWS($O$2:O193),$O$2:$O$1001,0),0), INDEX($V$1004:$AE$1004,1,MATCH(COLUMNS($V$1006:AD1006),$V$1006:$AE$1006,0)))),"Fix")))</f>
        <v>0</v>
      </c>
      <c r="K193" s="4">
        <f>IF(OR(INDEX($P$2:$P$1001,MATCH(ROWS($O$2:O193),$O$2:$O$1001,0),1)&gt;=100000,INDEX($V$1005:$AE$1005,1,MATCH(COLUMNS($V$1006:AE1006),$V$1006:$AE$1006,0))&gt;=100000), " ",IF(INDEX($V$2:$AE$1001,MATCH(ROWS($O$2:O193),$O$2:$O$1001,0),MATCH(COLUMNS($V$1006:AE1006),$V$1006:$AE$1006,0)), HYPERLINK("#",""), HYPERLINK(CONCATENATE("#Metadata!", ADDRESS(INDEX($Q$2:$Q$1001,MATCH(ROWS($O$2:O193),$O$2:$O$1001,0),0), INDEX($V$1004:$AE$1004,1,MATCH(COLUMNS($V$1006:AE1006),$V$1006:$AE$1006,0)))),"Fix")))</f>
        <v>0</v>
      </c>
      <c r="O193">
        <v>0</v>
      </c>
      <c r="P193">
        <v>0</v>
      </c>
      <c r="Q193">
        <v>0</v>
      </c>
      <c r="R193">
        <f>IF(S193,TRUE,AND(V193:AE193))</f>
        <v>0</v>
      </c>
      <c r="S193">
        <f>COUNTBLANK(Metadata!B193:K193)=COLUMNS(Metadata!B193:K193)</f>
        <v>0</v>
      </c>
      <c r="T193">
        <v>0</v>
      </c>
      <c r="V193">
        <f>AND(IF(Metadata!B193="",FALSE,TRUE),COUNTIF(Metadata!B:B, Metadata!B193) = 1,NOT(ISERROR(SUMPRODUCT(SEARCH(MID(Metadata!B193,ROW(INDIRECT("1:"&amp;LEN(Metadata!B193))), 1),"0123456789abcdefghijklmnopqrstuvwxyzABCDEFGHIJKLMNOPQRSTUVWXYZ.")))))</f>
        <v>0</v>
      </c>
      <c r="W193">
        <f>AND(IF(Metadata!C193="",FALSE,TRUE),exact(Metadata!C193,"urban biome"))</f>
        <v>0</v>
      </c>
      <c r="X193">
        <f>AND(IF(Metadata!D193="",FALSE,TRUE),exact(Metadata!D193,"animal-associated habitat"))</f>
        <v>0</v>
      </c>
      <c r="Y193">
        <f>OR(AND(IF(Metadata!E193="",FALSE,TRUE),OR(exact(Metadata!E193,"not applicable"),exact(Metadata!E193,"missing: not collected"),exact(Metadata!E193,"missing: not provided"),exact(Metadata!E193,"missing: restricted access"))),AND(IF(Metadata!E193="",FALSE,ISNUMBER(VALUE(Metadata!E193))),Metadata!E193&gt;0))</f>
        <v>0</v>
      </c>
      <c r="Z193">
        <f>AND(IF(Metadata!F193="",FALSE,TRUE),exact(Metadata!F193,"weeks"))</f>
        <v>0</v>
      </c>
      <c r="AA193">
        <f>AND(IF(Metadata!G193="",FALSE,TRUE),exact(Metadata!G193,"mouse"))</f>
        <v>0</v>
      </c>
      <c r="AB193">
        <f>AND(IF(Metadata!H193="",FALSE,TRUE),exact(Metadata!H193,"Mus musculus"))</f>
        <v>0</v>
      </c>
      <c r="AC193">
        <f>AND(IF(Metadata!I193="",FALSE,TRUE),exact(Metadata!I193,"10090"))</f>
        <v>0</v>
      </c>
      <c r="AD193">
        <f>OR(AND(IF(Metadata!J193="",FALSE,TRUE),OR(exact(Metadata!J193,"not applicable"),exact(Metadata!J193,"missing: not collected"),exact(Metadata!J193,"missing: not provided"),exact(Metadata!J193,"missing: restricted access"))),AND(IF(Metadata!J193="",FALSE,ISNUMBER(VALUE(Metadata!J193))),Metadata!J193&gt;0))</f>
        <v>0</v>
      </c>
      <c r="AE193">
        <f>AND(IF(Metadata!K193="",FALSE,TRUE),exact(Metadata!K193,"g"))</f>
        <v>0</v>
      </c>
    </row>
    <row r="194" spans="1:31">
      <c r="A194" s="5">
        <f>IF(B194=" "," ",HYPERLINK(CONCATENATE("#metadata!",ADDRESS(INDEX($Q$2:$Q$1001,MATCH(ROWS($O$2:O194),$O$2:$O$1001,0),0),1)),INDEX($T$2:$T$1001,MATCH(ROWS($O$2:O194),$O$2:$O$1001,0),0)))</f>
        <v>0</v>
      </c>
      <c r="B194" s="4">
        <f>IF(OR(INDEX($P$2:$P$1001,MATCH(ROWS($O$2:O194),$O$2:$O$1001,0),1)&gt;=100000,INDEX($V$1005:$AE$1005,1,MATCH(COLUMNS($V$1006:V1006),$V$1006:$AE$1006,0))&gt;=100000), " ",IF(INDEX($V$2:$AE$1001,MATCH(ROWS($O$2:O194),$O$2:$O$1001,0),MATCH(COLUMNS($V$1006:V1006),$V$1006:$AE$1006,0)), HYPERLINK("#",""), HYPERLINK(CONCATENATE("#Metadata!", ADDRESS(INDEX($Q$2:$Q$1001,MATCH(ROWS($O$2:O194),$O$2:$O$1001,0),0), INDEX($V$1004:$AE$1004,1,MATCH(COLUMNS($V$1006:V1006),$V$1006:$AE$1006,0)))),"Fix")))</f>
        <v>0</v>
      </c>
      <c r="C194" s="4">
        <f>IF(OR(INDEX($P$2:$P$1001,MATCH(ROWS($O$2:O194),$O$2:$O$1001,0),1)&gt;=100000,INDEX($V$1005:$AE$1005,1,MATCH(COLUMNS($V$1006:W1006),$V$1006:$AE$1006,0))&gt;=100000), " ",IF(INDEX($V$2:$AE$1001,MATCH(ROWS($O$2:O194),$O$2:$O$1001,0),MATCH(COLUMNS($V$1006:W1006),$V$1006:$AE$1006,0)), HYPERLINK("#",""), HYPERLINK(CONCATENATE("#Metadata!", ADDRESS(INDEX($Q$2:$Q$1001,MATCH(ROWS($O$2:O194),$O$2:$O$1001,0),0), INDEX($V$1004:$AE$1004,1,MATCH(COLUMNS($V$1006:W1006),$V$1006:$AE$1006,0)))),"Fix")))</f>
        <v>0</v>
      </c>
      <c r="D194" s="4">
        <f>IF(OR(INDEX($P$2:$P$1001,MATCH(ROWS($O$2:O194),$O$2:$O$1001,0),1)&gt;=100000,INDEX($V$1005:$AE$1005,1,MATCH(COLUMNS($V$1006:X1006),$V$1006:$AE$1006,0))&gt;=100000), " ",IF(INDEX($V$2:$AE$1001,MATCH(ROWS($O$2:O194),$O$2:$O$1001,0),MATCH(COLUMNS($V$1006:X1006),$V$1006:$AE$1006,0)), HYPERLINK("#",""), HYPERLINK(CONCATENATE("#Metadata!", ADDRESS(INDEX($Q$2:$Q$1001,MATCH(ROWS($O$2:O194),$O$2:$O$1001,0),0), INDEX($V$1004:$AE$1004,1,MATCH(COLUMNS($V$1006:X1006),$V$1006:$AE$1006,0)))),"Fix")))</f>
        <v>0</v>
      </c>
      <c r="E194" s="4">
        <f>IF(OR(INDEX($P$2:$P$1001,MATCH(ROWS($O$2:O194),$O$2:$O$1001,0),1)&gt;=100000,INDEX($V$1005:$AE$1005,1,MATCH(COLUMNS($V$1006:Y1006),$V$1006:$AE$1006,0))&gt;=100000), " ",IF(INDEX($V$2:$AE$1001,MATCH(ROWS($O$2:O194),$O$2:$O$1001,0),MATCH(COLUMNS($V$1006:Y1006),$V$1006:$AE$1006,0)), HYPERLINK("#",""), HYPERLINK(CONCATENATE("#Metadata!", ADDRESS(INDEX($Q$2:$Q$1001,MATCH(ROWS($O$2:O194),$O$2:$O$1001,0),0), INDEX($V$1004:$AE$1004,1,MATCH(COLUMNS($V$1006:Y1006),$V$1006:$AE$1006,0)))),"Fix")))</f>
        <v>0</v>
      </c>
      <c r="F194" s="4">
        <f>IF(OR(INDEX($P$2:$P$1001,MATCH(ROWS($O$2:O194),$O$2:$O$1001,0),1)&gt;=100000,INDEX($V$1005:$AE$1005,1,MATCH(COLUMNS($V$1006:Z1006),$V$1006:$AE$1006,0))&gt;=100000), " ",IF(INDEX($V$2:$AE$1001,MATCH(ROWS($O$2:O194),$O$2:$O$1001,0),MATCH(COLUMNS($V$1006:Z1006),$V$1006:$AE$1006,0)), HYPERLINK("#",""), HYPERLINK(CONCATENATE("#Metadata!", ADDRESS(INDEX($Q$2:$Q$1001,MATCH(ROWS($O$2:O194),$O$2:$O$1001,0),0), INDEX($V$1004:$AE$1004,1,MATCH(COLUMNS($V$1006:Z1006),$V$1006:$AE$1006,0)))),"Fix")))</f>
        <v>0</v>
      </c>
      <c r="G194" s="4">
        <f>IF(OR(INDEX($P$2:$P$1001,MATCH(ROWS($O$2:O194),$O$2:$O$1001,0),1)&gt;=100000,INDEX($V$1005:$AE$1005,1,MATCH(COLUMNS($V$1006:AA1006),$V$1006:$AE$1006,0))&gt;=100000), " ",IF(INDEX($V$2:$AE$1001,MATCH(ROWS($O$2:O194),$O$2:$O$1001,0),MATCH(COLUMNS($V$1006:AA1006),$V$1006:$AE$1006,0)), HYPERLINK("#",""), HYPERLINK(CONCATENATE("#Metadata!", ADDRESS(INDEX($Q$2:$Q$1001,MATCH(ROWS($O$2:O194),$O$2:$O$1001,0),0), INDEX($V$1004:$AE$1004,1,MATCH(COLUMNS($V$1006:AA1006),$V$1006:$AE$1006,0)))),"Fix")))</f>
        <v>0</v>
      </c>
      <c r="H194" s="4">
        <f>IF(OR(INDEX($P$2:$P$1001,MATCH(ROWS($O$2:O194),$O$2:$O$1001,0),1)&gt;=100000,INDEX($V$1005:$AE$1005,1,MATCH(COLUMNS($V$1006:AB1006),$V$1006:$AE$1006,0))&gt;=100000), " ",IF(INDEX($V$2:$AE$1001,MATCH(ROWS($O$2:O194),$O$2:$O$1001,0),MATCH(COLUMNS($V$1006:AB1006),$V$1006:$AE$1006,0)), HYPERLINK("#",""), HYPERLINK(CONCATENATE("#Metadata!", ADDRESS(INDEX($Q$2:$Q$1001,MATCH(ROWS($O$2:O194),$O$2:$O$1001,0),0), INDEX($V$1004:$AE$1004,1,MATCH(COLUMNS($V$1006:AB1006),$V$1006:$AE$1006,0)))),"Fix")))</f>
        <v>0</v>
      </c>
      <c r="I194" s="4">
        <f>IF(OR(INDEX($P$2:$P$1001,MATCH(ROWS($O$2:O194),$O$2:$O$1001,0),1)&gt;=100000,INDEX($V$1005:$AE$1005,1,MATCH(COLUMNS($V$1006:AC1006),$V$1006:$AE$1006,0))&gt;=100000), " ",IF(INDEX($V$2:$AE$1001,MATCH(ROWS($O$2:O194),$O$2:$O$1001,0),MATCH(COLUMNS($V$1006:AC1006),$V$1006:$AE$1006,0)), HYPERLINK("#",""), HYPERLINK(CONCATENATE("#Metadata!", ADDRESS(INDEX($Q$2:$Q$1001,MATCH(ROWS($O$2:O194),$O$2:$O$1001,0),0), INDEX($V$1004:$AE$1004,1,MATCH(COLUMNS($V$1006:AC1006),$V$1006:$AE$1006,0)))),"Fix")))</f>
        <v>0</v>
      </c>
      <c r="J194" s="4">
        <f>IF(OR(INDEX($P$2:$P$1001,MATCH(ROWS($O$2:O194),$O$2:$O$1001,0),1)&gt;=100000,INDEX($V$1005:$AE$1005,1,MATCH(COLUMNS($V$1006:AD1006),$V$1006:$AE$1006,0))&gt;=100000), " ",IF(INDEX($V$2:$AE$1001,MATCH(ROWS($O$2:O194),$O$2:$O$1001,0),MATCH(COLUMNS($V$1006:AD1006),$V$1006:$AE$1006,0)), HYPERLINK("#",""), HYPERLINK(CONCATENATE("#Metadata!", ADDRESS(INDEX($Q$2:$Q$1001,MATCH(ROWS($O$2:O194),$O$2:$O$1001,0),0), INDEX($V$1004:$AE$1004,1,MATCH(COLUMNS($V$1006:AD1006),$V$1006:$AE$1006,0)))),"Fix")))</f>
        <v>0</v>
      </c>
      <c r="K194" s="4">
        <f>IF(OR(INDEX($P$2:$P$1001,MATCH(ROWS($O$2:O194),$O$2:$O$1001,0),1)&gt;=100000,INDEX($V$1005:$AE$1005,1,MATCH(COLUMNS($V$1006:AE1006),$V$1006:$AE$1006,0))&gt;=100000), " ",IF(INDEX($V$2:$AE$1001,MATCH(ROWS($O$2:O194),$O$2:$O$1001,0),MATCH(COLUMNS($V$1006:AE1006),$V$1006:$AE$1006,0)), HYPERLINK("#",""), HYPERLINK(CONCATENATE("#Metadata!", ADDRESS(INDEX($Q$2:$Q$1001,MATCH(ROWS($O$2:O194),$O$2:$O$1001,0),0), INDEX($V$1004:$AE$1004,1,MATCH(COLUMNS($V$1006:AE1006),$V$1006:$AE$1006,0)))),"Fix")))</f>
        <v>0</v>
      </c>
      <c r="O194">
        <v>0</v>
      </c>
      <c r="P194">
        <v>0</v>
      </c>
      <c r="Q194">
        <v>0</v>
      </c>
      <c r="R194">
        <f>IF(S194,TRUE,AND(V194:AE194))</f>
        <v>0</v>
      </c>
      <c r="S194">
        <f>COUNTBLANK(Metadata!B194:K194)=COLUMNS(Metadata!B194:K194)</f>
        <v>0</v>
      </c>
      <c r="T194">
        <v>0</v>
      </c>
      <c r="V194">
        <f>AND(IF(Metadata!B194="",FALSE,TRUE),COUNTIF(Metadata!B:B, Metadata!B194) = 1,NOT(ISERROR(SUMPRODUCT(SEARCH(MID(Metadata!B194,ROW(INDIRECT("1:"&amp;LEN(Metadata!B194))), 1),"0123456789abcdefghijklmnopqrstuvwxyzABCDEFGHIJKLMNOPQRSTUVWXYZ.")))))</f>
        <v>0</v>
      </c>
      <c r="W194">
        <f>AND(IF(Metadata!C194="",FALSE,TRUE),exact(Metadata!C194,"urban biome"))</f>
        <v>0</v>
      </c>
      <c r="X194">
        <f>AND(IF(Metadata!D194="",FALSE,TRUE),exact(Metadata!D194,"animal-associated habitat"))</f>
        <v>0</v>
      </c>
      <c r="Y194">
        <f>OR(AND(IF(Metadata!E194="",FALSE,TRUE),OR(exact(Metadata!E194,"not applicable"),exact(Metadata!E194,"missing: not collected"),exact(Metadata!E194,"missing: not provided"),exact(Metadata!E194,"missing: restricted access"))),AND(IF(Metadata!E194="",FALSE,ISNUMBER(VALUE(Metadata!E194))),Metadata!E194&gt;0))</f>
        <v>0</v>
      </c>
      <c r="Z194">
        <f>AND(IF(Metadata!F194="",FALSE,TRUE),exact(Metadata!F194,"weeks"))</f>
        <v>0</v>
      </c>
      <c r="AA194">
        <f>AND(IF(Metadata!G194="",FALSE,TRUE),exact(Metadata!G194,"mouse"))</f>
        <v>0</v>
      </c>
      <c r="AB194">
        <f>AND(IF(Metadata!H194="",FALSE,TRUE),exact(Metadata!H194,"Mus musculus"))</f>
        <v>0</v>
      </c>
      <c r="AC194">
        <f>AND(IF(Metadata!I194="",FALSE,TRUE),exact(Metadata!I194,"10090"))</f>
        <v>0</v>
      </c>
      <c r="AD194">
        <f>OR(AND(IF(Metadata!J194="",FALSE,TRUE),OR(exact(Metadata!J194,"not applicable"),exact(Metadata!J194,"missing: not collected"),exact(Metadata!J194,"missing: not provided"),exact(Metadata!J194,"missing: restricted access"))),AND(IF(Metadata!J194="",FALSE,ISNUMBER(VALUE(Metadata!J194))),Metadata!J194&gt;0))</f>
        <v>0</v>
      </c>
      <c r="AE194">
        <f>AND(IF(Metadata!K194="",FALSE,TRUE),exact(Metadata!K194,"g"))</f>
        <v>0</v>
      </c>
    </row>
    <row r="195" spans="1:31">
      <c r="A195" s="5">
        <f>IF(B195=" "," ",HYPERLINK(CONCATENATE("#metadata!",ADDRESS(INDEX($Q$2:$Q$1001,MATCH(ROWS($O$2:O195),$O$2:$O$1001,0),0),1)),INDEX($T$2:$T$1001,MATCH(ROWS($O$2:O195),$O$2:$O$1001,0),0)))</f>
        <v>0</v>
      </c>
      <c r="B195" s="4">
        <f>IF(OR(INDEX($P$2:$P$1001,MATCH(ROWS($O$2:O195),$O$2:$O$1001,0),1)&gt;=100000,INDEX($V$1005:$AE$1005,1,MATCH(COLUMNS($V$1006:V1006),$V$1006:$AE$1006,0))&gt;=100000), " ",IF(INDEX($V$2:$AE$1001,MATCH(ROWS($O$2:O195),$O$2:$O$1001,0),MATCH(COLUMNS($V$1006:V1006),$V$1006:$AE$1006,0)), HYPERLINK("#",""), HYPERLINK(CONCATENATE("#Metadata!", ADDRESS(INDEX($Q$2:$Q$1001,MATCH(ROWS($O$2:O195),$O$2:$O$1001,0),0), INDEX($V$1004:$AE$1004,1,MATCH(COLUMNS($V$1006:V1006),$V$1006:$AE$1006,0)))),"Fix")))</f>
        <v>0</v>
      </c>
      <c r="C195" s="4">
        <f>IF(OR(INDEX($P$2:$P$1001,MATCH(ROWS($O$2:O195),$O$2:$O$1001,0),1)&gt;=100000,INDEX($V$1005:$AE$1005,1,MATCH(COLUMNS($V$1006:W1006),$V$1006:$AE$1006,0))&gt;=100000), " ",IF(INDEX($V$2:$AE$1001,MATCH(ROWS($O$2:O195),$O$2:$O$1001,0),MATCH(COLUMNS($V$1006:W1006),$V$1006:$AE$1006,0)), HYPERLINK("#",""), HYPERLINK(CONCATENATE("#Metadata!", ADDRESS(INDEX($Q$2:$Q$1001,MATCH(ROWS($O$2:O195),$O$2:$O$1001,0),0), INDEX($V$1004:$AE$1004,1,MATCH(COLUMNS($V$1006:W1006),$V$1006:$AE$1006,0)))),"Fix")))</f>
        <v>0</v>
      </c>
      <c r="D195" s="4">
        <f>IF(OR(INDEX($P$2:$P$1001,MATCH(ROWS($O$2:O195),$O$2:$O$1001,0),1)&gt;=100000,INDEX($V$1005:$AE$1005,1,MATCH(COLUMNS($V$1006:X1006),$V$1006:$AE$1006,0))&gt;=100000), " ",IF(INDEX($V$2:$AE$1001,MATCH(ROWS($O$2:O195),$O$2:$O$1001,0),MATCH(COLUMNS($V$1006:X1006),$V$1006:$AE$1006,0)), HYPERLINK("#",""), HYPERLINK(CONCATENATE("#Metadata!", ADDRESS(INDEX($Q$2:$Q$1001,MATCH(ROWS($O$2:O195),$O$2:$O$1001,0),0), INDEX($V$1004:$AE$1004,1,MATCH(COLUMNS($V$1006:X1006),$V$1006:$AE$1006,0)))),"Fix")))</f>
        <v>0</v>
      </c>
      <c r="E195" s="4">
        <f>IF(OR(INDEX($P$2:$P$1001,MATCH(ROWS($O$2:O195),$O$2:$O$1001,0),1)&gt;=100000,INDEX($V$1005:$AE$1005,1,MATCH(COLUMNS($V$1006:Y1006),$V$1006:$AE$1006,0))&gt;=100000), " ",IF(INDEX($V$2:$AE$1001,MATCH(ROWS($O$2:O195),$O$2:$O$1001,0),MATCH(COLUMNS($V$1006:Y1006),$V$1006:$AE$1006,0)), HYPERLINK("#",""), HYPERLINK(CONCATENATE("#Metadata!", ADDRESS(INDEX($Q$2:$Q$1001,MATCH(ROWS($O$2:O195),$O$2:$O$1001,0),0), INDEX($V$1004:$AE$1004,1,MATCH(COLUMNS($V$1006:Y1006),$V$1006:$AE$1006,0)))),"Fix")))</f>
        <v>0</v>
      </c>
      <c r="F195" s="4">
        <f>IF(OR(INDEX($P$2:$P$1001,MATCH(ROWS($O$2:O195),$O$2:$O$1001,0),1)&gt;=100000,INDEX($V$1005:$AE$1005,1,MATCH(COLUMNS($V$1006:Z1006),$V$1006:$AE$1006,0))&gt;=100000), " ",IF(INDEX($V$2:$AE$1001,MATCH(ROWS($O$2:O195),$O$2:$O$1001,0),MATCH(COLUMNS($V$1006:Z1006),$V$1006:$AE$1006,0)), HYPERLINK("#",""), HYPERLINK(CONCATENATE("#Metadata!", ADDRESS(INDEX($Q$2:$Q$1001,MATCH(ROWS($O$2:O195),$O$2:$O$1001,0),0), INDEX($V$1004:$AE$1004,1,MATCH(COLUMNS($V$1006:Z1006),$V$1006:$AE$1006,0)))),"Fix")))</f>
        <v>0</v>
      </c>
      <c r="G195" s="4">
        <f>IF(OR(INDEX($P$2:$P$1001,MATCH(ROWS($O$2:O195),$O$2:$O$1001,0),1)&gt;=100000,INDEX($V$1005:$AE$1005,1,MATCH(COLUMNS($V$1006:AA1006),$V$1006:$AE$1006,0))&gt;=100000), " ",IF(INDEX($V$2:$AE$1001,MATCH(ROWS($O$2:O195),$O$2:$O$1001,0),MATCH(COLUMNS($V$1006:AA1006),$V$1006:$AE$1006,0)), HYPERLINK("#",""), HYPERLINK(CONCATENATE("#Metadata!", ADDRESS(INDEX($Q$2:$Q$1001,MATCH(ROWS($O$2:O195),$O$2:$O$1001,0),0), INDEX($V$1004:$AE$1004,1,MATCH(COLUMNS($V$1006:AA1006),$V$1006:$AE$1006,0)))),"Fix")))</f>
        <v>0</v>
      </c>
      <c r="H195" s="4">
        <f>IF(OR(INDEX($P$2:$P$1001,MATCH(ROWS($O$2:O195),$O$2:$O$1001,0),1)&gt;=100000,INDEX($V$1005:$AE$1005,1,MATCH(COLUMNS($V$1006:AB1006),$V$1006:$AE$1006,0))&gt;=100000), " ",IF(INDEX($V$2:$AE$1001,MATCH(ROWS($O$2:O195),$O$2:$O$1001,0),MATCH(COLUMNS($V$1006:AB1006),$V$1006:$AE$1006,0)), HYPERLINK("#",""), HYPERLINK(CONCATENATE("#Metadata!", ADDRESS(INDEX($Q$2:$Q$1001,MATCH(ROWS($O$2:O195),$O$2:$O$1001,0),0), INDEX($V$1004:$AE$1004,1,MATCH(COLUMNS($V$1006:AB1006),$V$1006:$AE$1006,0)))),"Fix")))</f>
        <v>0</v>
      </c>
      <c r="I195" s="4">
        <f>IF(OR(INDEX($P$2:$P$1001,MATCH(ROWS($O$2:O195),$O$2:$O$1001,0),1)&gt;=100000,INDEX($V$1005:$AE$1005,1,MATCH(COLUMNS($V$1006:AC1006),$V$1006:$AE$1006,0))&gt;=100000), " ",IF(INDEX($V$2:$AE$1001,MATCH(ROWS($O$2:O195),$O$2:$O$1001,0),MATCH(COLUMNS($V$1006:AC1006),$V$1006:$AE$1006,0)), HYPERLINK("#",""), HYPERLINK(CONCATENATE("#Metadata!", ADDRESS(INDEX($Q$2:$Q$1001,MATCH(ROWS($O$2:O195),$O$2:$O$1001,0),0), INDEX($V$1004:$AE$1004,1,MATCH(COLUMNS($V$1006:AC1006),$V$1006:$AE$1006,0)))),"Fix")))</f>
        <v>0</v>
      </c>
      <c r="J195" s="4">
        <f>IF(OR(INDEX($P$2:$P$1001,MATCH(ROWS($O$2:O195),$O$2:$O$1001,0),1)&gt;=100000,INDEX($V$1005:$AE$1005,1,MATCH(COLUMNS($V$1006:AD1006),$V$1006:$AE$1006,0))&gt;=100000), " ",IF(INDEX($V$2:$AE$1001,MATCH(ROWS($O$2:O195),$O$2:$O$1001,0),MATCH(COLUMNS($V$1006:AD1006),$V$1006:$AE$1006,0)), HYPERLINK("#",""), HYPERLINK(CONCATENATE("#Metadata!", ADDRESS(INDEX($Q$2:$Q$1001,MATCH(ROWS($O$2:O195),$O$2:$O$1001,0),0), INDEX($V$1004:$AE$1004,1,MATCH(COLUMNS($V$1006:AD1006),$V$1006:$AE$1006,0)))),"Fix")))</f>
        <v>0</v>
      </c>
      <c r="K195" s="4">
        <f>IF(OR(INDEX($P$2:$P$1001,MATCH(ROWS($O$2:O195),$O$2:$O$1001,0),1)&gt;=100000,INDEX($V$1005:$AE$1005,1,MATCH(COLUMNS($V$1006:AE1006),$V$1006:$AE$1006,0))&gt;=100000), " ",IF(INDEX($V$2:$AE$1001,MATCH(ROWS($O$2:O195),$O$2:$O$1001,0),MATCH(COLUMNS($V$1006:AE1006),$V$1006:$AE$1006,0)), HYPERLINK("#",""), HYPERLINK(CONCATENATE("#Metadata!", ADDRESS(INDEX($Q$2:$Q$1001,MATCH(ROWS($O$2:O195),$O$2:$O$1001,0),0), INDEX($V$1004:$AE$1004,1,MATCH(COLUMNS($V$1006:AE1006),$V$1006:$AE$1006,0)))),"Fix")))</f>
        <v>0</v>
      </c>
      <c r="O195">
        <v>0</v>
      </c>
      <c r="P195">
        <v>0</v>
      </c>
      <c r="Q195">
        <v>0</v>
      </c>
      <c r="R195">
        <f>IF(S195,TRUE,AND(V195:AE195))</f>
        <v>0</v>
      </c>
      <c r="S195">
        <f>COUNTBLANK(Metadata!B195:K195)=COLUMNS(Metadata!B195:K195)</f>
        <v>0</v>
      </c>
      <c r="T195">
        <v>0</v>
      </c>
      <c r="V195">
        <f>AND(IF(Metadata!B195="",FALSE,TRUE),COUNTIF(Metadata!B:B, Metadata!B195) = 1,NOT(ISERROR(SUMPRODUCT(SEARCH(MID(Metadata!B195,ROW(INDIRECT("1:"&amp;LEN(Metadata!B195))), 1),"0123456789abcdefghijklmnopqrstuvwxyzABCDEFGHIJKLMNOPQRSTUVWXYZ.")))))</f>
        <v>0</v>
      </c>
      <c r="W195">
        <f>AND(IF(Metadata!C195="",FALSE,TRUE),exact(Metadata!C195,"urban biome"))</f>
        <v>0</v>
      </c>
      <c r="X195">
        <f>AND(IF(Metadata!D195="",FALSE,TRUE),exact(Metadata!D195,"animal-associated habitat"))</f>
        <v>0</v>
      </c>
      <c r="Y195">
        <f>OR(AND(IF(Metadata!E195="",FALSE,TRUE),OR(exact(Metadata!E195,"not applicable"),exact(Metadata!E195,"missing: not collected"),exact(Metadata!E195,"missing: not provided"),exact(Metadata!E195,"missing: restricted access"))),AND(IF(Metadata!E195="",FALSE,ISNUMBER(VALUE(Metadata!E195))),Metadata!E195&gt;0))</f>
        <v>0</v>
      </c>
      <c r="Z195">
        <f>AND(IF(Metadata!F195="",FALSE,TRUE),exact(Metadata!F195,"weeks"))</f>
        <v>0</v>
      </c>
      <c r="AA195">
        <f>AND(IF(Metadata!G195="",FALSE,TRUE),exact(Metadata!G195,"mouse"))</f>
        <v>0</v>
      </c>
      <c r="AB195">
        <f>AND(IF(Metadata!H195="",FALSE,TRUE),exact(Metadata!H195,"Mus musculus"))</f>
        <v>0</v>
      </c>
      <c r="AC195">
        <f>AND(IF(Metadata!I195="",FALSE,TRUE),exact(Metadata!I195,"10090"))</f>
        <v>0</v>
      </c>
      <c r="AD195">
        <f>OR(AND(IF(Metadata!J195="",FALSE,TRUE),OR(exact(Metadata!J195,"not applicable"),exact(Metadata!J195,"missing: not collected"),exact(Metadata!J195,"missing: not provided"),exact(Metadata!J195,"missing: restricted access"))),AND(IF(Metadata!J195="",FALSE,ISNUMBER(VALUE(Metadata!J195))),Metadata!J195&gt;0))</f>
        <v>0</v>
      </c>
      <c r="AE195">
        <f>AND(IF(Metadata!K195="",FALSE,TRUE),exact(Metadata!K195,"g"))</f>
        <v>0</v>
      </c>
    </row>
    <row r="196" spans="1:31">
      <c r="A196" s="5">
        <f>IF(B196=" "," ",HYPERLINK(CONCATENATE("#metadata!",ADDRESS(INDEX($Q$2:$Q$1001,MATCH(ROWS($O$2:O196),$O$2:$O$1001,0),0),1)),INDEX($T$2:$T$1001,MATCH(ROWS($O$2:O196),$O$2:$O$1001,0),0)))</f>
        <v>0</v>
      </c>
      <c r="B196" s="4">
        <f>IF(OR(INDEX($P$2:$P$1001,MATCH(ROWS($O$2:O196),$O$2:$O$1001,0),1)&gt;=100000,INDEX($V$1005:$AE$1005,1,MATCH(COLUMNS($V$1006:V1006),$V$1006:$AE$1006,0))&gt;=100000), " ",IF(INDEX($V$2:$AE$1001,MATCH(ROWS($O$2:O196),$O$2:$O$1001,0),MATCH(COLUMNS($V$1006:V1006),$V$1006:$AE$1006,0)), HYPERLINK("#",""), HYPERLINK(CONCATENATE("#Metadata!", ADDRESS(INDEX($Q$2:$Q$1001,MATCH(ROWS($O$2:O196),$O$2:$O$1001,0),0), INDEX($V$1004:$AE$1004,1,MATCH(COLUMNS($V$1006:V1006),$V$1006:$AE$1006,0)))),"Fix")))</f>
        <v>0</v>
      </c>
      <c r="C196" s="4">
        <f>IF(OR(INDEX($P$2:$P$1001,MATCH(ROWS($O$2:O196),$O$2:$O$1001,0),1)&gt;=100000,INDEX($V$1005:$AE$1005,1,MATCH(COLUMNS($V$1006:W1006),$V$1006:$AE$1006,0))&gt;=100000), " ",IF(INDEX($V$2:$AE$1001,MATCH(ROWS($O$2:O196),$O$2:$O$1001,0),MATCH(COLUMNS($V$1006:W1006),$V$1006:$AE$1006,0)), HYPERLINK("#",""), HYPERLINK(CONCATENATE("#Metadata!", ADDRESS(INDEX($Q$2:$Q$1001,MATCH(ROWS($O$2:O196),$O$2:$O$1001,0),0), INDEX($V$1004:$AE$1004,1,MATCH(COLUMNS($V$1006:W1006),$V$1006:$AE$1006,0)))),"Fix")))</f>
        <v>0</v>
      </c>
      <c r="D196" s="4">
        <f>IF(OR(INDEX($P$2:$P$1001,MATCH(ROWS($O$2:O196),$O$2:$O$1001,0),1)&gt;=100000,INDEX($V$1005:$AE$1005,1,MATCH(COLUMNS($V$1006:X1006),$V$1006:$AE$1006,0))&gt;=100000), " ",IF(INDEX($V$2:$AE$1001,MATCH(ROWS($O$2:O196),$O$2:$O$1001,0),MATCH(COLUMNS($V$1006:X1006),$V$1006:$AE$1006,0)), HYPERLINK("#",""), HYPERLINK(CONCATENATE("#Metadata!", ADDRESS(INDEX($Q$2:$Q$1001,MATCH(ROWS($O$2:O196),$O$2:$O$1001,0),0), INDEX($V$1004:$AE$1004,1,MATCH(COLUMNS($V$1006:X1006),$V$1006:$AE$1006,0)))),"Fix")))</f>
        <v>0</v>
      </c>
      <c r="E196" s="4">
        <f>IF(OR(INDEX($P$2:$P$1001,MATCH(ROWS($O$2:O196),$O$2:$O$1001,0),1)&gt;=100000,INDEX($V$1005:$AE$1005,1,MATCH(COLUMNS($V$1006:Y1006),$V$1006:$AE$1006,0))&gt;=100000), " ",IF(INDEX($V$2:$AE$1001,MATCH(ROWS($O$2:O196),$O$2:$O$1001,0),MATCH(COLUMNS($V$1006:Y1006),$V$1006:$AE$1006,0)), HYPERLINK("#",""), HYPERLINK(CONCATENATE("#Metadata!", ADDRESS(INDEX($Q$2:$Q$1001,MATCH(ROWS($O$2:O196),$O$2:$O$1001,0),0), INDEX($V$1004:$AE$1004,1,MATCH(COLUMNS($V$1006:Y1006),$V$1006:$AE$1006,0)))),"Fix")))</f>
        <v>0</v>
      </c>
      <c r="F196" s="4">
        <f>IF(OR(INDEX($P$2:$P$1001,MATCH(ROWS($O$2:O196),$O$2:$O$1001,0),1)&gt;=100000,INDEX($V$1005:$AE$1005,1,MATCH(COLUMNS($V$1006:Z1006),$V$1006:$AE$1006,0))&gt;=100000), " ",IF(INDEX($V$2:$AE$1001,MATCH(ROWS($O$2:O196),$O$2:$O$1001,0),MATCH(COLUMNS($V$1006:Z1006),$V$1006:$AE$1006,0)), HYPERLINK("#",""), HYPERLINK(CONCATENATE("#Metadata!", ADDRESS(INDEX($Q$2:$Q$1001,MATCH(ROWS($O$2:O196),$O$2:$O$1001,0),0), INDEX($V$1004:$AE$1004,1,MATCH(COLUMNS($V$1006:Z1006),$V$1006:$AE$1006,0)))),"Fix")))</f>
        <v>0</v>
      </c>
      <c r="G196" s="4">
        <f>IF(OR(INDEX($P$2:$P$1001,MATCH(ROWS($O$2:O196),$O$2:$O$1001,0),1)&gt;=100000,INDEX($V$1005:$AE$1005,1,MATCH(COLUMNS($V$1006:AA1006),$V$1006:$AE$1006,0))&gt;=100000), " ",IF(INDEX($V$2:$AE$1001,MATCH(ROWS($O$2:O196),$O$2:$O$1001,0),MATCH(COLUMNS($V$1006:AA1006),$V$1006:$AE$1006,0)), HYPERLINK("#",""), HYPERLINK(CONCATENATE("#Metadata!", ADDRESS(INDEX($Q$2:$Q$1001,MATCH(ROWS($O$2:O196),$O$2:$O$1001,0),0), INDEX($V$1004:$AE$1004,1,MATCH(COLUMNS($V$1006:AA1006),$V$1006:$AE$1006,0)))),"Fix")))</f>
        <v>0</v>
      </c>
      <c r="H196" s="4">
        <f>IF(OR(INDEX($P$2:$P$1001,MATCH(ROWS($O$2:O196),$O$2:$O$1001,0),1)&gt;=100000,INDEX($V$1005:$AE$1005,1,MATCH(COLUMNS($V$1006:AB1006),$V$1006:$AE$1006,0))&gt;=100000), " ",IF(INDEX($V$2:$AE$1001,MATCH(ROWS($O$2:O196),$O$2:$O$1001,0),MATCH(COLUMNS($V$1006:AB1006),$V$1006:$AE$1006,0)), HYPERLINK("#",""), HYPERLINK(CONCATENATE("#Metadata!", ADDRESS(INDEX($Q$2:$Q$1001,MATCH(ROWS($O$2:O196),$O$2:$O$1001,0),0), INDEX($V$1004:$AE$1004,1,MATCH(COLUMNS($V$1006:AB1006),$V$1006:$AE$1006,0)))),"Fix")))</f>
        <v>0</v>
      </c>
      <c r="I196" s="4">
        <f>IF(OR(INDEX($P$2:$P$1001,MATCH(ROWS($O$2:O196),$O$2:$O$1001,0),1)&gt;=100000,INDEX($V$1005:$AE$1005,1,MATCH(COLUMNS($V$1006:AC1006),$V$1006:$AE$1006,0))&gt;=100000), " ",IF(INDEX($V$2:$AE$1001,MATCH(ROWS($O$2:O196),$O$2:$O$1001,0),MATCH(COLUMNS($V$1006:AC1006),$V$1006:$AE$1006,0)), HYPERLINK("#",""), HYPERLINK(CONCATENATE("#Metadata!", ADDRESS(INDEX($Q$2:$Q$1001,MATCH(ROWS($O$2:O196),$O$2:$O$1001,0),0), INDEX($V$1004:$AE$1004,1,MATCH(COLUMNS($V$1006:AC1006),$V$1006:$AE$1006,0)))),"Fix")))</f>
        <v>0</v>
      </c>
      <c r="J196" s="4">
        <f>IF(OR(INDEX($P$2:$P$1001,MATCH(ROWS($O$2:O196),$O$2:$O$1001,0),1)&gt;=100000,INDEX($V$1005:$AE$1005,1,MATCH(COLUMNS($V$1006:AD1006),$V$1006:$AE$1006,0))&gt;=100000), " ",IF(INDEX($V$2:$AE$1001,MATCH(ROWS($O$2:O196),$O$2:$O$1001,0),MATCH(COLUMNS($V$1006:AD1006),$V$1006:$AE$1006,0)), HYPERLINK("#",""), HYPERLINK(CONCATENATE("#Metadata!", ADDRESS(INDEX($Q$2:$Q$1001,MATCH(ROWS($O$2:O196),$O$2:$O$1001,0),0), INDEX($V$1004:$AE$1004,1,MATCH(COLUMNS($V$1006:AD1006),$V$1006:$AE$1006,0)))),"Fix")))</f>
        <v>0</v>
      </c>
      <c r="K196" s="4">
        <f>IF(OR(INDEX($P$2:$P$1001,MATCH(ROWS($O$2:O196),$O$2:$O$1001,0),1)&gt;=100000,INDEX($V$1005:$AE$1005,1,MATCH(COLUMNS($V$1006:AE1006),$V$1006:$AE$1006,0))&gt;=100000), " ",IF(INDEX($V$2:$AE$1001,MATCH(ROWS($O$2:O196),$O$2:$O$1001,0),MATCH(COLUMNS($V$1006:AE1006),$V$1006:$AE$1006,0)), HYPERLINK("#",""), HYPERLINK(CONCATENATE("#Metadata!", ADDRESS(INDEX($Q$2:$Q$1001,MATCH(ROWS($O$2:O196),$O$2:$O$1001,0),0), INDEX($V$1004:$AE$1004,1,MATCH(COLUMNS($V$1006:AE1006),$V$1006:$AE$1006,0)))),"Fix")))</f>
        <v>0</v>
      </c>
      <c r="O196">
        <v>0</v>
      </c>
      <c r="P196">
        <v>0</v>
      </c>
      <c r="Q196">
        <v>0</v>
      </c>
      <c r="R196">
        <f>IF(S196,TRUE,AND(V196:AE196))</f>
        <v>0</v>
      </c>
      <c r="S196">
        <f>COUNTBLANK(Metadata!B196:K196)=COLUMNS(Metadata!B196:K196)</f>
        <v>0</v>
      </c>
      <c r="T196">
        <v>0</v>
      </c>
      <c r="V196">
        <f>AND(IF(Metadata!B196="",FALSE,TRUE),COUNTIF(Metadata!B:B, Metadata!B196) = 1,NOT(ISERROR(SUMPRODUCT(SEARCH(MID(Metadata!B196,ROW(INDIRECT("1:"&amp;LEN(Metadata!B196))), 1),"0123456789abcdefghijklmnopqrstuvwxyzABCDEFGHIJKLMNOPQRSTUVWXYZ.")))))</f>
        <v>0</v>
      </c>
      <c r="W196">
        <f>AND(IF(Metadata!C196="",FALSE,TRUE),exact(Metadata!C196,"urban biome"))</f>
        <v>0</v>
      </c>
      <c r="X196">
        <f>AND(IF(Metadata!D196="",FALSE,TRUE),exact(Metadata!D196,"animal-associated habitat"))</f>
        <v>0</v>
      </c>
      <c r="Y196">
        <f>OR(AND(IF(Metadata!E196="",FALSE,TRUE),OR(exact(Metadata!E196,"not applicable"),exact(Metadata!E196,"missing: not collected"),exact(Metadata!E196,"missing: not provided"),exact(Metadata!E196,"missing: restricted access"))),AND(IF(Metadata!E196="",FALSE,ISNUMBER(VALUE(Metadata!E196))),Metadata!E196&gt;0))</f>
        <v>0</v>
      </c>
      <c r="Z196">
        <f>AND(IF(Metadata!F196="",FALSE,TRUE),exact(Metadata!F196,"weeks"))</f>
        <v>0</v>
      </c>
      <c r="AA196">
        <f>AND(IF(Metadata!G196="",FALSE,TRUE),exact(Metadata!G196,"mouse"))</f>
        <v>0</v>
      </c>
      <c r="AB196">
        <f>AND(IF(Metadata!H196="",FALSE,TRUE),exact(Metadata!H196,"Mus musculus"))</f>
        <v>0</v>
      </c>
      <c r="AC196">
        <f>AND(IF(Metadata!I196="",FALSE,TRUE),exact(Metadata!I196,"10090"))</f>
        <v>0</v>
      </c>
      <c r="AD196">
        <f>OR(AND(IF(Metadata!J196="",FALSE,TRUE),OR(exact(Metadata!J196,"not applicable"),exact(Metadata!J196,"missing: not collected"),exact(Metadata!J196,"missing: not provided"),exact(Metadata!J196,"missing: restricted access"))),AND(IF(Metadata!J196="",FALSE,ISNUMBER(VALUE(Metadata!J196))),Metadata!J196&gt;0))</f>
        <v>0</v>
      </c>
      <c r="AE196">
        <f>AND(IF(Metadata!K196="",FALSE,TRUE),exact(Metadata!K196,"g"))</f>
        <v>0</v>
      </c>
    </row>
    <row r="197" spans="1:31">
      <c r="A197" s="5">
        <f>IF(B197=" "," ",HYPERLINK(CONCATENATE("#metadata!",ADDRESS(INDEX($Q$2:$Q$1001,MATCH(ROWS($O$2:O197),$O$2:$O$1001,0),0),1)),INDEX($T$2:$T$1001,MATCH(ROWS($O$2:O197),$O$2:$O$1001,0),0)))</f>
        <v>0</v>
      </c>
      <c r="B197" s="4">
        <f>IF(OR(INDEX($P$2:$P$1001,MATCH(ROWS($O$2:O197),$O$2:$O$1001,0),1)&gt;=100000,INDEX($V$1005:$AE$1005,1,MATCH(COLUMNS($V$1006:V1006),$V$1006:$AE$1006,0))&gt;=100000), " ",IF(INDEX($V$2:$AE$1001,MATCH(ROWS($O$2:O197),$O$2:$O$1001,0),MATCH(COLUMNS($V$1006:V1006),$V$1006:$AE$1006,0)), HYPERLINK("#",""), HYPERLINK(CONCATENATE("#Metadata!", ADDRESS(INDEX($Q$2:$Q$1001,MATCH(ROWS($O$2:O197),$O$2:$O$1001,0),0), INDEX($V$1004:$AE$1004,1,MATCH(COLUMNS($V$1006:V1006),$V$1006:$AE$1006,0)))),"Fix")))</f>
        <v>0</v>
      </c>
      <c r="C197" s="4">
        <f>IF(OR(INDEX($P$2:$P$1001,MATCH(ROWS($O$2:O197),$O$2:$O$1001,0),1)&gt;=100000,INDEX($V$1005:$AE$1005,1,MATCH(COLUMNS($V$1006:W1006),$V$1006:$AE$1006,0))&gt;=100000), " ",IF(INDEX($V$2:$AE$1001,MATCH(ROWS($O$2:O197),$O$2:$O$1001,0),MATCH(COLUMNS($V$1006:W1006),$V$1006:$AE$1006,0)), HYPERLINK("#",""), HYPERLINK(CONCATENATE("#Metadata!", ADDRESS(INDEX($Q$2:$Q$1001,MATCH(ROWS($O$2:O197),$O$2:$O$1001,0),0), INDEX($V$1004:$AE$1004,1,MATCH(COLUMNS($V$1006:W1006),$V$1006:$AE$1006,0)))),"Fix")))</f>
        <v>0</v>
      </c>
      <c r="D197" s="4">
        <f>IF(OR(INDEX($P$2:$P$1001,MATCH(ROWS($O$2:O197),$O$2:$O$1001,0),1)&gt;=100000,INDEX($V$1005:$AE$1005,1,MATCH(COLUMNS($V$1006:X1006),$V$1006:$AE$1006,0))&gt;=100000), " ",IF(INDEX($V$2:$AE$1001,MATCH(ROWS($O$2:O197),$O$2:$O$1001,0),MATCH(COLUMNS($V$1006:X1006),$V$1006:$AE$1006,0)), HYPERLINK("#",""), HYPERLINK(CONCATENATE("#Metadata!", ADDRESS(INDEX($Q$2:$Q$1001,MATCH(ROWS($O$2:O197),$O$2:$O$1001,0),0), INDEX($V$1004:$AE$1004,1,MATCH(COLUMNS($V$1006:X1006),$V$1006:$AE$1006,0)))),"Fix")))</f>
        <v>0</v>
      </c>
      <c r="E197" s="4">
        <f>IF(OR(INDEX($P$2:$P$1001,MATCH(ROWS($O$2:O197),$O$2:$O$1001,0),1)&gt;=100000,INDEX($V$1005:$AE$1005,1,MATCH(COLUMNS($V$1006:Y1006),$V$1006:$AE$1006,0))&gt;=100000), " ",IF(INDEX($V$2:$AE$1001,MATCH(ROWS($O$2:O197),$O$2:$O$1001,0),MATCH(COLUMNS($V$1006:Y1006),$V$1006:$AE$1006,0)), HYPERLINK("#",""), HYPERLINK(CONCATENATE("#Metadata!", ADDRESS(INDEX($Q$2:$Q$1001,MATCH(ROWS($O$2:O197),$O$2:$O$1001,0),0), INDEX($V$1004:$AE$1004,1,MATCH(COLUMNS($V$1006:Y1006),$V$1006:$AE$1006,0)))),"Fix")))</f>
        <v>0</v>
      </c>
      <c r="F197" s="4">
        <f>IF(OR(INDEX($P$2:$P$1001,MATCH(ROWS($O$2:O197),$O$2:$O$1001,0),1)&gt;=100000,INDEX($V$1005:$AE$1005,1,MATCH(COLUMNS($V$1006:Z1006),$V$1006:$AE$1006,0))&gt;=100000), " ",IF(INDEX($V$2:$AE$1001,MATCH(ROWS($O$2:O197),$O$2:$O$1001,0),MATCH(COLUMNS($V$1006:Z1006),$V$1006:$AE$1006,0)), HYPERLINK("#",""), HYPERLINK(CONCATENATE("#Metadata!", ADDRESS(INDEX($Q$2:$Q$1001,MATCH(ROWS($O$2:O197),$O$2:$O$1001,0),0), INDEX($V$1004:$AE$1004,1,MATCH(COLUMNS($V$1006:Z1006),$V$1006:$AE$1006,0)))),"Fix")))</f>
        <v>0</v>
      </c>
      <c r="G197" s="4">
        <f>IF(OR(INDEX($P$2:$P$1001,MATCH(ROWS($O$2:O197),$O$2:$O$1001,0),1)&gt;=100000,INDEX($V$1005:$AE$1005,1,MATCH(COLUMNS($V$1006:AA1006),$V$1006:$AE$1006,0))&gt;=100000), " ",IF(INDEX($V$2:$AE$1001,MATCH(ROWS($O$2:O197),$O$2:$O$1001,0),MATCH(COLUMNS($V$1006:AA1006),$V$1006:$AE$1006,0)), HYPERLINK("#",""), HYPERLINK(CONCATENATE("#Metadata!", ADDRESS(INDEX($Q$2:$Q$1001,MATCH(ROWS($O$2:O197),$O$2:$O$1001,0),0), INDEX($V$1004:$AE$1004,1,MATCH(COLUMNS($V$1006:AA1006),$V$1006:$AE$1006,0)))),"Fix")))</f>
        <v>0</v>
      </c>
      <c r="H197" s="4">
        <f>IF(OR(INDEX($P$2:$P$1001,MATCH(ROWS($O$2:O197),$O$2:$O$1001,0),1)&gt;=100000,INDEX($V$1005:$AE$1005,1,MATCH(COLUMNS($V$1006:AB1006),$V$1006:$AE$1006,0))&gt;=100000), " ",IF(INDEX($V$2:$AE$1001,MATCH(ROWS($O$2:O197),$O$2:$O$1001,0),MATCH(COLUMNS($V$1006:AB1006),$V$1006:$AE$1006,0)), HYPERLINK("#",""), HYPERLINK(CONCATENATE("#Metadata!", ADDRESS(INDEX($Q$2:$Q$1001,MATCH(ROWS($O$2:O197),$O$2:$O$1001,0),0), INDEX($V$1004:$AE$1004,1,MATCH(COLUMNS($V$1006:AB1006),$V$1006:$AE$1006,0)))),"Fix")))</f>
        <v>0</v>
      </c>
      <c r="I197" s="4">
        <f>IF(OR(INDEX($P$2:$P$1001,MATCH(ROWS($O$2:O197),$O$2:$O$1001,0),1)&gt;=100000,INDEX($V$1005:$AE$1005,1,MATCH(COLUMNS($V$1006:AC1006),$V$1006:$AE$1006,0))&gt;=100000), " ",IF(INDEX($V$2:$AE$1001,MATCH(ROWS($O$2:O197),$O$2:$O$1001,0),MATCH(COLUMNS($V$1006:AC1006),$V$1006:$AE$1006,0)), HYPERLINK("#",""), HYPERLINK(CONCATENATE("#Metadata!", ADDRESS(INDEX($Q$2:$Q$1001,MATCH(ROWS($O$2:O197),$O$2:$O$1001,0),0), INDEX($V$1004:$AE$1004,1,MATCH(COLUMNS($V$1006:AC1006),$V$1006:$AE$1006,0)))),"Fix")))</f>
        <v>0</v>
      </c>
      <c r="J197" s="4">
        <f>IF(OR(INDEX($P$2:$P$1001,MATCH(ROWS($O$2:O197),$O$2:$O$1001,0),1)&gt;=100000,INDEX($V$1005:$AE$1005,1,MATCH(COLUMNS($V$1006:AD1006),$V$1006:$AE$1006,0))&gt;=100000), " ",IF(INDEX($V$2:$AE$1001,MATCH(ROWS($O$2:O197),$O$2:$O$1001,0),MATCH(COLUMNS($V$1006:AD1006),$V$1006:$AE$1006,0)), HYPERLINK("#",""), HYPERLINK(CONCATENATE("#Metadata!", ADDRESS(INDEX($Q$2:$Q$1001,MATCH(ROWS($O$2:O197),$O$2:$O$1001,0),0), INDEX($V$1004:$AE$1004,1,MATCH(COLUMNS($V$1006:AD1006),$V$1006:$AE$1006,0)))),"Fix")))</f>
        <v>0</v>
      </c>
      <c r="K197" s="4">
        <f>IF(OR(INDEX($P$2:$P$1001,MATCH(ROWS($O$2:O197),$O$2:$O$1001,0),1)&gt;=100000,INDEX($V$1005:$AE$1005,1,MATCH(COLUMNS($V$1006:AE1006),$V$1006:$AE$1006,0))&gt;=100000), " ",IF(INDEX($V$2:$AE$1001,MATCH(ROWS($O$2:O197),$O$2:$O$1001,0),MATCH(COLUMNS($V$1006:AE1006),$V$1006:$AE$1006,0)), HYPERLINK("#",""), HYPERLINK(CONCATENATE("#Metadata!", ADDRESS(INDEX($Q$2:$Q$1001,MATCH(ROWS($O$2:O197),$O$2:$O$1001,0),0), INDEX($V$1004:$AE$1004,1,MATCH(COLUMNS($V$1006:AE1006),$V$1006:$AE$1006,0)))),"Fix")))</f>
        <v>0</v>
      </c>
      <c r="O197">
        <v>0</v>
      </c>
      <c r="P197">
        <v>0</v>
      </c>
      <c r="Q197">
        <v>0</v>
      </c>
      <c r="R197">
        <f>IF(S197,TRUE,AND(V197:AE197))</f>
        <v>0</v>
      </c>
      <c r="S197">
        <f>COUNTBLANK(Metadata!B197:K197)=COLUMNS(Metadata!B197:K197)</f>
        <v>0</v>
      </c>
      <c r="T197">
        <v>0</v>
      </c>
      <c r="V197">
        <f>AND(IF(Metadata!B197="",FALSE,TRUE),COUNTIF(Metadata!B:B, Metadata!B197) = 1,NOT(ISERROR(SUMPRODUCT(SEARCH(MID(Metadata!B197,ROW(INDIRECT("1:"&amp;LEN(Metadata!B197))), 1),"0123456789abcdefghijklmnopqrstuvwxyzABCDEFGHIJKLMNOPQRSTUVWXYZ.")))))</f>
        <v>0</v>
      </c>
      <c r="W197">
        <f>AND(IF(Metadata!C197="",FALSE,TRUE),exact(Metadata!C197,"urban biome"))</f>
        <v>0</v>
      </c>
      <c r="X197">
        <f>AND(IF(Metadata!D197="",FALSE,TRUE),exact(Metadata!D197,"animal-associated habitat"))</f>
        <v>0</v>
      </c>
      <c r="Y197">
        <f>OR(AND(IF(Metadata!E197="",FALSE,TRUE),OR(exact(Metadata!E197,"not applicable"),exact(Metadata!E197,"missing: not collected"),exact(Metadata!E197,"missing: not provided"),exact(Metadata!E197,"missing: restricted access"))),AND(IF(Metadata!E197="",FALSE,ISNUMBER(VALUE(Metadata!E197))),Metadata!E197&gt;0))</f>
        <v>0</v>
      </c>
      <c r="Z197">
        <f>AND(IF(Metadata!F197="",FALSE,TRUE),exact(Metadata!F197,"weeks"))</f>
        <v>0</v>
      </c>
      <c r="AA197">
        <f>AND(IF(Metadata!G197="",FALSE,TRUE),exact(Metadata!G197,"mouse"))</f>
        <v>0</v>
      </c>
      <c r="AB197">
        <f>AND(IF(Metadata!H197="",FALSE,TRUE),exact(Metadata!H197,"Mus musculus"))</f>
        <v>0</v>
      </c>
      <c r="AC197">
        <f>AND(IF(Metadata!I197="",FALSE,TRUE),exact(Metadata!I197,"10090"))</f>
        <v>0</v>
      </c>
      <c r="AD197">
        <f>OR(AND(IF(Metadata!J197="",FALSE,TRUE),OR(exact(Metadata!J197,"not applicable"),exact(Metadata!J197,"missing: not collected"),exact(Metadata!J197,"missing: not provided"),exact(Metadata!J197,"missing: restricted access"))),AND(IF(Metadata!J197="",FALSE,ISNUMBER(VALUE(Metadata!J197))),Metadata!J197&gt;0))</f>
        <v>0</v>
      </c>
      <c r="AE197">
        <f>AND(IF(Metadata!K197="",FALSE,TRUE),exact(Metadata!K197,"g"))</f>
        <v>0</v>
      </c>
    </row>
    <row r="198" spans="1:31">
      <c r="A198" s="5">
        <f>IF(B198=" "," ",HYPERLINK(CONCATENATE("#metadata!",ADDRESS(INDEX($Q$2:$Q$1001,MATCH(ROWS($O$2:O198),$O$2:$O$1001,0),0),1)),INDEX($T$2:$T$1001,MATCH(ROWS($O$2:O198),$O$2:$O$1001,0),0)))</f>
        <v>0</v>
      </c>
      <c r="B198" s="4">
        <f>IF(OR(INDEX($P$2:$P$1001,MATCH(ROWS($O$2:O198),$O$2:$O$1001,0),1)&gt;=100000,INDEX($V$1005:$AE$1005,1,MATCH(COLUMNS($V$1006:V1006),$V$1006:$AE$1006,0))&gt;=100000), " ",IF(INDEX($V$2:$AE$1001,MATCH(ROWS($O$2:O198),$O$2:$O$1001,0),MATCH(COLUMNS($V$1006:V1006),$V$1006:$AE$1006,0)), HYPERLINK("#",""), HYPERLINK(CONCATENATE("#Metadata!", ADDRESS(INDEX($Q$2:$Q$1001,MATCH(ROWS($O$2:O198),$O$2:$O$1001,0),0), INDEX($V$1004:$AE$1004,1,MATCH(COLUMNS($V$1006:V1006),$V$1006:$AE$1006,0)))),"Fix")))</f>
        <v>0</v>
      </c>
      <c r="C198" s="4">
        <f>IF(OR(INDEX($P$2:$P$1001,MATCH(ROWS($O$2:O198),$O$2:$O$1001,0),1)&gt;=100000,INDEX($V$1005:$AE$1005,1,MATCH(COLUMNS($V$1006:W1006),$V$1006:$AE$1006,0))&gt;=100000), " ",IF(INDEX($V$2:$AE$1001,MATCH(ROWS($O$2:O198),$O$2:$O$1001,0),MATCH(COLUMNS($V$1006:W1006),$V$1006:$AE$1006,0)), HYPERLINK("#",""), HYPERLINK(CONCATENATE("#Metadata!", ADDRESS(INDEX($Q$2:$Q$1001,MATCH(ROWS($O$2:O198),$O$2:$O$1001,0),0), INDEX($V$1004:$AE$1004,1,MATCH(COLUMNS($V$1006:W1006),$V$1006:$AE$1006,0)))),"Fix")))</f>
        <v>0</v>
      </c>
      <c r="D198" s="4">
        <f>IF(OR(INDEX($P$2:$P$1001,MATCH(ROWS($O$2:O198),$O$2:$O$1001,0),1)&gt;=100000,INDEX($V$1005:$AE$1005,1,MATCH(COLUMNS($V$1006:X1006),$V$1006:$AE$1006,0))&gt;=100000), " ",IF(INDEX($V$2:$AE$1001,MATCH(ROWS($O$2:O198),$O$2:$O$1001,0),MATCH(COLUMNS($V$1006:X1006),$V$1006:$AE$1006,0)), HYPERLINK("#",""), HYPERLINK(CONCATENATE("#Metadata!", ADDRESS(INDEX($Q$2:$Q$1001,MATCH(ROWS($O$2:O198),$O$2:$O$1001,0),0), INDEX($V$1004:$AE$1004,1,MATCH(COLUMNS($V$1006:X1006),$V$1006:$AE$1006,0)))),"Fix")))</f>
        <v>0</v>
      </c>
      <c r="E198" s="4">
        <f>IF(OR(INDEX($P$2:$P$1001,MATCH(ROWS($O$2:O198),$O$2:$O$1001,0),1)&gt;=100000,INDEX($V$1005:$AE$1005,1,MATCH(COLUMNS($V$1006:Y1006),$V$1006:$AE$1006,0))&gt;=100000), " ",IF(INDEX($V$2:$AE$1001,MATCH(ROWS($O$2:O198),$O$2:$O$1001,0),MATCH(COLUMNS($V$1006:Y1006),$V$1006:$AE$1006,0)), HYPERLINK("#",""), HYPERLINK(CONCATENATE("#Metadata!", ADDRESS(INDEX($Q$2:$Q$1001,MATCH(ROWS($O$2:O198),$O$2:$O$1001,0),0), INDEX($V$1004:$AE$1004,1,MATCH(COLUMNS($V$1006:Y1006),$V$1006:$AE$1006,0)))),"Fix")))</f>
        <v>0</v>
      </c>
      <c r="F198" s="4">
        <f>IF(OR(INDEX($P$2:$P$1001,MATCH(ROWS($O$2:O198),$O$2:$O$1001,0),1)&gt;=100000,INDEX($V$1005:$AE$1005,1,MATCH(COLUMNS($V$1006:Z1006),$V$1006:$AE$1006,0))&gt;=100000), " ",IF(INDEX($V$2:$AE$1001,MATCH(ROWS($O$2:O198),$O$2:$O$1001,0),MATCH(COLUMNS($V$1006:Z1006),$V$1006:$AE$1006,0)), HYPERLINK("#",""), HYPERLINK(CONCATENATE("#Metadata!", ADDRESS(INDEX($Q$2:$Q$1001,MATCH(ROWS($O$2:O198),$O$2:$O$1001,0),0), INDEX($V$1004:$AE$1004,1,MATCH(COLUMNS($V$1006:Z1006),$V$1006:$AE$1006,0)))),"Fix")))</f>
        <v>0</v>
      </c>
      <c r="G198" s="4">
        <f>IF(OR(INDEX($P$2:$P$1001,MATCH(ROWS($O$2:O198),$O$2:$O$1001,0),1)&gt;=100000,INDEX($V$1005:$AE$1005,1,MATCH(COLUMNS($V$1006:AA1006),$V$1006:$AE$1006,0))&gt;=100000), " ",IF(INDEX($V$2:$AE$1001,MATCH(ROWS($O$2:O198),$O$2:$O$1001,0),MATCH(COLUMNS($V$1006:AA1006),$V$1006:$AE$1006,0)), HYPERLINK("#",""), HYPERLINK(CONCATENATE("#Metadata!", ADDRESS(INDEX($Q$2:$Q$1001,MATCH(ROWS($O$2:O198),$O$2:$O$1001,0),0), INDEX($V$1004:$AE$1004,1,MATCH(COLUMNS($V$1006:AA1006),$V$1006:$AE$1006,0)))),"Fix")))</f>
        <v>0</v>
      </c>
      <c r="H198" s="4">
        <f>IF(OR(INDEX($P$2:$P$1001,MATCH(ROWS($O$2:O198),$O$2:$O$1001,0),1)&gt;=100000,INDEX($V$1005:$AE$1005,1,MATCH(COLUMNS($V$1006:AB1006),$V$1006:$AE$1006,0))&gt;=100000), " ",IF(INDEX($V$2:$AE$1001,MATCH(ROWS($O$2:O198),$O$2:$O$1001,0),MATCH(COLUMNS($V$1006:AB1006),$V$1006:$AE$1006,0)), HYPERLINK("#",""), HYPERLINK(CONCATENATE("#Metadata!", ADDRESS(INDEX($Q$2:$Q$1001,MATCH(ROWS($O$2:O198),$O$2:$O$1001,0),0), INDEX($V$1004:$AE$1004,1,MATCH(COLUMNS($V$1006:AB1006),$V$1006:$AE$1006,0)))),"Fix")))</f>
        <v>0</v>
      </c>
      <c r="I198" s="4">
        <f>IF(OR(INDEX($P$2:$P$1001,MATCH(ROWS($O$2:O198),$O$2:$O$1001,0),1)&gt;=100000,INDEX($V$1005:$AE$1005,1,MATCH(COLUMNS($V$1006:AC1006),$V$1006:$AE$1006,0))&gt;=100000), " ",IF(INDEX($V$2:$AE$1001,MATCH(ROWS($O$2:O198),$O$2:$O$1001,0),MATCH(COLUMNS($V$1006:AC1006),$V$1006:$AE$1006,0)), HYPERLINK("#",""), HYPERLINK(CONCATENATE("#Metadata!", ADDRESS(INDEX($Q$2:$Q$1001,MATCH(ROWS($O$2:O198),$O$2:$O$1001,0),0), INDEX($V$1004:$AE$1004,1,MATCH(COLUMNS($V$1006:AC1006),$V$1006:$AE$1006,0)))),"Fix")))</f>
        <v>0</v>
      </c>
      <c r="J198" s="4">
        <f>IF(OR(INDEX($P$2:$P$1001,MATCH(ROWS($O$2:O198),$O$2:$O$1001,0),1)&gt;=100000,INDEX($V$1005:$AE$1005,1,MATCH(COLUMNS($V$1006:AD1006),$V$1006:$AE$1006,0))&gt;=100000), " ",IF(INDEX($V$2:$AE$1001,MATCH(ROWS($O$2:O198),$O$2:$O$1001,0),MATCH(COLUMNS($V$1006:AD1006),$V$1006:$AE$1006,0)), HYPERLINK("#",""), HYPERLINK(CONCATENATE("#Metadata!", ADDRESS(INDEX($Q$2:$Q$1001,MATCH(ROWS($O$2:O198),$O$2:$O$1001,0),0), INDEX($V$1004:$AE$1004,1,MATCH(COLUMNS($V$1006:AD1006),$V$1006:$AE$1006,0)))),"Fix")))</f>
        <v>0</v>
      </c>
      <c r="K198" s="4">
        <f>IF(OR(INDEX($P$2:$P$1001,MATCH(ROWS($O$2:O198),$O$2:$O$1001,0),1)&gt;=100000,INDEX($V$1005:$AE$1005,1,MATCH(COLUMNS($V$1006:AE1006),$V$1006:$AE$1006,0))&gt;=100000), " ",IF(INDEX($V$2:$AE$1001,MATCH(ROWS($O$2:O198),$O$2:$O$1001,0),MATCH(COLUMNS($V$1006:AE1006),$V$1006:$AE$1006,0)), HYPERLINK("#",""), HYPERLINK(CONCATENATE("#Metadata!", ADDRESS(INDEX($Q$2:$Q$1001,MATCH(ROWS($O$2:O198),$O$2:$O$1001,0),0), INDEX($V$1004:$AE$1004,1,MATCH(COLUMNS($V$1006:AE1006),$V$1006:$AE$1006,0)))),"Fix")))</f>
        <v>0</v>
      </c>
      <c r="O198">
        <v>0</v>
      </c>
      <c r="P198">
        <v>0</v>
      </c>
      <c r="Q198">
        <v>0</v>
      </c>
      <c r="R198">
        <f>IF(S198,TRUE,AND(V198:AE198))</f>
        <v>0</v>
      </c>
      <c r="S198">
        <f>COUNTBLANK(Metadata!B198:K198)=COLUMNS(Metadata!B198:K198)</f>
        <v>0</v>
      </c>
      <c r="T198">
        <v>0</v>
      </c>
      <c r="V198">
        <f>AND(IF(Metadata!B198="",FALSE,TRUE),COUNTIF(Metadata!B:B, Metadata!B198) = 1,NOT(ISERROR(SUMPRODUCT(SEARCH(MID(Metadata!B198,ROW(INDIRECT("1:"&amp;LEN(Metadata!B198))), 1),"0123456789abcdefghijklmnopqrstuvwxyzABCDEFGHIJKLMNOPQRSTUVWXYZ.")))))</f>
        <v>0</v>
      </c>
      <c r="W198">
        <f>AND(IF(Metadata!C198="",FALSE,TRUE),exact(Metadata!C198,"urban biome"))</f>
        <v>0</v>
      </c>
      <c r="X198">
        <f>AND(IF(Metadata!D198="",FALSE,TRUE),exact(Metadata!D198,"animal-associated habitat"))</f>
        <v>0</v>
      </c>
      <c r="Y198">
        <f>OR(AND(IF(Metadata!E198="",FALSE,TRUE),OR(exact(Metadata!E198,"not applicable"),exact(Metadata!E198,"missing: not collected"),exact(Metadata!E198,"missing: not provided"),exact(Metadata!E198,"missing: restricted access"))),AND(IF(Metadata!E198="",FALSE,ISNUMBER(VALUE(Metadata!E198))),Metadata!E198&gt;0))</f>
        <v>0</v>
      </c>
      <c r="Z198">
        <f>AND(IF(Metadata!F198="",FALSE,TRUE),exact(Metadata!F198,"weeks"))</f>
        <v>0</v>
      </c>
      <c r="AA198">
        <f>AND(IF(Metadata!G198="",FALSE,TRUE),exact(Metadata!G198,"mouse"))</f>
        <v>0</v>
      </c>
      <c r="AB198">
        <f>AND(IF(Metadata!H198="",FALSE,TRUE),exact(Metadata!H198,"Mus musculus"))</f>
        <v>0</v>
      </c>
      <c r="AC198">
        <f>AND(IF(Metadata!I198="",FALSE,TRUE),exact(Metadata!I198,"10090"))</f>
        <v>0</v>
      </c>
      <c r="AD198">
        <f>OR(AND(IF(Metadata!J198="",FALSE,TRUE),OR(exact(Metadata!J198,"not applicable"),exact(Metadata!J198,"missing: not collected"),exact(Metadata!J198,"missing: not provided"),exact(Metadata!J198,"missing: restricted access"))),AND(IF(Metadata!J198="",FALSE,ISNUMBER(VALUE(Metadata!J198))),Metadata!J198&gt;0))</f>
        <v>0</v>
      </c>
      <c r="AE198">
        <f>AND(IF(Metadata!K198="",FALSE,TRUE),exact(Metadata!K198,"g"))</f>
        <v>0</v>
      </c>
    </row>
    <row r="199" spans="1:31">
      <c r="A199" s="5">
        <f>IF(B199=" "," ",HYPERLINK(CONCATENATE("#metadata!",ADDRESS(INDEX($Q$2:$Q$1001,MATCH(ROWS($O$2:O199),$O$2:$O$1001,0),0),1)),INDEX($T$2:$T$1001,MATCH(ROWS($O$2:O199),$O$2:$O$1001,0),0)))</f>
        <v>0</v>
      </c>
      <c r="B199" s="4">
        <f>IF(OR(INDEX($P$2:$P$1001,MATCH(ROWS($O$2:O199),$O$2:$O$1001,0),1)&gt;=100000,INDEX($V$1005:$AE$1005,1,MATCH(COLUMNS($V$1006:V1006),$V$1006:$AE$1006,0))&gt;=100000), " ",IF(INDEX($V$2:$AE$1001,MATCH(ROWS($O$2:O199),$O$2:$O$1001,0),MATCH(COLUMNS($V$1006:V1006),$V$1006:$AE$1006,0)), HYPERLINK("#",""), HYPERLINK(CONCATENATE("#Metadata!", ADDRESS(INDEX($Q$2:$Q$1001,MATCH(ROWS($O$2:O199),$O$2:$O$1001,0),0), INDEX($V$1004:$AE$1004,1,MATCH(COLUMNS($V$1006:V1006),$V$1006:$AE$1006,0)))),"Fix")))</f>
        <v>0</v>
      </c>
      <c r="C199" s="4">
        <f>IF(OR(INDEX($P$2:$P$1001,MATCH(ROWS($O$2:O199),$O$2:$O$1001,0),1)&gt;=100000,INDEX($V$1005:$AE$1005,1,MATCH(COLUMNS($V$1006:W1006),$V$1006:$AE$1006,0))&gt;=100000), " ",IF(INDEX($V$2:$AE$1001,MATCH(ROWS($O$2:O199),$O$2:$O$1001,0),MATCH(COLUMNS($V$1006:W1006),$V$1006:$AE$1006,0)), HYPERLINK("#",""), HYPERLINK(CONCATENATE("#Metadata!", ADDRESS(INDEX($Q$2:$Q$1001,MATCH(ROWS($O$2:O199),$O$2:$O$1001,0),0), INDEX($V$1004:$AE$1004,1,MATCH(COLUMNS($V$1006:W1006),$V$1006:$AE$1006,0)))),"Fix")))</f>
        <v>0</v>
      </c>
      <c r="D199" s="4">
        <f>IF(OR(INDEX($P$2:$P$1001,MATCH(ROWS($O$2:O199),$O$2:$O$1001,0),1)&gt;=100000,INDEX($V$1005:$AE$1005,1,MATCH(COLUMNS($V$1006:X1006),$V$1006:$AE$1006,0))&gt;=100000), " ",IF(INDEX($V$2:$AE$1001,MATCH(ROWS($O$2:O199),$O$2:$O$1001,0),MATCH(COLUMNS($V$1006:X1006),$V$1006:$AE$1006,0)), HYPERLINK("#",""), HYPERLINK(CONCATENATE("#Metadata!", ADDRESS(INDEX($Q$2:$Q$1001,MATCH(ROWS($O$2:O199),$O$2:$O$1001,0),0), INDEX($V$1004:$AE$1004,1,MATCH(COLUMNS($V$1006:X1006),$V$1006:$AE$1006,0)))),"Fix")))</f>
        <v>0</v>
      </c>
      <c r="E199" s="4">
        <f>IF(OR(INDEX($P$2:$P$1001,MATCH(ROWS($O$2:O199),$O$2:$O$1001,0),1)&gt;=100000,INDEX($V$1005:$AE$1005,1,MATCH(COLUMNS($V$1006:Y1006),$V$1006:$AE$1006,0))&gt;=100000), " ",IF(INDEX($V$2:$AE$1001,MATCH(ROWS($O$2:O199),$O$2:$O$1001,0),MATCH(COLUMNS($V$1006:Y1006),$V$1006:$AE$1006,0)), HYPERLINK("#",""), HYPERLINK(CONCATENATE("#Metadata!", ADDRESS(INDEX($Q$2:$Q$1001,MATCH(ROWS($O$2:O199),$O$2:$O$1001,0),0), INDEX($V$1004:$AE$1004,1,MATCH(COLUMNS($V$1006:Y1006),$V$1006:$AE$1006,0)))),"Fix")))</f>
        <v>0</v>
      </c>
      <c r="F199" s="4">
        <f>IF(OR(INDEX($P$2:$P$1001,MATCH(ROWS($O$2:O199),$O$2:$O$1001,0),1)&gt;=100000,INDEX($V$1005:$AE$1005,1,MATCH(COLUMNS($V$1006:Z1006),$V$1006:$AE$1006,0))&gt;=100000), " ",IF(INDEX($V$2:$AE$1001,MATCH(ROWS($O$2:O199),$O$2:$O$1001,0),MATCH(COLUMNS($V$1006:Z1006),$V$1006:$AE$1006,0)), HYPERLINK("#",""), HYPERLINK(CONCATENATE("#Metadata!", ADDRESS(INDEX($Q$2:$Q$1001,MATCH(ROWS($O$2:O199),$O$2:$O$1001,0),0), INDEX($V$1004:$AE$1004,1,MATCH(COLUMNS($V$1006:Z1006),$V$1006:$AE$1006,0)))),"Fix")))</f>
        <v>0</v>
      </c>
      <c r="G199" s="4">
        <f>IF(OR(INDEX($P$2:$P$1001,MATCH(ROWS($O$2:O199),$O$2:$O$1001,0),1)&gt;=100000,INDEX($V$1005:$AE$1005,1,MATCH(COLUMNS($V$1006:AA1006),$V$1006:$AE$1006,0))&gt;=100000), " ",IF(INDEX($V$2:$AE$1001,MATCH(ROWS($O$2:O199),$O$2:$O$1001,0),MATCH(COLUMNS($V$1006:AA1006),$V$1006:$AE$1006,0)), HYPERLINK("#",""), HYPERLINK(CONCATENATE("#Metadata!", ADDRESS(INDEX($Q$2:$Q$1001,MATCH(ROWS($O$2:O199),$O$2:$O$1001,0),0), INDEX($V$1004:$AE$1004,1,MATCH(COLUMNS($V$1006:AA1006),$V$1006:$AE$1006,0)))),"Fix")))</f>
        <v>0</v>
      </c>
      <c r="H199" s="4">
        <f>IF(OR(INDEX($P$2:$P$1001,MATCH(ROWS($O$2:O199),$O$2:$O$1001,0),1)&gt;=100000,INDEX($V$1005:$AE$1005,1,MATCH(COLUMNS($V$1006:AB1006),$V$1006:$AE$1006,0))&gt;=100000), " ",IF(INDEX($V$2:$AE$1001,MATCH(ROWS($O$2:O199),$O$2:$O$1001,0),MATCH(COLUMNS($V$1006:AB1006),$V$1006:$AE$1006,0)), HYPERLINK("#",""), HYPERLINK(CONCATENATE("#Metadata!", ADDRESS(INDEX($Q$2:$Q$1001,MATCH(ROWS($O$2:O199),$O$2:$O$1001,0),0), INDEX($V$1004:$AE$1004,1,MATCH(COLUMNS($V$1006:AB1006),$V$1006:$AE$1006,0)))),"Fix")))</f>
        <v>0</v>
      </c>
      <c r="I199" s="4">
        <f>IF(OR(INDEX($P$2:$P$1001,MATCH(ROWS($O$2:O199),$O$2:$O$1001,0),1)&gt;=100000,INDEX($V$1005:$AE$1005,1,MATCH(COLUMNS($V$1006:AC1006),$V$1006:$AE$1006,0))&gt;=100000), " ",IF(INDEX($V$2:$AE$1001,MATCH(ROWS($O$2:O199),$O$2:$O$1001,0),MATCH(COLUMNS($V$1006:AC1006),$V$1006:$AE$1006,0)), HYPERLINK("#",""), HYPERLINK(CONCATENATE("#Metadata!", ADDRESS(INDEX($Q$2:$Q$1001,MATCH(ROWS($O$2:O199),$O$2:$O$1001,0),0), INDEX($V$1004:$AE$1004,1,MATCH(COLUMNS($V$1006:AC1006),$V$1006:$AE$1006,0)))),"Fix")))</f>
        <v>0</v>
      </c>
      <c r="J199" s="4">
        <f>IF(OR(INDEX($P$2:$P$1001,MATCH(ROWS($O$2:O199),$O$2:$O$1001,0),1)&gt;=100000,INDEX($V$1005:$AE$1005,1,MATCH(COLUMNS($V$1006:AD1006),$V$1006:$AE$1006,0))&gt;=100000), " ",IF(INDEX($V$2:$AE$1001,MATCH(ROWS($O$2:O199),$O$2:$O$1001,0),MATCH(COLUMNS($V$1006:AD1006),$V$1006:$AE$1006,0)), HYPERLINK("#",""), HYPERLINK(CONCATENATE("#Metadata!", ADDRESS(INDEX($Q$2:$Q$1001,MATCH(ROWS($O$2:O199),$O$2:$O$1001,0),0), INDEX($V$1004:$AE$1004,1,MATCH(COLUMNS($V$1006:AD1006),$V$1006:$AE$1006,0)))),"Fix")))</f>
        <v>0</v>
      </c>
      <c r="K199" s="4">
        <f>IF(OR(INDEX($P$2:$P$1001,MATCH(ROWS($O$2:O199),$O$2:$O$1001,0),1)&gt;=100000,INDEX($V$1005:$AE$1005,1,MATCH(COLUMNS($V$1006:AE1006),$V$1006:$AE$1006,0))&gt;=100000), " ",IF(INDEX($V$2:$AE$1001,MATCH(ROWS($O$2:O199),$O$2:$O$1001,0),MATCH(COLUMNS($V$1006:AE1006),$V$1006:$AE$1006,0)), HYPERLINK("#",""), HYPERLINK(CONCATENATE("#Metadata!", ADDRESS(INDEX($Q$2:$Q$1001,MATCH(ROWS($O$2:O199),$O$2:$O$1001,0),0), INDEX($V$1004:$AE$1004,1,MATCH(COLUMNS($V$1006:AE1006),$V$1006:$AE$1006,0)))),"Fix")))</f>
        <v>0</v>
      </c>
      <c r="O199">
        <v>0</v>
      </c>
      <c r="P199">
        <v>0</v>
      </c>
      <c r="Q199">
        <v>0</v>
      </c>
      <c r="R199">
        <f>IF(S199,TRUE,AND(V199:AE199))</f>
        <v>0</v>
      </c>
      <c r="S199">
        <f>COUNTBLANK(Metadata!B199:K199)=COLUMNS(Metadata!B199:K199)</f>
        <v>0</v>
      </c>
      <c r="T199">
        <v>0</v>
      </c>
      <c r="V199">
        <f>AND(IF(Metadata!B199="",FALSE,TRUE),COUNTIF(Metadata!B:B, Metadata!B199) = 1,NOT(ISERROR(SUMPRODUCT(SEARCH(MID(Metadata!B199,ROW(INDIRECT("1:"&amp;LEN(Metadata!B199))), 1),"0123456789abcdefghijklmnopqrstuvwxyzABCDEFGHIJKLMNOPQRSTUVWXYZ.")))))</f>
        <v>0</v>
      </c>
      <c r="W199">
        <f>AND(IF(Metadata!C199="",FALSE,TRUE),exact(Metadata!C199,"urban biome"))</f>
        <v>0</v>
      </c>
      <c r="X199">
        <f>AND(IF(Metadata!D199="",FALSE,TRUE),exact(Metadata!D199,"animal-associated habitat"))</f>
        <v>0</v>
      </c>
      <c r="Y199">
        <f>OR(AND(IF(Metadata!E199="",FALSE,TRUE),OR(exact(Metadata!E199,"not applicable"),exact(Metadata!E199,"missing: not collected"),exact(Metadata!E199,"missing: not provided"),exact(Metadata!E199,"missing: restricted access"))),AND(IF(Metadata!E199="",FALSE,ISNUMBER(VALUE(Metadata!E199))),Metadata!E199&gt;0))</f>
        <v>0</v>
      </c>
      <c r="Z199">
        <f>AND(IF(Metadata!F199="",FALSE,TRUE),exact(Metadata!F199,"weeks"))</f>
        <v>0</v>
      </c>
      <c r="AA199">
        <f>AND(IF(Metadata!G199="",FALSE,TRUE),exact(Metadata!G199,"mouse"))</f>
        <v>0</v>
      </c>
      <c r="AB199">
        <f>AND(IF(Metadata!H199="",FALSE,TRUE),exact(Metadata!H199,"Mus musculus"))</f>
        <v>0</v>
      </c>
      <c r="AC199">
        <f>AND(IF(Metadata!I199="",FALSE,TRUE),exact(Metadata!I199,"10090"))</f>
        <v>0</v>
      </c>
      <c r="AD199">
        <f>OR(AND(IF(Metadata!J199="",FALSE,TRUE),OR(exact(Metadata!J199,"not applicable"),exact(Metadata!J199,"missing: not collected"),exact(Metadata!J199,"missing: not provided"),exact(Metadata!J199,"missing: restricted access"))),AND(IF(Metadata!J199="",FALSE,ISNUMBER(VALUE(Metadata!J199))),Metadata!J199&gt;0))</f>
        <v>0</v>
      </c>
      <c r="AE199">
        <f>AND(IF(Metadata!K199="",FALSE,TRUE),exact(Metadata!K199,"g"))</f>
        <v>0</v>
      </c>
    </row>
    <row r="200" spans="1:31">
      <c r="A200" s="5">
        <f>IF(B200=" "," ",HYPERLINK(CONCATENATE("#metadata!",ADDRESS(INDEX($Q$2:$Q$1001,MATCH(ROWS($O$2:O200),$O$2:$O$1001,0),0),1)),INDEX($T$2:$T$1001,MATCH(ROWS($O$2:O200),$O$2:$O$1001,0),0)))</f>
        <v>0</v>
      </c>
      <c r="B200" s="4">
        <f>IF(OR(INDEX($P$2:$P$1001,MATCH(ROWS($O$2:O200),$O$2:$O$1001,0),1)&gt;=100000,INDEX($V$1005:$AE$1005,1,MATCH(COLUMNS($V$1006:V1006),$V$1006:$AE$1006,0))&gt;=100000), " ",IF(INDEX($V$2:$AE$1001,MATCH(ROWS($O$2:O200),$O$2:$O$1001,0),MATCH(COLUMNS($V$1006:V1006),$V$1006:$AE$1006,0)), HYPERLINK("#",""), HYPERLINK(CONCATENATE("#Metadata!", ADDRESS(INDEX($Q$2:$Q$1001,MATCH(ROWS($O$2:O200),$O$2:$O$1001,0),0), INDEX($V$1004:$AE$1004,1,MATCH(COLUMNS($V$1006:V1006),$V$1006:$AE$1006,0)))),"Fix")))</f>
        <v>0</v>
      </c>
      <c r="C200" s="4">
        <f>IF(OR(INDEX($P$2:$P$1001,MATCH(ROWS($O$2:O200),$O$2:$O$1001,0),1)&gt;=100000,INDEX($V$1005:$AE$1005,1,MATCH(COLUMNS($V$1006:W1006),$V$1006:$AE$1006,0))&gt;=100000), " ",IF(INDEX($V$2:$AE$1001,MATCH(ROWS($O$2:O200),$O$2:$O$1001,0),MATCH(COLUMNS($V$1006:W1006),$V$1006:$AE$1006,0)), HYPERLINK("#",""), HYPERLINK(CONCATENATE("#Metadata!", ADDRESS(INDEX($Q$2:$Q$1001,MATCH(ROWS($O$2:O200),$O$2:$O$1001,0),0), INDEX($V$1004:$AE$1004,1,MATCH(COLUMNS($V$1006:W1006),$V$1006:$AE$1006,0)))),"Fix")))</f>
        <v>0</v>
      </c>
      <c r="D200" s="4">
        <f>IF(OR(INDEX($P$2:$P$1001,MATCH(ROWS($O$2:O200),$O$2:$O$1001,0),1)&gt;=100000,INDEX($V$1005:$AE$1005,1,MATCH(COLUMNS($V$1006:X1006),$V$1006:$AE$1006,0))&gt;=100000), " ",IF(INDEX($V$2:$AE$1001,MATCH(ROWS($O$2:O200),$O$2:$O$1001,0),MATCH(COLUMNS($V$1006:X1006),$V$1006:$AE$1006,0)), HYPERLINK("#",""), HYPERLINK(CONCATENATE("#Metadata!", ADDRESS(INDEX($Q$2:$Q$1001,MATCH(ROWS($O$2:O200),$O$2:$O$1001,0),0), INDEX($V$1004:$AE$1004,1,MATCH(COLUMNS($V$1006:X1006),$V$1006:$AE$1006,0)))),"Fix")))</f>
        <v>0</v>
      </c>
      <c r="E200" s="4">
        <f>IF(OR(INDEX($P$2:$P$1001,MATCH(ROWS($O$2:O200),$O$2:$O$1001,0),1)&gt;=100000,INDEX($V$1005:$AE$1005,1,MATCH(COLUMNS($V$1006:Y1006),$V$1006:$AE$1006,0))&gt;=100000), " ",IF(INDEX($V$2:$AE$1001,MATCH(ROWS($O$2:O200),$O$2:$O$1001,0),MATCH(COLUMNS($V$1006:Y1006),$V$1006:$AE$1006,0)), HYPERLINK("#",""), HYPERLINK(CONCATENATE("#Metadata!", ADDRESS(INDEX($Q$2:$Q$1001,MATCH(ROWS($O$2:O200),$O$2:$O$1001,0),0), INDEX($V$1004:$AE$1004,1,MATCH(COLUMNS($V$1006:Y1006),$V$1006:$AE$1006,0)))),"Fix")))</f>
        <v>0</v>
      </c>
      <c r="F200" s="4">
        <f>IF(OR(INDEX($P$2:$P$1001,MATCH(ROWS($O$2:O200),$O$2:$O$1001,0),1)&gt;=100000,INDEX($V$1005:$AE$1005,1,MATCH(COLUMNS($V$1006:Z1006),$V$1006:$AE$1006,0))&gt;=100000), " ",IF(INDEX($V$2:$AE$1001,MATCH(ROWS($O$2:O200),$O$2:$O$1001,0),MATCH(COLUMNS($V$1006:Z1006),$V$1006:$AE$1006,0)), HYPERLINK("#",""), HYPERLINK(CONCATENATE("#Metadata!", ADDRESS(INDEX($Q$2:$Q$1001,MATCH(ROWS($O$2:O200),$O$2:$O$1001,0),0), INDEX($V$1004:$AE$1004,1,MATCH(COLUMNS($V$1006:Z1006),$V$1006:$AE$1006,0)))),"Fix")))</f>
        <v>0</v>
      </c>
      <c r="G200" s="4">
        <f>IF(OR(INDEX($P$2:$P$1001,MATCH(ROWS($O$2:O200),$O$2:$O$1001,0),1)&gt;=100000,INDEX($V$1005:$AE$1005,1,MATCH(COLUMNS($V$1006:AA1006),$V$1006:$AE$1006,0))&gt;=100000), " ",IF(INDEX($V$2:$AE$1001,MATCH(ROWS($O$2:O200),$O$2:$O$1001,0),MATCH(COLUMNS($V$1006:AA1006),$V$1006:$AE$1006,0)), HYPERLINK("#",""), HYPERLINK(CONCATENATE("#Metadata!", ADDRESS(INDEX($Q$2:$Q$1001,MATCH(ROWS($O$2:O200),$O$2:$O$1001,0),0), INDEX($V$1004:$AE$1004,1,MATCH(COLUMNS($V$1006:AA1006),$V$1006:$AE$1006,0)))),"Fix")))</f>
        <v>0</v>
      </c>
      <c r="H200" s="4">
        <f>IF(OR(INDEX($P$2:$P$1001,MATCH(ROWS($O$2:O200),$O$2:$O$1001,0),1)&gt;=100000,INDEX($V$1005:$AE$1005,1,MATCH(COLUMNS($V$1006:AB1006),$V$1006:$AE$1006,0))&gt;=100000), " ",IF(INDEX($V$2:$AE$1001,MATCH(ROWS($O$2:O200),$O$2:$O$1001,0),MATCH(COLUMNS($V$1006:AB1006),$V$1006:$AE$1006,0)), HYPERLINK("#",""), HYPERLINK(CONCATENATE("#Metadata!", ADDRESS(INDEX($Q$2:$Q$1001,MATCH(ROWS($O$2:O200),$O$2:$O$1001,0),0), INDEX($V$1004:$AE$1004,1,MATCH(COLUMNS($V$1006:AB1006),$V$1006:$AE$1006,0)))),"Fix")))</f>
        <v>0</v>
      </c>
      <c r="I200" s="4">
        <f>IF(OR(INDEX($P$2:$P$1001,MATCH(ROWS($O$2:O200),$O$2:$O$1001,0),1)&gt;=100000,INDEX($V$1005:$AE$1005,1,MATCH(COLUMNS($V$1006:AC1006),$V$1006:$AE$1006,0))&gt;=100000), " ",IF(INDEX($V$2:$AE$1001,MATCH(ROWS($O$2:O200),$O$2:$O$1001,0),MATCH(COLUMNS($V$1006:AC1006),$V$1006:$AE$1006,0)), HYPERLINK("#",""), HYPERLINK(CONCATENATE("#Metadata!", ADDRESS(INDEX($Q$2:$Q$1001,MATCH(ROWS($O$2:O200),$O$2:$O$1001,0),0), INDEX($V$1004:$AE$1004,1,MATCH(COLUMNS($V$1006:AC1006),$V$1006:$AE$1006,0)))),"Fix")))</f>
        <v>0</v>
      </c>
      <c r="J200" s="4">
        <f>IF(OR(INDEX($P$2:$P$1001,MATCH(ROWS($O$2:O200),$O$2:$O$1001,0),1)&gt;=100000,INDEX($V$1005:$AE$1005,1,MATCH(COLUMNS($V$1006:AD1006),$V$1006:$AE$1006,0))&gt;=100000), " ",IF(INDEX($V$2:$AE$1001,MATCH(ROWS($O$2:O200),$O$2:$O$1001,0),MATCH(COLUMNS($V$1006:AD1006),$V$1006:$AE$1006,0)), HYPERLINK("#",""), HYPERLINK(CONCATENATE("#Metadata!", ADDRESS(INDEX($Q$2:$Q$1001,MATCH(ROWS($O$2:O200),$O$2:$O$1001,0),0), INDEX($V$1004:$AE$1004,1,MATCH(COLUMNS($V$1006:AD1006),$V$1006:$AE$1006,0)))),"Fix")))</f>
        <v>0</v>
      </c>
      <c r="K200" s="4">
        <f>IF(OR(INDEX($P$2:$P$1001,MATCH(ROWS($O$2:O200),$O$2:$O$1001,0),1)&gt;=100000,INDEX($V$1005:$AE$1005,1,MATCH(COLUMNS($V$1006:AE1006),$V$1006:$AE$1006,0))&gt;=100000), " ",IF(INDEX($V$2:$AE$1001,MATCH(ROWS($O$2:O200),$O$2:$O$1001,0),MATCH(COLUMNS($V$1006:AE1006),$V$1006:$AE$1006,0)), HYPERLINK("#",""), HYPERLINK(CONCATENATE("#Metadata!", ADDRESS(INDEX($Q$2:$Q$1001,MATCH(ROWS($O$2:O200),$O$2:$O$1001,0),0), INDEX($V$1004:$AE$1004,1,MATCH(COLUMNS($V$1006:AE1006),$V$1006:$AE$1006,0)))),"Fix")))</f>
        <v>0</v>
      </c>
      <c r="O200">
        <v>0</v>
      </c>
      <c r="P200">
        <v>0</v>
      </c>
      <c r="Q200">
        <v>0</v>
      </c>
      <c r="R200">
        <f>IF(S200,TRUE,AND(V200:AE200))</f>
        <v>0</v>
      </c>
      <c r="S200">
        <f>COUNTBLANK(Metadata!B200:K200)=COLUMNS(Metadata!B200:K200)</f>
        <v>0</v>
      </c>
      <c r="T200">
        <v>0</v>
      </c>
      <c r="V200">
        <f>AND(IF(Metadata!B200="",FALSE,TRUE),COUNTIF(Metadata!B:B, Metadata!B200) = 1,NOT(ISERROR(SUMPRODUCT(SEARCH(MID(Metadata!B200,ROW(INDIRECT("1:"&amp;LEN(Metadata!B200))), 1),"0123456789abcdefghijklmnopqrstuvwxyzABCDEFGHIJKLMNOPQRSTUVWXYZ.")))))</f>
        <v>0</v>
      </c>
      <c r="W200">
        <f>AND(IF(Metadata!C200="",FALSE,TRUE),exact(Metadata!C200,"urban biome"))</f>
        <v>0</v>
      </c>
      <c r="X200">
        <f>AND(IF(Metadata!D200="",FALSE,TRUE),exact(Metadata!D200,"animal-associated habitat"))</f>
        <v>0</v>
      </c>
      <c r="Y200">
        <f>OR(AND(IF(Metadata!E200="",FALSE,TRUE),OR(exact(Metadata!E200,"not applicable"),exact(Metadata!E200,"missing: not collected"),exact(Metadata!E200,"missing: not provided"),exact(Metadata!E200,"missing: restricted access"))),AND(IF(Metadata!E200="",FALSE,ISNUMBER(VALUE(Metadata!E200))),Metadata!E200&gt;0))</f>
        <v>0</v>
      </c>
      <c r="Z200">
        <f>AND(IF(Metadata!F200="",FALSE,TRUE),exact(Metadata!F200,"weeks"))</f>
        <v>0</v>
      </c>
      <c r="AA200">
        <f>AND(IF(Metadata!G200="",FALSE,TRUE),exact(Metadata!G200,"mouse"))</f>
        <v>0</v>
      </c>
      <c r="AB200">
        <f>AND(IF(Metadata!H200="",FALSE,TRUE),exact(Metadata!H200,"Mus musculus"))</f>
        <v>0</v>
      </c>
      <c r="AC200">
        <f>AND(IF(Metadata!I200="",FALSE,TRUE),exact(Metadata!I200,"10090"))</f>
        <v>0</v>
      </c>
      <c r="AD200">
        <f>OR(AND(IF(Metadata!J200="",FALSE,TRUE),OR(exact(Metadata!J200,"not applicable"),exact(Metadata!J200,"missing: not collected"),exact(Metadata!J200,"missing: not provided"),exact(Metadata!J200,"missing: restricted access"))),AND(IF(Metadata!J200="",FALSE,ISNUMBER(VALUE(Metadata!J200))),Metadata!J200&gt;0))</f>
        <v>0</v>
      </c>
      <c r="AE200">
        <f>AND(IF(Metadata!K200="",FALSE,TRUE),exact(Metadata!K200,"g"))</f>
        <v>0</v>
      </c>
    </row>
    <row r="201" spans="1:31">
      <c r="A201" s="5">
        <f>IF(B201=" "," ",HYPERLINK(CONCATENATE("#metadata!",ADDRESS(INDEX($Q$2:$Q$1001,MATCH(ROWS($O$2:O201),$O$2:$O$1001,0),0),1)),INDEX($T$2:$T$1001,MATCH(ROWS($O$2:O201),$O$2:$O$1001,0),0)))</f>
        <v>0</v>
      </c>
      <c r="B201" s="4">
        <f>IF(OR(INDEX($P$2:$P$1001,MATCH(ROWS($O$2:O201),$O$2:$O$1001,0),1)&gt;=100000,INDEX($V$1005:$AE$1005,1,MATCH(COLUMNS($V$1006:V1006),$V$1006:$AE$1006,0))&gt;=100000), " ",IF(INDEX($V$2:$AE$1001,MATCH(ROWS($O$2:O201),$O$2:$O$1001,0),MATCH(COLUMNS($V$1006:V1006),$V$1006:$AE$1006,0)), HYPERLINK("#",""), HYPERLINK(CONCATENATE("#Metadata!", ADDRESS(INDEX($Q$2:$Q$1001,MATCH(ROWS($O$2:O201),$O$2:$O$1001,0),0), INDEX($V$1004:$AE$1004,1,MATCH(COLUMNS($V$1006:V1006),$V$1006:$AE$1006,0)))),"Fix")))</f>
        <v>0</v>
      </c>
      <c r="C201" s="4">
        <f>IF(OR(INDEX($P$2:$P$1001,MATCH(ROWS($O$2:O201),$O$2:$O$1001,0),1)&gt;=100000,INDEX($V$1005:$AE$1005,1,MATCH(COLUMNS($V$1006:W1006),$V$1006:$AE$1006,0))&gt;=100000), " ",IF(INDEX($V$2:$AE$1001,MATCH(ROWS($O$2:O201),$O$2:$O$1001,0),MATCH(COLUMNS($V$1006:W1006),$V$1006:$AE$1006,0)), HYPERLINK("#",""), HYPERLINK(CONCATENATE("#Metadata!", ADDRESS(INDEX($Q$2:$Q$1001,MATCH(ROWS($O$2:O201),$O$2:$O$1001,0),0), INDEX($V$1004:$AE$1004,1,MATCH(COLUMNS($V$1006:W1006),$V$1006:$AE$1006,0)))),"Fix")))</f>
        <v>0</v>
      </c>
      <c r="D201" s="4">
        <f>IF(OR(INDEX($P$2:$P$1001,MATCH(ROWS($O$2:O201),$O$2:$O$1001,0),1)&gt;=100000,INDEX($V$1005:$AE$1005,1,MATCH(COLUMNS($V$1006:X1006),$V$1006:$AE$1006,0))&gt;=100000), " ",IF(INDEX($V$2:$AE$1001,MATCH(ROWS($O$2:O201),$O$2:$O$1001,0),MATCH(COLUMNS($V$1006:X1006),$V$1006:$AE$1006,0)), HYPERLINK("#",""), HYPERLINK(CONCATENATE("#Metadata!", ADDRESS(INDEX($Q$2:$Q$1001,MATCH(ROWS($O$2:O201),$O$2:$O$1001,0),0), INDEX($V$1004:$AE$1004,1,MATCH(COLUMNS($V$1006:X1006),$V$1006:$AE$1006,0)))),"Fix")))</f>
        <v>0</v>
      </c>
      <c r="E201" s="4">
        <f>IF(OR(INDEX($P$2:$P$1001,MATCH(ROWS($O$2:O201),$O$2:$O$1001,0),1)&gt;=100000,INDEX($V$1005:$AE$1005,1,MATCH(COLUMNS($V$1006:Y1006),$V$1006:$AE$1006,0))&gt;=100000), " ",IF(INDEX($V$2:$AE$1001,MATCH(ROWS($O$2:O201),$O$2:$O$1001,0),MATCH(COLUMNS($V$1006:Y1006),$V$1006:$AE$1006,0)), HYPERLINK("#",""), HYPERLINK(CONCATENATE("#Metadata!", ADDRESS(INDEX($Q$2:$Q$1001,MATCH(ROWS($O$2:O201),$O$2:$O$1001,0),0), INDEX($V$1004:$AE$1004,1,MATCH(COLUMNS($V$1006:Y1006),$V$1006:$AE$1006,0)))),"Fix")))</f>
        <v>0</v>
      </c>
      <c r="F201" s="4">
        <f>IF(OR(INDEX($P$2:$P$1001,MATCH(ROWS($O$2:O201),$O$2:$O$1001,0),1)&gt;=100000,INDEX($V$1005:$AE$1005,1,MATCH(COLUMNS($V$1006:Z1006),$V$1006:$AE$1006,0))&gt;=100000), " ",IF(INDEX($V$2:$AE$1001,MATCH(ROWS($O$2:O201),$O$2:$O$1001,0),MATCH(COLUMNS($V$1006:Z1006),$V$1006:$AE$1006,0)), HYPERLINK("#",""), HYPERLINK(CONCATENATE("#Metadata!", ADDRESS(INDEX($Q$2:$Q$1001,MATCH(ROWS($O$2:O201),$O$2:$O$1001,0),0), INDEX($V$1004:$AE$1004,1,MATCH(COLUMNS($V$1006:Z1006),$V$1006:$AE$1006,0)))),"Fix")))</f>
        <v>0</v>
      </c>
      <c r="G201" s="4">
        <f>IF(OR(INDEX($P$2:$P$1001,MATCH(ROWS($O$2:O201),$O$2:$O$1001,0),1)&gt;=100000,INDEX($V$1005:$AE$1005,1,MATCH(COLUMNS($V$1006:AA1006),$V$1006:$AE$1006,0))&gt;=100000), " ",IF(INDEX($V$2:$AE$1001,MATCH(ROWS($O$2:O201),$O$2:$O$1001,0),MATCH(COLUMNS($V$1006:AA1006),$V$1006:$AE$1006,0)), HYPERLINK("#",""), HYPERLINK(CONCATENATE("#Metadata!", ADDRESS(INDEX($Q$2:$Q$1001,MATCH(ROWS($O$2:O201),$O$2:$O$1001,0),0), INDEX($V$1004:$AE$1004,1,MATCH(COLUMNS($V$1006:AA1006),$V$1006:$AE$1006,0)))),"Fix")))</f>
        <v>0</v>
      </c>
      <c r="H201" s="4">
        <f>IF(OR(INDEX($P$2:$P$1001,MATCH(ROWS($O$2:O201),$O$2:$O$1001,0),1)&gt;=100000,INDEX($V$1005:$AE$1005,1,MATCH(COLUMNS($V$1006:AB1006),$V$1006:$AE$1006,0))&gt;=100000), " ",IF(INDEX($V$2:$AE$1001,MATCH(ROWS($O$2:O201),$O$2:$O$1001,0),MATCH(COLUMNS($V$1006:AB1006),$V$1006:$AE$1006,0)), HYPERLINK("#",""), HYPERLINK(CONCATENATE("#Metadata!", ADDRESS(INDEX($Q$2:$Q$1001,MATCH(ROWS($O$2:O201),$O$2:$O$1001,0),0), INDEX($V$1004:$AE$1004,1,MATCH(COLUMNS($V$1006:AB1006),$V$1006:$AE$1006,0)))),"Fix")))</f>
        <v>0</v>
      </c>
      <c r="I201" s="4">
        <f>IF(OR(INDEX($P$2:$P$1001,MATCH(ROWS($O$2:O201),$O$2:$O$1001,0),1)&gt;=100000,INDEX($V$1005:$AE$1005,1,MATCH(COLUMNS($V$1006:AC1006),$V$1006:$AE$1006,0))&gt;=100000), " ",IF(INDEX($V$2:$AE$1001,MATCH(ROWS($O$2:O201),$O$2:$O$1001,0),MATCH(COLUMNS($V$1006:AC1006),$V$1006:$AE$1006,0)), HYPERLINK("#",""), HYPERLINK(CONCATENATE("#Metadata!", ADDRESS(INDEX($Q$2:$Q$1001,MATCH(ROWS($O$2:O201),$O$2:$O$1001,0),0), INDEX($V$1004:$AE$1004,1,MATCH(COLUMNS($V$1006:AC1006),$V$1006:$AE$1006,0)))),"Fix")))</f>
        <v>0</v>
      </c>
      <c r="J201" s="4">
        <f>IF(OR(INDEX($P$2:$P$1001,MATCH(ROWS($O$2:O201),$O$2:$O$1001,0),1)&gt;=100000,INDEX($V$1005:$AE$1005,1,MATCH(COLUMNS($V$1006:AD1006),$V$1006:$AE$1006,0))&gt;=100000), " ",IF(INDEX($V$2:$AE$1001,MATCH(ROWS($O$2:O201),$O$2:$O$1001,0),MATCH(COLUMNS($V$1006:AD1006),$V$1006:$AE$1006,0)), HYPERLINK("#",""), HYPERLINK(CONCATENATE("#Metadata!", ADDRESS(INDEX($Q$2:$Q$1001,MATCH(ROWS($O$2:O201),$O$2:$O$1001,0),0), INDEX($V$1004:$AE$1004,1,MATCH(COLUMNS($V$1006:AD1006),$V$1006:$AE$1006,0)))),"Fix")))</f>
        <v>0</v>
      </c>
      <c r="K201" s="4">
        <f>IF(OR(INDEX($P$2:$P$1001,MATCH(ROWS($O$2:O201),$O$2:$O$1001,0),1)&gt;=100000,INDEX($V$1005:$AE$1005,1,MATCH(COLUMNS($V$1006:AE1006),$V$1006:$AE$1006,0))&gt;=100000), " ",IF(INDEX($V$2:$AE$1001,MATCH(ROWS($O$2:O201),$O$2:$O$1001,0),MATCH(COLUMNS($V$1006:AE1006),$V$1006:$AE$1006,0)), HYPERLINK("#",""), HYPERLINK(CONCATENATE("#Metadata!", ADDRESS(INDEX($Q$2:$Q$1001,MATCH(ROWS($O$2:O201),$O$2:$O$1001,0),0), INDEX($V$1004:$AE$1004,1,MATCH(COLUMNS($V$1006:AE1006),$V$1006:$AE$1006,0)))),"Fix")))</f>
        <v>0</v>
      </c>
      <c r="O201">
        <v>0</v>
      </c>
      <c r="P201">
        <v>0</v>
      </c>
      <c r="Q201">
        <v>0</v>
      </c>
      <c r="R201">
        <f>IF(S201,TRUE,AND(V201:AE201))</f>
        <v>0</v>
      </c>
      <c r="S201">
        <f>COUNTBLANK(Metadata!B201:K201)=COLUMNS(Metadata!B201:K201)</f>
        <v>0</v>
      </c>
      <c r="T201">
        <v>0</v>
      </c>
      <c r="V201">
        <f>AND(IF(Metadata!B201="",FALSE,TRUE),COUNTIF(Metadata!B:B, Metadata!B201) = 1,NOT(ISERROR(SUMPRODUCT(SEARCH(MID(Metadata!B201,ROW(INDIRECT("1:"&amp;LEN(Metadata!B201))), 1),"0123456789abcdefghijklmnopqrstuvwxyzABCDEFGHIJKLMNOPQRSTUVWXYZ.")))))</f>
        <v>0</v>
      </c>
      <c r="W201">
        <f>AND(IF(Metadata!C201="",FALSE,TRUE),exact(Metadata!C201,"urban biome"))</f>
        <v>0</v>
      </c>
      <c r="X201">
        <f>AND(IF(Metadata!D201="",FALSE,TRUE),exact(Metadata!D201,"animal-associated habitat"))</f>
        <v>0</v>
      </c>
      <c r="Y201">
        <f>OR(AND(IF(Metadata!E201="",FALSE,TRUE),OR(exact(Metadata!E201,"not applicable"),exact(Metadata!E201,"missing: not collected"),exact(Metadata!E201,"missing: not provided"),exact(Metadata!E201,"missing: restricted access"))),AND(IF(Metadata!E201="",FALSE,ISNUMBER(VALUE(Metadata!E201))),Metadata!E201&gt;0))</f>
        <v>0</v>
      </c>
      <c r="Z201">
        <f>AND(IF(Metadata!F201="",FALSE,TRUE),exact(Metadata!F201,"weeks"))</f>
        <v>0</v>
      </c>
      <c r="AA201">
        <f>AND(IF(Metadata!G201="",FALSE,TRUE),exact(Metadata!G201,"mouse"))</f>
        <v>0</v>
      </c>
      <c r="AB201">
        <f>AND(IF(Metadata!H201="",FALSE,TRUE),exact(Metadata!H201,"Mus musculus"))</f>
        <v>0</v>
      </c>
      <c r="AC201">
        <f>AND(IF(Metadata!I201="",FALSE,TRUE),exact(Metadata!I201,"10090"))</f>
        <v>0</v>
      </c>
      <c r="AD201">
        <f>OR(AND(IF(Metadata!J201="",FALSE,TRUE),OR(exact(Metadata!J201,"not applicable"),exact(Metadata!J201,"missing: not collected"),exact(Metadata!J201,"missing: not provided"),exact(Metadata!J201,"missing: restricted access"))),AND(IF(Metadata!J201="",FALSE,ISNUMBER(VALUE(Metadata!J201))),Metadata!J201&gt;0))</f>
        <v>0</v>
      </c>
      <c r="AE201">
        <f>AND(IF(Metadata!K201="",FALSE,TRUE),exact(Metadata!K201,"g"))</f>
        <v>0</v>
      </c>
    </row>
    <row r="202" spans="1:31">
      <c r="A202" s="5">
        <f>IF(B202=" "," ",HYPERLINK(CONCATENATE("#metadata!",ADDRESS(INDEX($Q$2:$Q$1001,MATCH(ROWS($O$2:O202),$O$2:$O$1001,0),0),1)),INDEX($T$2:$T$1001,MATCH(ROWS($O$2:O202),$O$2:$O$1001,0),0)))</f>
        <v>0</v>
      </c>
      <c r="B202" s="4">
        <f>IF(OR(INDEX($P$2:$P$1001,MATCH(ROWS($O$2:O202),$O$2:$O$1001,0),1)&gt;=100000,INDEX($V$1005:$AE$1005,1,MATCH(COLUMNS($V$1006:V1006),$V$1006:$AE$1006,0))&gt;=100000), " ",IF(INDEX($V$2:$AE$1001,MATCH(ROWS($O$2:O202),$O$2:$O$1001,0),MATCH(COLUMNS($V$1006:V1006),$V$1006:$AE$1006,0)), HYPERLINK("#",""), HYPERLINK(CONCATENATE("#Metadata!", ADDRESS(INDEX($Q$2:$Q$1001,MATCH(ROWS($O$2:O202),$O$2:$O$1001,0),0), INDEX($V$1004:$AE$1004,1,MATCH(COLUMNS($V$1006:V1006),$V$1006:$AE$1006,0)))),"Fix")))</f>
        <v>0</v>
      </c>
      <c r="C202" s="4">
        <f>IF(OR(INDEX($P$2:$P$1001,MATCH(ROWS($O$2:O202),$O$2:$O$1001,0),1)&gt;=100000,INDEX($V$1005:$AE$1005,1,MATCH(COLUMNS($V$1006:W1006),$V$1006:$AE$1006,0))&gt;=100000), " ",IF(INDEX($V$2:$AE$1001,MATCH(ROWS($O$2:O202),$O$2:$O$1001,0),MATCH(COLUMNS($V$1006:W1006),$V$1006:$AE$1006,0)), HYPERLINK("#",""), HYPERLINK(CONCATENATE("#Metadata!", ADDRESS(INDEX($Q$2:$Q$1001,MATCH(ROWS($O$2:O202),$O$2:$O$1001,0),0), INDEX($V$1004:$AE$1004,1,MATCH(COLUMNS($V$1006:W1006),$V$1006:$AE$1006,0)))),"Fix")))</f>
        <v>0</v>
      </c>
      <c r="D202" s="4">
        <f>IF(OR(INDEX($P$2:$P$1001,MATCH(ROWS($O$2:O202),$O$2:$O$1001,0),1)&gt;=100000,INDEX($V$1005:$AE$1005,1,MATCH(COLUMNS($V$1006:X1006),$V$1006:$AE$1006,0))&gt;=100000), " ",IF(INDEX($V$2:$AE$1001,MATCH(ROWS($O$2:O202),$O$2:$O$1001,0),MATCH(COLUMNS($V$1006:X1006),$V$1006:$AE$1006,0)), HYPERLINK("#",""), HYPERLINK(CONCATENATE("#Metadata!", ADDRESS(INDEX($Q$2:$Q$1001,MATCH(ROWS($O$2:O202),$O$2:$O$1001,0),0), INDEX($V$1004:$AE$1004,1,MATCH(COLUMNS($V$1006:X1006),$V$1006:$AE$1006,0)))),"Fix")))</f>
        <v>0</v>
      </c>
      <c r="E202" s="4">
        <f>IF(OR(INDEX($P$2:$P$1001,MATCH(ROWS($O$2:O202),$O$2:$O$1001,0),1)&gt;=100000,INDEX($V$1005:$AE$1005,1,MATCH(COLUMNS($V$1006:Y1006),$V$1006:$AE$1006,0))&gt;=100000), " ",IF(INDEX($V$2:$AE$1001,MATCH(ROWS($O$2:O202),$O$2:$O$1001,0),MATCH(COLUMNS($V$1006:Y1006),$V$1006:$AE$1006,0)), HYPERLINK("#",""), HYPERLINK(CONCATENATE("#Metadata!", ADDRESS(INDEX($Q$2:$Q$1001,MATCH(ROWS($O$2:O202),$O$2:$O$1001,0),0), INDEX($V$1004:$AE$1004,1,MATCH(COLUMNS($V$1006:Y1006),$V$1006:$AE$1006,0)))),"Fix")))</f>
        <v>0</v>
      </c>
      <c r="F202" s="4">
        <f>IF(OR(INDEX($P$2:$P$1001,MATCH(ROWS($O$2:O202),$O$2:$O$1001,0),1)&gt;=100000,INDEX($V$1005:$AE$1005,1,MATCH(COLUMNS($V$1006:Z1006),$V$1006:$AE$1006,0))&gt;=100000), " ",IF(INDEX($V$2:$AE$1001,MATCH(ROWS($O$2:O202),$O$2:$O$1001,0),MATCH(COLUMNS($V$1006:Z1006),$V$1006:$AE$1006,0)), HYPERLINK("#",""), HYPERLINK(CONCATENATE("#Metadata!", ADDRESS(INDEX($Q$2:$Q$1001,MATCH(ROWS($O$2:O202),$O$2:$O$1001,0),0), INDEX($V$1004:$AE$1004,1,MATCH(COLUMNS($V$1006:Z1006),$V$1006:$AE$1006,0)))),"Fix")))</f>
        <v>0</v>
      </c>
      <c r="G202" s="4">
        <f>IF(OR(INDEX($P$2:$P$1001,MATCH(ROWS($O$2:O202),$O$2:$O$1001,0),1)&gt;=100000,INDEX($V$1005:$AE$1005,1,MATCH(COLUMNS($V$1006:AA1006),$V$1006:$AE$1006,0))&gt;=100000), " ",IF(INDEX($V$2:$AE$1001,MATCH(ROWS($O$2:O202),$O$2:$O$1001,0),MATCH(COLUMNS($V$1006:AA1006),$V$1006:$AE$1006,0)), HYPERLINK("#",""), HYPERLINK(CONCATENATE("#Metadata!", ADDRESS(INDEX($Q$2:$Q$1001,MATCH(ROWS($O$2:O202),$O$2:$O$1001,0),0), INDEX($V$1004:$AE$1004,1,MATCH(COLUMNS($V$1006:AA1006),$V$1006:$AE$1006,0)))),"Fix")))</f>
        <v>0</v>
      </c>
      <c r="H202" s="4">
        <f>IF(OR(INDEX($P$2:$P$1001,MATCH(ROWS($O$2:O202),$O$2:$O$1001,0),1)&gt;=100000,INDEX($V$1005:$AE$1005,1,MATCH(COLUMNS($V$1006:AB1006),$V$1006:$AE$1006,0))&gt;=100000), " ",IF(INDEX($V$2:$AE$1001,MATCH(ROWS($O$2:O202),$O$2:$O$1001,0),MATCH(COLUMNS($V$1006:AB1006),$V$1006:$AE$1006,0)), HYPERLINK("#",""), HYPERLINK(CONCATENATE("#Metadata!", ADDRESS(INDEX($Q$2:$Q$1001,MATCH(ROWS($O$2:O202),$O$2:$O$1001,0),0), INDEX($V$1004:$AE$1004,1,MATCH(COLUMNS($V$1006:AB1006),$V$1006:$AE$1006,0)))),"Fix")))</f>
        <v>0</v>
      </c>
      <c r="I202" s="4">
        <f>IF(OR(INDEX($P$2:$P$1001,MATCH(ROWS($O$2:O202),$O$2:$O$1001,0),1)&gt;=100000,INDEX($V$1005:$AE$1005,1,MATCH(COLUMNS($V$1006:AC1006),$V$1006:$AE$1006,0))&gt;=100000), " ",IF(INDEX($V$2:$AE$1001,MATCH(ROWS($O$2:O202),$O$2:$O$1001,0),MATCH(COLUMNS($V$1006:AC1006),$V$1006:$AE$1006,0)), HYPERLINK("#",""), HYPERLINK(CONCATENATE("#Metadata!", ADDRESS(INDEX($Q$2:$Q$1001,MATCH(ROWS($O$2:O202),$O$2:$O$1001,0),0), INDEX($V$1004:$AE$1004,1,MATCH(COLUMNS($V$1006:AC1006),$V$1006:$AE$1006,0)))),"Fix")))</f>
        <v>0</v>
      </c>
      <c r="J202" s="4">
        <f>IF(OR(INDEX($P$2:$P$1001,MATCH(ROWS($O$2:O202),$O$2:$O$1001,0),1)&gt;=100000,INDEX($V$1005:$AE$1005,1,MATCH(COLUMNS($V$1006:AD1006),$V$1006:$AE$1006,0))&gt;=100000), " ",IF(INDEX($V$2:$AE$1001,MATCH(ROWS($O$2:O202),$O$2:$O$1001,0),MATCH(COLUMNS($V$1006:AD1006),$V$1006:$AE$1006,0)), HYPERLINK("#",""), HYPERLINK(CONCATENATE("#Metadata!", ADDRESS(INDEX($Q$2:$Q$1001,MATCH(ROWS($O$2:O202),$O$2:$O$1001,0),0), INDEX($V$1004:$AE$1004,1,MATCH(COLUMNS($V$1006:AD1006),$V$1006:$AE$1006,0)))),"Fix")))</f>
        <v>0</v>
      </c>
      <c r="K202" s="4">
        <f>IF(OR(INDEX($P$2:$P$1001,MATCH(ROWS($O$2:O202),$O$2:$O$1001,0),1)&gt;=100000,INDEX($V$1005:$AE$1005,1,MATCH(COLUMNS($V$1006:AE1006),$V$1006:$AE$1006,0))&gt;=100000), " ",IF(INDEX($V$2:$AE$1001,MATCH(ROWS($O$2:O202),$O$2:$O$1001,0),MATCH(COLUMNS($V$1006:AE1006),$V$1006:$AE$1006,0)), HYPERLINK("#",""), HYPERLINK(CONCATENATE("#Metadata!", ADDRESS(INDEX($Q$2:$Q$1001,MATCH(ROWS($O$2:O202),$O$2:$O$1001,0),0), INDEX($V$1004:$AE$1004,1,MATCH(COLUMNS($V$1006:AE1006),$V$1006:$AE$1006,0)))),"Fix")))</f>
        <v>0</v>
      </c>
      <c r="O202">
        <v>0</v>
      </c>
      <c r="P202">
        <v>0</v>
      </c>
      <c r="Q202">
        <v>0</v>
      </c>
      <c r="R202">
        <f>IF(S202,TRUE,AND(V202:AE202))</f>
        <v>0</v>
      </c>
      <c r="S202">
        <f>COUNTBLANK(Metadata!B202:K202)=COLUMNS(Metadata!B202:K202)</f>
        <v>0</v>
      </c>
      <c r="T202">
        <v>0</v>
      </c>
      <c r="V202">
        <f>AND(IF(Metadata!B202="",FALSE,TRUE),COUNTIF(Metadata!B:B, Metadata!B202) = 1,NOT(ISERROR(SUMPRODUCT(SEARCH(MID(Metadata!B202,ROW(INDIRECT("1:"&amp;LEN(Metadata!B202))), 1),"0123456789abcdefghijklmnopqrstuvwxyzABCDEFGHIJKLMNOPQRSTUVWXYZ.")))))</f>
        <v>0</v>
      </c>
      <c r="W202">
        <f>AND(IF(Metadata!C202="",FALSE,TRUE),exact(Metadata!C202,"urban biome"))</f>
        <v>0</v>
      </c>
      <c r="X202">
        <f>AND(IF(Metadata!D202="",FALSE,TRUE),exact(Metadata!D202,"animal-associated habitat"))</f>
        <v>0</v>
      </c>
      <c r="Y202">
        <f>OR(AND(IF(Metadata!E202="",FALSE,TRUE),OR(exact(Metadata!E202,"not applicable"),exact(Metadata!E202,"missing: not collected"),exact(Metadata!E202,"missing: not provided"),exact(Metadata!E202,"missing: restricted access"))),AND(IF(Metadata!E202="",FALSE,ISNUMBER(VALUE(Metadata!E202))),Metadata!E202&gt;0))</f>
        <v>0</v>
      </c>
      <c r="Z202">
        <f>AND(IF(Metadata!F202="",FALSE,TRUE),exact(Metadata!F202,"weeks"))</f>
        <v>0</v>
      </c>
      <c r="AA202">
        <f>AND(IF(Metadata!G202="",FALSE,TRUE),exact(Metadata!G202,"mouse"))</f>
        <v>0</v>
      </c>
      <c r="AB202">
        <f>AND(IF(Metadata!H202="",FALSE,TRUE),exact(Metadata!H202,"Mus musculus"))</f>
        <v>0</v>
      </c>
      <c r="AC202">
        <f>AND(IF(Metadata!I202="",FALSE,TRUE),exact(Metadata!I202,"10090"))</f>
        <v>0</v>
      </c>
      <c r="AD202">
        <f>OR(AND(IF(Metadata!J202="",FALSE,TRUE),OR(exact(Metadata!J202,"not applicable"),exact(Metadata!J202,"missing: not collected"),exact(Metadata!J202,"missing: not provided"),exact(Metadata!J202,"missing: restricted access"))),AND(IF(Metadata!J202="",FALSE,ISNUMBER(VALUE(Metadata!J202))),Metadata!J202&gt;0))</f>
        <v>0</v>
      </c>
      <c r="AE202">
        <f>AND(IF(Metadata!K202="",FALSE,TRUE),exact(Metadata!K202,"g"))</f>
        <v>0</v>
      </c>
    </row>
    <row r="203" spans="1:31">
      <c r="A203" s="5">
        <f>IF(B203=" "," ",HYPERLINK(CONCATENATE("#metadata!",ADDRESS(INDEX($Q$2:$Q$1001,MATCH(ROWS($O$2:O203),$O$2:$O$1001,0),0),1)),INDEX($T$2:$T$1001,MATCH(ROWS($O$2:O203),$O$2:$O$1001,0),0)))</f>
        <v>0</v>
      </c>
      <c r="B203" s="4">
        <f>IF(OR(INDEX($P$2:$P$1001,MATCH(ROWS($O$2:O203),$O$2:$O$1001,0),1)&gt;=100000,INDEX($V$1005:$AE$1005,1,MATCH(COLUMNS($V$1006:V1006),$V$1006:$AE$1006,0))&gt;=100000), " ",IF(INDEX($V$2:$AE$1001,MATCH(ROWS($O$2:O203),$O$2:$O$1001,0),MATCH(COLUMNS($V$1006:V1006),$V$1006:$AE$1006,0)), HYPERLINK("#",""), HYPERLINK(CONCATENATE("#Metadata!", ADDRESS(INDEX($Q$2:$Q$1001,MATCH(ROWS($O$2:O203),$O$2:$O$1001,0),0), INDEX($V$1004:$AE$1004,1,MATCH(COLUMNS($V$1006:V1006),$V$1006:$AE$1006,0)))),"Fix")))</f>
        <v>0</v>
      </c>
      <c r="C203" s="4">
        <f>IF(OR(INDEX($P$2:$P$1001,MATCH(ROWS($O$2:O203),$O$2:$O$1001,0),1)&gt;=100000,INDEX($V$1005:$AE$1005,1,MATCH(COLUMNS($V$1006:W1006),$V$1006:$AE$1006,0))&gt;=100000), " ",IF(INDEX($V$2:$AE$1001,MATCH(ROWS($O$2:O203),$O$2:$O$1001,0),MATCH(COLUMNS($V$1006:W1006),$V$1006:$AE$1006,0)), HYPERLINK("#",""), HYPERLINK(CONCATENATE("#Metadata!", ADDRESS(INDEX($Q$2:$Q$1001,MATCH(ROWS($O$2:O203),$O$2:$O$1001,0),0), INDEX($V$1004:$AE$1004,1,MATCH(COLUMNS($V$1006:W1006),$V$1006:$AE$1006,0)))),"Fix")))</f>
        <v>0</v>
      </c>
      <c r="D203" s="4">
        <f>IF(OR(INDEX($P$2:$P$1001,MATCH(ROWS($O$2:O203),$O$2:$O$1001,0),1)&gt;=100000,INDEX($V$1005:$AE$1005,1,MATCH(COLUMNS($V$1006:X1006),$V$1006:$AE$1006,0))&gt;=100000), " ",IF(INDEX($V$2:$AE$1001,MATCH(ROWS($O$2:O203),$O$2:$O$1001,0),MATCH(COLUMNS($V$1006:X1006),$V$1006:$AE$1006,0)), HYPERLINK("#",""), HYPERLINK(CONCATENATE("#Metadata!", ADDRESS(INDEX($Q$2:$Q$1001,MATCH(ROWS($O$2:O203),$O$2:$O$1001,0),0), INDEX($V$1004:$AE$1004,1,MATCH(COLUMNS($V$1006:X1006),$V$1006:$AE$1006,0)))),"Fix")))</f>
        <v>0</v>
      </c>
      <c r="E203" s="4">
        <f>IF(OR(INDEX($P$2:$P$1001,MATCH(ROWS($O$2:O203),$O$2:$O$1001,0),1)&gt;=100000,INDEX($V$1005:$AE$1005,1,MATCH(COLUMNS($V$1006:Y1006),$V$1006:$AE$1006,0))&gt;=100000), " ",IF(INDEX($V$2:$AE$1001,MATCH(ROWS($O$2:O203),$O$2:$O$1001,0),MATCH(COLUMNS($V$1006:Y1006),$V$1006:$AE$1006,0)), HYPERLINK("#",""), HYPERLINK(CONCATENATE("#Metadata!", ADDRESS(INDEX($Q$2:$Q$1001,MATCH(ROWS($O$2:O203),$O$2:$O$1001,0),0), INDEX($V$1004:$AE$1004,1,MATCH(COLUMNS($V$1006:Y1006),$V$1006:$AE$1006,0)))),"Fix")))</f>
        <v>0</v>
      </c>
      <c r="F203" s="4">
        <f>IF(OR(INDEX($P$2:$P$1001,MATCH(ROWS($O$2:O203),$O$2:$O$1001,0),1)&gt;=100000,INDEX($V$1005:$AE$1005,1,MATCH(COLUMNS($V$1006:Z1006),$V$1006:$AE$1006,0))&gt;=100000), " ",IF(INDEX($V$2:$AE$1001,MATCH(ROWS($O$2:O203),$O$2:$O$1001,0),MATCH(COLUMNS($V$1006:Z1006),$V$1006:$AE$1006,0)), HYPERLINK("#",""), HYPERLINK(CONCATENATE("#Metadata!", ADDRESS(INDEX($Q$2:$Q$1001,MATCH(ROWS($O$2:O203),$O$2:$O$1001,0),0), INDEX($V$1004:$AE$1004,1,MATCH(COLUMNS($V$1006:Z1006),$V$1006:$AE$1006,0)))),"Fix")))</f>
        <v>0</v>
      </c>
      <c r="G203" s="4">
        <f>IF(OR(INDEX($P$2:$P$1001,MATCH(ROWS($O$2:O203),$O$2:$O$1001,0),1)&gt;=100000,INDEX($V$1005:$AE$1005,1,MATCH(COLUMNS($V$1006:AA1006),$V$1006:$AE$1006,0))&gt;=100000), " ",IF(INDEX($V$2:$AE$1001,MATCH(ROWS($O$2:O203),$O$2:$O$1001,0),MATCH(COLUMNS($V$1006:AA1006),$V$1006:$AE$1006,0)), HYPERLINK("#",""), HYPERLINK(CONCATENATE("#Metadata!", ADDRESS(INDEX($Q$2:$Q$1001,MATCH(ROWS($O$2:O203),$O$2:$O$1001,0),0), INDEX($V$1004:$AE$1004,1,MATCH(COLUMNS($V$1006:AA1006),$V$1006:$AE$1006,0)))),"Fix")))</f>
        <v>0</v>
      </c>
      <c r="H203" s="4">
        <f>IF(OR(INDEX($P$2:$P$1001,MATCH(ROWS($O$2:O203),$O$2:$O$1001,0),1)&gt;=100000,INDEX($V$1005:$AE$1005,1,MATCH(COLUMNS($V$1006:AB1006),$V$1006:$AE$1006,0))&gt;=100000), " ",IF(INDEX($V$2:$AE$1001,MATCH(ROWS($O$2:O203),$O$2:$O$1001,0),MATCH(COLUMNS($V$1006:AB1006),$V$1006:$AE$1006,0)), HYPERLINK("#",""), HYPERLINK(CONCATENATE("#Metadata!", ADDRESS(INDEX($Q$2:$Q$1001,MATCH(ROWS($O$2:O203),$O$2:$O$1001,0),0), INDEX($V$1004:$AE$1004,1,MATCH(COLUMNS($V$1006:AB1006),$V$1006:$AE$1006,0)))),"Fix")))</f>
        <v>0</v>
      </c>
      <c r="I203" s="4">
        <f>IF(OR(INDEX($P$2:$P$1001,MATCH(ROWS($O$2:O203),$O$2:$O$1001,0),1)&gt;=100000,INDEX($V$1005:$AE$1005,1,MATCH(COLUMNS($V$1006:AC1006),$V$1006:$AE$1006,0))&gt;=100000), " ",IF(INDEX($V$2:$AE$1001,MATCH(ROWS($O$2:O203),$O$2:$O$1001,0),MATCH(COLUMNS($V$1006:AC1006),$V$1006:$AE$1006,0)), HYPERLINK("#",""), HYPERLINK(CONCATENATE("#Metadata!", ADDRESS(INDEX($Q$2:$Q$1001,MATCH(ROWS($O$2:O203),$O$2:$O$1001,0),0), INDEX($V$1004:$AE$1004,1,MATCH(COLUMNS($V$1006:AC1006),$V$1006:$AE$1006,0)))),"Fix")))</f>
        <v>0</v>
      </c>
      <c r="J203" s="4">
        <f>IF(OR(INDEX($P$2:$P$1001,MATCH(ROWS($O$2:O203),$O$2:$O$1001,0),1)&gt;=100000,INDEX($V$1005:$AE$1005,1,MATCH(COLUMNS($V$1006:AD1006),$V$1006:$AE$1006,0))&gt;=100000), " ",IF(INDEX($V$2:$AE$1001,MATCH(ROWS($O$2:O203),$O$2:$O$1001,0),MATCH(COLUMNS($V$1006:AD1006),$V$1006:$AE$1006,0)), HYPERLINK("#",""), HYPERLINK(CONCATENATE("#Metadata!", ADDRESS(INDEX($Q$2:$Q$1001,MATCH(ROWS($O$2:O203),$O$2:$O$1001,0),0), INDEX($V$1004:$AE$1004,1,MATCH(COLUMNS($V$1006:AD1006),$V$1006:$AE$1006,0)))),"Fix")))</f>
        <v>0</v>
      </c>
      <c r="K203" s="4">
        <f>IF(OR(INDEX($P$2:$P$1001,MATCH(ROWS($O$2:O203),$O$2:$O$1001,0),1)&gt;=100000,INDEX($V$1005:$AE$1005,1,MATCH(COLUMNS($V$1006:AE1006),$V$1006:$AE$1006,0))&gt;=100000), " ",IF(INDEX($V$2:$AE$1001,MATCH(ROWS($O$2:O203),$O$2:$O$1001,0),MATCH(COLUMNS($V$1006:AE1006),$V$1006:$AE$1006,0)), HYPERLINK("#",""), HYPERLINK(CONCATENATE("#Metadata!", ADDRESS(INDEX($Q$2:$Q$1001,MATCH(ROWS($O$2:O203),$O$2:$O$1001,0),0), INDEX($V$1004:$AE$1004,1,MATCH(COLUMNS($V$1006:AE1006),$V$1006:$AE$1006,0)))),"Fix")))</f>
        <v>0</v>
      </c>
      <c r="O203">
        <v>0</v>
      </c>
      <c r="P203">
        <v>0</v>
      </c>
      <c r="Q203">
        <v>0</v>
      </c>
      <c r="R203">
        <f>IF(S203,TRUE,AND(V203:AE203))</f>
        <v>0</v>
      </c>
      <c r="S203">
        <f>COUNTBLANK(Metadata!B203:K203)=COLUMNS(Metadata!B203:K203)</f>
        <v>0</v>
      </c>
      <c r="T203">
        <v>0</v>
      </c>
      <c r="V203">
        <f>AND(IF(Metadata!B203="",FALSE,TRUE),COUNTIF(Metadata!B:B, Metadata!B203) = 1,NOT(ISERROR(SUMPRODUCT(SEARCH(MID(Metadata!B203,ROW(INDIRECT("1:"&amp;LEN(Metadata!B203))), 1),"0123456789abcdefghijklmnopqrstuvwxyzABCDEFGHIJKLMNOPQRSTUVWXYZ.")))))</f>
        <v>0</v>
      </c>
      <c r="W203">
        <f>AND(IF(Metadata!C203="",FALSE,TRUE),exact(Metadata!C203,"urban biome"))</f>
        <v>0</v>
      </c>
      <c r="X203">
        <f>AND(IF(Metadata!D203="",FALSE,TRUE),exact(Metadata!D203,"animal-associated habitat"))</f>
        <v>0</v>
      </c>
      <c r="Y203">
        <f>OR(AND(IF(Metadata!E203="",FALSE,TRUE),OR(exact(Metadata!E203,"not applicable"),exact(Metadata!E203,"missing: not collected"),exact(Metadata!E203,"missing: not provided"),exact(Metadata!E203,"missing: restricted access"))),AND(IF(Metadata!E203="",FALSE,ISNUMBER(VALUE(Metadata!E203))),Metadata!E203&gt;0))</f>
        <v>0</v>
      </c>
      <c r="Z203">
        <f>AND(IF(Metadata!F203="",FALSE,TRUE),exact(Metadata!F203,"weeks"))</f>
        <v>0</v>
      </c>
      <c r="AA203">
        <f>AND(IF(Metadata!G203="",FALSE,TRUE),exact(Metadata!G203,"mouse"))</f>
        <v>0</v>
      </c>
      <c r="AB203">
        <f>AND(IF(Metadata!H203="",FALSE,TRUE),exact(Metadata!H203,"Mus musculus"))</f>
        <v>0</v>
      </c>
      <c r="AC203">
        <f>AND(IF(Metadata!I203="",FALSE,TRUE),exact(Metadata!I203,"10090"))</f>
        <v>0</v>
      </c>
      <c r="AD203">
        <f>OR(AND(IF(Metadata!J203="",FALSE,TRUE),OR(exact(Metadata!J203,"not applicable"),exact(Metadata!J203,"missing: not collected"),exact(Metadata!J203,"missing: not provided"),exact(Metadata!J203,"missing: restricted access"))),AND(IF(Metadata!J203="",FALSE,ISNUMBER(VALUE(Metadata!J203))),Metadata!J203&gt;0))</f>
        <v>0</v>
      </c>
      <c r="AE203">
        <f>AND(IF(Metadata!K203="",FALSE,TRUE),exact(Metadata!K203,"g"))</f>
        <v>0</v>
      </c>
    </row>
    <row r="204" spans="1:31">
      <c r="A204" s="5">
        <f>IF(B204=" "," ",HYPERLINK(CONCATENATE("#metadata!",ADDRESS(INDEX($Q$2:$Q$1001,MATCH(ROWS($O$2:O204),$O$2:$O$1001,0),0),1)),INDEX($T$2:$T$1001,MATCH(ROWS($O$2:O204),$O$2:$O$1001,0),0)))</f>
        <v>0</v>
      </c>
      <c r="B204" s="4">
        <f>IF(OR(INDEX($P$2:$P$1001,MATCH(ROWS($O$2:O204),$O$2:$O$1001,0),1)&gt;=100000,INDEX($V$1005:$AE$1005,1,MATCH(COLUMNS($V$1006:V1006),$V$1006:$AE$1006,0))&gt;=100000), " ",IF(INDEX($V$2:$AE$1001,MATCH(ROWS($O$2:O204),$O$2:$O$1001,0),MATCH(COLUMNS($V$1006:V1006),$V$1006:$AE$1006,0)), HYPERLINK("#",""), HYPERLINK(CONCATENATE("#Metadata!", ADDRESS(INDEX($Q$2:$Q$1001,MATCH(ROWS($O$2:O204),$O$2:$O$1001,0),0), INDEX($V$1004:$AE$1004,1,MATCH(COLUMNS($V$1006:V1006),$V$1006:$AE$1006,0)))),"Fix")))</f>
        <v>0</v>
      </c>
      <c r="C204" s="4">
        <f>IF(OR(INDEX($P$2:$P$1001,MATCH(ROWS($O$2:O204),$O$2:$O$1001,0),1)&gt;=100000,INDEX($V$1005:$AE$1005,1,MATCH(COLUMNS($V$1006:W1006),$V$1006:$AE$1006,0))&gt;=100000), " ",IF(INDEX($V$2:$AE$1001,MATCH(ROWS($O$2:O204),$O$2:$O$1001,0),MATCH(COLUMNS($V$1006:W1006),$V$1006:$AE$1006,0)), HYPERLINK("#",""), HYPERLINK(CONCATENATE("#Metadata!", ADDRESS(INDEX($Q$2:$Q$1001,MATCH(ROWS($O$2:O204),$O$2:$O$1001,0),0), INDEX($V$1004:$AE$1004,1,MATCH(COLUMNS($V$1006:W1006),$V$1006:$AE$1006,0)))),"Fix")))</f>
        <v>0</v>
      </c>
      <c r="D204" s="4">
        <f>IF(OR(INDEX($P$2:$P$1001,MATCH(ROWS($O$2:O204),$O$2:$O$1001,0),1)&gt;=100000,INDEX($V$1005:$AE$1005,1,MATCH(COLUMNS($V$1006:X1006),$V$1006:$AE$1006,0))&gt;=100000), " ",IF(INDEX($V$2:$AE$1001,MATCH(ROWS($O$2:O204),$O$2:$O$1001,0),MATCH(COLUMNS($V$1006:X1006),$V$1006:$AE$1006,0)), HYPERLINK("#",""), HYPERLINK(CONCATENATE("#Metadata!", ADDRESS(INDEX($Q$2:$Q$1001,MATCH(ROWS($O$2:O204),$O$2:$O$1001,0),0), INDEX($V$1004:$AE$1004,1,MATCH(COLUMNS($V$1006:X1006),$V$1006:$AE$1006,0)))),"Fix")))</f>
        <v>0</v>
      </c>
      <c r="E204" s="4">
        <f>IF(OR(INDEX($P$2:$P$1001,MATCH(ROWS($O$2:O204),$O$2:$O$1001,0),1)&gt;=100000,INDEX($V$1005:$AE$1005,1,MATCH(COLUMNS($V$1006:Y1006),$V$1006:$AE$1006,0))&gt;=100000), " ",IF(INDEX($V$2:$AE$1001,MATCH(ROWS($O$2:O204),$O$2:$O$1001,0),MATCH(COLUMNS($V$1006:Y1006),$V$1006:$AE$1006,0)), HYPERLINK("#",""), HYPERLINK(CONCATENATE("#Metadata!", ADDRESS(INDEX($Q$2:$Q$1001,MATCH(ROWS($O$2:O204),$O$2:$O$1001,0),0), INDEX($V$1004:$AE$1004,1,MATCH(COLUMNS($V$1006:Y1006),$V$1006:$AE$1006,0)))),"Fix")))</f>
        <v>0</v>
      </c>
      <c r="F204" s="4">
        <f>IF(OR(INDEX($P$2:$P$1001,MATCH(ROWS($O$2:O204),$O$2:$O$1001,0),1)&gt;=100000,INDEX($V$1005:$AE$1005,1,MATCH(COLUMNS($V$1006:Z1006),$V$1006:$AE$1006,0))&gt;=100000), " ",IF(INDEX($V$2:$AE$1001,MATCH(ROWS($O$2:O204),$O$2:$O$1001,0),MATCH(COLUMNS($V$1006:Z1006),$V$1006:$AE$1006,0)), HYPERLINK("#",""), HYPERLINK(CONCATENATE("#Metadata!", ADDRESS(INDEX($Q$2:$Q$1001,MATCH(ROWS($O$2:O204),$O$2:$O$1001,0),0), INDEX($V$1004:$AE$1004,1,MATCH(COLUMNS($V$1006:Z1006),$V$1006:$AE$1006,0)))),"Fix")))</f>
        <v>0</v>
      </c>
      <c r="G204" s="4">
        <f>IF(OR(INDEX($P$2:$P$1001,MATCH(ROWS($O$2:O204),$O$2:$O$1001,0),1)&gt;=100000,INDEX($V$1005:$AE$1005,1,MATCH(COLUMNS($V$1006:AA1006),$V$1006:$AE$1006,0))&gt;=100000), " ",IF(INDEX($V$2:$AE$1001,MATCH(ROWS($O$2:O204),$O$2:$O$1001,0),MATCH(COLUMNS($V$1006:AA1006),$V$1006:$AE$1006,0)), HYPERLINK("#",""), HYPERLINK(CONCATENATE("#Metadata!", ADDRESS(INDEX($Q$2:$Q$1001,MATCH(ROWS($O$2:O204),$O$2:$O$1001,0),0), INDEX($V$1004:$AE$1004,1,MATCH(COLUMNS($V$1006:AA1006),$V$1006:$AE$1006,0)))),"Fix")))</f>
        <v>0</v>
      </c>
      <c r="H204" s="4">
        <f>IF(OR(INDEX($P$2:$P$1001,MATCH(ROWS($O$2:O204),$O$2:$O$1001,0),1)&gt;=100000,INDEX($V$1005:$AE$1005,1,MATCH(COLUMNS($V$1006:AB1006),$V$1006:$AE$1006,0))&gt;=100000), " ",IF(INDEX($V$2:$AE$1001,MATCH(ROWS($O$2:O204),$O$2:$O$1001,0),MATCH(COLUMNS($V$1006:AB1006),$V$1006:$AE$1006,0)), HYPERLINK("#",""), HYPERLINK(CONCATENATE("#Metadata!", ADDRESS(INDEX($Q$2:$Q$1001,MATCH(ROWS($O$2:O204),$O$2:$O$1001,0),0), INDEX($V$1004:$AE$1004,1,MATCH(COLUMNS($V$1006:AB1006),$V$1006:$AE$1006,0)))),"Fix")))</f>
        <v>0</v>
      </c>
      <c r="I204" s="4">
        <f>IF(OR(INDEX($P$2:$P$1001,MATCH(ROWS($O$2:O204),$O$2:$O$1001,0),1)&gt;=100000,INDEX($V$1005:$AE$1005,1,MATCH(COLUMNS($V$1006:AC1006),$V$1006:$AE$1006,0))&gt;=100000), " ",IF(INDEX($V$2:$AE$1001,MATCH(ROWS($O$2:O204),$O$2:$O$1001,0),MATCH(COLUMNS($V$1006:AC1006),$V$1006:$AE$1006,0)), HYPERLINK("#",""), HYPERLINK(CONCATENATE("#Metadata!", ADDRESS(INDEX($Q$2:$Q$1001,MATCH(ROWS($O$2:O204),$O$2:$O$1001,0),0), INDEX($V$1004:$AE$1004,1,MATCH(COLUMNS($V$1006:AC1006),$V$1006:$AE$1006,0)))),"Fix")))</f>
        <v>0</v>
      </c>
      <c r="J204" s="4">
        <f>IF(OR(INDEX($P$2:$P$1001,MATCH(ROWS($O$2:O204),$O$2:$O$1001,0),1)&gt;=100000,INDEX($V$1005:$AE$1005,1,MATCH(COLUMNS($V$1006:AD1006),$V$1006:$AE$1006,0))&gt;=100000), " ",IF(INDEX($V$2:$AE$1001,MATCH(ROWS($O$2:O204),$O$2:$O$1001,0),MATCH(COLUMNS($V$1006:AD1006),$V$1006:$AE$1006,0)), HYPERLINK("#",""), HYPERLINK(CONCATENATE("#Metadata!", ADDRESS(INDEX($Q$2:$Q$1001,MATCH(ROWS($O$2:O204),$O$2:$O$1001,0),0), INDEX($V$1004:$AE$1004,1,MATCH(COLUMNS($V$1006:AD1006),$V$1006:$AE$1006,0)))),"Fix")))</f>
        <v>0</v>
      </c>
      <c r="K204" s="4">
        <f>IF(OR(INDEX($P$2:$P$1001,MATCH(ROWS($O$2:O204),$O$2:$O$1001,0),1)&gt;=100000,INDEX($V$1005:$AE$1005,1,MATCH(COLUMNS($V$1006:AE1006),$V$1006:$AE$1006,0))&gt;=100000), " ",IF(INDEX($V$2:$AE$1001,MATCH(ROWS($O$2:O204),$O$2:$O$1001,0),MATCH(COLUMNS($V$1006:AE1006),$V$1006:$AE$1006,0)), HYPERLINK("#",""), HYPERLINK(CONCATENATE("#Metadata!", ADDRESS(INDEX($Q$2:$Q$1001,MATCH(ROWS($O$2:O204),$O$2:$O$1001,0),0), INDEX($V$1004:$AE$1004,1,MATCH(COLUMNS($V$1006:AE1006),$V$1006:$AE$1006,0)))),"Fix")))</f>
        <v>0</v>
      </c>
      <c r="O204">
        <v>0</v>
      </c>
      <c r="P204">
        <v>0</v>
      </c>
      <c r="Q204">
        <v>0</v>
      </c>
      <c r="R204">
        <f>IF(S204,TRUE,AND(V204:AE204))</f>
        <v>0</v>
      </c>
      <c r="S204">
        <f>COUNTBLANK(Metadata!B204:K204)=COLUMNS(Metadata!B204:K204)</f>
        <v>0</v>
      </c>
      <c r="T204">
        <v>0</v>
      </c>
      <c r="V204">
        <f>AND(IF(Metadata!B204="",FALSE,TRUE),COUNTIF(Metadata!B:B, Metadata!B204) = 1,NOT(ISERROR(SUMPRODUCT(SEARCH(MID(Metadata!B204,ROW(INDIRECT("1:"&amp;LEN(Metadata!B204))), 1),"0123456789abcdefghijklmnopqrstuvwxyzABCDEFGHIJKLMNOPQRSTUVWXYZ.")))))</f>
        <v>0</v>
      </c>
      <c r="W204">
        <f>AND(IF(Metadata!C204="",FALSE,TRUE),exact(Metadata!C204,"urban biome"))</f>
        <v>0</v>
      </c>
      <c r="X204">
        <f>AND(IF(Metadata!D204="",FALSE,TRUE),exact(Metadata!D204,"animal-associated habitat"))</f>
        <v>0</v>
      </c>
      <c r="Y204">
        <f>OR(AND(IF(Metadata!E204="",FALSE,TRUE),OR(exact(Metadata!E204,"not applicable"),exact(Metadata!E204,"missing: not collected"),exact(Metadata!E204,"missing: not provided"),exact(Metadata!E204,"missing: restricted access"))),AND(IF(Metadata!E204="",FALSE,ISNUMBER(VALUE(Metadata!E204))),Metadata!E204&gt;0))</f>
        <v>0</v>
      </c>
      <c r="Z204">
        <f>AND(IF(Metadata!F204="",FALSE,TRUE),exact(Metadata!F204,"weeks"))</f>
        <v>0</v>
      </c>
      <c r="AA204">
        <f>AND(IF(Metadata!G204="",FALSE,TRUE),exact(Metadata!G204,"mouse"))</f>
        <v>0</v>
      </c>
      <c r="AB204">
        <f>AND(IF(Metadata!H204="",FALSE,TRUE),exact(Metadata!H204,"Mus musculus"))</f>
        <v>0</v>
      </c>
      <c r="AC204">
        <f>AND(IF(Metadata!I204="",FALSE,TRUE),exact(Metadata!I204,"10090"))</f>
        <v>0</v>
      </c>
      <c r="AD204">
        <f>OR(AND(IF(Metadata!J204="",FALSE,TRUE),OR(exact(Metadata!J204,"not applicable"),exact(Metadata!J204,"missing: not collected"),exact(Metadata!J204,"missing: not provided"),exact(Metadata!J204,"missing: restricted access"))),AND(IF(Metadata!J204="",FALSE,ISNUMBER(VALUE(Metadata!J204))),Metadata!J204&gt;0))</f>
        <v>0</v>
      </c>
      <c r="AE204">
        <f>AND(IF(Metadata!K204="",FALSE,TRUE),exact(Metadata!K204,"g"))</f>
        <v>0</v>
      </c>
    </row>
    <row r="205" spans="1:31">
      <c r="A205" s="5">
        <f>IF(B205=" "," ",HYPERLINK(CONCATENATE("#metadata!",ADDRESS(INDEX($Q$2:$Q$1001,MATCH(ROWS($O$2:O205),$O$2:$O$1001,0),0),1)),INDEX($T$2:$T$1001,MATCH(ROWS($O$2:O205),$O$2:$O$1001,0),0)))</f>
        <v>0</v>
      </c>
      <c r="B205" s="4">
        <f>IF(OR(INDEX($P$2:$P$1001,MATCH(ROWS($O$2:O205),$O$2:$O$1001,0),1)&gt;=100000,INDEX($V$1005:$AE$1005,1,MATCH(COLUMNS($V$1006:V1006),$V$1006:$AE$1006,0))&gt;=100000), " ",IF(INDEX($V$2:$AE$1001,MATCH(ROWS($O$2:O205),$O$2:$O$1001,0),MATCH(COLUMNS($V$1006:V1006),$V$1006:$AE$1006,0)), HYPERLINK("#",""), HYPERLINK(CONCATENATE("#Metadata!", ADDRESS(INDEX($Q$2:$Q$1001,MATCH(ROWS($O$2:O205),$O$2:$O$1001,0),0), INDEX($V$1004:$AE$1004,1,MATCH(COLUMNS($V$1006:V1006),$V$1006:$AE$1006,0)))),"Fix")))</f>
        <v>0</v>
      </c>
      <c r="C205" s="4">
        <f>IF(OR(INDEX($P$2:$P$1001,MATCH(ROWS($O$2:O205),$O$2:$O$1001,0),1)&gt;=100000,INDEX($V$1005:$AE$1005,1,MATCH(COLUMNS($V$1006:W1006),$V$1006:$AE$1006,0))&gt;=100000), " ",IF(INDEX($V$2:$AE$1001,MATCH(ROWS($O$2:O205),$O$2:$O$1001,0),MATCH(COLUMNS($V$1006:W1006),$V$1006:$AE$1006,0)), HYPERLINK("#",""), HYPERLINK(CONCATENATE("#Metadata!", ADDRESS(INDEX($Q$2:$Q$1001,MATCH(ROWS($O$2:O205),$O$2:$O$1001,0),0), INDEX($V$1004:$AE$1004,1,MATCH(COLUMNS($V$1006:W1006),$V$1006:$AE$1006,0)))),"Fix")))</f>
        <v>0</v>
      </c>
      <c r="D205" s="4">
        <f>IF(OR(INDEX($P$2:$P$1001,MATCH(ROWS($O$2:O205),$O$2:$O$1001,0),1)&gt;=100000,INDEX($V$1005:$AE$1005,1,MATCH(COLUMNS($V$1006:X1006),$V$1006:$AE$1006,0))&gt;=100000), " ",IF(INDEX($V$2:$AE$1001,MATCH(ROWS($O$2:O205),$O$2:$O$1001,0),MATCH(COLUMNS($V$1006:X1006),$V$1006:$AE$1006,0)), HYPERLINK("#",""), HYPERLINK(CONCATENATE("#Metadata!", ADDRESS(INDEX($Q$2:$Q$1001,MATCH(ROWS($O$2:O205),$O$2:$O$1001,0),0), INDEX($V$1004:$AE$1004,1,MATCH(COLUMNS($V$1006:X1006),$V$1006:$AE$1006,0)))),"Fix")))</f>
        <v>0</v>
      </c>
      <c r="E205" s="4">
        <f>IF(OR(INDEX($P$2:$P$1001,MATCH(ROWS($O$2:O205),$O$2:$O$1001,0),1)&gt;=100000,INDEX($V$1005:$AE$1005,1,MATCH(COLUMNS($V$1006:Y1006),$V$1006:$AE$1006,0))&gt;=100000), " ",IF(INDEX($V$2:$AE$1001,MATCH(ROWS($O$2:O205),$O$2:$O$1001,0),MATCH(COLUMNS($V$1006:Y1006),$V$1006:$AE$1006,0)), HYPERLINK("#",""), HYPERLINK(CONCATENATE("#Metadata!", ADDRESS(INDEX($Q$2:$Q$1001,MATCH(ROWS($O$2:O205),$O$2:$O$1001,0),0), INDEX($V$1004:$AE$1004,1,MATCH(COLUMNS($V$1006:Y1006),$V$1006:$AE$1006,0)))),"Fix")))</f>
        <v>0</v>
      </c>
      <c r="F205" s="4">
        <f>IF(OR(INDEX($P$2:$P$1001,MATCH(ROWS($O$2:O205),$O$2:$O$1001,0),1)&gt;=100000,INDEX($V$1005:$AE$1005,1,MATCH(COLUMNS($V$1006:Z1006),$V$1006:$AE$1006,0))&gt;=100000), " ",IF(INDEX($V$2:$AE$1001,MATCH(ROWS($O$2:O205),$O$2:$O$1001,0),MATCH(COLUMNS($V$1006:Z1006),$V$1006:$AE$1006,0)), HYPERLINK("#",""), HYPERLINK(CONCATENATE("#Metadata!", ADDRESS(INDEX($Q$2:$Q$1001,MATCH(ROWS($O$2:O205),$O$2:$O$1001,0),0), INDEX($V$1004:$AE$1004,1,MATCH(COLUMNS($V$1006:Z1006),$V$1006:$AE$1006,0)))),"Fix")))</f>
        <v>0</v>
      </c>
      <c r="G205" s="4">
        <f>IF(OR(INDEX($P$2:$P$1001,MATCH(ROWS($O$2:O205),$O$2:$O$1001,0),1)&gt;=100000,INDEX($V$1005:$AE$1005,1,MATCH(COLUMNS($V$1006:AA1006),$V$1006:$AE$1006,0))&gt;=100000), " ",IF(INDEX($V$2:$AE$1001,MATCH(ROWS($O$2:O205),$O$2:$O$1001,0),MATCH(COLUMNS($V$1006:AA1006),$V$1006:$AE$1006,0)), HYPERLINK("#",""), HYPERLINK(CONCATENATE("#Metadata!", ADDRESS(INDEX($Q$2:$Q$1001,MATCH(ROWS($O$2:O205),$O$2:$O$1001,0),0), INDEX($V$1004:$AE$1004,1,MATCH(COLUMNS($V$1006:AA1006),$V$1006:$AE$1006,0)))),"Fix")))</f>
        <v>0</v>
      </c>
      <c r="H205" s="4">
        <f>IF(OR(INDEX($P$2:$P$1001,MATCH(ROWS($O$2:O205),$O$2:$O$1001,0),1)&gt;=100000,INDEX($V$1005:$AE$1005,1,MATCH(COLUMNS($V$1006:AB1006),$V$1006:$AE$1006,0))&gt;=100000), " ",IF(INDEX($V$2:$AE$1001,MATCH(ROWS($O$2:O205),$O$2:$O$1001,0),MATCH(COLUMNS($V$1006:AB1006),$V$1006:$AE$1006,0)), HYPERLINK("#",""), HYPERLINK(CONCATENATE("#Metadata!", ADDRESS(INDEX($Q$2:$Q$1001,MATCH(ROWS($O$2:O205),$O$2:$O$1001,0),0), INDEX($V$1004:$AE$1004,1,MATCH(COLUMNS($V$1006:AB1006),$V$1006:$AE$1006,0)))),"Fix")))</f>
        <v>0</v>
      </c>
      <c r="I205" s="4">
        <f>IF(OR(INDEX($P$2:$P$1001,MATCH(ROWS($O$2:O205),$O$2:$O$1001,0),1)&gt;=100000,INDEX($V$1005:$AE$1005,1,MATCH(COLUMNS($V$1006:AC1006),$V$1006:$AE$1006,0))&gt;=100000), " ",IF(INDEX($V$2:$AE$1001,MATCH(ROWS($O$2:O205),$O$2:$O$1001,0),MATCH(COLUMNS($V$1006:AC1006),$V$1006:$AE$1006,0)), HYPERLINK("#",""), HYPERLINK(CONCATENATE("#Metadata!", ADDRESS(INDEX($Q$2:$Q$1001,MATCH(ROWS($O$2:O205),$O$2:$O$1001,0),0), INDEX($V$1004:$AE$1004,1,MATCH(COLUMNS($V$1006:AC1006),$V$1006:$AE$1006,0)))),"Fix")))</f>
        <v>0</v>
      </c>
      <c r="J205" s="4">
        <f>IF(OR(INDEX($P$2:$P$1001,MATCH(ROWS($O$2:O205),$O$2:$O$1001,0),1)&gt;=100000,INDEX($V$1005:$AE$1005,1,MATCH(COLUMNS($V$1006:AD1006),$V$1006:$AE$1006,0))&gt;=100000), " ",IF(INDEX($V$2:$AE$1001,MATCH(ROWS($O$2:O205),$O$2:$O$1001,0),MATCH(COLUMNS($V$1006:AD1006),$V$1006:$AE$1006,0)), HYPERLINK("#",""), HYPERLINK(CONCATENATE("#Metadata!", ADDRESS(INDEX($Q$2:$Q$1001,MATCH(ROWS($O$2:O205),$O$2:$O$1001,0),0), INDEX($V$1004:$AE$1004,1,MATCH(COLUMNS($V$1006:AD1006),$V$1006:$AE$1006,0)))),"Fix")))</f>
        <v>0</v>
      </c>
      <c r="K205" s="4">
        <f>IF(OR(INDEX($P$2:$P$1001,MATCH(ROWS($O$2:O205),$O$2:$O$1001,0),1)&gt;=100000,INDEX($V$1005:$AE$1005,1,MATCH(COLUMNS($V$1006:AE1006),$V$1006:$AE$1006,0))&gt;=100000), " ",IF(INDEX($V$2:$AE$1001,MATCH(ROWS($O$2:O205),$O$2:$O$1001,0),MATCH(COLUMNS($V$1006:AE1006),$V$1006:$AE$1006,0)), HYPERLINK("#",""), HYPERLINK(CONCATENATE("#Metadata!", ADDRESS(INDEX($Q$2:$Q$1001,MATCH(ROWS($O$2:O205),$O$2:$O$1001,0),0), INDEX($V$1004:$AE$1004,1,MATCH(COLUMNS($V$1006:AE1006),$V$1006:$AE$1006,0)))),"Fix")))</f>
        <v>0</v>
      </c>
      <c r="O205">
        <v>0</v>
      </c>
      <c r="P205">
        <v>0</v>
      </c>
      <c r="Q205">
        <v>0</v>
      </c>
      <c r="R205">
        <f>IF(S205,TRUE,AND(V205:AE205))</f>
        <v>0</v>
      </c>
      <c r="S205">
        <f>COUNTBLANK(Metadata!B205:K205)=COLUMNS(Metadata!B205:K205)</f>
        <v>0</v>
      </c>
      <c r="T205">
        <v>0</v>
      </c>
      <c r="V205">
        <f>AND(IF(Metadata!B205="",FALSE,TRUE),COUNTIF(Metadata!B:B, Metadata!B205) = 1,NOT(ISERROR(SUMPRODUCT(SEARCH(MID(Metadata!B205,ROW(INDIRECT("1:"&amp;LEN(Metadata!B205))), 1),"0123456789abcdefghijklmnopqrstuvwxyzABCDEFGHIJKLMNOPQRSTUVWXYZ.")))))</f>
        <v>0</v>
      </c>
      <c r="W205">
        <f>AND(IF(Metadata!C205="",FALSE,TRUE),exact(Metadata!C205,"urban biome"))</f>
        <v>0</v>
      </c>
      <c r="X205">
        <f>AND(IF(Metadata!D205="",FALSE,TRUE),exact(Metadata!D205,"animal-associated habitat"))</f>
        <v>0</v>
      </c>
      <c r="Y205">
        <f>OR(AND(IF(Metadata!E205="",FALSE,TRUE),OR(exact(Metadata!E205,"not applicable"),exact(Metadata!E205,"missing: not collected"),exact(Metadata!E205,"missing: not provided"),exact(Metadata!E205,"missing: restricted access"))),AND(IF(Metadata!E205="",FALSE,ISNUMBER(VALUE(Metadata!E205))),Metadata!E205&gt;0))</f>
        <v>0</v>
      </c>
      <c r="Z205">
        <f>AND(IF(Metadata!F205="",FALSE,TRUE),exact(Metadata!F205,"weeks"))</f>
        <v>0</v>
      </c>
      <c r="AA205">
        <f>AND(IF(Metadata!G205="",FALSE,TRUE),exact(Metadata!G205,"mouse"))</f>
        <v>0</v>
      </c>
      <c r="AB205">
        <f>AND(IF(Metadata!H205="",FALSE,TRUE),exact(Metadata!H205,"Mus musculus"))</f>
        <v>0</v>
      </c>
      <c r="AC205">
        <f>AND(IF(Metadata!I205="",FALSE,TRUE),exact(Metadata!I205,"10090"))</f>
        <v>0</v>
      </c>
      <c r="AD205">
        <f>OR(AND(IF(Metadata!J205="",FALSE,TRUE),OR(exact(Metadata!J205,"not applicable"),exact(Metadata!J205,"missing: not collected"),exact(Metadata!J205,"missing: not provided"),exact(Metadata!J205,"missing: restricted access"))),AND(IF(Metadata!J205="",FALSE,ISNUMBER(VALUE(Metadata!J205))),Metadata!J205&gt;0))</f>
        <v>0</v>
      </c>
      <c r="AE205">
        <f>AND(IF(Metadata!K205="",FALSE,TRUE),exact(Metadata!K205,"g"))</f>
        <v>0</v>
      </c>
    </row>
    <row r="206" spans="1:31">
      <c r="A206" s="5">
        <f>IF(B206=" "," ",HYPERLINK(CONCATENATE("#metadata!",ADDRESS(INDEX($Q$2:$Q$1001,MATCH(ROWS($O$2:O206),$O$2:$O$1001,0),0),1)),INDEX($T$2:$T$1001,MATCH(ROWS($O$2:O206),$O$2:$O$1001,0),0)))</f>
        <v>0</v>
      </c>
      <c r="B206" s="4">
        <f>IF(OR(INDEX($P$2:$P$1001,MATCH(ROWS($O$2:O206),$O$2:$O$1001,0),1)&gt;=100000,INDEX($V$1005:$AE$1005,1,MATCH(COLUMNS($V$1006:V1006),$V$1006:$AE$1006,0))&gt;=100000), " ",IF(INDEX($V$2:$AE$1001,MATCH(ROWS($O$2:O206),$O$2:$O$1001,0),MATCH(COLUMNS($V$1006:V1006),$V$1006:$AE$1006,0)), HYPERLINK("#",""), HYPERLINK(CONCATENATE("#Metadata!", ADDRESS(INDEX($Q$2:$Q$1001,MATCH(ROWS($O$2:O206),$O$2:$O$1001,0),0), INDEX($V$1004:$AE$1004,1,MATCH(COLUMNS($V$1006:V1006),$V$1006:$AE$1006,0)))),"Fix")))</f>
        <v>0</v>
      </c>
      <c r="C206" s="4">
        <f>IF(OR(INDEX($P$2:$P$1001,MATCH(ROWS($O$2:O206),$O$2:$O$1001,0),1)&gt;=100000,INDEX($V$1005:$AE$1005,1,MATCH(COLUMNS($V$1006:W1006),$V$1006:$AE$1006,0))&gt;=100000), " ",IF(INDEX($V$2:$AE$1001,MATCH(ROWS($O$2:O206),$O$2:$O$1001,0),MATCH(COLUMNS($V$1006:W1006),$V$1006:$AE$1006,0)), HYPERLINK("#",""), HYPERLINK(CONCATENATE("#Metadata!", ADDRESS(INDEX($Q$2:$Q$1001,MATCH(ROWS($O$2:O206),$O$2:$O$1001,0),0), INDEX($V$1004:$AE$1004,1,MATCH(COLUMNS($V$1006:W1006),$V$1006:$AE$1006,0)))),"Fix")))</f>
        <v>0</v>
      </c>
      <c r="D206" s="4">
        <f>IF(OR(INDEX($P$2:$P$1001,MATCH(ROWS($O$2:O206),$O$2:$O$1001,0),1)&gt;=100000,INDEX($V$1005:$AE$1005,1,MATCH(COLUMNS($V$1006:X1006),$V$1006:$AE$1006,0))&gt;=100000), " ",IF(INDEX($V$2:$AE$1001,MATCH(ROWS($O$2:O206),$O$2:$O$1001,0),MATCH(COLUMNS($V$1006:X1006),$V$1006:$AE$1006,0)), HYPERLINK("#",""), HYPERLINK(CONCATENATE("#Metadata!", ADDRESS(INDEX($Q$2:$Q$1001,MATCH(ROWS($O$2:O206),$O$2:$O$1001,0),0), INDEX($V$1004:$AE$1004,1,MATCH(COLUMNS($V$1006:X1006),$V$1006:$AE$1006,0)))),"Fix")))</f>
        <v>0</v>
      </c>
      <c r="E206" s="4">
        <f>IF(OR(INDEX($P$2:$P$1001,MATCH(ROWS($O$2:O206),$O$2:$O$1001,0),1)&gt;=100000,INDEX($V$1005:$AE$1005,1,MATCH(COLUMNS($V$1006:Y1006),$V$1006:$AE$1006,0))&gt;=100000), " ",IF(INDEX($V$2:$AE$1001,MATCH(ROWS($O$2:O206),$O$2:$O$1001,0),MATCH(COLUMNS($V$1006:Y1006),$V$1006:$AE$1006,0)), HYPERLINK("#",""), HYPERLINK(CONCATENATE("#Metadata!", ADDRESS(INDEX($Q$2:$Q$1001,MATCH(ROWS($O$2:O206),$O$2:$O$1001,0),0), INDEX($V$1004:$AE$1004,1,MATCH(COLUMNS($V$1006:Y1006),$V$1006:$AE$1006,0)))),"Fix")))</f>
        <v>0</v>
      </c>
      <c r="F206" s="4">
        <f>IF(OR(INDEX($P$2:$P$1001,MATCH(ROWS($O$2:O206),$O$2:$O$1001,0),1)&gt;=100000,INDEX($V$1005:$AE$1005,1,MATCH(COLUMNS($V$1006:Z1006),$V$1006:$AE$1006,0))&gt;=100000), " ",IF(INDEX($V$2:$AE$1001,MATCH(ROWS($O$2:O206),$O$2:$O$1001,0),MATCH(COLUMNS($V$1006:Z1006),$V$1006:$AE$1006,0)), HYPERLINK("#",""), HYPERLINK(CONCATENATE("#Metadata!", ADDRESS(INDEX($Q$2:$Q$1001,MATCH(ROWS($O$2:O206),$O$2:$O$1001,0),0), INDEX($V$1004:$AE$1004,1,MATCH(COLUMNS($V$1006:Z1006),$V$1006:$AE$1006,0)))),"Fix")))</f>
        <v>0</v>
      </c>
      <c r="G206" s="4">
        <f>IF(OR(INDEX($P$2:$P$1001,MATCH(ROWS($O$2:O206),$O$2:$O$1001,0),1)&gt;=100000,INDEX($V$1005:$AE$1005,1,MATCH(COLUMNS($V$1006:AA1006),$V$1006:$AE$1006,0))&gt;=100000), " ",IF(INDEX($V$2:$AE$1001,MATCH(ROWS($O$2:O206),$O$2:$O$1001,0),MATCH(COLUMNS($V$1006:AA1006),$V$1006:$AE$1006,0)), HYPERLINK("#",""), HYPERLINK(CONCATENATE("#Metadata!", ADDRESS(INDEX($Q$2:$Q$1001,MATCH(ROWS($O$2:O206),$O$2:$O$1001,0),0), INDEX($V$1004:$AE$1004,1,MATCH(COLUMNS($V$1006:AA1006),$V$1006:$AE$1006,0)))),"Fix")))</f>
        <v>0</v>
      </c>
      <c r="H206" s="4">
        <f>IF(OR(INDEX($P$2:$P$1001,MATCH(ROWS($O$2:O206),$O$2:$O$1001,0),1)&gt;=100000,INDEX($V$1005:$AE$1005,1,MATCH(COLUMNS($V$1006:AB1006),$V$1006:$AE$1006,0))&gt;=100000), " ",IF(INDEX($V$2:$AE$1001,MATCH(ROWS($O$2:O206),$O$2:$O$1001,0),MATCH(COLUMNS($V$1006:AB1006),$V$1006:$AE$1006,0)), HYPERLINK("#",""), HYPERLINK(CONCATENATE("#Metadata!", ADDRESS(INDEX($Q$2:$Q$1001,MATCH(ROWS($O$2:O206),$O$2:$O$1001,0),0), INDEX($V$1004:$AE$1004,1,MATCH(COLUMNS($V$1006:AB1006),$V$1006:$AE$1006,0)))),"Fix")))</f>
        <v>0</v>
      </c>
      <c r="I206" s="4">
        <f>IF(OR(INDEX($P$2:$P$1001,MATCH(ROWS($O$2:O206),$O$2:$O$1001,0),1)&gt;=100000,INDEX($V$1005:$AE$1005,1,MATCH(COLUMNS($V$1006:AC1006),$V$1006:$AE$1006,0))&gt;=100000), " ",IF(INDEX($V$2:$AE$1001,MATCH(ROWS($O$2:O206),$O$2:$O$1001,0),MATCH(COLUMNS($V$1006:AC1006),$V$1006:$AE$1006,0)), HYPERLINK("#",""), HYPERLINK(CONCATENATE("#Metadata!", ADDRESS(INDEX($Q$2:$Q$1001,MATCH(ROWS($O$2:O206),$O$2:$O$1001,0),0), INDEX($V$1004:$AE$1004,1,MATCH(COLUMNS($V$1006:AC1006),$V$1006:$AE$1006,0)))),"Fix")))</f>
        <v>0</v>
      </c>
      <c r="J206" s="4">
        <f>IF(OR(INDEX($P$2:$P$1001,MATCH(ROWS($O$2:O206),$O$2:$O$1001,0),1)&gt;=100000,INDEX($V$1005:$AE$1005,1,MATCH(COLUMNS($V$1006:AD1006),$V$1006:$AE$1006,0))&gt;=100000), " ",IF(INDEX($V$2:$AE$1001,MATCH(ROWS($O$2:O206),$O$2:$O$1001,0),MATCH(COLUMNS($V$1006:AD1006),$V$1006:$AE$1006,0)), HYPERLINK("#",""), HYPERLINK(CONCATENATE("#Metadata!", ADDRESS(INDEX($Q$2:$Q$1001,MATCH(ROWS($O$2:O206),$O$2:$O$1001,0),0), INDEX($V$1004:$AE$1004,1,MATCH(COLUMNS($V$1006:AD1006),$V$1006:$AE$1006,0)))),"Fix")))</f>
        <v>0</v>
      </c>
      <c r="K206" s="4">
        <f>IF(OR(INDEX($P$2:$P$1001,MATCH(ROWS($O$2:O206),$O$2:$O$1001,0),1)&gt;=100000,INDEX($V$1005:$AE$1005,1,MATCH(COLUMNS($V$1006:AE1006),$V$1006:$AE$1006,0))&gt;=100000), " ",IF(INDEX($V$2:$AE$1001,MATCH(ROWS($O$2:O206),$O$2:$O$1001,0),MATCH(COLUMNS($V$1006:AE1006),$V$1006:$AE$1006,0)), HYPERLINK("#",""), HYPERLINK(CONCATENATE("#Metadata!", ADDRESS(INDEX($Q$2:$Q$1001,MATCH(ROWS($O$2:O206),$O$2:$O$1001,0),0), INDEX($V$1004:$AE$1004,1,MATCH(COLUMNS($V$1006:AE1006),$V$1006:$AE$1006,0)))),"Fix")))</f>
        <v>0</v>
      </c>
      <c r="O206">
        <v>0</v>
      </c>
      <c r="P206">
        <v>0</v>
      </c>
      <c r="Q206">
        <v>0</v>
      </c>
      <c r="R206">
        <f>IF(S206,TRUE,AND(V206:AE206))</f>
        <v>0</v>
      </c>
      <c r="S206">
        <f>COUNTBLANK(Metadata!B206:K206)=COLUMNS(Metadata!B206:K206)</f>
        <v>0</v>
      </c>
      <c r="T206">
        <v>0</v>
      </c>
      <c r="V206">
        <f>AND(IF(Metadata!B206="",FALSE,TRUE),COUNTIF(Metadata!B:B, Metadata!B206) = 1,NOT(ISERROR(SUMPRODUCT(SEARCH(MID(Metadata!B206,ROW(INDIRECT("1:"&amp;LEN(Metadata!B206))), 1),"0123456789abcdefghijklmnopqrstuvwxyzABCDEFGHIJKLMNOPQRSTUVWXYZ.")))))</f>
        <v>0</v>
      </c>
      <c r="W206">
        <f>AND(IF(Metadata!C206="",FALSE,TRUE),exact(Metadata!C206,"urban biome"))</f>
        <v>0</v>
      </c>
      <c r="X206">
        <f>AND(IF(Metadata!D206="",FALSE,TRUE),exact(Metadata!D206,"animal-associated habitat"))</f>
        <v>0</v>
      </c>
      <c r="Y206">
        <f>OR(AND(IF(Metadata!E206="",FALSE,TRUE),OR(exact(Metadata!E206,"not applicable"),exact(Metadata!E206,"missing: not collected"),exact(Metadata!E206,"missing: not provided"),exact(Metadata!E206,"missing: restricted access"))),AND(IF(Metadata!E206="",FALSE,ISNUMBER(VALUE(Metadata!E206))),Metadata!E206&gt;0))</f>
        <v>0</v>
      </c>
      <c r="Z206">
        <f>AND(IF(Metadata!F206="",FALSE,TRUE),exact(Metadata!F206,"weeks"))</f>
        <v>0</v>
      </c>
      <c r="AA206">
        <f>AND(IF(Metadata!G206="",FALSE,TRUE),exact(Metadata!G206,"mouse"))</f>
        <v>0</v>
      </c>
      <c r="AB206">
        <f>AND(IF(Metadata!H206="",FALSE,TRUE),exact(Metadata!H206,"Mus musculus"))</f>
        <v>0</v>
      </c>
      <c r="AC206">
        <f>AND(IF(Metadata!I206="",FALSE,TRUE),exact(Metadata!I206,"10090"))</f>
        <v>0</v>
      </c>
      <c r="AD206">
        <f>OR(AND(IF(Metadata!J206="",FALSE,TRUE),OR(exact(Metadata!J206,"not applicable"),exact(Metadata!J206,"missing: not collected"),exact(Metadata!J206,"missing: not provided"),exact(Metadata!J206,"missing: restricted access"))),AND(IF(Metadata!J206="",FALSE,ISNUMBER(VALUE(Metadata!J206))),Metadata!J206&gt;0))</f>
        <v>0</v>
      </c>
      <c r="AE206">
        <f>AND(IF(Metadata!K206="",FALSE,TRUE),exact(Metadata!K206,"g"))</f>
        <v>0</v>
      </c>
    </row>
    <row r="207" spans="1:31">
      <c r="A207" s="5">
        <f>IF(B207=" "," ",HYPERLINK(CONCATENATE("#metadata!",ADDRESS(INDEX($Q$2:$Q$1001,MATCH(ROWS($O$2:O207),$O$2:$O$1001,0),0),1)),INDEX($T$2:$T$1001,MATCH(ROWS($O$2:O207),$O$2:$O$1001,0),0)))</f>
        <v>0</v>
      </c>
      <c r="B207" s="4">
        <f>IF(OR(INDEX($P$2:$P$1001,MATCH(ROWS($O$2:O207),$O$2:$O$1001,0),1)&gt;=100000,INDEX($V$1005:$AE$1005,1,MATCH(COLUMNS($V$1006:V1006),$V$1006:$AE$1006,0))&gt;=100000), " ",IF(INDEX($V$2:$AE$1001,MATCH(ROWS($O$2:O207),$O$2:$O$1001,0),MATCH(COLUMNS($V$1006:V1006),$V$1006:$AE$1006,0)), HYPERLINK("#",""), HYPERLINK(CONCATENATE("#Metadata!", ADDRESS(INDEX($Q$2:$Q$1001,MATCH(ROWS($O$2:O207),$O$2:$O$1001,0),0), INDEX($V$1004:$AE$1004,1,MATCH(COLUMNS($V$1006:V1006),$V$1006:$AE$1006,0)))),"Fix")))</f>
        <v>0</v>
      </c>
      <c r="C207" s="4">
        <f>IF(OR(INDEX($P$2:$P$1001,MATCH(ROWS($O$2:O207),$O$2:$O$1001,0),1)&gt;=100000,INDEX($V$1005:$AE$1005,1,MATCH(COLUMNS($V$1006:W1006),$V$1006:$AE$1006,0))&gt;=100000), " ",IF(INDEX($V$2:$AE$1001,MATCH(ROWS($O$2:O207),$O$2:$O$1001,0),MATCH(COLUMNS($V$1006:W1006),$V$1006:$AE$1006,0)), HYPERLINK("#",""), HYPERLINK(CONCATENATE("#Metadata!", ADDRESS(INDEX($Q$2:$Q$1001,MATCH(ROWS($O$2:O207),$O$2:$O$1001,0),0), INDEX($V$1004:$AE$1004,1,MATCH(COLUMNS($V$1006:W1006),$V$1006:$AE$1006,0)))),"Fix")))</f>
        <v>0</v>
      </c>
      <c r="D207" s="4">
        <f>IF(OR(INDEX($P$2:$P$1001,MATCH(ROWS($O$2:O207),$O$2:$O$1001,0),1)&gt;=100000,INDEX($V$1005:$AE$1005,1,MATCH(COLUMNS($V$1006:X1006),$V$1006:$AE$1006,0))&gt;=100000), " ",IF(INDEX($V$2:$AE$1001,MATCH(ROWS($O$2:O207),$O$2:$O$1001,0),MATCH(COLUMNS($V$1006:X1006),$V$1006:$AE$1006,0)), HYPERLINK("#",""), HYPERLINK(CONCATENATE("#Metadata!", ADDRESS(INDEX($Q$2:$Q$1001,MATCH(ROWS($O$2:O207),$O$2:$O$1001,0),0), INDEX($V$1004:$AE$1004,1,MATCH(COLUMNS($V$1006:X1006),$V$1006:$AE$1006,0)))),"Fix")))</f>
        <v>0</v>
      </c>
      <c r="E207" s="4">
        <f>IF(OR(INDEX($P$2:$P$1001,MATCH(ROWS($O$2:O207),$O$2:$O$1001,0),1)&gt;=100000,INDEX($V$1005:$AE$1005,1,MATCH(COLUMNS($V$1006:Y1006),$V$1006:$AE$1006,0))&gt;=100000), " ",IF(INDEX($V$2:$AE$1001,MATCH(ROWS($O$2:O207),$O$2:$O$1001,0),MATCH(COLUMNS($V$1006:Y1006),$V$1006:$AE$1006,0)), HYPERLINK("#",""), HYPERLINK(CONCATENATE("#Metadata!", ADDRESS(INDEX($Q$2:$Q$1001,MATCH(ROWS($O$2:O207),$O$2:$O$1001,0),0), INDEX($V$1004:$AE$1004,1,MATCH(COLUMNS($V$1006:Y1006),$V$1006:$AE$1006,0)))),"Fix")))</f>
        <v>0</v>
      </c>
      <c r="F207" s="4">
        <f>IF(OR(INDEX($P$2:$P$1001,MATCH(ROWS($O$2:O207),$O$2:$O$1001,0),1)&gt;=100000,INDEX($V$1005:$AE$1005,1,MATCH(COLUMNS($V$1006:Z1006),$V$1006:$AE$1006,0))&gt;=100000), " ",IF(INDEX($V$2:$AE$1001,MATCH(ROWS($O$2:O207),$O$2:$O$1001,0),MATCH(COLUMNS($V$1006:Z1006),$V$1006:$AE$1006,0)), HYPERLINK("#",""), HYPERLINK(CONCATENATE("#Metadata!", ADDRESS(INDEX($Q$2:$Q$1001,MATCH(ROWS($O$2:O207),$O$2:$O$1001,0),0), INDEX($V$1004:$AE$1004,1,MATCH(COLUMNS($V$1006:Z1006),$V$1006:$AE$1006,0)))),"Fix")))</f>
        <v>0</v>
      </c>
      <c r="G207" s="4">
        <f>IF(OR(INDEX($P$2:$P$1001,MATCH(ROWS($O$2:O207),$O$2:$O$1001,0),1)&gt;=100000,INDEX($V$1005:$AE$1005,1,MATCH(COLUMNS($V$1006:AA1006),$V$1006:$AE$1006,0))&gt;=100000), " ",IF(INDEX($V$2:$AE$1001,MATCH(ROWS($O$2:O207),$O$2:$O$1001,0),MATCH(COLUMNS($V$1006:AA1006),$V$1006:$AE$1006,0)), HYPERLINK("#",""), HYPERLINK(CONCATENATE("#Metadata!", ADDRESS(INDEX($Q$2:$Q$1001,MATCH(ROWS($O$2:O207),$O$2:$O$1001,0),0), INDEX($V$1004:$AE$1004,1,MATCH(COLUMNS($V$1006:AA1006),$V$1006:$AE$1006,0)))),"Fix")))</f>
        <v>0</v>
      </c>
      <c r="H207" s="4">
        <f>IF(OR(INDEX($P$2:$P$1001,MATCH(ROWS($O$2:O207),$O$2:$O$1001,0),1)&gt;=100000,INDEX($V$1005:$AE$1005,1,MATCH(COLUMNS($V$1006:AB1006),$V$1006:$AE$1006,0))&gt;=100000), " ",IF(INDEX($V$2:$AE$1001,MATCH(ROWS($O$2:O207),$O$2:$O$1001,0),MATCH(COLUMNS($V$1006:AB1006),$V$1006:$AE$1006,0)), HYPERLINK("#",""), HYPERLINK(CONCATENATE("#Metadata!", ADDRESS(INDEX($Q$2:$Q$1001,MATCH(ROWS($O$2:O207),$O$2:$O$1001,0),0), INDEX($V$1004:$AE$1004,1,MATCH(COLUMNS($V$1006:AB1006),$V$1006:$AE$1006,0)))),"Fix")))</f>
        <v>0</v>
      </c>
      <c r="I207" s="4">
        <f>IF(OR(INDEX($P$2:$P$1001,MATCH(ROWS($O$2:O207),$O$2:$O$1001,0),1)&gt;=100000,INDEX($V$1005:$AE$1005,1,MATCH(COLUMNS($V$1006:AC1006),$V$1006:$AE$1006,0))&gt;=100000), " ",IF(INDEX($V$2:$AE$1001,MATCH(ROWS($O$2:O207),$O$2:$O$1001,0),MATCH(COLUMNS($V$1006:AC1006),$V$1006:$AE$1006,0)), HYPERLINK("#",""), HYPERLINK(CONCATENATE("#Metadata!", ADDRESS(INDEX($Q$2:$Q$1001,MATCH(ROWS($O$2:O207),$O$2:$O$1001,0),0), INDEX($V$1004:$AE$1004,1,MATCH(COLUMNS($V$1006:AC1006),$V$1006:$AE$1006,0)))),"Fix")))</f>
        <v>0</v>
      </c>
      <c r="J207" s="4">
        <f>IF(OR(INDEX($P$2:$P$1001,MATCH(ROWS($O$2:O207),$O$2:$O$1001,0),1)&gt;=100000,INDEX($V$1005:$AE$1005,1,MATCH(COLUMNS($V$1006:AD1006),$V$1006:$AE$1006,0))&gt;=100000), " ",IF(INDEX($V$2:$AE$1001,MATCH(ROWS($O$2:O207),$O$2:$O$1001,0),MATCH(COLUMNS($V$1006:AD1006),$V$1006:$AE$1006,0)), HYPERLINK("#",""), HYPERLINK(CONCATENATE("#Metadata!", ADDRESS(INDEX($Q$2:$Q$1001,MATCH(ROWS($O$2:O207),$O$2:$O$1001,0),0), INDEX($V$1004:$AE$1004,1,MATCH(COLUMNS($V$1006:AD1006),$V$1006:$AE$1006,0)))),"Fix")))</f>
        <v>0</v>
      </c>
      <c r="K207" s="4">
        <f>IF(OR(INDEX($P$2:$P$1001,MATCH(ROWS($O$2:O207),$O$2:$O$1001,0),1)&gt;=100000,INDEX($V$1005:$AE$1005,1,MATCH(COLUMNS($V$1006:AE1006),$V$1006:$AE$1006,0))&gt;=100000), " ",IF(INDEX($V$2:$AE$1001,MATCH(ROWS($O$2:O207),$O$2:$O$1001,0),MATCH(COLUMNS($V$1006:AE1006),$V$1006:$AE$1006,0)), HYPERLINK("#",""), HYPERLINK(CONCATENATE("#Metadata!", ADDRESS(INDEX($Q$2:$Q$1001,MATCH(ROWS($O$2:O207),$O$2:$O$1001,0),0), INDEX($V$1004:$AE$1004,1,MATCH(COLUMNS($V$1006:AE1006),$V$1006:$AE$1006,0)))),"Fix")))</f>
        <v>0</v>
      </c>
      <c r="O207">
        <v>0</v>
      </c>
      <c r="P207">
        <v>0</v>
      </c>
      <c r="Q207">
        <v>0</v>
      </c>
      <c r="R207">
        <f>IF(S207,TRUE,AND(V207:AE207))</f>
        <v>0</v>
      </c>
      <c r="S207">
        <f>COUNTBLANK(Metadata!B207:K207)=COLUMNS(Metadata!B207:K207)</f>
        <v>0</v>
      </c>
      <c r="T207">
        <v>0</v>
      </c>
      <c r="V207">
        <f>AND(IF(Metadata!B207="",FALSE,TRUE),COUNTIF(Metadata!B:B, Metadata!B207) = 1,NOT(ISERROR(SUMPRODUCT(SEARCH(MID(Metadata!B207,ROW(INDIRECT("1:"&amp;LEN(Metadata!B207))), 1),"0123456789abcdefghijklmnopqrstuvwxyzABCDEFGHIJKLMNOPQRSTUVWXYZ.")))))</f>
        <v>0</v>
      </c>
      <c r="W207">
        <f>AND(IF(Metadata!C207="",FALSE,TRUE),exact(Metadata!C207,"urban biome"))</f>
        <v>0</v>
      </c>
      <c r="X207">
        <f>AND(IF(Metadata!D207="",FALSE,TRUE),exact(Metadata!D207,"animal-associated habitat"))</f>
        <v>0</v>
      </c>
      <c r="Y207">
        <f>OR(AND(IF(Metadata!E207="",FALSE,TRUE),OR(exact(Metadata!E207,"not applicable"),exact(Metadata!E207,"missing: not collected"),exact(Metadata!E207,"missing: not provided"),exact(Metadata!E207,"missing: restricted access"))),AND(IF(Metadata!E207="",FALSE,ISNUMBER(VALUE(Metadata!E207))),Metadata!E207&gt;0))</f>
        <v>0</v>
      </c>
      <c r="Z207">
        <f>AND(IF(Metadata!F207="",FALSE,TRUE),exact(Metadata!F207,"weeks"))</f>
        <v>0</v>
      </c>
      <c r="AA207">
        <f>AND(IF(Metadata!G207="",FALSE,TRUE),exact(Metadata!G207,"mouse"))</f>
        <v>0</v>
      </c>
      <c r="AB207">
        <f>AND(IF(Metadata!H207="",FALSE,TRUE),exact(Metadata!H207,"Mus musculus"))</f>
        <v>0</v>
      </c>
      <c r="AC207">
        <f>AND(IF(Metadata!I207="",FALSE,TRUE),exact(Metadata!I207,"10090"))</f>
        <v>0</v>
      </c>
      <c r="AD207">
        <f>OR(AND(IF(Metadata!J207="",FALSE,TRUE),OR(exact(Metadata!J207,"not applicable"),exact(Metadata!J207,"missing: not collected"),exact(Metadata!J207,"missing: not provided"),exact(Metadata!J207,"missing: restricted access"))),AND(IF(Metadata!J207="",FALSE,ISNUMBER(VALUE(Metadata!J207))),Metadata!J207&gt;0))</f>
        <v>0</v>
      </c>
      <c r="AE207">
        <f>AND(IF(Metadata!K207="",FALSE,TRUE),exact(Metadata!K207,"g"))</f>
        <v>0</v>
      </c>
    </row>
    <row r="208" spans="1:31">
      <c r="A208" s="5">
        <f>IF(B208=" "," ",HYPERLINK(CONCATENATE("#metadata!",ADDRESS(INDEX($Q$2:$Q$1001,MATCH(ROWS($O$2:O208),$O$2:$O$1001,0),0),1)),INDEX($T$2:$T$1001,MATCH(ROWS($O$2:O208),$O$2:$O$1001,0),0)))</f>
        <v>0</v>
      </c>
      <c r="B208" s="4">
        <f>IF(OR(INDEX($P$2:$P$1001,MATCH(ROWS($O$2:O208),$O$2:$O$1001,0),1)&gt;=100000,INDEX($V$1005:$AE$1005,1,MATCH(COLUMNS($V$1006:V1006),$V$1006:$AE$1006,0))&gt;=100000), " ",IF(INDEX($V$2:$AE$1001,MATCH(ROWS($O$2:O208),$O$2:$O$1001,0),MATCH(COLUMNS($V$1006:V1006),$V$1006:$AE$1006,0)), HYPERLINK("#",""), HYPERLINK(CONCATENATE("#Metadata!", ADDRESS(INDEX($Q$2:$Q$1001,MATCH(ROWS($O$2:O208),$O$2:$O$1001,0),0), INDEX($V$1004:$AE$1004,1,MATCH(COLUMNS($V$1006:V1006),$V$1006:$AE$1006,0)))),"Fix")))</f>
        <v>0</v>
      </c>
      <c r="C208" s="4">
        <f>IF(OR(INDEX($P$2:$P$1001,MATCH(ROWS($O$2:O208),$O$2:$O$1001,0),1)&gt;=100000,INDEX($V$1005:$AE$1005,1,MATCH(COLUMNS($V$1006:W1006),$V$1006:$AE$1006,0))&gt;=100000), " ",IF(INDEX($V$2:$AE$1001,MATCH(ROWS($O$2:O208),$O$2:$O$1001,0),MATCH(COLUMNS($V$1006:W1006),$V$1006:$AE$1006,0)), HYPERLINK("#",""), HYPERLINK(CONCATENATE("#Metadata!", ADDRESS(INDEX($Q$2:$Q$1001,MATCH(ROWS($O$2:O208),$O$2:$O$1001,0),0), INDEX($V$1004:$AE$1004,1,MATCH(COLUMNS($V$1006:W1006),$V$1006:$AE$1006,0)))),"Fix")))</f>
        <v>0</v>
      </c>
      <c r="D208" s="4">
        <f>IF(OR(INDEX($P$2:$P$1001,MATCH(ROWS($O$2:O208),$O$2:$O$1001,0),1)&gt;=100000,INDEX($V$1005:$AE$1005,1,MATCH(COLUMNS($V$1006:X1006),$V$1006:$AE$1006,0))&gt;=100000), " ",IF(INDEX($V$2:$AE$1001,MATCH(ROWS($O$2:O208),$O$2:$O$1001,0),MATCH(COLUMNS($V$1006:X1006),$V$1006:$AE$1006,0)), HYPERLINK("#",""), HYPERLINK(CONCATENATE("#Metadata!", ADDRESS(INDEX($Q$2:$Q$1001,MATCH(ROWS($O$2:O208),$O$2:$O$1001,0),0), INDEX($V$1004:$AE$1004,1,MATCH(COLUMNS($V$1006:X1006),$V$1006:$AE$1006,0)))),"Fix")))</f>
        <v>0</v>
      </c>
      <c r="E208" s="4">
        <f>IF(OR(INDEX($P$2:$P$1001,MATCH(ROWS($O$2:O208),$O$2:$O$1001,0),1)&gt;=100000,INDEX($V$1005:$AE$1005,1,MATCH(COLUMNS($V$1006:Y1006),$V$1006:$AE$1006,0))&gt;=100000), " ",IF(INDEX($V$2:$AE$1001,MATCH(ROWS($O$2:O208),$O$2:$O$1001,0),MATCH(COLUMNS($V$1006:Y1006),$V$1006:$AE$1006,0)), HYPERLINK("#",""), HYPERLINK(CONCATENATE("#Metadata!", ADDRESS(INDEX($Q$2:$Q$1001,MATCH(ROWS($O$2:O208),$O$2:$O$1001,0),0), INDEX($V$1004:$AE$1004,1,MATCH(COLUMNS($V$1006:Y1006),$V$1006:$AE$1006,0)))),"Fix")))</f>
        <v>0</v>
      </c>
      <c r="F208" s="4">
        <f>IF(OR(INDEX($P$2:$P$1001,MATCH(ROWS($O$2:O208),$O$2:$O$1001,0),1)&gt;=100000,INDEX($V$1005:$AE$1005,1,MATCH(COLUMNS($V$1006:Z1006),$V$1006:$AE$1006,0))&gt;=100000), " ",IF(INDEX($V$2:$AE$1001,MATCH(ROWS($O$2:O208),$O$2:$O$1001,0),MATCH(COLUMNS($V$1006:Z1006),$V$1006:$AE$1006,0)), HYPERLINK("#",""), HYPERLINK(CONCATENATE("#Metadata!", ADDRESS(INDEX($Q$2:$Q$1001,MATCH(ROWS($O$2:O208),$O$2:$O$1001,0),0), INDEX($V$1004:$AE$1004,1,MATCH(COLUMNS($V$1006:Z1006),$V$1006:$AE$1006,0)))),"Fix")))</f>
        <v>0</v>
      </c>
      <c r="G208" s="4">
        <f>IF(OR(INDEX($P$2:$P$1001,MATCH(ROWS($O$2:O208),$O$2:$O$1001,0),1)&gt;=100000,INDEX($V$1005:$AE$1005,1,MATCH(COLUMNS($V$1006:AA1006),$V$1006:$AE$1006,0))&gt;=100000), " ",IF(INDEX($V$2:$AE$1001,MATCH(ROWS($O$2:O208),$O$2:$O$1001,0),MATCH(COLUMNS($V$1006:AA1006),$V$1006:$AE$1006,0)), HYPERLINK("#",""), HYPERLINK(CONCATENATE("#Metadata!", ADDRESS(INDEX($Q$2:$Q$1001,MATCH(ROWS($O$2:O208),$O$2:$O$1001,0),0), INDEX($V$1004:$AE$1004,1,MATCH(COLUMNS($V$1006:AA1006),$V$1006:$AE$1006,0)))),"Fix")))</f>
        <v>0</v>
      </c>
      <c r="H208" s="4">
        <f>IF(OR(INDEX($P$2:$P$1001,MATCH(ROWS($O$2:O208),$O$2:$O$1001,0),1)&gt;=100000,INDEX($V$1005:$AE$1005,1,MATCH(COLUMNS($V$1006:AB1006),$V$1006:$AE$1006,0))&gt;=100000), " ",IF(INDEX($V$2:$AE$1001,MATCH(ROWS($O$2:O208),$O$2:$O$1001,0),MATCH(COLUMNS($V$1006:AB1006),$V$1006:$AE$1006,0)), HYPERLINK("#",""), HYPERLINK(CONCATENATE("#Metadata!", ADDRESS(INDEX($Q$2:$Q$1001,MATCH(ROWS($O$2:O208),$O$2:$O$1001,0),0), INDEX($V$1004:$AE$1004,1,MATCH(COLUMNS($V$1006:AB1006),$V$1006:$AE$1006,0)))),"Fix")))</f>
        <v>0</v>
      </c>
      <c r="I208" s="4">
        <f>IF(OR(INDEX($P$2:$P$1001,MATCH(ROWS($O$2:O208),$O$2:$O$1001,0),1)&gt;=100000,INDEX($V$1005:$AE$1005,1,MATCH(COLUMNS($V$1006:AC1006),$V$1006:$AE$1006,0))&gt;=100000), " ",IF(INDEX($V$2:$AE$1001,MATCH(ROWS($O$2:O208),$O$2:$O$1001,0),MATCH(COLUMNS($V$1006:AC1006),$V$1006:$AE$1006,0)), HYPERLINK("#",""), HYPERLINK(CONCATENATE("#Metadata!", ADDRESS(INDEX($Q$2:$Q$1001,MATCH(ROWS($O$2:O208),$O$2:$O$1001,0),0), INDEX($V$1004:$AE$1004,1,MATCH(COLUMNS($V$1006:AC1006),$V$1006:$AE$1006,0)))),"Fix")))</f>
        <v>0</v>
      </c>
      <c r="J208" s="4">
        <f>IF(OR(INDEX($P$2:$P$1001,MATCH(ROWS($O$2:O208),$O$2:$O$1001,0),1)&gt;=100000,INDEX($V$1005:$AE$1005,1,MATCH(COLUMNS($V$1006:AD1006),$V$1006:$AE$1006,0))&gt;=100000), " ",IF(INDEX($V$2:$AE$1001,MATCH(ROWS($O$2:O208),$O$2:$O$1001,0),MATCH(COLUMNS($V$1006:AD1006),$V$1006:$AE$1006,0)), HYPERLINK("#",""), HYPERLINK(CONCATENATE("#Metadata!", ADDRESS(INDEX($Q$2:$Q$1001,MATCH(ROWS($O$2:O208),$O$2:$O$1001,0),0), INDEX($V$1004:$AE$1004,1,MATCH(COLUMNS($V$1006:AD1006),$V$1006:$AE$1006,0)))),"Fix")))</f>
        <v>0</v>
      </c>
      <c r="K208" s="4">
        <f>IF(OR(INDEX($P$2:$P$1001,MATCH(ROWS($O$2:O208),$O$2:$O$1001,0),1)&gt;=100000,INDEX($V$1005:$AE$1005,1,MATCH(COLUMNS($V$1006:AE1006),$V$1006:$AE$1006,0))&gt;=100000), " ",IF(INDEX($V$2:$AE$1001,MATCH(ROWS($O$2:O208),$O$2:$O$1001,0),MATCH(COLUMNS($V$1006:AE1006),$V$1006:$AE$1006,0)), HYPERLINK("#",""), HYPERLINK(CONCATENATE("#Metadata!", ADDRESS(INDEX($Q$2:$Q$1001,MATCH(ROWS($O$2:O208),$O$2:$O$1001,0),0), INDEX($V$1004:$AE$1004,1,MATCH(COLUMNS($V$1006:AE1006),$V$1006:$AE$1006,0)))),"Fix")))</f>
        <v>0</v>
      </c>
      <c r="O208">
        <v>0</v>
      </c>
      <c r="P208">
        <v>0</v>
      </c>
      <c r="Q208">
        <v>0</v>
      </c>
      <c r="R208">
        <f>IF(S208,TRUE,AND(V208:AE208))</f>
        <v>0</v>
      </c>
      <c r="S208">
        <f>COUNTBLANK(Metadata!B208:K208)=COLUMNS(Metadata!B208:K208)</f>
        <v>0</v>
      </c>
      <c r="T208">
        <v>0</v>
      </c>
      <c r="V208">
        <f>AND(IF(Metadata!B208="",FALSE,TRUE),COUNTIF(Metadata!B:B, Metadata!B208) = 1,NOT(ISERROR(SUMPRODUCT(SEARCH(MID(Metadata!B208,ROW(INDIRECT("1:"&amp;LEN(Metadata!B208))), 1),"0123456789abcdefghijklmnopqrstuvwxyzABCDEFGHIJKLMNOPQRSTUVWXYZ.")))))</f>
        <v>0</v>
      </c>
      <c r="W208">
        <f>AND(IF(Metadata!C208="",FALSE,TRUE),exact(Metadata!C208,"urban biome"))</f>
        <v>0</v>
      </c>
      <c r="X208">
        <f>AND(IF(Metadata!D208="",FALSE,TRUE),exact(Metadata!D208,"animal-associated habitat"))</f>
        <v>0</v>
      </c>
      <c r="Y208">
        <f>OR(AND(IF(Metadata!E208="",FALSE,TRUE),OR(exact(Metadata!E208,"not applicable"),exact(Metadata!E208,"missing: not collected"),exact(Metadata!E208,"missing: not provided"),exact(Metadata!E208,"missing: restricted access"))),AND(IF(Metadata!E208="",FALSE,ISNUMBER(VALUE(Metadata!E208))),Metadata!E208&gt;0))</f>
        <v>0</v>
      </c>
      <c r="Z208">
        <f>AND(IF(Metadata!F208="",FALSE,TRUE),exact(Metadata!F208,"weeks"))</f>
        <v>0</v>
      </c>
      <c r="AA208">
        <f>AND(IF(Metadata!G208="",FALSE,TRUE),exact(Metadata!G208,"mouse"))</f>
        <v>0</v>
      </c>
      <c r="AB208">
        <f>AND(IF(Metadata!H208="",FALSE,TRUE),exact(Metadata!H208,"Mus musculus"))</f>
        <v>0</v>
      </c>
      <c r="AC208">
        <f>AND(IF(Metadata!I208="",FALSE,TRUE),exact(Metadata!I208,"10090"))</f>
        <v>0</v>
      </c>
      <c r="AD208">
        <f>OR(AND(IF(Metadata!J208="",FALSE,TRUE),OR(exact(Metadata!J208,"not applicable"),exact(Metadata!J208,"missing: not collected"),exact(Metadata!J208,"missing: not provided"),exact(Metadata!J208,"missing: restricted access"))),AND(IF(Metadata!J208="",FALSE,ISNUMBER(VALUE(Metadata!J208))),Metadata!J208&gt;0))</f>
        <v>0</v>
      </c>
      <c r="AE208">
        <f>AND(IF(Metadata!K208="",FALSE,TRUE),exact(Metadata!K208,"g"))</f>
        <v>0</v>
      </c>
    </row>
    <row r="209" spans="1:31">
      <c r="A209" s="5">
        <f>IF(B209=" "," ",HYPERLINK(CONCATENATE("#metadata!",ADDRESS(INDEX($Q$2:$Q$1001,MATCH(ROWS($O$2:O209),$O$2:$O$1001,0),0),1)),INDEX($T$2:$T$1001,MATCH(ROWS($O$2:O209),$O$2:$O$1001,0),0)))</f>
        <v>0</v>
      </c>
      <c r="B209" s="4">
        <f>IF(OR(INDEX($P$2:$P$1001,MATCH(ROWS($O$2:O209),$O$2:$O$1001,0),1)&gt;=100000,INDEX($V$1005:$AE$1005,1,MATCH(COLUMNS($V$1006:V1006),$V$1006:$AE$1006,0))&gt;=100000), " ",IF(INDEX($V$2:$AE$1001,MATCH(ROWS($O$2:O209),$O$2:$O$1001,0),MATCH(COLUMNS($V$1006:V1006),$V$1006:$AE$1006,0)), HYPERLINK("#",""), HYPERLINK(CONCATENATE("#Metadata!", ADDRESS(INDEX($Q$2:$Q$1001,MATCH(ROWS($O$2:O209),$O$2:$O$1001,0),0), INDEX($V$1004:$AE$1004,1,MATCH(COLUMNS($V$1006:V1006),$V$1006:$AE$1006,0)))),"Fix")))</f>
        <v>0</v>
      </c>
      <c r="C209" s="4">
        <f>IF(OR(INDEX($P$2:$P$1001,MATCH(ROWS($O$2:O209),$O$2:$O$1001,0),1)&gt;=100000,INDEX($V$1005:$AE$1005,1,MATCH(COLUMNS($V$1006:W1006),$V$1006:$AE$1006,0))&gt;=100000), " ",IF(INDEX($V$2:$AE$1001,MATCH(ROWS($O$2:O209),$O$2:$O$1001,0),MATCH(COLUMNS($V$1006:W1006),$V$1006:$AE$1006,0)), HYPERLINK("#",""), HYPERLINK(CONCATENATE("#Metadata!", ADDRESS(INDEX($Q$2:$Q$1001,MATCH(ROWS($O$2:O209),$O$2:$O$1001,0),0), INDEX($V$1004:$AE$1004,1,MATCH(COLUMNS($V$1006:W1006),$V$1006:$AE$1006,0)))),"Fix")))</f>
        <v>0</v>
      </c>
      <c r="D209" s="4">
        <f>IF(OR(INDEX($P$2:$P$1001,MATCH(ROWS($O$2:O209),$O$2:$O$1001,0),1)&gt;=100000,INDEX($V$1005:$AE$1005,1,MATCH(COLUMNS($V$1006:X1006),$V$1006:$AE$1006,0))&gt;=100000), " ",IF(INDEX($V$2:$AE$1001,MATCH(ROWS($O$2:O209),$O$2:$O$1001,0),MATCH(COLUMNS($V$1006:X1006),$V$1006:$AE$1006,0)), HYPERLINK("#",""), HYPERLINK(CONCATENATE("#Metadata!", ADDRESS(INDEX($Q$2:$Q$1001,MATCH(ROWS($O$2:O209),$O$2:$O$1001,0),0), INDEX($V$1004:$AE$1004,1,MATCH(COLUMNS($V$1006:X1006),$V$1006:$AE$1006,0)))),"Fix")))</f>
        <v>0</v>
      </c>
      <c r="E209" s="4">
        <f>IF(OR(INDEX($P$2:$P$1001,MATCH(ROWS($O$2:O209),$O$2:$O$1001,0),1)&gt;=100000,INDEX($V$1005:$AE$1005,1,MATCH(COLUMNS($V$1006:Y1006),$V$1006:$AE$1006,0))&gt;=100000), " ",IF(INDEX($V$2:$AE$1001,MATCH(ROWS($O$2:O209),$O$2:$O$1001,0),MATCH(COLUMNS($V$1006:Y1006),$V$1006:$AE$1006,0)), HYPERLINK("#",""), HYPERLINK(CONCATENATE("#Metadata!", ADDRESS(INDEX($Q$2:$Q$1001,MATCH(ROWS($O$2:O209),$O$2:$O$1001,0),0), INDEX($V$1004:$AE$1004,1,MATCH(COLUMNS($V$1006:Y1006),$V$1006:$AE$1006,0)))),"Fix")))</f>
        <v>0</v>
      </c>
      <c r="F209" s="4">
        <f>IF(OR(INDEX($P$2:$P$1001,MATCH(ROWS($O$2:O209),$O$2:$O$1001,0),1)&gt;=100000,INDEX($V$1005:$AE$1005,1,MATCH(COLUMNS($V$1006:Z1006),$V$1006:$AE$1006,0))&gt;=100000), " ",IF(INDEX($V$2:$AE$1001,MATCH(ROWS($O$2:O209),$O$2:$O$1001,0),MATCH(COLUMNS($V$1006:Z1006),$V$1006:$AE$1006,0)), HYPERLINK("#",""), HYPERLINK(CONCATENATE("#Metadata!", ADDRESS(INDEX($Q$2:$Q$1001,MATCH(ROWS($O$2:O209),$O$2:$O$1001,0),0), INDEX($V$1004:$AE$1004,1,MATCH(COLUMNS($V$1006:Z1006),$V$1006:$AE$1006,0)))),"Fix")))</f>
        <v>0</v>
      </c>
      <c r="G209" s="4">
        <f>IF(OR(INDEX($P$2:$P$1001,MATCH(ROWS($O$2:O209),$O$2:$O$1001,0),1)&gt;=100000,INDEX($V$1005:$AE$1005,1,MATCH(COLUMNS($V$1006:AA1006),$V$1006:$AE$1006,0))&gt;=100000), " ",IF(INDEX($V$2:$AE$1001,MATCH(ROWS($O$2:O209),$O$2:$O$1001,0),MATCH(COLUMNS($V$1006:AA1006),$V$1006:$AE$1006,0)), HYPERLINK("#",""), HYPERLINK(CONCATENATE("#Metadata!", ADDRESS(INDEX($Q$2:$Q$1001,MATCH(ROWS($O$2:O209),$O$2:$O$1001,0),0), INDEX($V$1004:$AE$1004,1,MATCH(COLUMNS($V$1006:AA1006),$V$1006:$AE$1006,0)))),"Fix")))</f>
        <v>0</v>
      </c>
      <c r="H209" s="4">
        <f>IF(OR(INDEX($P$2:$P$1001,MATCH(ROWS($O$2:O209),$O$2:$O$1001,0),1)&gt;=100000,INDEX($V$1005:$AE$1005,1,MATCH(COLUMNS($V$1006:AB1006),$V$1006:$AE$1006,0))&gt;=100000), " ",IF(INDEX($V$2:$AE$1001,MATCH(ROWS($O$2:O209),$O$2:$O$1001,0),MATCH(COLUMNS($V$1006:AB1006),$V$1006:$AE$1006,0)), HYPERLINK("#",""), HYPERLINK(CONCATENATE("#Metadata!", ADDRESS(INDEX($Q$2:$Q$1001,MATCH(ROWS($O$2:O209),$O$2:$O$1001,0),0), INDEX($V$1004:$AE$1004,1,MATCH(COLUMNS($V$1006:AB1006),$V$1006:$AE$1006,0)))),"Fix")))</f>
        <v>0</v>
      </c>
      <c r="I209" s="4">
        <f>IF(OR(INDEX($P$2:$P$1001,MATCH(ROWS($O$2:O209),$O$2:$O$1001,0),1)&gt;=100000,INDEX($V$1005:$AE$1005,1,MATCH(COLUMNS($V$1006:AC1006),$V$1006:$AE$1006,0))&gt;=100000), " ",IF(INDEX($V$2:$AE$1001,MATCH(ROWS($O$2:O209),$O$2:$O$1001,0),MATCH(COLUMNS($V$1006:AC1006),$V$1006:$AE$1006,0)), HYPERLINK("#",""), HYPERLINK(CONCATENATE("#Metadata!", ADDRESS(INDEX($Q$2:$Q$1001,MATCH(ROWS($O$2:O209),$O$2:$O$1001,0),0), INDEX($V$1004:$AE$1004,1,MATCH(COLUMNS($V$1006:AC1006),$V$1006:$AE$1006,0)))),"Fix")))</f>
        <v>0</v>
      </c>
      <c r="J209" s="4">
        <f>IF(OR(INDEX($P$2:$P$1001,MATCH(ROWS($O$2:O209),$O$2:$O$1001,0),1)&gt;=100000,INDEX($V$1005:$AE$1005,1,MATCH(COLUMNS($V$1006:AD1006),$V$1006:$AE$1006,0))&gt;=100000), " ",IF(INDEX($V$2:$AE$1001,MATCH(ROWS($O$2:O209),$O$2:$O$1001,0),MATCH(COLUMNS($V$1006:AD1006),$V$1006:$AE$1006,0)), HYPERLINK("#",""), HYPERLINK(CONCATENATE("#Metadata!", ADDRESS(INDEX($Q$2:$Q$1001,MATCH(ROWS($O$2:O209),$O$2:$O$1001,0),0), INDEX($V$1004:$AE$1004,1,MATCH(COLUMNS($V$1006:AD1006),$V$1006:$AE$1006,0)))),"Fix")))</f>
        <v>0</v>
      </c>
      <c r="K209" s="4">
        <f>IF(OR(INDEX($P$2:$P$1001,MATCH(ROWS($O$2:O209),$O$2:$O$1001,0),1)&gt;=100000,INDEX($V$1005:$AE$1005,1,MATCH(COLUMNS($V$1006:AE1006),$V$1006:$AE$1006,0))&gt;=100000), " ",IF(INDEX($V$2:$AE$1001,MATCH(ROWS($O$2:O209),$O$2:$O$1001,0),MATCH(COLUMNS($V$1006:AE1006),$V$1006:$AE$1006,0)), HYPERLINK("#",""), HYPERLINK(CONCATENATE("#Metadata!", ADDRESS(INDEX($Q$2:$Q$1001,MATCH(ROWS($O$2:O209),$O$2:$O$1001,0),0), INDEX($V$1004:$AE$1004,1,MATCH(COLUMNS($V$1006:AE1006),$V$1006:$AE$1006,0)))),"Fix")))</f>
        <v>0</v>
      </c>
      <c r="O209">
        <v>0</v>
      </c>
      <c r="P209">
        <v>0</v>
      </c>
      <c r="Q209">
        <v>0</v>
      </c>
      <c r="R209">
        <f>IF(S209,TRUE,AND(V209:AE209))</f>
        <v>0</v>
      </c>
      <c r="S209">
        <f>COUNTBLANK(Metadata!B209:K209)=COLUMNS(Metadata!B209:K209)</f>
        <v>0</v>
      </c>
      <c r="T209">
        <v>0</v>
      </c>
      <c r="V209">
        <f>AND(IF(Metadata!B209="",FALSE,TRUE),COUNTIF(Metadata!B:B, Metadata!B209) = 1,NOT(ISERROR(SUMPRODUCT(SEARCH(MID(Metadata!B209,ROW(INDIRECT("1:"&amp;LEN(Metadata!B209))), 1),"0123456789abcdefghijklmnopqrstuvwxyzABCDEFGHIJKLMNOPQRSTUVWXYZ.")))))</f>
        <v>0</v>
      </c>
      <c r="W209">
        <f>AND(IF(Metadata!C209="",FALSE,TRUE),exact(Metadata!C209,"urban biome"))</f>
        <v>0</v>
      </c>
      <c r="X209">
        <f>AND(IF(Metadata!D209="",FALSE,TRUE),exact(Metadata!D209,"animal-associated habitat"))</f>
        <v>0</v>
      </c>
      <c r="Y209">
        <f>OR(AND(IF(Metadata!E209="",FALSE,TRUE),OR(exact(Metadata!E209,"not applicable"),exact(Metadata!E209,"missing: not collected"),exact(Metadata!E209,"missing: not provided"),exact(Metadata!E209,"missing: restricted access"))),AND(IF(Metadata!E209="",FALSE,ISNUMBER(VALUE(Metadata!E209))),Metadata!E209&gt;0))</f>
        <v>0</v>
      </c>
      <c r="Z209">
        <f>AND(IF(Metadata!F209="",FALSE,TRUE),exact(Metadata!F209,"weeks"))</f>
        <v>0</v>
      </c>
      <c r="AA209">
        <f>AND(IF(Metadata!G209="",FALSE,TRUE),exact(Metadata!G209,"mouse"))</f>
        <v>0</v>
      </c>
      <c r="AB209">
        <f>AND(IF(Metadata!H209="",FALSE,TRUE),exact(Metadata!H209,"Mus musculus"))</f>
        <v>0</v>
      </c>
      <c r="AC209">
        <f>AND(IF(Metadata!I209="",FALSE,TRUE),exact(Metadata!I209,"10090"))</f>
        <v>0</v>
      </c>
      <c r="AD209">
        <f>OR(AND(IF(Metadata!J209="",FALSE,TRUE),OR(exact(Metadata!J209,"not applicable"),exact(Metadata!J209,"missing: not collected"),exact(Metadata!J209,"missing: not provided"),exact(Metadata!J209,"missing: restricted access"))),AND(IF(Metadata!J209="",FALSE,ISNUMBER(VALUE(Metadata!J209))),Metadata!J209&gt;0))</f>
        <v>0</v>
      </c>
      <c r="AE209">
        <f>AND(IF(Metadata!K209="",FALSE,TRUE),exact(Metadata!K209,"g"))</f>
        <v>0</v>
      </c>
    </row>
    <row r="210" spans="1:31">
      <c r="A210" s="5">
        <f>IF(B210=" "," ",HYPERLINK(CONCATENATE("#metadata!",ADDRESS(INDEX($Q$2:$Q$1001,MATCH(ROWS($O$2:O210),$O$2:$O$1001,0),0),1)),INDEX($T$2:$T$1001,MATCH(ROWS($O$2:O210),$O$2:$O$1001,0),0)))</f>
        <v>0</v>
      </c>
      <c r="B210" s="4">
        <f>IF(OR(INDEX($P$2:$P$1001,MATCH(ROWS($O$2:O210),$O$2:$O$1001,0),1)&gt;=100000,INDEX($V$1005:$AE$1005,1,MATCH(COLUMNS($V$1006:V1006),$V$1006:$AE$1006,0))&gt;=100000), " ",IF(INDEX($V$2:$AE$1001,MATCH(ROWS($O$2:O210),$O$2:$O$1001,0),MATCH(COLUMNS($V$1006:V1006),$V$1006:$AE$1006,0)), HYPERLINK("#",""), HYPERLINK(CONCATENATE("#Metadata!", ADDRESS(INDEX($Q$2:$Q$1001,MATCH(ROWS($O$2:O210),$O$2:$O$1001,0),0), INDEX($V$1004:$AE$1004,1,MATCH(COLUMNS($V$1006:V1006),$V$1006:$AE$1006,0)))),"Fix")))</f>
        <v>0</v>
      </c>
      <c r="C210" s="4">
        <f>IF(OR(INDEX($P$2:$P$1001,MATCH(ROWS($O$2:O210),$O$2:$O$1001,0),1)&gt;=100000,INDEX($V$1005:$AE$1005,1,MATCH(COLUMNS($V$1006:W1006),$V$1006:$AE$1006,0))&gt;=100000), " ",IF(INDEX($V$2:$AE$1001,MATCH(ROWS($O$2:O210),$O$2:$O$1001,0),MATCH(COLUMNS($V$1006:W1006),$V$1006:$AE$1006,0)), HYPERLINK("#",""), HYPERLINK(CONCATENATE("#Metadata!", ADDRESS(INDEX($Q$2:$Q$1001,MATCH(ROWS($O$2:O210),$O$2:$O$1001,0),0), INDEX($V$1004:$AE$1004,1,MATCH(COLUMNS($V$1006:W1006),$V$1006:$AE$1006,0)))),"Fix")))</f>
        <v>0</v>
      </c>
      <c r="D210" s="4">
        <f>IF(OR(INDEX($P$2:$P$1001,MATCH(ROWS($O$2:O210),$O$2:$O$1001,0),1)&gt;=100000,INDEX($V$1005:$AE$1005,1,MATCH(COLUMNS($V$1006:X1006),$V$1006:$AE$1006,0))&gt;=100000), " ",IF(INDEX($V$2:$AE$1001,MATCH(ROWS($O$2:O210),$O$2:$O$1001,0),MATCH(COLUMNS($V$1006:X1006),$V$1006:$AE$1006,0)), HYPERLINK("#",""), HYPERLINK(CONCATENATE("#Metadata!", ADDRESS(INDEX($Q$2:$Q$1001,MATCH(ROWS($O$2:O210),$O$2:$O$1001,0),0), INDEX($V$1004:$AE$1004,1,MATCH(COLUMNS($V$1006:X1006),$V$1006:$AE$1006,0)))),"Fix")))</f>
        <v>0</v>
      </c>
      <c r="E210" s="4">
        <f>IF(OR(INDEX($P$2:$P$1001,MATCH(ROWS($O$2:O210),$O$2:$O$1001,0),1)&gt;=100000,INDEX($V$1005:$AE$1005,1,MATCH(COLUMNS($V$1006:Y1006),$V$1006:$AE$1006,0))&gt;=100000), " ",IF(INDEX($V$2:$AE$1001,MATCH(ROWS($O$2:O210),$O$2:$O$1001,0),MATCH(COLUMNS($V$1006:Y1006),$V$1006:$AE$1006,0)), HYPERLINK("#",""), HYPERLINK(CONCATENATE("#Metadata!", ADDRESS(INDEX($Q$2:$Q$1001,MATCH(ROWS($O$2:O210),$O$2:$O$1001,0),0), INDEX($V$1004:$AE$1004,1,MATCH(COLUMNS($V$1006:Y1006),$V$1006:$AE$1006,0)))),"Fix")))</f>
        <v>0</v>
      </c>
      <c r="F210" s="4">
        <f>IF(OR(INDEX($P$2:$P$1001,MATCH(ROWS($O$2:O210),$O$2:$O$1001,0),1)&gt;=100000,INDEX($V$1005:$AE$1005,1,MATCH(COLUMNS($V$1006:Z1006),$V$1006:$AE$1006,0))&gt;=100000), " ",IF(INDEX($V$2:$AE$1001,MATCH(ROWS($O$2:O210),$O$2:$O$1001,0),MATCH(COLUMNS($V$1006:Z1006),$V$1006:$AE$1006,0)), HYPERLINK("#",""), HYPERLINK(CONCATENATE("#Metadata!", ADDRESS(INDEX($Q$2:$Q$1001,MATCH(ROWS($O$2:O210),$O$2:$O$1001,0),0), INDEX($V$1004:$AE$1004,1,MATCH(COLUMNS($V$1006:Z1006),$V$1006:$AE$1006,0)))),"Fix")))</f>
        <v>0</v>
      </c>
      <c r="G210" s="4">
        <f>IF(OR(INDEX($P$2:$P$1001,MATCH(ROWS($O$2:O210),$O$2:$O$1001,0),1)&gt;=100000,INDEX($V$1005:$AE$1005,1,MATCH(COLUMNS($V$1006:AA1006),$V$1006:$AE$1006,0))&gt;=100000), " ",IF(INDEX($V$2:$AE$1001,MATCH(ROWS($O$2:O210),$O$2:$O$1001,0),MATCH(COLUMNS($V$1006:AA1006),$V$1006:$AE$1006,0)), HYPERLINK("#",""), HYPERLINK(CONCATENATE("#Metadata!", ADDRESS(INDEX($Q$2:$Q$1001,MATCH(ROWS($O$2:O210),$O$2:$O$1001,0),0), INDEX($V$1004:$AE$1004,1,MATCH(COLUMNS($V$1006:AA1006),$V$1006:$AE$1006,0)))),"Fix")))</f>
        <v>0</v>
      </c>
      <c r="H210" s="4">
        <f>IF(OR(INDEX($P$2:$P$1001,MATCH(ROWS($O$2:O210),$O$2:$O$1001,0),1)&gt;=100000,INDEX($V$1005:$AE$1005,1,MATCH(COLUMNS($V$1006:AB1006),$V$1006:$AE$1006,0))&gt;=100000), " ",IF(INDEX($V$2:$AE$1001,MATCH(ROWS($O$2:O210),$O$2:$O$1001,0),MATCH(COLUMNS($V$1006:AB1006),$V$1006:$AE$1006,0)), HYPERLINK("#",""), HYPERLINK(CONCATENATE("#Metadata!", ADDRESS(INDEX($Q$2:$Q$1001,MATCH(ROWS($O$2:O210),$O$2:$O$1001,0),0), INDEX($V$1004:$AE$1004,1,MATCH(COLUMNS($V$1006:AB1006),$V$1006:$AE$1006,0)))),"Fix")))</f>
        <v>0</v>
      </c>
      <c r="I210" s="4">
        <f>IF(OR(INDEX($P$2:$P$1001,MATCH(ROWS($O$2:O210),$O$2:$O$1001,0),1)&gt;=100000,INDEX($V$1005:$AE$1005,1,MATCH(COLUMNS($V$1006:AC1006),$V$1006:$AE$1006,0))&gt;=100000), " ",IF(INDEX($V$2:$AE$1001,MATCH(ROWS($O$2:O210),$O$2:$O$1001,0),MATCH(COLUMNS($V$1006:AC1006),$V$1006:$AE$1006,0)), HYPERLINK("#",""), HYPERLINK(CONCATENATE("#Metadata!", ADDRESS(INDEX($Q$2:$Q$1001,MATCH(ROWS($O$2:O210),$O$2:$O$1001,0),0), INDEX($V$1004:$AE$1004,1,MATCH(COLUMNS($V$1006:AC1006),$V$1006:$AE$1006,0)))),"Fix")))</f>
        <v>0</v>
      </c>
      <c r="J210" s="4">
        <f>IF(OR(INDEX($P$2:$P$1001,MATCH(ROWS($O$2:O210),$O$2:$O$1001,0),1)&gt;=100000,INDEX($V$1005:$AE$1005,1,MATCH(COLUMNS($V$1006:AD1006),$V$1006:$AE$1006,0))&gt;=100000), " ",IF(INDEX($V$2:$AE$1001,MATCH(ROWS($O$2:O210),$O$2:$O$1001,0),MATCH(COLUMNS($V$1006:AD1006),$V$1006:$AE$1006,0)), HYPERLINK("#",""), HYPERLINK(CONCATENATE("#Metadata!", ADDRESS(INDEX($Q$2:$Q$1001,MATCH(ROWS($O$2:O210),$O$2:$O$1001,0),0), INDEX($V$1004:$AE$1004,1,MATCH(COLUMNS($V$1006:AD1006),$V$1006:$AE$1006,0)))),"Fix")))</f>
        <v>0</v>
      </c>
      <c r="K210" s="4">
        <f>IF(OR(INDEX($P$2:$P$1001,MATCH(ROWS($O$2:O210),$O$2:$O$1001,0),1)&gt;=100000,INDEX($V$1005:$AE$1005,1,MATCH(COLUMNS($V$1006:AE1006),$V$1006:$AE$1006,0))&gt;=100000), " ",IF(INDEX($V$2:$AE$1001,MATCH(ROWS($O$2:O210),$O$2:$O$1001,0),MATCH(COLUMNS($V$1006:AE1006),$V$1006:$AE$1006,0)), HYPERLINK("#",""), HYPERLINK(CONCATENATE("#Metadata!", ADDRESS(INDEX($Q$2:$Q$1001,MATCH(ROWS($O$2:O210),$O$2:$O$1001,0),0), INDEX($V$1004:$AE$1004,1,MATCH(COLUMNS($V$1006:AE1006),$V$1006:$AE$1006,0)))),"Fix")))</f>
        <v>0</v>
      </c>
      <c r="O210">
        <v>0</v>
      </c>
      <c r="P210">
        <v>0</v>
      </c>
      <c r="Q210">
        <v>0</v>
      </c>
      <c r="R210">
        <f>IF(S210,TRUE,AND(V210:AE210))</f>
        <v>0</v>
      </c>
      <c r="S210">
        <f>COUNTBLANK(Metadata!B210:K210)=COLUMNS(Metadata!B210:K210)</f>
        <v>0</v>
      </c>
      <c r="T210">
        <v>0</v>
      </c>
      <c r="V210">
        <f>AND(IF(Metadata!B210="",FALSE,TRUE),COUNTIF(Metadata!B:B, Metadata!B210) = 1,NOT(ISERROR(SUMPRODUCT(SEARCH(MID(Metadata!B210,ROW(INDIRECT("1:"&amp;LEN(Metadata!B210))), 1),"0123456789abcdefghijklmnopqrstuvwxyzABCDEFGHIJKLMNOPQRSTUVWXYZ.")))))</f>
        <v>0</v>
      </c>
      <c r="W210">
        <f>AND(IF(Metadata!C210="",FALSE,TRUE),exact(Metadata!C210,"urban biome"))</f>
        <v>0</v>
      </c>
      <c r="X210">
        <f>AND(IF(Metadata!D210="",FALSE,TRUE),exact(Metadata!D210,"animal-associated habitat"))</f>
        <v>0</v>
      </c>
      <c r="Y210">
        <f>OR(AND(IF(Metadata!E210="",FALSE,TRUE),OR(exact(Metadata!E210,"not applicable"),exact(Metadata!E210,"missing: not collected"),exact(Metadata!E210,"missing: not provided"),exact(Metadata!E210,"missing: restricted access"))),AND(IF(Metadata!E210="",FALSE,ISNUMBER(VALUE(Metadata!E210))),Metadata!E210&gt;0))</f>
        <v>0</v>
      </c>
      <c r="Z210">
        <f>AND(IF(Metadata!F210="",FALSE,TRUE),exact(Metadata!F210,"weeks"))</f>
        <v>0</v>
      </c>
      <c r="AA210">
        <f>AND(IF(Metadata!G210="",FALSE,TRUE),exact(Metadata!G210,"mouse"))</f>
        <v>0</v>
      </c>
      <c r="AB210">
        <f>AND(IF(Metadata!H210="",FALSE,TRUE),exact(Metadata!H210,"Mus musculus"))</f>
        <v>0</v>
      </c>
      <c r="AC210">
        <f>AND(IF(Metadata!I210="",FALSE,TRUE),exact(Metadata!I210,"10090"))</f>
        <v>0</v>
      </c>
      <c r="AD210">
        <f>OR(AND(IF(Metadata!J210="",FALSE,TRUE),OR(exact(Metadata!J210,"not applicable"),exact(Metadata!J210,"missing: not collected"),exact(Metadata!J210,"missing: not provided"),exact(Metadata!J210,"missing: restricted access"))),AND(IF(Metadata!J210="",FALSE,ISNUMBER(VALUE(Metadata!J210))),Metadata!J210&gt;0))</f>
        <v>0</v>
      </c>
      <c r="AE210">
        <f>AND(IF(Metadata!K210="",FALSE,TRUE),exact(Metadata!K210,"g"))</f>
        <v>0</v>
      </c>
    </row>
    <row r="211" spans="1:31">
      <c r="A211" s="5">
        <f>IF(B211=" "," ",HYPERLINK(CONCATENATE("#metadata!",ADDRESS(INDEX($Q$2:$Q$1001,MATCH(ROWS($O$2:O211),$O$2:$O$1001,0),0),1)),INDEX($T$2:$T$1001,MATCH(ROWS($O$2:O211),$O$2:$O$1001,0),0)))</f>
        <v>0</v>
      </c>
      <c r="B211" s="4">
        <f>IF(OR(INDEX($P$2:$P$1001,MATCH(ROWS($O$2:O211),$O$2:$O$1001,0),1)&gt;=100000,INDEX($V$1005:$AE$1005,1,MATCH(COLUMNS($V$1006:V1006),$V$1006:$AE$1006,0))&gt;=100000), " ",IF(INDEX($V$2:$AE$1001,MATCH(ROWS($O$2:O211),$O$2:$O$1001,0),MATCH(COLUMNS($V$1006:V1006),$V$1006:$AE$1006,0)), HYPERLINK("#",""), HYPERLINK(CONCATENATE("#Metadata!", ADDRESS(INDEX($Q$2:$Q$1001,MATCH(ROWS($O$2:O211),$O$2:$O$1001,0),0), INDEX($V$1004:$AE$1004,1,MATCH(COLUMNS($V$1006:V1006),$V$1006:$AE$1006,0)))),"Fix")))</f>
        <v>0</v>
      </c>
      <c r="C211" s="4">
        <f>IF(OR(INDEX($P$2:$P$1001,MATCH(ROWS($O$2:O211),$O$2:$O$1001,0),1)&gt;=100000,INDEX($V$1005:$AE$1005,1,MATCH(COLUMNS($V$1006:W1006),$V$1006:$AE$1006,0))&gt;=100000), " ",IF(INDEX($V$2:$AE$1001,MATCH(ROWS($O$2:O211),$O$2:$O$1001,0),MATCH(COLUMNS($V$1006:W1006),$V$1006:$AE$1006,0)), HYPERLINK("#",""), HYPERLINK(CONCATENATE("#Metadata!", ADDRESS(INDEX($Q$2:$Q$1001,MATCH(ROWS($O$2:O211),$O$2:$O$1001,0),0), INDEX($V$1004:$AE$1004,1,MATCH(COLUMNS($V$1006:W1006),$V$1006:$AE$1006,0)))),"Fix")))</f>
        <v>0</v>
      </c>
      <c r="D211" s="4">
        <f>IF(OR(INDEX($P$2:$P$1001,MATCH(ROWS($O$2:O211),$O$2:$O$1001,0),1)&gt;=100000,INDEX($V$1005:$AE$1005,1,MATCH(COLUMNS($V$1006:X1006),$V$1006:$AE$1006,0))&gt;=100000), " ",IF(INDEX($V$2:$AE$1001,MATCH(ROWS($O$2:O211),$O$2:$O$1001,0),MATCH(COLUMNS($V$1006:X1006),$V$1006:$AE$1006,0)), HYPERLINK("#",""), HYPERLINK(CONCATENATE("#Metadata!", ADDRESS(INDEX($Q$2:$Q$1001,MATCH(ROWS($O$2:O211),$O$2:$O$1001,0),0), INDEX($V$1004:$AE$1004,1,MATCH(COLUMNS($V$1006:X1006),$V$1006:$AE$1006,0)))),"Fix")))</f>
        <v>0</v>
      </c>
      <c r="E211" s="4">
        <f>IF(OR(INDEX($P$2:$P$1001,MATCH(ROWS($O$2:O211),$O$2:$O$1001,0),1)&gt;=100000,INDEX($V$1005:$AE$1005,1,MATCH(COLUMNS($V$1006:Y1006),$V$1006:$AE$1006,0))&gt;=100000), " ",IF(INDEX($V$2:$AE$1001,MATCH(ROWS($O$2:O211),$O$2:$O$1001,0),MATCH(COLUMNS($V$1006:Y1006),$V$1006:$AE$1006,0)), HYPERLINK("#",""), HYPERLINK(CONCATENATE("#Metadata!", ADDRESS(INDEX($Q$2:$Q$1001,MATCH(ROWS($O$2:O211),$O$2:$O$1001,0),0), INDEX($V$1004:$AE$1004,1,MATCH(COLUMNS($V$1006:Y1006),$V$1006:$AE$1006,0)))),"Fix")))</f>
        <v>0</v>
      </c>
      <c r="F211" s="4">
        <f>IF(OR(INDEX($P$2:$P$1001,MATCH(ROWS($O$2:O211),$O$2:$O$1001,0),1)&gt;=100000,INDEX($V$1005:$AE$1005,1,MATCH(COLUMNS($V$1006:Z1006),$V$1006:$AE$1006,0))&gt;=100000), " ",IF(INDEX($V$2:$AE$1001,MATCH(ROWS($O$2:O211),$O$2:$O$1001,0),MATCH(COLUMNS($V$1006:Z1006),$V$1006:$AE$1006,0)), HYPERLINK("#",""), HYPERLINK(CONCATENATE("#Metadata!", ADDRESS(INDEX($Q$2:$Q$1001,MATCH(ROWS($O$2:O211),$O$2:$O$1001,0),0), INDEX($V$1004:$AE$1004,1,MATCH(COLUMNS($V$1006:Z1006),$V$1006:$AE$1006,0)))),"Fix")))</f>
        <v>0</v>
      </c>
      <c r="G211" s="4">
        <f>IF(OR(INDEX($P$2:$P$1001,MATCH(ROWS($O$2:O211),$O$2:$O$1001,0),1)&gt;=100000,INDEX($V$1005:$AE$1005,1,MATCH(COLUMNS($V$1006:AA1006),$V$1006:$AE$1006,0))&gt;=100000), " ",IF(INDEX($V$2:$AE$1001,MATCH(ROWS($O$2:O211),$O$2:$O$1001,0),MATCH(COLUMNS($V$1006:AA1006),$V$1006:$AE$1006,0)), HYPERLINK("#",""), HYPERLINK(CONCATENATE("#Metadata!", ADDRESS(INDEX($Q$2:$Q$1001,MATCH(ROWS($O$2:O211),$O$2:$O$1001,0),0), INDEX($V$1004:$AE$1004,1,MATCH(COLUMNS($V$1006:AA1006),$V$1006:$AE$1006,0)))),"Fix")))</f>
        <v>0</v>
      </c>
      <c r="H211" s="4">
        <f>IF(OR(INDEX($P$2:$P$1001,MATCH(ROWS($O$2:O211),$O$2:$O$1001,0),1)&gt;=100000,INDEX($V$1005:$AE$1005,1,MATCH(COLUMNS($V$1006:AB1006),$V$1006:$AE$1006,0))&gt;=100000), " ",IF(INDEX($V$2:$AE$1001,MATCH(ROWS($O$2:O211),$O$2:$O$1001,0),MATCH(COLUMNS($V$1006:AB1006),$V$1006:$AE$1006,0)), HYPERLINK("#",""), HYPERLINK(CONCATENATE("#Metadata!", ADDRESS(INDEX($Q$2:$Q$1001,MATCH(ROWS($O$2:O211),$O$2:$O$1001,0),0), INDEX($V$1004:$AE$1004,1,MATCH(COLUMNS($V$1006:AB1006),$V$1006:$AE$1006,0)))),"Fix")))</f>
        <v>0</v>
      </c>
      <c r="I211" s="4">
        <f>IF(OR(INDEX($P$2:$P$1001,MATCH(ROWS($O$2:O211),$O$2:$O$1001,0),1)&gt;=100000,INDEX($V$1005:$AE$1005,1,MATCH(COLUMNS($V$1006:AC1006),$V$1006:$AE$1006,0))&gt;=100000), " ",IF(INDEX($V$2:$AE$1001,MATCH(ROWS($O$2:O211),$O$2:$O$1001,0),MATCH(COLUMNS($V$1006:AC1006),$V$1006:$AE$1006,0)), HYPERLINK("#",""), HYPERLINK(CONCATENATE("#Metadata!", ADDRESS(INDEX($Q$2:$Q$1001,MATCH(ROWS($O$2:O211),$O$2:$O$1001,0),0), INDEX($V$1004:$AE$1004,1,MATCH(COLUMNS($V$1006:AC1006),$V$1006:$AE$1006,0)))),"Fix")))</f>
        <v>0</v>
      </c>
      <c r="J211" s="4">
        <f>IF(OR(INDEX($P$2:$P$1001,MATCH(ROWS($O$2:O211),$O$2:$O$1001,0),1)&gt;=100000,INDEX($V$1005:$AE$1005,1,MATCH(COLUMNS($V$1006:AD1006),$V$1006:$AE$1006,0))&gt;=100000), " ",IF(INDEX($V$2:$AE$1001,MATCH(ROWS($O$2:O211),$O$2:$O$1001,0),MATCH(COLUMNS($V$1006:AD1006),$V$1006:$AE$1006,0)), HYPERLINK("#",""), HYPERLINK(CONCATENATE("#Metadata!", ADDRESS(INDEX($Q$2:$Q$1001,MATCH(ROWS($O$2:O211),$O$2:$O$1001,0),0), INDEX($V$1004:$AE$1004,1,MATCH(COLUMNS($V$1006:AD1006),$V$1006:$AE$1006,0)))),"Fix")))</f>
        <v>0</v>
      </c>
      <c r="K211" s="4">
        <f>IF(OR(INDEX($P$2:$P$1001,MATCH(ROWS($O$2:O211),$O$2:$O$1001,0),1)&gt;=100000,INDEX($V$1005:$AE$1005,1,MATCH(COLUMNS($V$1006:AE1006),$V$1006:$AE$1006,0))&gt;=100000), " ",IF(INDEX($V$2:$AE$1001,MATCH(ROWS($O$2:O211),$O$2:$O$1001,0),MATCH(COLUMNS($V$1006:AE1006),$V$1006:$AE$1006,0)), HYPERLINK("#",""), HYPERLINK(CONCATENATE("#Metadata!", ADDRESS(INDEX($Q$2:$Q$1001,MATCH(ROWS($O$2:O211),$O$2:$O$1001,0),0), INDEX($V$1004:$AE$1004,1,MATCH(COLUMNS($V$1006:AE1006),$V$1006:$AE$1006,0)))),"Fix")))</f>
        <v>0</v>
      </c>
      <c r="O211">
        <v>0</v>
      </c>
      <c r="P211">
        <v>0</v>
      </c>
      <c r="Q211">
        <v>0</v>
      </c>
      <c r="R211">
        <f>IF(S211,TRUE,AND(V211:AE211))</f>
        <v>0</v>
      </c>
      <c r="S211">
        <f>COUNTBLANK(Metadata!B211:K211)=COLUMNS(Metadata!B211:K211)</f>
        <v>0</v>
      </c>
      <c r="T211">
        <v>0</v>
      </c>
      <c r="V211">
        <f>AND(IF(Metadata!B211="",FALSE,TRUE),COUNTIF(Metadata!B:B, Metadata!B211) = 1,NOT(ISERROR(SUMPRODUCT(SEARCH(MID(Metadata!B211,ROW(INDIRECT("1:"&amp;LEN(Metadata!B211))), 1),"0123456789abcdefghijklmnopqrstuvwxyzABCDEFGHIJKLMNOPQRSTUVWXYZ.")))))</f>
        <v>0</v>
      </c>
      <c r="W211">
        <f>AND(IF(Metadata!C211="",FALSE,TRUE),exact(Metadata!C211,"urban biome"))</f>
        <v>0</v>
      </c>
      <c r="X211">
        <f>AND(IF(Metadata!D211="",FALSE,TRUE),exact(Metadata!D211,"animal-associated habitat"))</f>
        <v>0</v>
      </c>
      <c r="Y211">
        <f>OR(AND(IF(Metadata!E211="",FALSE,TRUE),OR(exact(Metadata!E211,"not applicable"),exact(Metadata!E211,"missing: not collected"),exact(Metadata!E211,"missing: not provided"),exact(Metadata!E211,"missing: restricted access"))),AND(IF(Metadata!E211="",FALSE,ISNUMBER(VALUE(Metadata!E211))),Metadata!E211&gt;0))</f>
        <v>0</v>
      </c>
      <c r="Z211">
        <f>AND(IF(Metadata!F211="",FALSE,TRUE),exact(Metadata!F211,"weeks"))</f>
        <v>0</v>
      </c>
      <c r="AA211">
        <f>AND(IF(Metadata!G211="",FALSE,TRUE),exact(Metadata!G211,"mouse"))</f>
        <v>0</v>
      </c>
      <c r="AB211">
        <f>AND(IF(Metadata!H211="",FALSE,TRUE),exact(Metadata!H211,"Mus musculus"))</f>
        <v>0</v>
      </c>
      <c r="AC211">
        <f>AND(IF(Metadata!I211="",FALSE,TRUE),exact(Metadata!I211,"10090"))</f>
        <v>0</v>
      </c>
      <c r="AD211">
        <f>OR(AND(IF(Metadata!J211="",FALSE,TRUE),OR(exact(Metadata!J211,"not applicable"),exact(Metadata!J211,"missing: not collected"),exact(Metadata!J211,"missing: not provided"),exact(Metadata!J211,"missing: restricted access"))),AND(IF(Metadata!J211="",FALSE,ISNUMBER(VALUE(Metadata!J211))),Metadata!J211&gt;0))</f>
        <v>0</v>
      </c>
      <c r="AE211">
        <f>AND(IF(Metadata!K211="",FALSE,TRUE),exact(Metadata!K211,"g"))</f>
        <v>0</v>
      </c>
    </row>
    <row r="212" spans="1:31">
      <c r="A212" s="5">
        <f>IF(B212=" "," ",HYPERLINK(CONCATENATE("#metadata!",ADDRESS(INDEX($Q$2:$Q$1001,MATCH(ROWS($O$2:O212),$O$2:$O$1001,0),0),1)),INDEX($T$2:$T$1001,MATCH(ROWS($O$2:O212),$O$2:$O$1001,0),0)))</f>
        <v>0</v>
      </c>
      <c r="B212" s="4">
        <f>IF(OR(INDEX($P$2:$P$1001,MATCH(ROWS($O$2:O212),$O$2:$O$1001,0),1)&gt;=100000,INDEX($V$1005:$AE$1005,1,MATCH(COLUMNS($V$1006:V1006),$V$1006:$AE$1006,0))&gt;=100000), " ",IF(INDEX($V$2:$AE$1001,MATCH(ROWS($O$2:O212),$O$2:$O$1001,0),MATCH(COLUMNS($V$1006:V1006),$V$1006:$AE$1006,0)), HYPERLINK("#",""), HYPERLINK(CONCATENATE("#Metadata!", ADDRESS(INDEX($Q$2:$Q$1001,MATCH(ROWS($O$2:O212),$O$2:$O$1001,0),0), INDEX($V$1004:$AE$1004,1,MATCH(COLUMNS($V$1006:V1006),$V$1006:$AE$1006,0)))),"Fix")))</f>
        <v>0</v>
      </c>
      <c r="C212" s="4">
        <f>IF(OR(INDEX($P$2:$P$1001,MATCH(ROWS($O$2:O212),$O$2:$O$1001,0),1)&gt;=100000,INDEX($V$1005:$AE$1005,1,MATCH(COLUMNS($V$1006:W1006),$V$1006:$AE$1006,0))&gt;=100000), " ",IF(INDEX($V$2:$AE$1001,MATCH(ROWS($O$2:O212),$O$2:$O$1001,0),MATCH(COLUMNS($V$1006:W1006),$V$1006:$AE$1006,0)), HYPERLINK("#",""), HYPERLINK(CONCATENATE("#Metadata!", ADDRESS(INDEX($Q$2:$Q$1001,MATCH(ROWS($O$2:O212),$O$2:$O$1001,0),0), INDEX($V$1004:$AE$1004,1,MATCH(COLUMNS($V$1006:W1006),$V$1006:$AE$1006,0)))),"Fix")))</f>
        <v>0</v>
      </c>
      <c r="D212" s="4">
        <f>IF(OR(INDEX($P$2:$P$1001,MATCH(ROWS($O$2:O212),$O$2:$O$1001,0),1)&gt;=100000,INDEX($V$1005:$AE$1005,1,MATCH(COLUMNS($V$1006:X1006),$V$1006:$AE$1006,0))&gt;=100000), " ",IF(INDEX($V$2:$AE$1001,MATCH(ROWS($O$2:O212),$O$2:$O$1001,0),MATCH(COLUMNS($V$1006:X1006),$V$1006:$AE$1006,0)), HYPERLINK("#",""), HYPERLINK(CONCATENATE("#Metadata!", ADDRESS(INDEX($Q$2:$Q$1001,MATCH(ROWS($O$2:O212),$O$2:$O$1001,0),0), INDEX($V$1004:$AE$1004,1,MATCH(COLUMNS($V$1006:X1006),$V$1006:$AE$1006,0)))),"Fix")))</f>
        <v>0</v>
      </c>
      <c r="E212" s="4">
        <f>IF(OR(INDEX($P$2:$P$1001,MATCH(ROWS($O$2:O212),$O$2:$O$1001,0),1)&gt;=100000,INDEX($V$1005:$AE$1005,1,MATCH(COLUMNS($V$1006:Y1006),$V$1006:$AE$1006,0))&gt;=100000), " ",IF(INDEX($V$2:$AE$1001,MATCH(ROWS($O$2:O212),$O$2:$O$1001,0),MATCH(COLUMNS($V$1006:Y1006),$V$1006:$AE$1006,0)), HYPERLINK("#",""), HYPERLINK(CONCATENATE("#Metadata!", ADDRESS(INDEX($Q$2:$Q$1001,MATCH(ROWS($O$2:O212),$O$2:$O$1001,0),0), INDEX($V$1004:$AE$1004,1,MATCH(COLUMNS($V$1006:Y1006),$V$1006:$AE$1006,0)))),"Fix")))</f>
        <v>0</v>
      </c>
      <c r="F212" s="4">
        <f>IF(OR(INDEX($P$2:$P$1001,MATCH(ROWS($O$2:O212),$O$2:$O$1001,0),1)&gt;=100000,INDEX($V$1005:$AE$1005,1,MATCH(COLUMNS($V$1006:Z1006),$V$1006:$AE$1006,0))&gt;=100000), " ",IF(INDEX($V$2:$AE$1001,MATCH(ROWS($O$2:O212),$O$2:$O$1001,0),MATCH(COLUMNS($V$1006:Z1006),$V$1006:$AE$1006,0)), HYPERLINK("#",""), HYPERLINK(CONCATENATE("#Metadata!", ADDRESS(INDEX($Q$2:$Q$1001,MATCH(ROWS($O$2:O212),$O$2:$O$1001,0),0), INDEX($V$1004:$AE$1004,1,MATCH(COLUMNS($V$1006:Z1006),$V$1006:$AE$1006,0)))),"Fix")))</f>
        <v>0</v>
      </c>
      <c r="G212" s="4">
        <f>IF(OR(INDEX($P$2:$P$1001,MATCH(ROWS($O$2:O212),$O$2:$O$1001,0),1)&gt;=100000,INDEX($V$1005:$AE$1005,1,MATCH(COLUMNS($V$1006:AA1006),$V$1006:$AE$1006,0))&gt;=100000), " ",IF(INDEX($V$2:$AE$1001,MATCH(ROWS($O$2:O212),$O$2:$O$1001,0),MATCH(COLUMNS($V$1006:AA1006),$V$1006:$AE$1006,0)), HYPERLINK("#",""), HYPERLINK(CONCATENATE("#Metadata!", ADDRESS(INDEX($Q$2:$Q$1001,MATCH(ROWS($O$2:O212),$O$2:$O$1001,0),0), INDEX($V$1004:$AE$1004,1,MATCH(COLUMNS($V$1006:AA1006),$V$1006:$AE$1006,0)))),"Fix")))</f>
        <v>0</v>
      </c>
      <c r="H212" s="4">
        <f>IF(OR(INDEX($P$2:$P$1001,MATCH(ROWS($O$2:O212),$O$2:$O$1001,0),1)&gt;=100000,INDEX($V$1005:$AE$1005,1,MATCH(COLUMNS($V$1006:AB1006),$V$1006:$AE$1006,0))&gt;=100000), " ",IF(INDEX($V$2:$AE$1001,MATCH(ROWS($O$2:O212),$O$2:$O$1001,0),MATCH(COLUMNS($V$1006:AB1006),$V$1006:$AE$1006,0)), HYPERLINK("#",""), HYPERLINK(CONCATENATE("#Metadata!", ADDRESS(INDEX($Q$2:$Q$1001,MATCH(ROWS($O$2:O212),$O$2:$O$1001,0),0), INDEX($V$1004:$AE$1004,1,MATCH(COLUMNS($V$1006:AB1006),$V$1006:$AE$1006,0)))),"Fix")))</f>
        <v>0</v>
      </c>
      <c r="I212" s="4">
        <f>IF(OR(INDEX($P$2:$P$1001,MATCH(ROWS($O$2:O212),$O$2:$O$1001,0),1)&gt;=100000,INDEX($V$1005:$AE$1005,1,MATCH(COLUMNS($V$1006:AC1006),$V$1006:$AE$1006,0))&gt;=100000), " ",IF(INDEX($V$2:$AE$1001,MATCH(ROWS($O$2:O212),$O$2:$O$1001,0),MATCH(COLUMNS($V$1006:AC1006),$V$1006:$AE$1006,0)), HYPERLINK("#",""), HYPERLINK(CONCATENATE("#Metadata!", ADDRESS(INDEX($Q$2:$Q$1001,MATCH(ROWS($O$2:O212),$O$2:$O$1001,0),0), INDEX($V$1004:$AE$1004,1,MATCH(COLUMNS($V$1006:AC1006),$V$1006:$AE$1006,0)))),"Fix")))</f>
        <v>0</v>
      </c>
      <c r="J212" s="4">
        <f>IF(OR(INDEX($P$2:$P$1001,MATCH(ROWS($O$2:O212),$O$2:$O$1001,0),1)&gt;=100000,INDEX($V$1005:$AE$1005,1,MATCH(COLUMNS($V$1006:AD1006),$V$1006:$AE$1006,0))&gt;=100000), " ",IF(INDEX($V$2:$AE$1001,MATCH(ROWS($O$2:O212),$O$2:$O$1001,0),MATCH(COLUMNS($V$1006:AD1006),$V$1006:$AE$1006,0)), HYPERLINK("#",""), HYPERLINK(CONCATENATE("#Metadata!", ADDRESS(INDEX($Q$2:$Q$1001,MATCH(ROWS($O$2:O212),$O$2:$O$1001,0),0), INDEX($V$1004:$AE$1004,1,MATCH(COLUMNS($V$1006:AD1006),$V$1006:$AE$1006,0)))),"Fix")))</f>
        <v>0</v>
      </c>
      <c r="K212" s="4">
        <f>IF(OR(INDEX($P$2:$P$1001,MATCH(ROWS($O$2:O212),$O$2:$O$1001,0),1)&gt;=100000,INDEX($V$1005:$AE$1005,1,MATCH(COLUMNS($V$1006:AE1006),$V$1006:$AE$1006,0))&gt;=100000), " ",IF(INDEX($V$2:$AE$1001,MATCH(ROWS($O$2:O212),$O$2:$O$1001,0),MATCH(COLUMNS($V$1006:AE1006),$V$1006:$AE$1006,0)), HYPERLINK("#",""), HYPERLINK(CONCATENATE("#Metadata!", ADDRESS(INDEX($Q$2:$Q$1001,MATCH(ROWS($O$2:O212),$O$2:$O$1001,0),0), INDEX($V$1004:$AE$1004,1,MATCH(COLUMNS($V$1006:AE1006),$V$1006:$AE$1006,0)))),"Fix")))</f>
        <v>0</v>
      </c>
      <c r="O212">
        <v>0</v>
      </c>
      <c r="P212">
        <v>0</v>
      </c>
      <c r="Q212">
        <v>0</v>
      </c>
      <c r="R212">
        <f>IF(S212,TRUE,AND(V212:AE212))</f>
        <v>0</v>
      </c>
      <c r="S212">
        <f>COUNTBLANK(Metadata!B212:K212)=COLUMNS(Metadata!B212:K212)</f>
        <v>0</v>
      </c>
      <c r="T212">
        <v>0</v>
      </c>
      <c r="V212">
        <f>AND(IF(Metadata!B212="",FALSE,TRUE),COUNTIF(Metadata!B:B, Metadata!B212) = 1,NOT(ISERROR(SUMPRODUCT(SEARCH(MID(Metadata!B212,ROW(INDIRECT("1:"&amp;LEN(Metadata!B212))), 1),"0123456789abcdefghijklmnopqrstuvwxyzABCDEFGHIJKLMNOPQRSTUVWXYZ.")))))</f>
        <v>0</v>
      </c>
      <c r="W212">
        <f>AND(IF(Metadata!C212="",FALSE,TRUE),exact(Metadata!C212,"urban biome"))</f>
        <v>0</v>
      </c>
      <c r="X212">
        <f>AND(IF(Metadata!D212="",FALSE,TRUE),exact(Metadata!D212,"animal-associated habitat"))</f>
        <v>0</v>
      </c>
      <c r="Y212">
        <f>OR(AND(IF(Metadata!E212="",FALSE,TRUE),OR(exact(Metadata!E212,"not applicable"),exact(Metadata!E212,"missing: not collected"),exact(Metadata!E212,"missing: not provided"),exact(Metadata!E212,"missing: restricted access"))),AND(IF(Metadata!E212="",FALSE,ISNUMBER(VALUE(Metadata!E212))),Metadata!E212&gt;0))</f>
        <v>0</v>
      </c>
      <c r="Z212">
        <f>AND(IF(Metadata!F212="",FALSE,TRUE),exact(Metadata!F212,"weeks"))</f>
        <v>0</v>
      </c>
      <c r="AA212">
        <f>AND(IF(Metadata!G212="",FALSE,TRUE),exact(Metadata!G212,"mouse"))</f>
        <v>0</v>
      </c>
      <c r="AB212">
        <f>AND(IF(Metadata!H212="",FALSE,TRUE),exact(Metadata!H212,"Mus musculus"))</f>
        <v>0</v>
      </c>
      <c r="AC212">
        <f>AND(IF(Metadata!I212="",FALSE,TRUE),exact(Metadata!I212,"10090"))</f>
        <v>0</v>
      </c>
      <c r="AD212">
        <f>OR(AND(IF(Metadata!J212="",FALSE,TRUE),OR(exact(Metadata!J212,"not applicable"),exact(Metadata!J212,"missing: not collected"),exact(Metadata!J212,"missing: not provided"),exact(Metadata!J212,"missing: restricted access"))),AND(IF(Metadata!J212="",FALSE,ISNUMBER(VALUE(Metadata!J212))),Metadata!J212&gt;0))</f>
        <v>0</v>
      </c>
      <c r="AE212">
        <f>AND(IF(Metadata!K212="",FALSE,TRUE),exact(Metadata!K212,"g"))</f>
        <v>0</v>
      </c>
    </row>
    <row r="213" spans="1:31">
      <c r="A213" s="5">
        <f>IF(B213=" "," ",HYPERLINK(CONCATENATE("#metadata!",ADDRESS(INDEX($Q$2:$Q$1001,MATCH(ROWS($O$2:O213),$O$2:$O$1001,0),0),1)),INDEX($T$2:$T$1001,MATCH(ROWS($O$2:O213),$O$2:$O$1001,0),0)))</f>
        <v>0</v>
      </c>
      <c r="B213" s="4">
        <f>IF(OR(INDEX($P$2:$P$1001,MATCH(ROWS($O$2:O213),$O$2:$O$1001,0),1)&gt;=100000,INDEX($V$1005:$AE$1005,1,MATCH(COLUMNS($V$1006:V1006),$V$1006:$AE$1006,0))&gt;=100000), " ",IF(INDEX($V$2:$AE$1001,MATCH(ROWS($O$2:O213),$O$2:$O$1001,0),MATCH(COLUMNS($V$1006:V1006),$V$1006:$AE$1006,0)), HYPERLINK("#",""), HYPERLINK(CONCATENATE("#Metadata!", ADDRESS(INDEX($Q$2:$Q$1001,MATCH(ROWS($O$2:O213),$O$2:$O$1001,0),0), INDEX($V$1004:$AE$1004,1,MATCH(COLUMNS($V$1006:V1006),$V$1006:$AE$1006,0)))),"Fix")))</f>
        <v>0</v>
      </c>
      <c r="C213" s="4">
        <f>IF(OR(INDEX($P$2:$P$1001,MATCH(ROWS($O$2:O213),$O$2:$O$1001,0),1)&gt;=100000,INDEX($V$1005:$AE$1005,1,MATCH(COLUMNS($V$1006:W1006),$V$1006:$AE$1006,0))&gt;=100000), " ",IF(INDEX($V$2:$AE$1001,MATCH(ROWS($O$2:O213),$O$2:$O$1001,0),MATCH(COLUMNS($V$1006:W1006),$V$1006:$AE$1006,0)), HYPERLINK("#",""), HYPERLINK(CONCATENATE("#Metadata!", ADDRESS(INDEX($Q$2:$Q$1001,MATCH(ROWS($O$2:O213),$O$2:$O$1001,0),0), INDEX($V$1004:$AE$1004,1,MATCH(COLUMNS($V$1006:W1006),$V$1006:$AE$1006,0)))),"Fix")))</f>
        <v>0</v>
      </c>
      <c r="D213" s="4">
        <f>IF(OR(INDEX($P$2:$P$1001,MATCH(ROWS($O$2:O213),$O$2:$O$1001,0),1)&gt;=100000,INDEX($V$1005:$AE$1005,1,MATCH(COLUMNS($V$1006:X1006),$V$1006:$AE$1006,0))&gt;=100000), " ",IF(INDEX($V$2:$AE$1001,MATCH(ROWS($O$2:O213),$O$2:$O$1001,0),MATCH(COLUMNS($V$1006:X1006),$V$1006:$AE$1006,0)), HYPERLINK("#",""), HYPERLINK(CONCATENATE("#Metadata!", ADDRESS(INDEX($Q$2:$Q$1001,MATCH(ROWS($O$2:O213),$O$2:$O$1001,0),0), INDEX($V$1004:$AE$1004,1,MATCH(COLUMNS($V$1006:X1006),$V$1006:$AE$1006,0)))),"Fix")))</f>
        <v>0</v>
      </c>
      <c r="E213" s="4">
        <f>IF(OR(INDEX($P$2:$P$1001,MATCH(ROWS($O$2:O213),$O$2:$O$1001,0),1)&gt;=100000,INDEX($V$1005:$AE$1005,1,MATCH(COLUMNS($V$1006:Y1006),$V$1006:$AE$1006,0))&gt;=100000), " ",IF(INDEX($V$2:$AE$1001,MATCH(ROWS($O$2:O213),$O$2:$O$1001,0),MATCH(COLUMNS($V$1006:Y1006),$V$1006:$AE$1006,0)), HYPERLINK("#",""), HYPERLINK(CONCATENATE("#Metadata!", ADDRESS(INDEX($Q$2:$Q$1001,MATCH(ROWS($O$2:O213),$O$2:$O$1001,0),0), INDEX($V$1004:$AE$1004,1,MATCH(COLUMNS($V$1006:Y1006),$V$1006:$AE$1006,0)))),"Fix")))</f>
        <v>0</v>
      </c>
      <c r="F213" s="4">
        <f>IF(OR(INDEX($P$2:$P$1001,MATCH(ROWS($O$2:O213),$O$2:$O$1001,0),1)&gt;=100000,INDEX($V$1005:$AE$1005,1,MATCH(COLUMNS($V$1006:Z1006),$V$1006:$AE$1006,0))&gt;=100000), " ",IF(INDEX($V$2:$AE$1001,MATCH(ROWS($O$2:O213),$O$2:$O$1001,0),MATCH(COLUMNS($V$1006:Z1006),$V$1006:$AE$1006,0)), HYPERLINK("#",""), HYPERLINK(CONCATENATE("#Metadata!", ADDRESS(INDEX($Q$2:$Q$1001,MATCH(ROWS($O$2:O213),$O$2:$O$1001,0),0), INDEX($V$1004:$AE$1004,1,MATCH(COLUMNS($V$1006:Z1006),$V$1006:$AE$1006,0)))),"Fix")))</f>
        <v>0</v>
      </c>
      <c r="G213" s="4">
        <f>IF(OR(INDEX($P$2:$P$1001,MATCH(ROWS($O$2:O213),$O$2:$O$1001,0),1)&gt;=100000,INDEX($V$1005:$AE$1005,1,MATCH(COLUMNS($V$1006:AA1006),$V$1006:$AE$1006,0))&gt;=100000), " ",IF(INDEX($V$2:$AE$1001,MATCH(ROWS($O$2:O213),$O$2:$O$1001,0),MATCH(COLUMNS($V$1006:AA1006),$V$1006:$AE$1006,0)), HYPERLINK("#",""), HYPERLINK(CONCATENATE("#Metadata!", ADDRESS(INDEX($Q$2:$Q$1001,MATCH(ROWS($O$2:O213),$O$2:$O$1001,0),0), INDEX($V$1004:$AE$1004,1,MATCH(COLUMNS($V$1006:AA1006),$V$1006:$AE$1006,0)))),"Fix")))</f>
        <v>0</v>
      </c>
      <c r="H213" s="4">
        <f>IF(OR(INDEX($P$2:$P$1001,MATCH(ROWS($O$2:O213),$O$2:$O$1001,0),1)&gt;=100000,INDEX($V$1005:$AE$1005,1,MATCH(COLUMNS($V$1006:AB1006),$V$1006:$AE$1006,0))&gt;=100000), " ",IF(INDEX($V$2:$AE$1001,MATCH(ROWS($O$2:O213),$O$2:$O$1001,0),MATCH(COLUMNS($V$1006:AB1006),$V$1006:$AE$1006,0)), HYPERLINK("#",""), HYPERLINK(CONCATENATE("#Metadata!", ADDRESS(INDEX($Q$2:$Q$1001,MATCH(ROWS($O$2:O213),$O$2:$O$1001,0),0), INDEX($V$1004:$AE$1004,1,MATCH(COLUMNS($V$1006:AB1006),$V$1006:$AE$1006,0)))),"Fix")))</f>
        <v>0</v>
      </c>
      <c r="I213" s="4">
        <f>IF(OR(INDEX($P$2:$P$1001,MATCH(ROWS($O$2:O213),$O$2:$O$1001,0),1)&gt;=100000,INDEX($V$1005:$AE$1005,1,MATCH(COLUMNS($V$1006:AC1006),$V$1006:$AE$1006,0))&gt;=100000), " ",IF(INDEX($V$2:$AE$1001,MATCH(ROWS($O$2:O213),$O$2:$O$1001,0),MATCH(COLUMNS($V$1006:AC1006),$V$1006:$AE$1006,0)), HYPERLINK("#",""), HYPERLINK(CONCATENATE("#Metadata!", ADDRESS(INDEX($Q$2:$Q$1001,MATCH(ROWS($O$2:O213),$O$2:$O$1001,0),0), INDEX($V$1004:$AE$1004,1,MATCH(COLUMNS($V$1006:AC1006),$V$1006:$AE$1006,0)))),"Fix")))</f>
        <v>0</v>
      </c>
      <c r="J213" s="4">
        <f>IF(OR(INDEX($P$2:$P$1001,MATCH(ROWS($O$2:O213),$O$2:$O$1001,0),1)&gt;=100000,INDEX($V$1005:$AE$1005,1,MATCH(COLUMNS($V$1006:AD1006),$V$1006:$AE$1006,0))&gt;=100000), " ",IF(INDEX($V$2:$AE$1001,MATCH(ROWS($O$2:O213),$O$2:$O$1001,0),MATCH(COLUMNS($V$1006:AD1006),$V$1006:$AE$1006,0)), HYPERLINK("#",""), HYPERLINK(CONCATENATE("#Metadata!", ADDRESS(INDEX($Q$2:$Q$1001,MATCH(ROWS($O$2:O213),$O$2:$O$1001,0),0), INDEX($V$1004:$AE$1004,1,MATCH(COLUMNS($V$1006:AD1006),$V$1006:$AE$1006,0)))),"Fix")))</f>
        <v>0</v>
      </c>
      <c r="K213" s="4">
        <f>IF(OR(INDEX($P$2:$P$1001,MATCH(ROWS($O$2:O213),$O$2:$O$1001,0),1)&gt;=100000,INDEX($V$1005:$AE$1005,1,MATCH(COLUMNS($V$1006:AE1006),$V$1006:$AE$1006,0))&gt;=100000), " ",IF(INDEX($V$2:$AE$1001,MATCH(ROWS($O$2:O213),$O$2:$O$1001,0),MATCH(COLUMNS($V$1006:AE1006),$V$1006:$AE$1006,0)), HYPERLINK("#",""), HYPERLINK(CONCATENATE("#Metadata!", ADDRESS(INDEX($Q$2:$Q$1001,MATCH(ROWS($O$2:O213),$O$2:$O$1001,0),0), INDEX($V$1004:$AE$1004,1,MATCH(COLUMNS($V$1006:AE1006),$V$1006:$AE$1006,0)))),"Fix")))</f>
        <v>0</v>
      </c>
      <c r="O213">
        <v>0</v>
      </c>
      <c r="P213">
        <v>0</v>
      </c>
      <c r="Q213">
        <v>0</v>
      </c>
      <c r="R213">
        <f>IF(S213,TRUE,AND(V213:AE213))</f>
        <v>0</v>
      </c>
      <c r="S213">
        <f>COUNTBLANK(Metadata!B213:K213)=COLUMNS(Metadata!B213:K213)</f>
        <v>0</v>
      </c>
      <c r="T213">
        <v>0</v>
      </c>
      <c r="V213">
        <f>AND(IF(Metadata!B213="",FALSE,TRUE),COUNTIF(Metadata!B:B, Metadata!B213) = 1,NOT(ISERROR(SUMPRODUCT(SEARCH(MID(Metadata!B213,ROW(INDIRECT("1:"&amp;LEN(Metadata!B213))), 1),"0123456789abcdefghijklmnopqrstuvwxyzABCDEFGHIJKLMNOPQRSTUVWXYZ.")))))</f>
        <v>0</v>
      </c>
      <c r="W213">
        <f>AND(IF(Metadata!C213="",FALSE,TRUE),exact(Metadata!C213,"urban biome"))</f>
        <v>0</v>
      </c>
      <c r="X213">
        <f>AND(IF(Metadata!D213="",FALSE,TRUE),exact(Metadata!D213,"animal-associated habitat"))</f>
        <v>0</v>
      </c>
      <c r="Y213">
        <f>OR(AND(IF(Metadata!E213="",FALSE,TRUE),OR(exact(Metadata!E213,"not applicable"),exact(Metadata!E213,"missing: not collected"),exact(Metadata!E213,"missing: not provided"),exact(Metadata!E213,"missing: restricted access"))),AND(IF(Metadata!E213="",FALSE,ISNUMBER(VALUE(Metadata!E213))),Metadata!E213&gt;0))</f>
        <v>0</v>
      </c>
      <c r="Z213">
        <f>AND(IF(Metadata!F213="",FALSE,TRUE),exact(Metadata!F213,"weeks"))</f>
        <v>0</v>
      </c>
      <c r="AA213">
        <f>AND(IF(Metadata!G213="",FALSE,TRUE),exact(Metadata!G213,"mouse"))</f>
        <v>0</v>
      </c>
      <c r="AB213">
        <f>AND(IF(Metadata!H213="",FALSE,TRUE),exact(Metadata!H213,"Mus musculus"))</f>
        <v>0</v>
      </c>
      <c r="AC213">
        <f>AND(IF(Metadata!I213="",FALSE,TRUE),exact(Metadata!I213,"10090"))</f>
        <v>0</v>
      </c>
      <c r="AD213">
        <f>OR(AND(IF(Metadata!J213="",FALSE,TRUE),OR(exact(Metadata!J213,"not applicable"),exact(Metadata!J213,"missing: not collected"),exact(Metadata!J213,"missing: not provided"),exact(Metadata!J213,"missing: restricted access"))),AND(IF(Metadata!J213="",FALSE,ISNUMBER(VALUE(Metadata!J213))),Metadata!J213&gt;0))</f>
        <v>0</v>
      </c>
      <c r="AE213">
        <f>AND(IF(Metadata!K213="",FALSE,TRUE),exact(Metadata!K213,"g"))</f>
        <v>0</v>
      </c>
    </row>
    <row r="214" spans="1:31">
      <c r="A214" s="5">
        <f>IF(B214=" "," ",HYPERLINK(CONCATENATE("#metadata!",ADDRESS(INDEX($Q$2:$Q$1001,MATCH(ROWS($O$2:O214),$O$2:$O$1001,0),0),1)),INDEX($T$2:$T$1001,MATCH(ROWS($O$2:O214),$O$2:$O$1001,0),0)))</f>
        <v>0</v>
      </c>
      <c r="B214" s="4">
        <f>IF(OR(INDEX($P$2:$P$1001,MATCH(ROWS($O$2:O214),$O$2:$O$1001,0),1)&gt;=100000,INDEX($V$1005:$AE$1005,1,MATCH(COLUMNS($V$1006:V1006),$V$1006:$AE$1006,0))&gt;=100000), " ",IF(INDEX($V$2:$AE$1001,MATCH(ROWS($O$2:O214),$O$2:$O$1001,0),MATCH(COLUMNS($V$1006:V1006),$V$1006:$AE$1006,0)), HYPERLINK("#",""), HYPERLINK(CONCATENATE("#Metadata!", ADDRESS(INDEX($Q$2:$Q$1001,MATCH(ROWS($O$2:O214),$O$2:$O$1001,0),0), INDEX($V$1004:$AE$1004,1,MATCH(COLUMNS($V$1006:V1006),$V$1006:$AE$1006,0)))),"Fix")))</f>
        <v>0</v>
      </c>
      <c r="C214" s="4">
        <f>IF(OR(INDEX($P$2:$P$1001,MATCH(ROWS($O$2:O214),$O$2:$O$1001,0),1)&gt;=100000,INDEX($V$1005:$AE$1005,1,MATCH(COLUMNS($V$1006:W1006),$V$1006:$AE$1006,0))&gt;=100000), " ",IF(INDEX($V$2:$AE$1001,MATCH(ROWS($O$2:O214),$O$2:$O$1001,0),MATCH(COLUMNS($V$1006:W1006),$V$1006:$AE$1006,0)), HYPERLINK("#",""), HYPERLINK(CONCATENATE("#Metadata!", ADDRESS(INDEX($Q$2:$Q$1001,MATCH(ROWS($O$2:O214),$O$2:$O$1001,0),0), INDEX($V$1004:$AE$1004,1,MATCH(COLUMNS($V$1006:W1006),$V$1006:$AE$1006,0)))),"Fix")))</f>
        <v>0</v>
      </c>
      <c r="D214" s="4">
        <f>IF(OR(INDEX($P$2:$P$1001,MATCH(ROWS($O$2:O214),$O$2:$O$1001,0),1)&gt;=100000,INDEX($V$1005:$AE$1005,1,MATCH(COLUMNS($V$1006:X1006),$V$1006:$AE$1006,0))&gt;=100000), " ",IF(INDEX($V$2:$AE$1001,MATCH(ROWS($O$2:O214),$O$2:$O$1001,0),MATCH(COLUMNS($V$1006:X1006),$V$1006:$AE$1006,0)), HYPERLINK("#",""), HYPERLINK(CONCATENATE("#Metadata!", ADDRESS(INDEX($Q$2:$Q$1001,MATCH(ROWS($O$2:O214),$O$2:$O$1001,0),0), INDEX($V$1004:$AE$1004,1,MATCH(COLUMNS($V$1006:X1006),$V$1006:$AE$1006,0)))),"Fix")))</f>
        <v>0</v>
      </c>
      <c r="E214" s="4">
        <f>IF(OR(INDEX($P$2:$P$1001,MATCH(ROWS($O$2:O214),$O$2:$O$1001,0),1)&gt;=100000,INDEX($V$1005:$AE$1005,1,MATCH(COLUMNS($V$1006:Y1006),$V$1006:$AE$1006,0))&gt;=100000), " ",IF(INDEX($V$2:$AE$1001,MATCH(ROWS($O$2:O214),$O$2:$O$1001,0),MATCH(COLUMNS($V$1006:Y1006),$V$1006:$AE$1006,0)), HYPERLINK("#",""), HYPERLINK(CONCATENATE("#Metadata!", ADDRESS(INDEX($Q$2:$Q$1001,MATCH(ROWS($O$2:O214),$O$2:$O$1001,0),0), INDEX($V$1004:$AE$1004,1,MATCH(COLUMNS($V$1006:Y1006),$V$1006:$AE$1006,0)))),"Fix")))</f>
        <v>0</v>
      </c>
      <c r="F214" s="4">
        <f>IF(OR(INDEX($P$2:$P$1001,MATCH(ROWS($O$2:O214),$O$2:$O$1001,0),1)&gt;=100000,INDEX($V$1005:$AE$1005,1,MATCH(COLUMNS($V$1006:Z1006),$V$1006:$AE$1006,0))&gt;=100000), " ",IF(INDEX($V$2:$AE$1001,MATCH(ROWS($O$2:O214),$O$2:$O$1001,0),MATCH(COLUMNS($V$1006:Z1006),$V$1006:$AE$1006,0)), HYPERLINK("#",""), HYPERLINK(CONCATENATE("#Metadata!", ADDRESS(INDEX($Q$2:$Q$1001,MATCH(ROWS($O$2:O214),$O$2:$O$1001,0),0), INDEX($V$1004:$AE$1004,1,MATCH(COLUMNS($V$1006:Z1006),$V$1006:$AE$1006,0)))),"Fix")))</f>
        <v>0</v>
      </c>
      <c r="G214" s="4">
        <f>IF(OR(INDEX($P$2:$P$1001,MATCH(ROWS($O$2:O214),$O$2:$O$1001,0),1)&gt;=100000,INDEX($V$1005:$AE$1005,1,MATCH(COLUMNS($V$1006:AA1006),$V$1006:$AE$1006,0))&gt;=100000), " ",IF(INDEX($V$2:$AE$1001,MATCH(ROWS($O$2:O214),$O$2:$O$1001,0),MATCH(COLUMNS($V$1006:AA1006),$V$1006:$AE$1006,0)), HYPERLINK("#",""), HYPERLINK(CONCATENATE("#Metadata!", ADDRESS(INDEX($Q$2:$Q$1001,MATCH(ROWS($O$2:O214),$O$2:$O$1001,0),0), INDEX($V$1004:$AE$1004,1,MATCH(COLUMNS($V$1006:AA1006),$V$1006:$AE$1006,0)))),"Fix")))</f>
        <v>0</v>
      </c>
      <c r="H214" s="4">
        <f>IF(OR(INDEX($P$2:$P$1001,MATCH(ROWS($O$2:O214),$O$2:$O$1001,0),1)&gt;=100000,INDEX($V$1005:$AE$1005,1,MATCH(COLUMNS($V$1006:AB1006),$V$1006:$AE$1006,0))&gt;=100000), " ",IF(INDEX($V$2:$AE$1001,MATCH(ROWS($O$2:O214),$O$2:$O$1001,0),MATCH(COLUMNS($V$1006:AB1006),$V$1006:$AE$1006,0)), HYPERLINK("#",""), HYPERLINK(CONCATENATE("#Metadata!", ADDRESS(INDEX($Q$2:$Q$1001,MATCH(ROWS($O$2:O214),$O$2:$O$1001,0),0), INDEX($V$1004:$AE$1004,1,MATCH(COLUMNS($V$1006:AB1006),$V$1006:$AE$1006,0)))),"Fix")))</f>
        <v>0</v>
      </c>
      <c r="I214" s="4">
        <f>IF(OR(INDEX($P$2:$P$1001,MATCH(ROWS($O$2:O214),$O$2:$O$1001,0),1)&gt;=100000,INDEX($V$1005:$AE$1005,1,MATCH(COLUMNS($V$1006:AC1006),$V$1006:$AE$1006,0))&gt;=100000), " ",IF(INDEX($V$2:$AE$1001,MATCH(ROWS($O$2:O214),$O$2:$O$1001,0),MATCH(COLUMNS($V$1006:AC1006),$V$1006:$AE$1006,0)), HYPERLINK("#",""), HYPERLINK(CONCATENATE("#Metadata!", ADDRESS(INDEX($Q$2:$Q$1001,MATCH(ROWS($O$2:O214),$O$2:$O$1001,0),0), INDEX($V$1004:$AE$1004,1,MATCH(COLUMNS($V$1006:AC1006),$V$1006:$AE$1006,0)))),"Fix")))</f>
        <v>0</v>
      </c>
      <c r="J214" s="4">
        <f>IF(OR(INDEX($P$2:$P$1001,MATCH(ROWS($O$2:O214),$O$2:$O$1001,0),1)&gt;=100000,INDEX($V$1005:$AE$1005,1,MATCH(COLUMNS($V$1006:AD1006),$V$1006:$AE$1006,0))&gt;=100000), " ",IF(INDEX($V$2:$AE$1001,MATCH(ROWS($O$2:O214),$O$2:$O$1001,0),MATCH(COLUMNS($V$1006:AD1006),$V$1006:$AE$1006,0)), HYPERLINK("#",""), HYPERLINK(CONCATENATE("#Metadata!", ADDRESS(INDEX($Q$2:$Q$1001,MATCH(ROWS($O$2:O214),$O$2:$O$1001,0),0), INDEX($V$1004:$AE$1004,1,MATCH(COLUMNS($V$1006:AD1006),$V$1006:$AE$1006,0)))),"Fix")))</f>
        <v>0</v>
      </c>
      <c r="K214" s="4">
        <f>IF(OR(INDEX($P$2:$P$1001,MATCH(ROWS($O$2:O214),$O$2:$O$1001,0),1)&gt;=100000,INDEX($V$1005:$AE$1005,1,MATCH(COLUMNS($V$1006:AE1006),$V$1006:$AE$1006,0))&gt;=100000), " ",IF(INDEX($V$2:$AE$1001,MATCH(ROWS($O$2:O214),$O$2:$O$1001,0),MATCH(COLUMNS($V$1006:AE1006),$V$1006:$AE$1006,0)), HYPERLINK("#",""), HYPERLINK(CONCATENATE("#Metadata!", ADDRESS(INDEX($Q$2:$Q$1001,MATCH(ROWS($O$2:O214),$O$2:$O$1001,0),0), INDEX($V$1004:$AE$1004,1,MATCH(COLUMNS($V$1006:AE1006),$V$1006:$AE$1006,0)))),"Fix")))</f>
        <v>0</v>
      </c>
      <c r="O214">
        <v>0</v>
      </c>
      <c r="P214">
        <v>0</v>
      </c>
      <c r="Q214">
        <v>0</v>
      </c>
      <c r="R214">
        <f>IF(S214,TRUE,AND(V214:AE214))</f>
        <v>0</v>
      </c>
      <c r="S214">
        <f>COUNTBLANK(Metadata!B214:K214)=COLUMNS(Metadata!B214:K214)</f>
        <v>0</v>
      </c>
      <c r="T214">
        <v>0</v>
      </c>
      <c r="V214">
        <f>AND(IF(Metadata!B214="",FALSE,TRUE),COUNTIF(Metadata!B:B, Metadata!B214) = 1,NOT(ISERROR(SUMPRODUCT(SEARCH(MID(Metadata!B214,ROW(INDIRECT("1:"&amp;LEN(Metadata!B214))), 1),"0123456789abcdefghijklmnopqrstuvwxyzABCDEFGHIJKLMNOPQRSTUVWXYZ.")))))</f>
        <v>0</v>
      </c>
      <c r="W214">
        <f>AND(IF(Metadata!C214="",FALSE,TRUE),exact(Metadata!C214,"urban biome"))</f>
        <v>0</v>
      </c>
      <c r="X214">
        <f>AND(IF(Metadata!D214="",FALSE,TRUE),exact(Metadata!D214,"animal-associated habitat"))</f>
        <v>0</v>
      </c>
      <c r="Y214">
        <f>OR(AND(IF(Metadata!E214="",FALSE,TRUE),OR(exact(Metadata!E214,"not applicable"),exact(Metadata!E214,"missing: not collected"),exact(Metadata!E214,"missing: not provided"),exact(Metadata!E214,"missing: restricted access"))),AND(IF(Metadata!E214="",FALSE,ISNUMBER(VALUE(Metadata!E214))),Metadata!E214&gt;0))</f>
        <v>0</v>
      </c>
      <c r="Z214">
        <f>AND(IF(Metadata!F214="",FALSE,TRUE),exact(Metadata!F214,"weeks"))</f>
        <v>0</v>
      </c>
      <c r="AA214">
        <f>AND(IF(Metadata!G214="",FALSE,TRUE),exact(Metadata!G214,"mouse"))</f>
        <v>0</v>
      </c>
      <c r="AB214">
        <f>AND(IF(Metadata!H214="",FALSE,TRUE),exact(Metadata!H214,"Mus musculus"))</f>
        <v>0</v>
      </c>
      <c r="AC214">
        <f>AND(IF(Metadata!I214="",FALSE,TRUE),exact(Metadata!I214,"10090"))</f>
        <v>0</v>
      </c>
      <c r="AD214">
        <f>OR(AND(IF(Metadata!J214="",FALSE,TRUE),OR(exact(Metadata!J214,"not applicable"),exact(Metadata!J214,"missing: not collected"),exact(Metadata!J214,"missing: not provided"),exact(Metadata!J214,"missing: restricted access"))),AND(IF(Metadata!J214="",FALSE,ISNUMBER(VALUE(Metadata!J214))),Metadata!J214&gt;0))</f>
        <v>0</v>
      </c>
      <c r="AE214">
        <f>AND(IF(Metadata!K214="",FALSE,TRUE),exact(Metadata!K214,"g"))</f>
        <v>0</v>
      </c>
    </row>
    <row r="215" spans="1:31">
      <c r="A215" s="5">
        <f>IF(B215=" "," ",HYPERLINK(CONCATENATE("#metadata!",ADDRESS(INDEX($Q$2:$Q$1001,MATCH(ROWS($O$2:O215),$O$2:$O$1001,0),0),1)),INDEX($T$2:$T$1001,MATCH(ROWS($O$2:O215),$O$2:$O$1001,0),0)))</f>
        <v>0</v>
      </c>
      <c r="B215" s="4">
        <f>IF(OR(INDEX($P$2:$P$1001,MATCH(ROWS($O$2:O215),$O$2:$O$1001,0),1)&gt;=100000,INDEX($V$1005:$AE$1005,1,MATCH(COLUMNS($V$1006:V1006),$V$1006:$AE$1006,0))&gt;=100000), " ",IF(INDEX($V$2:$AE$1001,MATCH(ROWS($O$2:O215),$O$2:$O$1001,0),MATCH(COLUMNS($V$1006:V1006),$V$1006:$AE$1006,0)), HYPERLINK("#",""), HYPERLINK(CONCATENATE("#Metadata!", ADDRESS(INDEX($Q$2:$Q$1001,MATCH(ROWS($O$2:O215),$O$2:$O$1001,0),0), INDEX($V$1004:$AE$1004,1,MATCH(COLUMNS($V$1006:V1006),$V$1006:$AE$1006,0)))),"Fix")))</f>
        <v>0</v>
      </c>
      <c r="C215" s="4">
        <f>IF(OR(INDEX($P$2:$P$1001,MATCH(ROWS($O$2:O215),$O$2:$O$1001,0),1)&gt;=100000,INDEX($V$1005:$AE$1005,1,MATCH(COLUMNS($V$1006:W1006),$V$1006:$AE$1006,0))&gt;=100000), " ",IF(INDEX($V$2:$AE$1001,MATCH(ROWS($O$2:O215),$O$2:$O$1001,0),MATCH(COLUMNS($V$1006:W1006),$V$1006:$AE$1006,0)), HYPERLINK("#",""), HYPERLINK(CONCATENATE("#Metadata!", ADDRESS(INDEX($Q$2:$Q$1001,MATCH(ROWS($O$2:O215),$O$2:$O$1001,0),0), INDEX($V$1004:$AE$1004,1,MATCH(COLUMNS($V$1006:W1006),$V$1006:$AE$1006,0)))),"Fix")))</f>
        <v>0</v>
      </c>
      <c r="D215" s="4">
        <f>IF(OR(INDEX($P$2:$P$1001,MATCH(ROWS($O$2:O215),$O$2:$O$1001,0),1)&gt;=100000,INDEX($V$1005:$AE$1005,1,MATCH(COLUMNS($V$1006:X1006),$V$1006:$AE$1006,0))&gt;=100000), " ",IF(INDEX($V$2:$AE$1001,MATCH(ROWS($O$2:O215),$O$2:$O$1001,0),MATCH(COLUMNS($V$1006:X1006),$V$1006:$AE$1006,0)), HYPERLINK("#",""), HYPERLINK(CONCATENATE("#Metadata!", ADDRESS(INDEX($Q$2:$Q$1001,MATCH(ROWS($O$2:O215),$O$2:$O$1001,0),0), INDEX($V$1004:$AE$1004,1,MATCH(COLUMNS($V$1006:X1006),$V$1006:$AE$1006,0)))),"Fix")))</f>
        <v>0</v>
      </c>
      <c r="E215" s="4">
        <f>IF(OR(INDEX($P$2:$P$1001,MATCH(ROWS($O$2:O215),$O$2:$O$1001,0),1)&gt;=100000,INDEX($V$1005:$AE$1005,1,MATCH(COLUMNS($V$1006:Y1006),$V$1006:$AE$1006,0))&gt;=100000), " ",IF(INDEX($V$2:$AE$1001,MATCH(ROWS($O$2:O215),$O$2:$O$1001,0),MATCH(COLUMNS($V$1006:Y1006),$V$1006:$AE$1006,0)), HYPERLINK("#",""), HYPERLINK(CONCATENATE("#Metadata!", ADDRESS(INDEX($Q$2:$Q$1001,MATCH(ROWS($O$2:O215),$O$2:$O$1001,0),0), INDEX($V$1004:$AE$1004,1,MATCH(COLUMNS($V$1006:Y1006),$V$1006:$AE$1006,0)))),"Fix")))</f>
        <v>0</v>
      </c>
      <c r="F215" s="4">
        <f>IF(OR(INDEX($P$2:$P$1001,MATCH(ROWS($O$2:O215),$O$2:$O$1001,0),1)&gt;=100000,INDEX($V$1005:$AE$1005,1,MATCH(COLUMNS($V$1006:Z1006),$V$1006:$AE$1006,0))&gt;=100000), " ",IF(INDEX($V$2:$AE$1001,MATCH(ROWS($O$2:O215),$O$2:$O$1001,0),MATCH(COLUMNS($V$1006:Z1006),$V$1006:$AE$1006,0)), HYPERLINK("#",""), HYPERLINK(CONCATENATE("#Metadata!", ADDRESS(INDEX($Q$2:$Q$1001,MATCH(ROWS($O$2:O215),$O$2:$O$1001,0),0), INDEX($V$1004:$AE$1004,1,MATCH(COLUMNS($V$1006:Z1006),$V$1006:$AE$1006,0)))),"Fix")))</f>
        <v>0</v>
      </c>
      <c r="G215" s="4">
        <f>IF(OR(INDEX($P$2:$P$1001,MATCH(ROWS($O$2:O215),$O$2:$O$1001,0),1)&gt;=100000,INDEX($V$1005:$AE$1005,1,MATCH(COLUMNS($V$1006:AA1006),$V$1006:$AE$1006,0))&gt;=100000), " ",IF(INDEX($V$2:$AE$1001,MATCH(ROWS($O$2:O215),$O$2:$O$1001,0),MATCH(COLUMNS($V$1006:AA1006),$V$1006:$AE$1006,0)), HYPERLINK("#",""), HYPERLINK(CONCATENATE("#Metadata!", ADDRESS(INDEX($Q$2:$Q$1001,MATCH(ROWS($O$2:O215),$O$2:$O$1001,0),0), INDEX($V$1004:$AE$1004,1,MATCH(COLUMNS($V$1006:AA1006),$V$1006:$AE$1006,0)))),"Fix")))</f>
        <v>0</v>
      </c>
      <c r="H215" s="4">
        <f>IF(OR(INDEX($P$2:$P$1001,MATCH(ROWS($O$2:O215),$O$2:$O$1001,0),1)&gt;=100000,INDEX($V$1005:$AE$1005,1,MATCH(COLUMNS($V$1006:AB1006),$V$1006:$AE$1006,0))&gt;=100000), " ",IF(INDEX($V$2:$AE$1001,MATCH(ROWS($O$2:O215),$O$2:$O$1001,0),MATCH(COLUMNS($V$1006:AB1006),$V$1006:$AE$1006,0)), HYPERLINK("#",""), HYPERLINK(CONCATENATE("#Metadata!", ADDRESS(INDEX($Q$2:$Q$1001,MATCH(ROWS($O$2:O215),$O$2:$O$1001,0),0), INDEX($V$1004:$AE$1004,1,MATCH(COLUMNS($V$1006:AB1006),$V$1006:$AE$1006,0)))),"Fix")))</f>
        <v>0</v>
      </c>
      <c r="I215" s="4">
        <f>IF(OR(INDEX($P$2:$P$1001,MATCH(ROWS($O$2:O215),$O$2:$O$1001,0),1)&gt;=100000,INDEX($V$1005:$AE$1005,1,MATCH(COLUMNS($V$1006:AC1006),$V$1006:$AE$1006,0))&gt;=100000), " ",IF(INDEX($V$2:$AE$1001,MATCH(ROWS($O$2:O215),$O$2:$O$1001,0),MATCH(COLUMNS($V$1006:AC1006),$V$1006:$AE$1006,0)), HYPERLINK("#",""), HYPERLINK(CONCATENATE("#Metadata!", ADDRESS(INDEX($Q$2:$Q$1001,MATCH(ROWS($O$2:O215),$O$2:$O$1001,0),0), INDEX($V$1004:$AE$1004,1,MATCH(COLUMNS($V$1006:AC1006),$V$1006:$AE$1006,0)))),"Fix")))</f>
        <v>0</v>
      </c>
      <c r="J215" s="4">
        <f>IF(OR(INDEX($P$2:$P$1001,MATCH(ROWS($O$2:O215),$O$2:$O$1001,0),1)&gt;=100000,INDEX($V$1005:$AE$1005,1,MATCH(COLUMNS($V$1006:AD1006),$V$1006:$AE$1006,0))&gt;=100000), " ",IF(INDEX($V$2:$AE$1001,MATCH(ROWS($O$2:O215),$O$2:$O$1001,0),MATCH(COLUMNS($V$1006:AD1006),$V$1006:$AE$1006,0)), HYPERLINK("#",""), HYPERLINK(CONCATENATE("#Metadata!", ADDRESS(INDEX($Q$2:$Q$1001,MATCH(ROWS($O$2:O215),$O$2:$O$1001,0),0), INDEX($V$1004:$AE$1004,1,MATCH(COLUMNS($V$1006:AD1006),$V$1006:$AE$1006,0)))),"Fix")))</f>
        <v>0</v>
      </c>
      <c r="K215" s="4">
        <f>IF(OR(INDEX($P$2:$P$1001,MATCH(ROWS($O$2:O215),$O$2:$O$1001,0),1)&gt;=100000,INDEX($V$1005:$AE$1005,1,MATCH(COLUMNS($V$1006:AE1006),$V$1006:$AE$1006,0))&gt;=100000), " ",IF(INDEX($V$2:$AE$1001,MATCH(ROWS($O$2:O215),$O$2:$O$1001,0),MATCH(COLUMNS($V$1006:AE1006),$V$1006:$AE$1006,0)), HYPERLINK("#",""), HYPERLINK(CONCATENATE("#Metadata!", ADDRESS(INDEX($Q$2:$Q$1001,MATCH(ROWS($O$2:O215),$O$2:$O$1001,0),0), INDEX($V$1004:$AE$1004,1,MATCH(COLUMNS($V$1006:AE1006),$V$1006:$AE$1006,0)))),"Fix")))</f>
        <v>0</v>
      </c>
      <c r="O215">
        <v>0</v>
      </c>
      <c r="P215">
        <v>0</v>
      </c>
      <c r="Q215">
        <v>0</v>
      </c>
      <c r="R215">
        <f>IF(S215,TRUE,AND(V215:AE215))</f>
        <v>0</v>
      </c>
      <c r="S215">
        <f>COUNTBLANK(Metadata!B215:K215)=COLUMNS(Metadata!B215:K215)</f>
        <v>0</v>
      </c>
      <c r="T215">
        <v>0</v>
      </c>
      <c r="V215">
        <f>AND(IF(Metadata!B215="",FALSE,TRUE),COUNTIF(Metadata!B:B, Metadata!B215) = 1,NOT(ISERROR(SUMPRODUCT(SEARCH(MID(Metadata!B215,ROW(INDIRECT("1:"&amp;LEN(Metadata!B215))), 1),"0123456789abcdefghijklmnopqrstuvwxyzABCDEFGHIJKLMNOPQRSTUVWXYZ.")))))</f>
        <v>0</v>
      </c>
      <c r="W215">
        <f>AND(IF(Metadata!C215="",FALSE,TRUE),exact(Metadata!C215,"urban biome"))</f>
        <v>0</v>
      </c>
      <c r="X215">
        <f>AND(IF(Metadata!D215="",FALSE,TRUE),exact(Metadata!D215,"animal-associated habitat"))</f>
        <v>0</v>
      </c>
      <c r="Y215">
        <f>OR(AND(IF(Metadata!E215="",FALSE,TRUE),OR(exact(Metadata!E215,"not applicable"),exact(Metadata!E215,"missing: not collected"),exact(Metadata!E215,"missing: not provided"),exact(Metadata!E215,"missing: restricted access"))),AND(IF(Metadata!E215="",FALSE,ISNUMBER(VALUE(Metadata!E215))),Metadata!E215&gt;0))</f>
        <v>0</v>
      </c>
      <c r="Z215">
        <f>AND(IF(Metadata!F215="",FALSE,TRUE),exact(Metadata!F215,"weeks"))</f>
        <v>0</v>
      </c>
      <c r="AA215">
        <f>AND(IF(Metadata!G215="",FALSE,TRUE),exact(Metadata!G215,"mouse"))</f>
        <v>0</v>
      </c>
      <c r="AB215">
        <f>AND(IF(Metadata!H215="",FALSE,TRUE),exact(Metadata!H215,"Mus musculus"))</f>
        <v>0</v>
      </c>
      <c r="AC215">
        <f>AND(IF(Metadata!I215="",FALSE,TRUE),exact(Metadata!I215,"10090"))</f>
        <v>0</v>
      </c>
      <c r="AD215">
        <f>OR(AND(IF(Metadata!J215="",FALSE,TRUE),OR(exact(Metadata!J215,"not applicable"),exact(Metadata!J215,"missing: not collected"),exact(Metadata!J215,"missing: not provided"),exact(Metadata!J215,"missing: restricted access"))),AND(IF(Metadata!J215="",FALSE,ISNUMBER(VALUE(Metadata!J215))),Metadata!J215&gt;0))</f>
        <v>0</v>
      </c>
      <c r="AE215">
        <f>AND(IF(Metadata!K215="",FALSE,TRUE),exact(Metadata!K215,"g"))</f>
        <v>0</v>
      </c>
    </row>
    <row r="216" spans="1:31">
      <c r="A216" s="5">
        <f>IF(B216=" "," ",HYPERLINK(CONCATENATE("#metadata!",ADDRESS(INDEX($Q$2:$Q$1001,MATCH(ROWS($O$2:O216),$O$2:$O$1001,0),0),1)),INDEX($T$2:$T$1001,MATCH(ROWS($O$2:O216),$O$2:$O$1001,0),0)))</f>
        <v>0</v>
      </c>
      <c r="B216" s="4">
        <f>IF(OR(INDEX($P$2:$P$1001,MATCH(ROWS($O$2:O216),$O$2:$O$1001,0),1)&gt;=100000,INDEX($V$1005:$AE$1005,1,MATCH(COLUMNS($V$1006:V1006),$V$1006:$AE$1006,0))&gt;=100000), " ",IF(INDEX($V$2:$AE$1001,MATCH(ROWS($O$2:O216),$O$2:$O$1001,0),MATCH(COLUMNS($V$1006:V1006),$V$1006:$AE$1006,0)), HYPERLINK("#",""), HYPERLINK(CONCATENATE("#Metadata!", ADDRESS(INDEX($Q$2:$Q$1001,MATCH(ROWS($O$2:O216),$O$2:$O$1001,0),0), INDEX($V$1004:$AE$1004,1,MATCH(COLUMNS($V$1006:V1006),$V$1006:$AE$1006,0)))),"Fix")))</f>
        <v>0</v>
      </c>
      <c r="C216" s="4">
        <f>IF(OR(INDEX($P$2:$P$1001,MATCH(ROWS($O$2:O216),$O$2:$O$1001,0),1)&gt;=100000,INDEX($V$1005:$AE$1005,1,MATCH(COLUMNS($V$1006:W1006),$V$1006:$AE$1006,0))&gt;=100000), " ",IF(INDEX($V$2:$AE$1001,MATCH(ROWS($O$2:O216),$O$2:$O$1001,0),MATCH(COLUMNS($V$1006:W1006),$V$1006:$AE$1006,0)), HYPERLINK("#",""), HYPERLINK(CONCATENATE("#Metadata!", ADDRESS(INDEX($Q$2:$Q$1001,MATCH(ROWS($O$2:O216),$O$2:$O$1001,0),0), INDEX($V$1004:$AE$1004,1,MATCH(COLUMNS($V$1006:W1006),$V$1006:$AE$1006,0)))),"Fix")))</f>
        <v>0</v>
      </c>
      <c r="D216" s="4">
        <f>IF(OR(INDEX($P$2:$P$1001,MATCH(ROWS($O$2:O216),$O$2:$O$1001,0),1)&gt;=100000,INDEX($V$1005:$AE$1005,1,MATCH(COLUMNS($V$1006:X1006),$V$1006:$AE$1006,0))&gt;=100000), " ",IF(INDEX($V$2:$AE$1001,MATCH(ROWS($O$2:O216),$O$2:$O$1001,0),MATCH(COLUMNS($V$1006:X1006),$V$1006:$AE$1006,0)), HYPERLINK("#",""), HYPERLINK(CONCATENATE("#Metadata!", ADDRESS(INDEX($Q$2:$Q$1001,MATCH(ROWS($O$2:O216),$O$2:$O$1001,0),0), INDEX($V$1004:$AE$1004,1,MATCH(COLUMNS($V$1006:X1006),$V$1006:$AE$1006,0)))),"Fix")))</f>
        <v>0</v>
      </c>
      <c r="E216" s="4">
        <f>IF(OR(INDEX($P$2:$P$1001,MATCH(ROWS($O$2:O216),$O$2:$O$1001,0),1)&gt;=100000,INDEX($V$1005:$AE$1005,1,MATCH(COLUMNS($V$1006:Y1006),$V$1006:$AE$1006,0))&gt;=100000), " ",IF(INDEX($V$2:$AE$1001,MATCH(ROWS($O$2:O216),$O$2:$O$1001,0),MATCH(COLUMNS($V$1006:Y1006),$V$1006:$AE$1006,0)), HYPERLINK("#",""), HYPERLINK(CONCATENATE("#Metadata!", ADDRESS(INDEX($Q$2:$Q$1001,MATCH(ROWS($O$2:O216),$O$2:$O$1001,0),0), INDEX($V$1004:$AE$1004,1,MATCH(COLUMNS($V$1006:Y1006),$V$1006:$AE$1006,0)))),"Fix")))</f>
        <v>0</v>
      </c>
      <c r="F216" s="4">
        <f>IF(OR(INDEX($P$2:$P$1001,MATCH(ROWS($O$2:O216),$O$2:$O$1001,0),1)&gt;=100000,INDEX($V$1005:$AE$1005,1,MATCH(COLUMNS($V$1006:Z1006),$V$1006:$AE$1006,0))&gt;=100000), " ",IF(INDEX($V$2:$AE$1001,MATCH(ROWS($O$2:O216),$O$2:$O$1001,0),MATCH(COLUMNS($V$1006:Z1006),$V$1006:$AE$1006,0)), HYPERLINK("#",""), HYPERLINK(CONCATENATE("#Metadata!", ADDRESS(INDEX($Q$2:$Q$1001,MATCH(ROWS($O$2:O216),$O$2:$O$1001,0),0), INDEX($V$1004:$AE$1004,1,MATCH(COLUMNS($V$1006:Z1006),$V$1006:$AE$1006,0)))),"Fix")))</f>
        <v>0</v>
      </c>
      <c r="G216" s="4">
        <f>IF(OR(INDEX($P$2:$P$1001,MATCH(ROWS($O$2:O216),$O$2:$O$1001,0),1)&gt;=100000,INDEX($V$1005:$AE$1005,1,MATCH(COLUMNS($V$1006:AA1006),$V$1006:$AE$1006,0))&gt;=100000), " ",IF(INDEX($V$2:$AE$1001,MATCH(ROWS($O$2:O216),$O$2:$O$1001,0),MATCH(COLUMNS($V$1006:AA1006),$V$1006:$AE$1006,0)), HYPERLINK("#",""), HYPERLINK(CONCATENATE("#Metadata!", ADDRESS(INDEX($Q$2:$Q$1001,MATCH(ROWS($O$2:O216),$O$2:$O$1001,0),0), INDEX($V$1004:$AE$1004,1,MATCH(COLUMNS($V$1006:AA1006),$V$1006:$AE$1006,0)))),"Fix")))</f>
        <v>0</v>
      </c>
      <c r="H216" s="4">
        <f>IF(OR(INDEX($P$2:$P$1001,MATCH(ROWS($O$2:O216),$O$2:$O$1001,0),1)&gt;=100000,INDEX($V$1005:$AE$1005,1,MATCH(COLUMNS($V$1006:AB1006),$V$1006:$AE$1006,0))&gt;=100000), " ",IF(INDEX($V$2:$AE$1001,MATCH(ROWS($O$2:O216),$O$2:$O$1001,0),MATCH(COLUMNS($V$1006:AB1006),$V$1006:$AE$1006,0)), HYPERLINK("#",""), HYPERLINK(CONCATENATE("#Metadata!", ADDRESS(INDEX($Q$2:$Q$1001,MATCH(ROWS($O$2:O216),$O$2:$O$1001,0),0), INDEX($V$1004:$AE$1004,1,MATCH(COLUMNS($V$1006:AB1006),$V$1006:$AE$1006,0)))),"Fix")))</f>
        <v>0</v>
      </c>
      <c r="I216" s="4">
        <f>IF(OR(INDEX($P$2:$P$1001,MATCH(ROWS($O$2:O216),$O$2:$O$1001,0),1)&gt;=100000,INDEX($V$1005:$AE$1005,1,MATCH(COLUMNS($V$1006:AC1006),$V$1006:$AE$1006,0))&gt;=100000), " ",IF(INDEX($V$2:$AE$1001,MATCH(ROWS($O$2:O216),$O$2:$O$1001,0),MATCH(COLUMNS($V$1006:AC1006),$V$1006:$AE$1006,0)), HYPERLINK("#",""), HYPERLINK(CONCATENATE("#Metadata!", ADDRESS(INDEX($Q$2:$Q$1001,MATCH(ROWS($O$2:O216),$O$2:$O$1001,0),0), INDEX($V$1004:$AE$1004,1,MATCH(COLUMNS($V$1006:AC1006),$V$1006:$AE$1006,0)))),"Fix")))</f>
        <v>0</v>
      </c>
      <c r="J216" s="4">
        <f>IF(OR(INDEX($P$2:$P$1001,MATCH(ROWS($O$2:O216),$O$2:$O$1001,0),1)&gt;=100000,INDEX($V$1005:$AE$1005,1,MATCH(COLUMNS($V$1006:AD1006),$V$1006:$AE$1006,0))&gt;=100000), " ",IF(INDEX($V$2:$AE$1001,MATCH(ROWS($O$2:O216),$O$2:$O$1001,0),MATCH(COLUMNS($V$1006:AD1006),$V$1006:$AE$1006,0)), HYPERLINK("#",""), HYPERLINK(CONCATENATE("#Metadata!", ADDRESS(INDEX($Q$2:$Q$1001,MATCH(ROWS($O$2:O216),$O$2:$O$1001,0),0), INDEX($V$1004:$AE$1004,1,MATCH(COLUMNS($V$1006:AD1006),$V$1006:$AE$1006,0)))),"Fix")))</f>
        <v>0</v>
      </c>
      <c r="K216" s="4">
        <f>IF(OR(INDEX($P$2:$P$1001,MATCH(ROWS($O$2:O216),$O$2:$O$1001,0),1)&gt;=100000,INDEX($V$1005:$AE$1005,1,MATCH(COLUMNS($V$1006:AE1006),$V$1006:$AE$1006,0))&gt;=100000), " ",IF(INDEX($V$2:$AE$1001,MATCH(ROWS($O$2:O216),$O$2:$O$1001,0),MATCH(COLUMNS($V$1006:AE1006),$V$1006:$AE$1006,0)), HYPERLINK("#",""), HYPERLINK(CONCATENATE("#Metadata!", ADDRESS(INDEX($Q$2:$Q$1001,MATCH(ROWS($O$2:O216),$O$2:$O$1001,0),0), INDEX($V$1004:$AE$1004,1,MATCH(COLUMNS($V$1006:AE1006),$V$1006:$AE$1006,0)))),"Fix")))</f>
        <v>0</v>
      </c>
      <c r="O216">
        <v>0</v>
      </c>
      <c r="P216">
        <v>0</v>
      </c>
      <c r="Q216">
        <v>0</v>
      </c>
      <c r="R216">
        <f>IF(S216,TRUE,AND(V216:AE216))</f>
        <v>0</v>
      </c>
      <c r="S216">
        <f>COUNTBLANK(Metadata!B216:K216)=COLUMNS(Metadata!B216:K216)</f>
        <v>0</v>
      </c>
      <c r="T216">
        <v>0</v>
      </c>
      <c r="V216">
        <f>AND(IF(Metadata!B216="",FALSE,TRUE),COUNTIF(Metadata!B:B, Metadata!B216) = 1,NOT(ISERROR(SUMPRODUCT(SEARCH(MID(Metadata!B216,ROW(INDIRECT("1:"&amp;LEN(Metadata!B216))), 1),"0123456789abcdefghijklmnopqrstuvwxyzABCDEFGHIJKLMNOPQRSTUVWXYZ.")))))</f>
        <v>0</v>
      </c>
      <c r="W216">
        <f>AND(IF(Metadata!C216="",FALSE,TRUE),exact(Metadata!C216,"urban biome"))</f>
        <v>0</v>
      </c>
      <c r="X216">
        <f>AND(IF(Metadata!D216="",FALSE,TRUE),exact(Metadata!D216,"animal-associated habitat"))</f>
        <v>0</v>
      </c>
      <c r="Y216">
        <f>OR(AND(IF(Metadata!E216="",FALSE,TRUE),OR(exact(Metadata!E216,"not applicable"),exact(Metadata!E216,"missing: not collected"),exact(Metadata!E216,"missing: not provided"),exact(Metadata!E216,"missing: restricted access"))),AND(IF(Metadata!E216="",FALSE,ISNUMBER(VALUE(Metadata!E216))),Metadata!E216&gt;0))</f>
        <v>0</v>
      </c>
      <c r="Z216">
        <f>AND(IF(Metadata!F216="",FALSE,TRUE),exact(Metadata!F216,"weeks"))</f>
        <v>0</v>
      </c>
      <c r="AA216">
        <f>AND(IF(Metadata!G216="",FALSE,TRUE),exact(Metadata!G216,"mouse"))</f>
        <v>0</v>
      </c>
      <c r="AB216">
        <f>AND(IF(Metadata!H216="",FALSE,TRUE),exact(Metadata!H216,"Mus musculus"))</f>
        <v>0</v>
      </c>
      <c r="AC216">
        <f>AND(IF(Metadata!I216="",FALSE,TRUE),exact(Metadata!I216,"10090"))</f>
        <v>0</v>
      </c>
      <c r="AD216">
        <f>OR(AND(IF(Metadata!J216="",FALSE,TRUE),OR(exact(Metadata!J216,"not applicable"),exact(Metadata!J216,"missing: not collected"),exact(Metadata!J216,"missing: not provided"),exact(Metadata!J216,"missing: restricted access"))),AND(IF(Metadata!J216="",FALSE,ISNUMBER(VALUE(Metadata!J216))),Metadata!J216&gt;0))</f>
        <v>0</v>
      </c>
      <c r="AE216">
        <f>AND(IF(Metadata!K216="",FALSE,TRUE),exact(Metadata!K216,"g"))</f>
        <v>0</v>
      </c>
    </row>
    <row r="217" spans="1:31">
      <c r="A217" s="5">
        <f>IF(B217=" "," ",HYPERLINK(CONCATENATE("#metadata!",ADDRESS(INDEX($Q$2:$Q$1001,MATCH(ROWS($O$2:O217),$O$2:$O$1001,0),0),1)),INDEX($T$2:$T$1001,MATCH(ROWS($O$2:O217),$O$2:$O$1001,0),0)))</f>
        <v>0</v>
      </c>
      <c r="B217" s="4">
        <f>IF(OR(INDEX($P$2:$P$1001,MATCH(ROWS($O$2:O217),$O$2:$O$1001,0),1)&gt;=100000,INDEX($V$1005:$AE$1005,1,MATCH(COLUMNS($V$1006:V1006),$V$1006:$AE$1006,0))&gt;=100000), " ",IF(INDEX($V$2:$AE$1001,MATCH(ROWS($O$2:O217),$O$2:$O$1001,0),MATCH(COLUMNS($V$1006:V1006),$V$1006:$AE$1006,0)), HYPERLINK("#",""), HYPERLINK(CONCATENATE("#Metadata!", ADDRESS(INDEX($Q$2:$Q$1001,MATCH(ROWS($O$2:O217),$O$2:$O$1001,0),0), INDEX($V$1004:$AE$1004,1,MATCH(COLUMNS($V$1006:V1006),$V$1006:$AE$1006,0)))),"Fix")))</f>
        <v>0</v>
      </c>
      <c r="C217" s="4">
        <f>IF(OR(INDEX($P$2:$P$1001,MATCH(ROWS($O$2:O217),$O$2:$O$1001,0),1)&gt;=100000,INDEX($V$1005:$AE$1005,1,MATCH(COLUMNS($V$1006:W1006),$V$1006:$AE$1006,0))&gt;=100000), " ",IF(INDEX($V$2:$AE$1001,MATCH(ROWS($O$2:O217),$O$2:$O$1001,0),MATCH(COLUMNS($V$1006:W1006),$V$1006:$AE$1006,0)), HYPERLINK("#",""), HYPERLINK(CONCATENATE("#Metadata!", ADDRESS(INDEX($Q$2:$Q$1001,MATCH(ROWS($O$2:O217),$O$2:$O$1001,0),0), INDEX($V$1004:$AE$1004,1,MATCH(COLUMNS($V$1006:W1006),$V$1006:$AE$1006,0)))),"Fix")))</f>
        <v>0</v>
      </c>
      <c r="D217" s="4">
        <f>IF(OR(INDEX($P$2:$P$1001,MATCH(ROWS($O$2:O217),$O$2:$O$1001,0),1)&gt;=100000,INDEX($V$1005:$AE$1005,1,MATCH(COLUMNS($V$1006:X1006),$V$1006:$AE$1006,0))&gt;=100000), " ",IF(INDEX($V$2:$AE$1001,MATCH(ROWS($O$2:O217),$O$2:$O$1001,0),MATCH(COLUMNS($V$1006:X1006),$V$1006:$AE$1006,0)), HYPERLINK("#",""), HYPERLINK(CONCATENATE("#Metadata!", ADDRESS(INDEX($Q$2:$Q$1001,MATCH(ROWS($O$2:O217),$O$2:$O$1001,0),0), INDEX($V$1004:$AE$1004,1,MATCH(COLUMNS($V$1006:X1006),$V$1006:$AE$1006,0)))),"Fix")))</f>
        <v>0</v>
      </c>
      <c r="E217" s="4">
        <f>IF(OR(INDEX($P$2:$P$1001,MATCH(ROWS($O$2:O217),$O$2:$O$1001,0),1)&gt;=100000,INDEX($V$1005:$AE$1005,1,MATCH(COLUMNS($V$1006:Y1006),$V$1006:$AE$1006,0))&gt;=100000), " ",IF(INDEX($V$2:$AE$1001,MATCH(ROWS($O$2:O217),$O$2:$O$1001,0),MATCH(COLUMNS($V$1006:Y1006),$V$1006:$AE$1006,0)), HYPERLINK("#",""), HYPERLINK(CONCATENATE("#Metadata!", ADDRESS(INDEX($Q$2:$Q$1001,MATCH(ROWS($O$2:O217),$O$2:$O$1001,0),0), INDEX($V$1004:$AE$1004,1,MATCH(COLUMNS($V$1006:Y1006),$V$1006:$AE$1006,0)))),"Fix")))</f>
        <v>0</v>
      </c>
      <c r="F217" s="4">
        <f>IF(OR(INDEX($P$2:$P$1001,MATCH(ROWS($O$2:O217),$O$2:$O$1001,0),1)&gt;=100000,INDEX($V$1005:$AE$1005,1,MATCH(COLUMNS($V$1006:Z1006),$V$1006:$AE$1006,0))&gt;=100000), " ",IF(INDEX($V$2:$AE$1001,MATCH(ROWS($O$2:O217),$O$2:$O$1001,0),MATCH(COLUMNS($V$1006:Z1006),$V$1006:$AE$1006,0)), HYPERLINK("#",""), HYPERLINK(CONCATENATE("#Metadata!", ADDRESS(INDEX($Q$2:$Q$1001,MATCH(ROWS($O$2:O217),$O$2:$O$1001,0),0), INDEX($V$1004:$AE$1004,1,MATCH(COLUMNS($V$1006:Z1006),$V$1006:$AE$1006,0)))),"Fix")))</f>
        <v>0</v>
      </c>
      <c r="G217" s="4">
        <f>IF(OR(INDEX($P$2:$P$1001,MATCH(ROWS($O$2:O217),$O$2:$O$1001,0),1)&gt;=100000,INDEX($V$1005:$AE$1005,1,MATCH(COLUMNS($V$1006:AA1006),$V$1006:$AE$1006,0))&gt;=100000), " ",IF(INDEX($V$2:$AE$1001,MATCH(ROWS($O$2:O217),$O$2:$O$1001,0),MATCH(COLUMNS($V$1006:AA1006),$V$1006:$AE$1006,0)), HYPERLINK("#",""), HYPERLINK(CONCATENATE("#Metadata!", ADDRESS(INDEX($Q$2:$Q$1001,MATCH(ROWS($O$2:O217),$O$2:$O$1001,0),0), INDEX($V$1004:$AE$1004,1,MATCH(COLUMNS($V$1006:AA1006),$V$1006:$AE$1006,0)))),"Fix")))</f>
        <v>0</v>
      </c>
      <c r="H217" s="4">
        <f>IF(OR(INDEX($P$2:$P$1001,MATCH(ROWS($O$2:O217),$O$2:$O$1001,0),1)&gt;=100000,INDEX($V$1005:$AE$1005,1,MATCH(COLUMNS($V$1006:AB1006),$V$1006:$AE$1006,0))&gt;=100000), " ",IF(INDEX($V$2:$AE$1001,MATCH(ROWS($O$2:O217),$O$2:$O$1001,0),MATCH(COLUMNS($V$1006:AB1006),$V$1006:$AE$1006,0)), HYPERLINK("#",""), HYPERLINK(CONCATENATE("#Metadata!", ADDRESS(INDEX($Q$2:$Q$1001,MATCH(ROWS($O$2:O217),$O$2:$O$1001,0),0), INDEX($V$1004:$AE$1004,1,MATCH(COLUMNS($V$1006:AB1006),$V$1006:$AE$1006,0)))),"Fix")))</f>
        <v>0</v>
      </c>
      <c r="I217" s="4">
        <f>IF(OR(INDEX($P$2:$P$1001,MATCH(ROWS($O$2:O217),$O$2:$O$1001,0),1)&gt;=100000,INDEX($V$1005:$AE$1005,1,MATCH(COLUMNS($V$1006:AC1006),$V$1006:$AE$1006,0))&gt;=100000), " ",IF(INDEX($V$2:$AE$1001,MATCH(ROWS($O$2:O217),$O$2:$O$1001,0),MATCH(COLUMNS($V$1006:AC1006),$V$1006:$AE$1006,0)), HYPERLINK("#",""), HYPERLINK(CONCATENATE("#Metadata!", ADDRESS(INDEX($Q$2:$Q$1001,MATCH(ROWS($O$2:O217),$O$2:$O$1001,0),0), INDEX($V$1004:$AE$1004,1,MATCH(COLUMNS($V$1006:AC1006),$V$1006:$AE$1006,0)))),"Fix")))</f>
        <v>0</v>
      </c>
      <c r="J217" s="4">
        <f>IF(OR(INDEX($P$2:$P$1001,MATCH(ROWS($O$2:O217),$O$2:$O$1001,0),1)&gt;=100000,INDEX($V$1005:$AE$1005,1,MATCH(COLUMNS($V$1006:AD1006),$V$1006:$AE$1006,0))&gt;=100000), " ",IF(INDEX($V$2:$AE$1001,MATCH(ROWS($O$2:O217),$O$2:$O$1001,0),MATCH(COLUMNS($V$1006:AD1006),$V$1006:$AE$1006,0)), HYPERLINK("#",""), HYPERLINK(CONCATENATE("#Metadata!", ADDRESS(INDEX($Q$2:$Q$1001,MATCH(ROWS($O$2:O217),$O$2:$O$1001,0),0), INDEX($V$1004:$AE$1004,1,MATCH(COLUMNS($V$1006:AD1006),$V$1006:$AE$1006,0)))),"Fix")))</f>
        <v>0</v>
      </c>
      <c r="K217" s="4">
        <f>IF(OR(INDEX($P$2:$P$1001,MATCH(ROWS($O$2:O217),$O$2:$O$1001,0),1)&gt;=100000,INDEX($V$1005:$AE$1005,1,MATCH(COLUMNS($V$1006:AE1006),$V$1006:$AE$1006,0))&gt;=100000), " ",IF(INDEX($V$2:$AE$1001,MATCH(ROWS($O$2:O217),$O$2:$O$1001,0),MATCH(COLUMNS($V$1006:AE1006),$V$1006:$AE$1006,0)), HYPERLINK("#",""), HYPERLINK(CONCATENATE("#Metadata!", ADDRESS(INDEX($Q$2:$Q$1001,MATCH(ROWS($O$2:O217),$O$2:$O$1001,0),0), INDEX($V$1004:$AE$1004,1,MATCH(COLUMNS($V$1006:AE1006),$V$1006:$AE$1006,0)))),"Fix")))</f>
        <v>0</v>
      </c>
      <c r="O217">
        <v>0</v>
      </c>
      <c r="P217">
        <v>0</v>
      </c>
      <c r="Q217">
        <v>0</v>
      </c>
      <c r="R217">
        <f>IF(S217,TRUE,AND(V217:AE217))</f>
        <v>0</v>
      </c>
      <c r="S217">
        <f>COUNTBLANK(Metadata!B217:K217)=COLUMNS(Metadata!B217:K217)</f>
        <v>0</v>
      </c>
      <c r="T217">
        <v>0</v>
      </c>
      <c r="V217">
        <f>AND(IF(Metadata!B217="",FALSE,TRUE),COUNTIF(Metadata!B:B, Metadata!B217) = 1,NOT(ISERROR(SUMPRODUCT(SEARCH(MID(Metadata!B217,ROW(INDIRECT("1:"&amp;LEN(Metadata!B217))), 1),"0123456789abcdefghijklmnopqrstuvwxyzABCDEFGHIJKLMNOPQRSTUVWXYZ.")))))</f>
        <v>0</v>
      </c>
      <c r="W217">
        <f>AND(IF(Metadata!C217="",FALSE,TRUE),exact(Metadata!C217,"urban biome"))</f>
        <v>0</v>
      </c>
      <c r="X217">
        <f>AND(IF(Metadata!D217="",FALSE,TRUE),exact(Metadata!D217,"animal-associated habitat"))</f>
        <v>0</v>
      </c>
      <c r="Y217">
        <f>OR(AND(IF(Metadata!E217="",FALSE,TRUE),OR(exact(Metadata!E217,"not applicable"),exact(Metadata!E217,"missing: not collected"),exact(Metadata!E217,"missing: not provided"),exact(Metadata!E217,"missing: restricted access"))),AND(IF(Metadata!E217="",FALSE,ISNUMBER(VALUE(Metadata!E217))),Metadata!E217&gt;0))</f>
        <v>0</v>
      </c>
      <c r="Z217">
        <f>AND(IF(Metadata!F217="",FALSE,TRUE),exact(Metadata!F217,"weeks"))</f>
        <v>0</v>
      </c>
      <c r="AA217">
        <f>AND(IF(Metadata!G217="",FALSE,TRUE),exact(Metadata!G217,"mouse"))</f>
        <v>0</v>
      </c>
      <c r="AB217">
        <f>AND(IF(Metadata!H217="",FALSE,TRUE),exact(Metadata!H217,"Mus musculus"))</f>
        <v>0</v>
      </c>
      <c r="AC217">
        <f>AND(IF(Metadata!I217="",FALSE,TRUE),exact(Metadata!I217,"10090"))</f>
        <v>0</v>
      </c>
      <c r="AD217">
        <f>OR(AND(IF(Metadata!J217="",FALSE,TRUE),OR(exact(Metadata!J217,"not applicable"),exact(Metadata!J217,"missing: not collected"),exact(Metadata!J217,"missing: not provided"),exact(Metadata!J217,"missing: restricted access"))),AND(IF(Metadata!J217="",FALSE,ISNUMBER(VALUE(Metadata!J217))),Metadata!J217&gt;0))</f>
        <v>0</v>
      </c>
      <c r="AE217">
        <f>AND(IF(Metadata!K217="",FALSE,TRUE),exact(Metadata!K217,"g"))</f>
        <v>0</v>
      </c>
    </row>
    <row r="218" spans="1:31">
      <c r="A218" s="5">
        <f>IF(B218=" "," ",HYPERLINK(CONCATENATE("#metadata!",ADDRESS(INDEX($Q$2:$Q$1001,MATCH(ROWS($O$2:O218),$O$2:$O$1001,0),0),1)),INDEX($T$2:$T$1001,MATCH(ROWS($O$2:O218),$O$2:$O$1001,0),0)))</f>
        <v>0</v>
      </c>
      <c r="B218" s="4">
        <f>IF(OR(INDEX($P$2:$P$1001,MATCH(ROWS($O$2:O218),$O$2:$O$1001,0),1)&gt;=100000,INDEX($V$1005:$AE$1005,1,MATCH(COLUMNS($V$1006:V1006),$V$1006:$AE$1006,0))&gt;=100000), " ",IF(INDEX($V$2:$AE$1001,MATCH(ROWS($O$2:O218),$O$2:$O$1001,0),MATCH(COLUMNS($V$1006:V1006),$V$1006:$AE$1006,0)), HYPERLINK("#",""), HYPERLINK(CONCATENATE("#Metadata!", ADDRESS(INDEX($Q$2:$Q$1001,MATCH(ROWS($O$2:O218),$O$2:$O$1001,0),0), INDEX($V$1004:$AE$1004,1,MATCH(COLUMNS($V$1006:V1006),$V$1006:$AE$1006,0)))),"Fix")))</f>
        <v>0</v>
      </c>
      <c r="C218" s="4">
        <f>IF(OR(INDEX($P$2:$P$1001,MATCH(ROWS($O$2:O218),$O$2:$O$1001,0),1)&gt;=100000,INDEX($V$1005:$AE$1005,1,MATCH(COLUMNS($V$1006:W1006),$V$1006:$AE$1006,0))&gt;=100000), " ",IF(INDEX($V$2:$AE$1001,MATCH(ROWS($O$2:O218),$O$2:$O$1001,0),MATCH(COLUMNS($V$1006:W1006),$V$1006:$AE$1006,0)), HYPERLINK("#",""), HYPERLINK(CONCATENATE("#Metadata!", ADDRESS(INDEX($Q$2:$Q$1001,MATCH(ROWS($O$2:O218),$O$2:$O$1001,0),0), INDEX($V$1004:$AE$1004,1,MATCH(COLUMNS($V$1006:W1006),$V$1006:$AE$1006,0)))),"Fix")))</f>
        <v>0</v>
      </c>
      <c r="D218" s="4">
        <f>IF(OR(INDEX($P$2:$P$1001,MATCH(ROWS($O$2:O218),$O$2:$O$1001,0),1)&gt;=100000,INDEX($V$1005:$AE$1005,1,MATCH(COLUMNS($V$1006:X1006),$V$1006:$AE$1006,0))&gt;=100000), " ",IF(INDEX($V$2:$AE$1001,MATCH(ROWS($O$2:O218),$O$2:$O$1001,0),MATCH(COLUMNS($V$1006:X1006),$V$1006:$AE$1006,0)), HYPERLINK("#",""), HYPERLINK(CONCATENATE("#Metadata!", ADDRESS(INDEX($Q$2:$Q$1001,MATCH(ROWS($O$2:O218),$O$2:$O$1001,0),0), INDEX($V$1004:$AE$1004,1,MATCH(COLUMNS($V$1006:X1006),$V$1006:$AE$1006,0)))),"Fix")))</f>
        <v>0</v>
      </c>
      <c r="E218" s="4">
        <f>IF(OR(INDEX($P$2:$P$1001,MATCH(ROWS($O$2:O218),$O$2:$O$1001,0),1)&gt;=100000,INDEX($V$1005:$AE$1005,1,MATCH(COLUMNS($V$1006:Y1006),$V$1006:$AE$1006,0))&gt;=100000), " ",IF(INDEX($V$2:$AE$1001,MATCH(ROWS($O$2:O218),$O$2:$O$1001,0),MATCH(COLUMNS($V$1006:Y1006),$V$1006:$AE$1006,0)), HYPERLINK("#",""), HYPERLINK(CONCATENATE("#Metadata!", ADDRESS(INDEX($Q$2:$Q$1001,MATCH(ROWS($O$2:O218),$O$2:$O$1001,0),0), INDEX($V$1004:$AE$1004,1,MATCH(COLUMNS($V$1006:Y1006),$V$1006:$AE$1006,0)))),"Fix")))</f>
        <v>0</v>
      </c>
      <c r="F218" s="4">
        <f>IF(OR(INDEX($P$2:$P$1001,MATCH(ROWS($O$2:O218),$O$2:$O$1001,0),1)&gt;=100000,INDEX($V$1005:$AE$1005,1,MATCH(COLUMNS($V$1006:Z1006),$V$1006:$AE$1006,0))&gt;=100000), " ",IF(INDEX($V$2:$AE$1001,MATCH(ROWS($O$2:O218),$O$2:$O$1001,0),MATCH(COLUMNS($V$1006:Z1006),$V$1006:$AE$1006,0)), HYPERLINK("#",""), HYPERLINK(CONCATENATE("#Metadata!", ADDRESS(INDEX($Q$2:$Q$1001,MATCH(ROWS($O$2:O218),$O$2:$O$1001,0),0), INDEX($V$1004:$AE$1004,1,MATCH(COLUMNS($V$1006:Z1006),$V$1006:$AE$1006,0)))),"Fix")))</f>
        <v>0</v>
      </c>
      <c r="G218" s="4">
        <f>IF(OR(INDEX($P$2:$P$1001,MATCH(ROWS($O$2:O218),$O$2:$O$1001,0),1)&gt;=100000,INDEX($V$1005:$AE$1005,1,MATCH(COLUMNS($V$1006:AA1006),$V$1006:$AE$1006,0))&gt;=100000), " ",IF(INDEX($V$2:$AE$1001,MATCH(ROWS($O$2:O218),$O$2:$O$1001,0),MATCH(COLUMNS($V$1006:AA1006),$V$1006:$AE$1006,0)), HYPERLINK("#",""), HYPERLINK(CONCATENATE("#Metadata!", ADDRESS(INDEX($Q$2:$Q$1001,MATCH(ROWS($O$2:O218),$O$2:$O$1001,0),0), INDEX($V$1004:$AE$1004,1,MATCH(COLUMNS($V$1006:AA1006),$V$1006:$AE$1006,0)))),"Fix")))</f>
        <v>0</v>
      </c>
      <c r="H218" s="4">
        <f>IF(OR(INDEX($P$2:$P$1001,MATCH(ROWS($O$2:O218),$O$2:$O$1001,0),1)&gt;=100000,INDEX($V$1005:$AE$1005,1,MATCH(COLUMNS($V$1006:AB1006),$V$1006:$AE$1006,0))&gt;=100000), " ",IF(INDEX($V$2:$AE$1001,MATCH(ROWS($O$2:O218),$O$2:$O$1001,0),MATCH(COLUMNS($V$1006:AB1006),$V$1006:$AE$1006,0)), HYPERLINK("#",""), HYPERLINK(CONCATENATE("#Metadata!", ADDRESS(INDEX($Q$2:$Q$1001,MATCH(ROWS($O$2:O218),$O$2:$O$1001,0),0), INDEX($V$1004:$AE$1004,1,MATCH(COLUMNS($V$1006:AB1006),$V$1006:$AE$1006,0)))),"Fix")))</f>
        <v>0</v>
      </c>
      <c r="I218" s="4">
        <f>IF(OR(INDEX($P$2:$P$1001,MATCH(ROWS($O$2:O218),$O$2:$O$1001,0),1)&gt;=100000,INDEX($V$1005:$AE$1005,1,MATCH(COLUMNS($V$1006:AC1006),$V$1006:$AE$1006,0))&gt;=100000), " ",IF(INDEX($V$2:$AE$1001,MATCH(ROWS($O$2:O218),$O$2:$O$1001,0),MATCH(COLUMNS($V$1006:AC1006),$V$1006:$AE$1006,0)), HYPERLINK("#",""), HYPERLINK(CONCATENATE("#Metadata!", ADDRESS(INDEX($Q$2:$Q$1001,MATCH(ROWS($O$2:O218),$O$2:$O$1001,0),0), INDEX($V$1004:$AE$1004,1,MATCH(COLUMNS($V$1006:AC1006),$V$1006:$AE$1006,0)))),"Fix")))</f>
        <v>0</v>
      </c>
      <c r="J218" s="4">
        <f>IF(OR(INDEX($P$2:$P$1001,MATCH(ROWS($O$2:O218),$O$2:$O$1001,0),1)&gt;=100000,INDEX($V$1005:$AE$1005,1,MATCH(COLUMNS($V$1006:AD1006),$V$1006:$AE$1006,0))&gt;=100000), " ",IF(INDEX($V$2:$AE$1001,MATCH(ROWS($O$2:O218),$O$2:$O$1001,0),MATCH(COLUMNS($V$1006:AD1006),$V$1006:$AE$1006,0)), HYPERLINK("#",""), HYPERLINK(CONCATENATE("#Metadata!", ADDRESS(INDEX($Q$2:$Q$1001,MATCH(ROWS($O$2:O218),$O$2:$O$1001,0),0), INDEX($V$1004:$AE$1004,1,MATCH(COLUMNS($V$1006:AD1006),$V$1006:$AE$1006,0)))),"Fix")))</f>
        <v>0</v>
      </c>
      <c r="K218" s="4">
        <f>IF(OR(INDEX($P$2:$P$1001,MATCH(ROWS($O$2:O218),$O$2:$O$1001,0),1)&gt;=100000,INDEX($V$1005:$AE$1005,1,MATCH(COLUMNS($V$1006:AE1006),$V$1006:$AE$1006,0))&gt;=100000), " ",IF(INDEX($V$2:$AE$1001,MATCH(ROWS($O$2:O218),$O$2:$O$1001,0),MATCH(COLUMNS($V$1006:AE1006),$V$1006:$AE$1006,0)), HYPERLINK("#",""), HYPERLINK(CONCATENATE("#Metadata!", ADDRESS(INDEX($Q$2:$Q$1001,MATCH(ROWS($O$2:O218),$O$2:$O$1001,0),0), INDEX($V$1004:$AE$1004,1,MATCH(COLUMNS($V$1006:AE1006),$V$1006:$AE$1006,0)))),"Fix")))</f>
        <v>0</v>
      </c>
      <c r="O218">
        <v>0</v>
      </c>
      <c r="P218">
        <v>0</v>
      </c>
      <c r="Q218">
        <v>0</v>
      </c>
      <c r="R218">
        <f>IF(S218,TRUE,AND(V218:AE218))</f>
        <v>0</v>
      </c>
      <c r="S218">
        <f>COUNTBLANK(Metadata!B218:K218)=COLUMNS(Metadata!B218:K218)</f>
        <v>0</v>
      </c>
      <c r="T218">
        <v>0</v>
      </c>
      <c r="V218">
        <f>AND(IF(Metadata!B218="",FALSE,TRUE),COUNTIF(Metadata!B:B, Metadata!B218) = 1,NOT(ISERROR(SUMPRODUCT(SEARCH(MID(Metadata!B218,ROW(INDIRECT("1:"&amp;LEN(Metadata!B218))), 1),"0123456789abcdefghijklmnopqrstuvwxyzABCDEFGHIJKLMNOPQRSTUVWXYZ.")))))</f>
        <v>0</v>
      </c>
      <c r="W218">
        <f>AND(IF(Metadata!C218="",FALSE,TRUE),exact(Metadata!C218,"urban biome"))</f>
        <v>0</v>
      </c>
      <c r="X218">
        <f>AND(IF(Metadata!D218="",FALSE,TRUE),exact(Metadata!D218,"animal-associated habitat"))</f>
        <v>0</v>
      </c>
      <c r="Y218">
        <f>OR(AND(IF(Metadata!E218="",FALSE,TRUE),OR(exact(Metadata!E218,"not applicable"),exact(Metadata!E218,"missing: not collected"),exact(Metadata!E218,"missing: not provided"),exact(Metadata!E218,"missing: restricted access"))),AND(IF(Metadata!E218="",FALSE,ISNUMBER(VALUE(Metadata!E218))),Metadata!E218&gt;0))</f>
        <v>0</v>
      </c>
      <c r="Z218">
        <f>AND(IF(Metadata!F218="",FALSE,TRUE),exact(Metadata!F218,"weeks"))</f>
        <v>0</v>
      </c>
      <c r="AA218">
        <f>AND(IF(Metadata!G218="",FALSE,TRUE),exact(Metadata!G218,"mouse"))</f>
        <v>0</v>
      </c>
      <c r="AB218">
        <f>AND(IF(Metadata!H218="",FALSE,TRUE),exact(Metadata!H218,"Mus musculus"))</f>
        <v>0</v>
      </c>
      <c r="AC218">
        <f>AND(IF(Metadata!I218="",FALSE,TRUE),exact(Metadata!I218,"10090"))</f>
        <v>0</v>
      </c>
      <c r="AD218">
        <f>OR(AND(IF(Metadata!J218="",FALSE,TRUE),OR(exact(Metadata!J218,"not applicable"),exact(Metadata!J218,"missing: not collected"),exact(Metadata!J218,"missing: not provided"),exact(Metadata!J218,"missing: restricted access"))),AND(IF(Metadata!J218="",FALSE,ISNUMBER(VALUE(Metadata!J218))),Metadata!J218&gt;0))</f>
        <v>0</v>
      </c>
      <c r="AE218">
        <f>AND(IF(Metadata!K218="",FALSE,TRUE),exact(Metadata!K218,"g"))</f>
        <v>0</v>
      </c>
    </row>
    <row r="219" spans="1:31">
      <c r="A219" s="5">
        <f>IF(B219=" "," ",HYPERLINK(CONCATENATE("#metadata!",ADDRESS(INDEX($Q$2:$Q$1001,MATCH(ROWS($O$2:O219),$O$2:$O$1001,0),0),1)),INDEX($T$2:$T$1001,MATCH(ROWS($O$2:O219),$O$2:$O$1001,0),0)))</f>
        <v>0</v>
      </c>
      <c r="B219" s="4">
        <f>IF(OR(INDEX($P$2:$P$1001,MATCH(ROWS($O$2:O219),$O$2:$O$1001,0),1)&gt;=100000,INDEX($V$1005:$AE$1005,1,MATCH(COLUMNS($V$1006:V1006),$V$1006:$AE$1006,0))&gt;=100000), " ",IF(INDEX($V$2:$AE$1001,MATCH(ROWS($O$2:O219),$O$2:$O$1001,0),MATCH(COLUMNS($V$1006:V1006),$V$1006:$AE$1006,0)), HYPERLINK("#",""), HYPERLINK(CONCATENATE("#Metadata!", ADDRESS(INDEX($Q$2:$Q$1001,MATCH(ROWS($O$2:O219),$O$2:$O$1001,0),0), INDEX($V$1004:$AE$1004,1,MATCH(COLUMNS($V$1006:V1006),$V$1006:$AE$1006,0)))),"Fix")))</f>
        <v>0</v>
      </c>
      <c r="C219" s="4">
        <f>IF(OR(INDEX($P$2:$P$1001,MATCH(ROWS($O$2:O219),$O$2:$O$1001,0),1)&gt;=100000,INDEX($V$1005:$AE$1005,1,MATCH(COLUMNS($V$1006:W1006),$V$1006:$AE$1006,0))&gt;=100000), " ",IF(INDEX($V$2:$AE$1001,MATCH(ROWS($O$2:O219),$O$2:$O$1001,0),MATCH(COLUMNS($V$1006:W1006),$V$1006:$AE$1006,0)), HYPERLINK("#",""), HYPERLINK(CONCATENATE("#Metadata!", ADDRESS(INDEX($Q$2:$Q$1001,MATCH(ROWS($O$2:O219),$O$2:$O$1001,0),0), INDEX($V$1004:$AE$1004,1,MATCH(COLUMNS($V$1006:W1006),$V$1006:$AE$1006,0)))),"Fix")))</f>
        <v>0</v>
      </c>
      <c r="D219" s="4">
        <f>IF(OR(INDEX($P$2:$P$1001,MATCH(ROWS($O$2:O219),$O$2:$O$1001,0),1)&gt;=100000,INDEX($V$1005:$AE$1005,1,MATCH(COLUMNS($V$1006:X1006),$V$1006:$AE$1006,0))&gt;=100000), " ",IF(INDEX($V$2:$AE$1001,MATCH(ROWS($O$2:O219),$O$2:$O$1001,0),MATCH(COLUMNS($V$1006:X1006),$V$1006:$AE$1006,0)), HYPERLINK("#",""), HYPERLINK(CONCATENATE("#Metadata!", ADDRESS(INDEX($Q$2:$Q$1001,MATCH(ROWS($O$2:O219),$O$2:$O$1001,0),0), INDEX($V$1004:$AE$1004,1,MATCH(COLUMNS($V$1006:X1006),$V$1006:$AE$1006,0)))),"Fix")))</f>
        <v>0</v>
      </c>
      <c r="E219" s="4">
        <f>IF(OR(INDEX($P$2:$P$1001,MATCH(ROWS($O$2:O219),$O$2:$O$1001,0),1)&gt;=100000,INDEX($V$1005:$AE$1005,1,MATCH(COLUMNS($V$1006:Y1006),$V$1006:$AE$1006,0))&gt;=100000), " ",IF(INDEX($V$2:$AE$1001,MATCH(ROWS($O$2:O219),$O$2:$O$1001,0),MATCH(COLUMNS($V$1006:Y1006),$V$1006:$AE$1006,0)), HYPERLINK("#",""), HYPERLINK(CONCATENATE("#Metadata!", ADDRESS(INDEX($Q$2:$Q$1001,MATCH(ROWS($O$2:O219),$O$2:$O$1001,0),0), INDEX($V$1004:$AE$1004,1,MATCH(COLUMNS($V$1006:Y1006),$V$1006:$AE$1006,0)))),"Fix")))</f>
        <v>0</v>
      </c>
      <c r="F219" s="4">
        <f>IF(OR(INDEX($P$2:$P$1001,MATCH(ROWS($O$2:O219),$O$2:$O$1001,0),1)&gt;=100000,INDEX($V$1005:$AE$1005,1,MATCH(COLUMNS($V$1006:Z1006),$V$1006:$AE$1006,0))&gt;=100000), " ",IF(INDEX($V$2:$AE$1001,MATCH(ROWS($O$2:O219),$O$2:$O$1001,0),MATCH(COLUMNS($V$1006:Z1006),$V$1006:$AE$1006,0)), HYPERLINK("#",""), HYPERLINK(CONCATENATE("#Metadata!", ADDRESS(INDEX($Q$2:$Q$1001,MATCH(ROWS($O$2:O219),$O$2:$O$1001,0),0), INDEX($V$1004:$AE$1004,1,MATCH(COLUMNS($V$1006:Z1006),$V$1006:$AE$1006,0)))),"Fix")))</f>
        <v>0</v>
      </c>
      <c r="G219" s="4">
        <f>IF(OR(INDEX($P$2:$P$1001,MATCH(ROWS($O$2:O219),$O$2:$O$1001,0),1)&gt;=100000,INDEX($V$1005:$AE$1005,1,MATCH(COLUMNS($V$1006:AA1006),$V$1006:$AE$1006,0))&gt;=100000), " ",IF(INDEX($V$2:$AE$1001,MATCH(ROWS($O$2:O219),$O$2:$O$1001,0),MATCH(COLUMNS($V$1006:AA1006),$V$1006:$AE$1006,0)), HYPERLINK("#",""), HYPERLINK(CONCATENATE("#Metadata!", ADDRESS(INDEX($Q$2:$Q$1001,MATCH(ROWS($O$2:O219),$O$2:$O$1001,0),0), INDEX($V$1004:$AE$1004,1,MATCH(COLUMNS($V$1006:AA1006),$V$1006:$AE$1006,0)))),"Fix")))</f>
        <v>0</v>
      </c>
      <c r="H219" s="4">
        <f>IF(OR(INDEX($P$2:$P$1001,MATCH(ROWS($O$2:O219),$O$2:$O$1001,0),1)&gt;=100000,INDEX($V$1005:$AE$1005,1,MATCH(COLUMNS($V$1006:AB1006),$V$1006:$AE$1006,0))&gt;=100000), " ",IF(INDEX($V$2:$AE$1001,MATCH(ROWS($O$2:O219),$O$2:$O$1001,0),MATCH(COLUMNS($V$1006:AB1006),$V$1006:$AE$1006,0)), HYPERLINK("#",""), HYPERLINK(CONCATENATE("#Metadata!", ADDRESS(INDEX($Q$2:$Q$1001,MATCH(ROWS($O$2:O219),$O$2:$O$1001,0),0), INDEX($V$1004:$AE$1004,1,MATCH(COLUMNS($V$1006:AB1006),$V$1006:$AE$1006,0)))),"Fix")))</f>
        <v>0</v>
      </c>
      <c r="I219" s="4">
        <f>IF(OR(INDEX($P$2:$P$1001,MATCH(ROWS($O$2:O219),$O$2:$O$1001,0),1)&gt;=100000,INDEX($V$1005:$AE$1005,1,MATCH(COLUMNS($V$1006:AC1006),$V$1006:$AE$1006,0))&gt;=100000), " ",IF(INDEX($V$2:$AE$1001,MATCH(ROWS($O$2:O219),$O$2:$O$1001,0),MATCH(COLUMNS($V$1006:AC1006),$V$1006:$AE$1006,0)), HYPERLINK("#",""), HYPERLINK(CONCATENATE("#Metadata!", ADDRESS(INDEX($Q$2:$Q$1001,MATCH(ROWS($O$2:O219),$O$2:$O$1001,0),0), INDEX($V$1004:$AE$1004,1,MATCH(COLUMNS($V$1006:AC1006),$V$1006:$AE$1006,0)))),"Fix")))</f>
        <v>0</v>
      </c>
      <c r="J219" s="4">
        <f>IF(OR(INDEX($P$2:$P$1001,MATCH(ROWS($O$2:O219),$O$2:$O$1001,0),1)&gt;=100000,INDEX($V$1005:$AE$1005,1,MATCH(COLUMNS($V$1006:AD1006),$V$1006:$AE$1006,0))&gt;=100000), " ",IF(INDEX($V$2:$AE$1001,MATCH(ROWS($O$2:O219),$O$2:$O$1001,0),MATCH(COLUMNS($V$1006:AD1006),$V$1006:$AE$1006,0)), HYPERLINK("#",""), HYPERLINK(CONCATENATE("#Metadata!", ADDRESS(INDEX($Q$2:$Q$1001,MATCH(ROWS($O$2:O219),$O$2:$O$1001,0),0), INDEX($V$1004:$AE$1004,1,MATCH(COLUMNS($V$1006:AD1006),$V$1006:$AE$1006,0)))),"Fix")))</f>
        <v>0</v>
      </c>
      <c r="K219" s="4">
        <f>IF(OR(INDEX($P$2:$P$1001,MATCH(ROWS($O$2:O219),$O$2:$O$1001,0),1)&gt;=100000,INDEX($V$1005:$AE$1005,1,MATCH(COLUMNS($V$1006:AE1006),$V$1006:$AE$1006,0))&gt;=100000), " ",IF(INDEX($V$2:$AE$1001,MATCH(ROWS($O$2:O219),$O$2:$O$1001,0),MATCH(COLUMNS($V$1006:AE1006),$V$1006:$AE$1006,0)), HYPERLINK("#",""), HYPERLINK(CONCATENATE("#Metadata!", ADDRESS(INDEX($Q$2:$Q$1001,MATCH(ROWS($O$2:O219),$O$2:$O$1001,0),0), INDEX($V$1004:$AE$1004,1,MATCH(COLUMNS($V$1006:AE1006),$V$1006:$AE$1006,0)))),"Fix")))</f>
        <v>0</v>
      </c>
      <c r="O219">
        <v>0</v>
      </c>
      <c r="P219">
        <v>0</v>
      </c>
      <c r="Q219">
        <v>0</v>
      </c>
      <c r="R219">
        <f>IF(S219,TRUE,AND(V219:AE219))</f>
        <v>0</v>
      </c>
      <c r="S219">
        <f>COUNTBLANK(Metadata!B219:K219)=COLUMNS(Metadata!B219:K219)</f>
        <v>0</v>
      </c>
      <c r="T219">
        <v>0</v>
      </c>
      <c r="V219">
        <f>AND(IF(Metadata!B219="",FALSE,TRUE),COUNTIF(Metadata!B:B, Metadata!B219) = 1,NOT(ISERROR(SUMPRODUCT(SEARCH(MID(Metadata!B219,ROW(INDIRECT("1:"&amp;LEN(Metadata!B219))), 1),"0123456789abcdefghijklmnopqrstuvwxyzABCDEFGHIJKLMNOPQRSTUVWXYZ.")))))</f>
        <v>0</v>
      </c>
      <c r="W219">
        <f>AND(IF(Metadata!C219="",FALSE,TRUE),exact(Metadata!C219,"urban biome"))</f>
        <v>0</v>
      </c>
      <c r="X219">
        <f>AND(IF(Metadata!D219="",FALSE,TRUE),exact(Metadata!D219,"animal-associated habitat"))</f>
        <v>0</v>
      </c>
      <c r="Y219">
        <f>OR(AND(IF(Metadata!E219="",FALSE,TRUE),OR(exact(Metadata!E219,"not applicable"),exact(Metadata!E219,"missing: not collected"),exact(Metadata!E219,"missing: not provided"),exact(Metadata!E219,"missing: restricted access"))),AND(IF(Metadata!E219="",FALSE,ISNUMBER(VALUE(Metadata!E219))),Metadata!E219&gt;0))</f>
        <v>0</v>
      </c>
      <c r="Z219">
        <f>AND(IF(Metadata!F219="",FALSE,TRUE),exact(Metadata!F219,"weeks"))</f>
        <v>0</v>
      </c>
      <c r="AA219">
        <f>AND(IF(Metadata!G219="",FALSE,TRUE),exact(Metadata!G219,"mouse"))</f>
        <v>0</v>
      </c>
      <c r="AB219">
        <f>AND(IF(Metadata!H219="",FALSE,TRUE),exact(Metadata!H219,"Mus musculus"))</f>
        <v>0</v>
      </c>
      <c r="AC219">
        <f>AND(IF(Metadata!I219="",FALSE,TRUE),exact(Metadata!I219,"10090"))</f>
        <v>0</v>
      </c>
      <c r="AD219">
        <f>OR(AND(IF(Metadata!J219="",FALSE,TRUE),OR(exact(Metadata!J219,"not applicable"),exact(Metadata!J219,"missing: not collected"),exact(Metadata!J219,"missing: not provided"),exact(Metadata!J219,"missing: restricted access"))),AND(IF(Metadata!J219="",FALSE,ISNUMBER(VALUE(Metadata!J219))),Metadata!J219&gt;0))</f>
        <v>0</v>
      </c>
      <c r="AE219">
        <f>AND(IF(Metadata!K219="",FALSE,TRUE),exact(Metadata!K219,"g"))</f>
        <v>0</v>
      </c>
    </row>
    <row r="220" spans="1:31">
      <c r="A220" s="5">
        <f>IF(B220=" "," ",HYPERLINK(CONCATENATE("#metadata!",ADDRESS(INDEX($Q$2:$Q$1001,MATCH(ROWS($O$2:O220),$O$2:$O$1001,0),0),1)),INDEX($T$2:$T$1001,MATCH(ROWS($O$2:O220),$O$2:$O$1001,0),0)))</f>
        <v>0</v>
      </c>
      <c r="B220" s="4">
        <f>IF(OR(INDEX($P$2:$P$1001,MATCH(ROWS($O$2:O220),$O$2:$O$1001,0),1)&gt;=100000,INDEX($V$1005:$AE$1005,1,MATCH(COLUMNS($V$1006:V1006),$V$1006:$AE$1006,0))&gt;=100000), " ",IF(INDEX($V$2:$AE$1001,MATCH(ROWS($O$2:O220),$O$2:$O$1001,0),MATCH(COLUMNS($V$1006:V1006),$V$1006:$AE$1006,0)), HYPERLINK("#",""), HYPERLINK(CONCATENATE("#Metadata!", ADDRESS(INDEX($Q$2:$Q$1001,MATCH(ROWS($O$2:O220),$O$2:$O$1001,0),0), INDEX($V$1004:$AE$1004,1,MATCH(COLUMNS($V$1006:V1006),$V$1006:$AE$1006,0)))),"Fix")))</f>
        <v>0</v>
      </c>
      <c r="C220" s="4">
        <f>IF(OR(INDEX($P$2:$P$1001,MATCH(ROWS($O$2:O220),$O$2:$O$1001,0),1)&gt;=100000,INDEX($V$1005:$AE$1005,1,MATCH(COLUMNS($V$1006:W1006),$V$1006:$AE$1006,0))&gt;=100000), " ",IF(INDEX($V$2:$AE$1001,MATCH(ROWS($O$2:O220),$O$2:$O$1001,0),MATCH(COLUMNS($V$1006:W1006),$V$1006:$AE$1006,0)), HYPERLINK("#",""), HYPERLINK(CONCATENATE("#Metadata!", ADDRESS(INDEX($Q$2:$Q$1001,MATCH(ROWS($O$2:O220),$O$2:$O$1001,0),0), INDEX($V$1004:$AE$1004,1,MATCH(COLUMNS($V$1006:W1006),$V$1006:$AE$1006,0)))),"Fix")))</f>
        <v>0</v>
      </c>
      <c r="D220" s="4">
        <f>IF(OR(INDEX($P$2:$P$1001,MATCH(ROWS($O$2:O220),$O$2:$O$1001,0),1)&gt;=100000,INDEX($V$1005:$AE$1005,1,MATCH(COLUMNS($V$1006:X1006),$V$1006:$AE$1006,0))&gt;=100000), " ",IF(INDEX($V$2:$AE$1001,MATCH(ROWS($O$2:O220),$O$2:$O$1001,0),MATCH(COLUMNS($V$1006:X1006),$V$1006:$AE$1006,0)), HYPERLINK("#",""), HYPERLINK(CONCATENATE("#Metadata!", ADDRESS(INDEX($Q$2:$Q$1001,MATCH(ROWS($O$2:O220),$O$2:$O$1001,0),0), INDEX($V$1004:$AE$1004,1,MATCH(COLUMNS($V$1006:X1006),$V$1006:$AE$1006,0)))),"Fix")))</f>
        <v>0</v>
      </c>
      <c r="E220" s="4">
        <f>IF(OR(INDEX($P$2:$P$1001,MATCH(ROWS($O$2:O220),$O$2:$O$1001,0),1)&gt;=100000,INDEX($V$1005:$AE$1005,1,MATCH(COLUMNS($V$1006:Y1006),$V$1006:$AE$1006,0))&gt;=100000), " ",IF(INDEX($V$2:$AE$1001,MATCH(ROWS($O$2:O220),$O$2:$O$1001,0),MATCH(COLUMNS($V$1006:Y1006),$V$1006:$AE$1006,0)), HYPERLINK("#",""), HYPERLINK(CONCATENATE("#Metadata!", ADDRESS(INDEX($Q$2:$Q$1001,MATCH(ROWS($O$2:O220),$O$2:$O$1001,0),0), INDEX($V$1004:$AE$1004,1,MATCH(COLUMNS($V$1006:Y1006),$V$1006:$AE$1006,0)))),"Fix")))</f>
        <v>0</v>
      </c>
      <c r="F220" s="4">
        <f>IF(OR(INDEX($P$2:$P$1001,MATCH(ROWS($O$2:O220),$O$2:$O$1001,0),1)&gt;=100000,INDEX($V$1005:$AE$1005,1,MATCH(COLUMNS($V$1006:Z1006),$V$1006:$AE$1006,0))&gt;=100000), " ",IF(INDEX($V$2:$AE$1001,MATCH(ROWS($O$2:O220),$O$2:$O$1001,0),MATCH(COLUMNS($V$1006:Z1006),$V$1006:$AE$1006,0)), HYPERLINK("#",""), HYPERLINK(CONCATENATE("#Metadata!", ADDRESS(INDEX($Q$2:$Q$1001,MATCH(ROWS($O$2:O220),$O$2:$O$1001,0),0), INDEX($V$1004:$AE$1004,1,MATCH(COLUMNS($V$1006:Z1006),$V$1006:$AE$1006,0)))),"Fix")))</f>
        <v>0</v>
      </c>
      <c r="G220" s="4">
        <f>IF(OR(INDEX($P$2:$P$1001,MATCH(ROWS($O$2:O220),$O$2:$O$1001,0),1)&gt;=100000,INDEX($V$1005:$AE$1005,1,MATCH(COLUMNS($V$1006:AA1006),$V$1006:$AE$1006,0))&gt;=100000), " ",IF(INDEX($V$2:$AE$1001,MATCH(ROWS($O$2:O220),$O$2:$O$1001,0),MATCH(COLUMNS($V$1006:AA1006),$V$1006:$AE$1006,0)), HYPERLINK("#",""), HYPERLINK(CONCATENATE("#Metadata!", ADDRESS(INDEX($Q$2:$Q$1001,MATCH(ROWS($O$2:O220),$O$2:$O$1001,0),0), INDEX($V$1004:$AE$1004,1,MATCH(COLUMNS($V$1006:AA1006),$V$1006:$AE$1006,0)))),"Fix")))</f>
        <v>0</v>
      </c>
      <c r="H220" s="4">
        <f>IF(OR(INDEX($P$2:$P$1001,MATCH(ROWS($O$2:O220),$O$2:$O$1001,0),1)&gt;=100000,INDEX($V$1005:$AE$1005,1,MATCH(COLUMNS($V$1006:AB1006),$V$1006:$AE$1006,0))&gt;=100000), " ",IF(INDEX($V$2:$AE$1001,MATCH(ROWS($O$2:O220),$O$2:$O$1001,0),MATCH(COLUMNS($V$1006:AB1006),$V$1006:$AE$1006,0)), HYPERLINK("#",""), HYPERLINK(CONCATENATE("#Metadata!", ADDRESS(INDEX($Q$2:$Q$1001,MATCH(ROWS($O$2:O220),$O$2:$O$1001,0),0), INDEX($V$1004:$AE$1004,1,MATCH(COLUMNS($V$1006:AB1006),$V$1006:$AE$1006,0)))),"Fix")))</f>
        <v>0</v>
      </c>
      <c r="I220" s="4">
        <f>IF(OR(INDEX($P$2:$P$1001,MATCH(ROWS($O$2:O220),$O$2:$O$1001,0),1)&gt;=100000,INDEX($V$1005:$AE$1005,1,MATCH(COLUMNS($V$1006:AC1006),$V$1006:$AE$1006,0))&gt;=100000), " ",IF(INDEX($V$2:$AE$1001,MATCH(ROWS($O$2:O220),$O$2:$O$1001,0),MATCH(COLUMNS($V$1006:AC1006),$V$1006:$AE$1006,0)), HYPERLINK("#",""), HYPERLINK(CONCATENATE("#Metadata!", ADDRESS(INDEX($Q$2:$Q$1001,MATCH(ROWS($O$2:O220),$O$2:$O$1001,0),0), INDEX($V$1004:$AE$1004,1,MATCH(COLUMNS($V$1006:AC1006),$V$1006:$AE$1006,0)))),"Fix")))</f>
        <v>0</v>
      </c>
      <c r="J220" s="4">
        <f>IF(OR(INDEX($P$2:$P$1001,MATCH(ROWS($O$2:O220),$O$2:$O$1001,0),1)&gt;=100000,INDEX($V$1005:$AE$1005,1,MATCH(COLUMNS($V$1006:AD1006),$V$1006:$AE$1006,0))&gt;=100000), " ",IF(INDEX($V$2:$AE$1001,MATCH(ROWS($O$2:O220),$O$2:$O$1001,0),MATCH(COLUMNS($V$1006:AD1006),$V$1006:$AE$1006,0)), HYPERLINK("#",""), HYPERLINK(CONCATENATE("#Metadata!", ADDRESS(INDEX($Q$2:$Q$1001,MATCH(ROWS($O$2:O220),$O$2:$O$1001,0),0), INDEX($V$1004:$AE$1004,1,MATCH(COLUMNS($V$1006:AD1006),$V$1006:$AE$1006,0)))),"Fix")))</f>
        <v>0</v>
      </c>
      <c r="K220" s="4">
        <f>IF(OR(INDEX($P$2:$P$1001,MATCH(ROWS($O$2:O220),$O$2:$O$1001,0),1)&gt;=100000,INDEX($V$1005:$AE$1005,1,MATCH(COLUMNS($V$1006:AE1006),$V$1006:$AE$1006,0))&gt;=100000), " ",IF(INDEX($V$2:$AE$1001,MATCH(ROWS($O$2:O220),$O$2:$O$1001,0),MATCH(COLUMNS($V$1006:AE1006),$V$1006:$AE$1006,0)), HYPERLINK("#",""), HYPERLINK(CONCATENATE("#Metadata!", ADDRESS(INDEX($Q$2:$Q$1001,MATCH(ROWS($O$2:O220),$O$2:$O$1001,0),0), INDEX($V$1004:$AE$1004,1,MATCH(COLUMNS($V$1006:AE1006),$V$1006:$AE$1006,0)))),"Fix")))</f>
        <v>0</v>
      </c>
      <c r="O220">
        <v>0</v>
      </c>
      <c r="P220">
        <v>0</v>
      </c>
      <c r="Q220">
        <v>0</v>
      </c>
      <c r="R220">
        <f>IF(S220,TRUE,AND(V220:AE220))</f>
        <v>0</v>
      </c>
      <c r="S220">
        <f>COUNTBLANK(Metadata!B220:K220)=COLUMNS(Metadata!B220:K220)</f>
        <v>0</v>
      </c>
      <c r="T220">
        <v>0</v>
      </c>
      <c r="V220">
        <f>AND(IF(Metadata!B220="",FALSE,TRUE),COUNTIF(Metadata!B:B, Metadata!B220) = 1,NOT(ISERROR(SUMPRODUCT(SEARCH(MID(Metadata!B220,ROW(INDIRECT("1:"&amp;LEN(Metadata!B220))), 1),"0123456789abcdefghijklmnopqrstuvwxyzABCDEFGHIJKLMNOPQRSTUVWXYZ.")))))</f>
        <v>0</v>
      </c>
      <c r="W220">
        <f>AND(IF(Metadata!C220="",FALSE,TRUE),exact(Metadata!C220,"urban biome"))</f>
        <v>0</v>
      </c>
      <c r="X220">
        <f>AND(IF(Metadata!D220="",FALSE,TRUE),exact(Metadata!D220,"animal-associated habitat"))</f>
        <v>0</v>
      </c>
      <c r="Y220">
        <f>OR(AND(IF(Metadata!E220="",FALSE,TRUE),OR(exact(Metadata!E220,"not applicable"),exact(Metadata!E220,"missing: not collected"),exact(Metadata!E220,"missing: not provided"),exact(Metadata!E220,"missing: restricted access"))),AND(IF(Metadata!E220="",FALSE,ISNUMBER(VALUE(Metadata!E220))),Metadata!E220&gt;0))</f>
        <v>0</v>
      </c>
      <c r="Z220">
        <f>AND(IF(Metadata!F220="",FALSE,TRUE),exact(Metadata!F220,"weeks"))</f>
        <v>0</v>
      </c>
      <c r="AA220">
        <f>AND(IF(Metadata!G220="",FALSE,TRUE),exact(Metadata!G220,"mouse"))</f>
        <v>0</v>
      </c>
      <c r="AB220">
        <f>AND(IF(Metadata!H220="",FALSE,TRUE),exact(Metadata!H220,"Mus musculus"))</f>
        <v>0</v>
      </c>
      <c r="AC220">
        <f>AND(IF(Metadata!I220="",FALSE,TRUE),exact(Metadata!I220,"10090"))</f>
        <v>0</v>
      </c>
      <c r="AD220">
        <f>OR(AND(IF(Metadata!J220="",FALSE,TRUE),OR(exact(Metadata!J220,"not applicable"),exact(Metadata!J220,"missing: not collected"),exact(Metadata!J220,"missing: not provided"),exact(Metadata!J220,"missing: restricted access"))),AND(IF(Metadata!J220="",FALSE,ISNUMBER(VALUE(Metadata!J220))),Metadata!J220&gt;0))</f>
        <v>0</v>
      </c>
      <c r="AE220">
        <f>AND(IF(Metadata!K220="",FALSE,TRUE),exact(Metadata!K220,"g"))</f>
        <v>0</v>
      </c>
    </row>
    <row r="221" spans="1:31">
      <c r="A221" s="5">
        <f>IF(B221=" "," ",HYPERLINK(CONCATENATE("#metadata!",ADDRESS(INDEX($Q$2:$Q$1001,MATCH(ROWS($O$2:O221),$O$2:$O$1001,0),0),1)),INDEX($T$2:$T$1001,MATCH(ROWS($O$2:O221),$O$2:$O$1001,0),0)))</f>
        <v>0</v>
      </c>
      <c r="B221" s="4">
        <f>IF(OR(INDEX($P$2:$P$1001,MATCH(ROWS($O$2:O221),$O$2:$O$1001,0),1)&gt;=100000,INDEX($V$1005:$AE$1005,1,MATCH(COLUMNS($V$1006:V1006),$V$1006:$AE$1006,0))&gt;=100000), " ",IF(INDEX($V$2:$AE$1001,MATCH(ROWS($O$2:O221),$O$2:$O$1001,0),MATCH(COLUMNS($V$1006:V1006),$V$1006:$AE$1006,0)), HYPERLINK("#",""), HYPERLINK(CONCATENATE("#Metadata!", ADDRESS(INDEX($Q$2:$Q$1001,MATCH(ROWS($O$2:O221),$O$2:$O$1001,0),0), INDEX($V$1004:$AE$1004,1,MATCH(COLUMNS($V$1006:V1006),$V$1006:$AE$1006,0)))),"Fix")))</f>
        <v>0</v>
      </c>
      <c r="C221" s="4">
        <f>IF(OR(INDEX($P$2:$P$1001,MATCH(ROWS($O$2:O221),$O$2:$O$1001,0),1)&gt;=100000,INDEX($V$1005:$AE$1005,1,MATCH(COLUMNS($V$1006:W1006),$V$1006:$AE$1006,0))&gt;=100000), " ",IF(INDEX($V$2:$AE$1001,MATCH(ROWS($O$2:O221),$O$2:$O$1001,0),MATCH(COLUMNS($V$1006:W1006),$V$1006:$AE$1006,0)), HYPERLINK("#",""), HYPERLINK(CONCATENATE("#Metadata!", ADDRESS(INDEX($Q$2:$Q$1001,MATCH(ROWS($O$2:O221),$O$2:$O$1001,0),0), INDEX($V$1004:$AE$1004,1,MATCH(COLUMNS($V$1006:W1006),$V$1006:$AE$1006,0)))),"Fix")))</f>
        <v>0</v>
      </c>
      <c r="D221" s="4">
        <f>IF(OR(INDEX($P$2:$P$1001,MATCH(ROWS($O$2:O221),$O$2:$O$1001,0),1)&gt;=100000,INDEX($V$1005:$AE$1005,1,MATCH(COLUMNS($V$1006:X1006),$V$1006:$AE$1006,0))&gt;=100000), " ",IF(INDEX($V$2:$AE$1001,MATCH(ROWS($O$2:O221),$O$2:$O$1001,0),MATCH(COLUMNS($V$1006:X1006),$V$1006:$AE$1006,0)), HYPERLINK("#",""), HYPERLINK(CONCATENATE("#Metadata!", ADDRESS(INDEX($Q$2:$Q$1001,MATCH(ROWS($O$2:O221),$O$2:$O$1001,0),0), INDEX($V$1004:$AE$1004,1,MATCH(COLUMNS($V$1006:X1006),$V$1006:$AE$1006,0)))),"Fix")))</f>
        <v>0</v>
      </c>
      <c r="E221" s="4">
        <f>IF(OR(INDEX($P$2:$P$1001,MATCH(ROWS($O$2:O221),$O$2:$O$1001,0),1)&gt;=100000,INDEX($V$1005:$AE$1005,1,MATCH(COLUMNS($V$1006:Y1006),$V$1006:$AE$1006,0))&gt;=100000), " ",IF(INDEX($V$2:$AE$1001,MATCH(ROWS($O$2:O221),$O$2:$O$1001,0),MATCH(COLUMNS($V$1006:Y1006),$V$1006:$AE$1006,0)), HYPERLINK("#",""), HYPERLINK(CONCATENATE("#Metadata!", ADDRESS(INDEX($Q$2:$Q$1001,MATCH(ROWS($O$2:O221),$O$2:$O$1001,0),0), INDEX($V$1004:$AE$1004,1,MATCH(COLUMNS($V$1006:Y1006),$V$1006:$AE$1006,0)))),"Fix")))</f>
        <v>0</v>
      </c>
      <c r="F221" s="4">
        <f>IF(OR(INDEX($P$2:$P$1001,MATCH(ROWS($O$2:O221),$O$2:$O$1001,0),1)&gt;=100000,INDEX($V$1005:$AE$1005,1,MATCH(COLUMNS($V$1006:Z1006),$V$1006:$AE$1006,0))&gt;=100000), " ",IF(INDEX($V$2:$AE$1001,MATCH(ROWS($O$2:O221),$O$2:$O$1001,0),MATCH(COLUMNS($V$1006:Z1006),$V$1006:$AE$1006,0)), HYPERLINK("#",""), HYPERLINK(CONCATENATE("#Metadata!", ADDRESS(INDEX($Q$2:$Q$1001,MATCH(ROWS($O$2:O221),$O$2:$O$1001,0),0), INDEX($V$1004:$AE$1004,1,MATCH(COLUMNS($V$1006:Z1006),$V$1006:$AE$1006,0)))),"Fix")))</f>
        <v>0</v>
      </c>
      <c r="G221" s="4">
        <f>IF(OR(INDEX($P$2:$P$1001,MATCH(ROWS($O$2:O221),$O$2:$O$1001,0),1)&gt;=100000,INDEX($V$1005:$AE$1005,1,MATCH(COLUMNS($V$1006:AA1006),$V$1006:$AE$1006,0))&gt;=100000), " ",IF(INDEX($V$2:$AE$1001,MATCH(ROWS($O$2:O221),$O$2:$O$1001,0),MATCH(COLUMNS($V$1006:AA1006),$V$1006:$AE$1006,0)), HYPERLINK("#",""), HYPERLINK(CONCATENATE("#Metadata!", ADDRESS(INDEX($Q$2:$Q$1001,MATCH(ROWS($O$2:O221),$O$2:$O$1001,0),0), INDEX($V$1004:$AE$1004,1,MATCH(COLUMNS($V$1006:AA1006),$V$1006:$AE$1006,0)))),"Fix")))</f>
        <v>0</v>
      </c>
      <c r="H221" s="4">
        <f>IF(OR(INDEX($P$2:$P$1001,MATCH(ROWS($O$2:O221),$O$2:$O$1001,0),1)&gt;=100000,INDEX($V$1005:$AE$1005,1,MATCH(COLUMNS($V$1006:AB1006),$V$1006:$AE$1006,0))&gt;=100000), " ",IF(INDEX($V$2:$AE$1001,MATCH(ROWS($O$2:O221),$O$2:$O$1001,0),MATCH(COLUMNS($V$1006:AB1006),$V$1006:$AE$1006,0)), HYPERLINK("#",""), HYPERLINK(CONCATENATE("#Metadata!", ADDRESS(INDEX($Q$2:$Q$1001,MATCH(ROWS($O$2:O221),$O$2:$O$1001,0),0), INDEX($V$1004:$AE$1004,1,MATCH(COLUMNS($V$1006:AB1006),$V$1006:$AE$1006,0)))),"Fix")))</f>
        <v>0</v>
      </c>
      <c r="I221" s="4">
        <f>IF(OR(INDEX($P$2:$P$1001,MATCH(ROWS($O$2:O221),$O$2:$O$1001,0),1)&gt;=100000,INDEX($V$1005:$AE$1005,1,MATCH(COLUMNS($V$1006:AC1006),$V$1006:$AE$1006,0))&gt;=100000), " ",IF(INDEX($V$2:$AE$1001,MATCH(ROWS($O$2:O221),$O$2:$O$1001,0),MATCH(COLUMNS($V$1006:AC1006),$V$1006:$AE$1006,0)), HYPERLINK("#",""), HYPERLINK(CONCATENATE("#Metadata!", ADDRESS(INDEX($Q$2:$Q$1001,MATCH(ROWS($O$2:O221),$O$2:$O$1001,0),0), INDEX($V$1004:$AE$1004,1,MATCH(COLUMNS($V$1006:AC1006),$V$1006:$AE$1006,0)))),"Fix")))</f>
        <v>0</v>
      </c>
      <c r="J221" s="4">
        <f>IF(OR(INDEX($P$2:$P$1001,MATCH(ROWS($O$2:O221),$O$2:$O$1001,0),1)&gt;=100000,INDEX($V$1005:$AE$1005,1,MATCH(COLUMNS($V$1006:AD1006),$V$1006:$AE$1006,0))&gt;=100000), " ",IF(INDEX($V$2:$AE$1001,MATCH(ROWS($O$2:O221),$O$2:$O$1001,0),MATCH(COLUMNS($V$1006:AD1006),$V$1006:$AE$1006,0)), HYPERLINK("#",""), HYPERLINK(CONCATENATE("#Metadata!", ADDRESS(INDEX($Q$2:$Q$1001,MATCH(ROWS($O$2:O221),$O$2:$O$1001,0),0), INDEX($V$1004:$AE$1004,1,MATCH(COLUMNS($V$1006:AD1006),$V$1006:$AE$1006,0)))),"Fix")))</f>
        <v>0</v>
      </c>
      <c r="K221" s="4">
        <f>IF(OR(INDEX($P$2:$P$1001,MATCH(ROWS($O$2:O221),$O$2:$O$1001,0),1)&gt;=100000,INDEX($V$1005:$AE$1005,1,MATCH(COLUMNS($V$1006:AE1006),$V$1006:$AE$1006,0))&gt;=100000), " ",IF(INDEX($V$2:$AE$1001,MATCH(ROWS($O$2:O221),$O$2:$O$1001,0),MATCH(COLUMNS($V$1006:AE1006),$V$1006:$AE$1006,0)), HYPERLINK("#",""), HYPERLINK(CONCATENATE("#Metadata!", ADDRESS(INDEX($Q$2:$Q$1001,MATCH(ROWS($O$2:O221),$O$2:$O$1001,0),0), INDEX($V$1004:$AE$1004,1,MATCH(COLUMNS($V$1006:AE1006),$V$1006:$AE$1006,0)))),"Fix")))</f>
        <v>0</v>
      </c>
      <c r="O221">
        <v>0</v>
      </c>
      <c r="P221">
        <v>0</v>
      </c>
      <c r="Q221">
        <v>0</v>
      </c>
      <c r="R221">
        <f>IF(S221,TRUE,AND(V221:AE221))</f>
        <v>0</v>
      </c>
      <c r="S221">
        <f>COUNTBLANK(Metadata!B221:K221)=COLUMNS(Metadata!B221:K221)</f>
        <v>0</v>
      </c>
      <c r="T221">
        <v>0</v>
      </c>
      <c r="V221">
        <f>AND(IF(Metadata!B221="",FALSE,TRUE),COUNTIF(Metadata!B:B, Metadata!B221) = 1,NOT(ISERROR(SUMPRODUCT(SEARCH(MID(Metadata!B221,ROW(INDIRECT("1:"&amp;LEN(Metadata!B221))), 1),"0123456789abcdefghijklmnopqrstuvwxyzABCDEFGHIJKLMNOPQRSTUVWXYZ.")))))</f>
        <v>0</v>
      </c>
      <c r="W221">
        <f>AND(IF(Metadata!C221="",FALSE,TRUE),exact(Metadata!C221,"urban biome"))</f>
        <v>0</v>
      </c>
      <c r="X221">
        <f>AND(IF(Metadata!D221="",FALSE,TRUE),exact(Metadata!D221,"animal-associated habitat"))</f>
        <v>0</v>
      </c>
      <c r="Y221">
        <f>OR(AND(IF(Metadata!E221="",FALSE,TRUE),OR(exact(Metadata!E221,"not applicable"),exact(Metadata!E221,"missing: not collected"),exact(Metadata!E221,"missing: not provided"),exact(Metadata!E221,"missing: restricted access"))),AND(IF(Metadata!E221="",FALSE,ISNUMBER(VALUE(Metadata!E221))),Metadata!E221&gt;0))</f>
        <v>0</v>
      </c>
      <c r="Z221">
        <f>AND(IF(Metadata!F221="",FALSE,TRUE),exact(Metadata!F221,"weeks"))</f>
        <v>0</v>
      </c>
      <c r="AA221">
        <f>AND(IF(Metadata!G221="",FALSE,TRUE),exact(Metadata!G221,"mouse"))</f>
        <v>0</v>
      </c>
      <c r="AB221">
        <f>AND(IF(Metadata!H221="",FALSE,TRUE),exact(Metadata!H221,"Mus musculus"))</f>
        <v>0</v>
      </c>
      <c r="AC221">
        <f>AND(IF(Metadata!I221="",FALSE,TRUE),exact(Metadata!I221,"10090"))</f>
        <v>0</v>
      </c>
      <c r="AD221">
        <f>OR(AND(IF(Metadata!J221="",FALSE,TRUE),OR(exact(Metadata!J221,"not applicable"),exact(Metadata!J221,"missing: not collected"),exact(Metadata!J221,"missing: not provided"),exact(Metadata!J221,"missing: restricted access"))),AND(IF(Metadata!J221="",FALSE,ISNUMBER(VALUE(Metadata!J221))),Metadata!J221&gt;0))</f>
        <v>0</v>
      </c>
      <c r="AE221">
        <f>AND(IF(Metadata!K221="",FALSE,TRUE),exact(Metadata!K221,"g"))</f>
        <v>0</v>
      </c>
    </row>
    <row r="222" spans="1:31">
      <c r="A222" s="5">
        <f>IF(B222=" "," ",HYPERLINK(CONCATENATE("#metadata!",ADDRESS(INDEX($Q$2:$Q$1001,MATCH(ROWS($O$2:O222),$O$2:$O$1001,0),0),1)),INDEX($T$2:$T$1001,MATCH(ROWS($O$2:O222),$O$2:$O$1001,0),0)))</f>
        <v>0</v>
      </c>
      <c r="B222" s="4">
        <f>IF(OR(INDEX($P$2:$P$1001,MATCH(ROWS($O$2:O222),$O$2:$O$1001,0),1)&gt;=100000,INDEX($V$1005:$AE$1005,1,MATCH(COLUMNS($V$1006:V1006),$V$1006:$AE$1006,0))&gt;=100000), " ",IF(INDEX($V$2:$AE$1001,MATCH(ROWS($O$2:O222),$O$2:$O$1001,0),MATCH(COLUMNS($V$1006:V1006),$V$1006:$AE$1006,0)), HYPERLINK("#",""), HYPERLINK(CONCATENATE("#Metadata!", ADDRESS(INDEX($Q$2:$Q$1001,MATCH(ROWS($O$2:O222),$O$2:$O$1001,0),0), INDEX($V$1004:$AE$1004,1,MATCH(COLUMNS($V$1006:V1006),$V$1006:$AE$1006,0)))),"Fix")))</f>
        <v>0</v>
      </c>
      <c r="C222" s="4">
        <f>IF(OR(INDEX($P$2:$P$1001,MATCH(ROWS($O$2:O222),$O$2:$O$1001,0),1)&gt;=100000,INDEX($V$1005:$AE$1005,1,MATCH(COLUMNS($V$1006:W1006),$V$1006:$AE$1006,0))&gt;=100000), " ",IF(INDEX($V$2:$AE$1001,MATCH(ROWS($O$2:O222),$O$2:$O$1001,0),MATCH(COLUMNS($V$1006:W1006),$V$1006:$AE$1006,0)), HYPERLINK("#",""), HYPERLINK(CONCATENATE("#Metadata!", ADDRESS(INDEX($Q$2:$Q$1001,MATCH(ROWS($O$2:O222),$O$2:$O$1001,0),0), INDEX($V$1004:$AE$1004,1,MATCH(COLUMNS($V$1006:W1006),$V$1006:$AE$1006,0)))),"Fix")))</f>
        <v>0</v>
      </c>
      <c r="D222" s="4">
        <f>IF(OR(INDEX($P$2:$P$1001,MATCH(ROWS($O$2:O222),$O$2:$O$1001,0),1)&gt;=100000,INDEX($V$1005:$AE$1005,1,MATCH(COLUMNS($V$1006:X1006),$V$1006:$AE$1006,0))&gt;=100000), " ",IF(INDEX($V$2:$AE$1001,MATCH(ROWS($O$2:O222),$O$2:$O$1001,0),MATCH(COLUMNS($V$1006:X1006),$V$1006:$AE$1006,0)), HYPERLINK("#",""), HYPERLINK(CONCATENATE("#Metadata!", ADDRESS(INDEX($Q$2:$Q$1001,MATCH(ROWS($O$2:O222),$O$2:$O$1001,0),0), INDEX($V$1004:$AE$1004,1,MATCH(COLUMNS($V$1006:X1006),$V$1006:$AE$1006,0)))),"Fix")))</f>
        <v>0</v>
      </c>
      <c r="E222" s="4">
        <f>IF(OR(INDEX($P$2:$P$1001,MATCH(ROWS($O$2:O222),$O$2:$O$1001,0),1)&gt;=100000,INDEX($V$1005:$AE$1005,1,MATCH(COLUMNS($V$1006:Y1006),$V$1006:$AE$1006,0))&gt;=100000), " ",IF(INDEX($V$2:$AE$1001,MATCH(ROWS($O$2:O222),$O$2:$O$1001,0),MATCH(COLUMNS($V$1006:Y1006),$V$1006:$AE$1006,0)), HYPERLINK("#",""), HYPERLINK(CONCATENATE("#Metadata!", ADDRESS(INDEX($Q$2:$Q$1001,MATCH(ROWS($O$2:O222),$O$2:$O$1001,0),0), INDEX($V$1004:$AE$1004,1,MATCH(COLUMNS($V$1006:Y1006),$V$1006:$AE$1006,0)))),"Fix")))</f>
        <v>0</v>
      </c>
      <c r="F222" s="4">
        <f>IF(OR(INDEX($P$2:$P$1001,MATCH(ROWS($O$2:O222),$O$2:$O$1001,0),1)&gt;=100000,INDEX($V$1005:$AE$1005,1,MATCH(COLUMNS($V$1006:Z1006),$V$1006:$AE$1006,0))&gt;=100000), " ",IF(INDEX($V$2:$AE$1001,MATCH(ROWS($O$2:O222),$O$2:$O$1001,0),MATCH(COLUMNS($V$1006:Z1006),$V$1006:$AE$1006,0)), HYPERLINK("#",""), HYPERLINK(CONCATENATE("#Metadata!", ADDRESS(INDEX($Q$2:$Q$1001,MATCH(ROWS($O$2:O222),$O$2:$O$1001,0),0), INDEX($V$1004:$AE$1004,1,MATCH(COLUMNS($V$1006:Z1006),$V$1006:$AE$1006,0)))),"Fix")))</f>
        <v>0</v>
      </c>
      <c r="G222" s="4">
        <f>IF(OR(INDEX($P$2:$P$1001,MATCH(ROWS($O$2:O222),$O$2:$O$1001,0),1)&gt;=100000,INDEX($V$1005:$AE$1005,1,MATCH(COLUMNS($V$1006:AA1006),$V$1006:$AE$1006,0))&gt;=100000), " ",IF(INDEX($V$2:$AE$1001,MATCH(ROWS($O$2:O222),$O$2:$O$1001,0),MATCH(COLUMNS($V$1006:AA1006),$V$1006:$AE$1006,0)), HYPERLINK("#",""), HYPERLINK(CONCATENATE("#Metadata!", ADDRESS(INDEX($Q$2:$Q$1001,MATCH(ROWS($O$2:O222),$O$2:$O$1001,0),0), INDEX($V$1004:$AE$1004,1,MATCH(COLUMNS($V$1006:AA1006),$V$1006:$AE$1006,0)))),"Fix")))</f>
        <v>0</v>
      </c>
      <c r="H222" s="4">
        <f>IF(OR(INDEX($P$2:$P$1001,MATCH(ROWS($O$2:O222),$O$2:$O$1001,0),1)&gt;=100000,INDEX($V$1005:$AE$1005,1,MATCH(COLUMNS($V$1006:AB1006),$V$1006:$AE$1006,0))&gt;=100000), " ",IF(INDEX($V$2:$AE$1001,MATCH(ROWS($O$2:O222),$O$2:$O$1001,0),MATCH(COLUMNS($V$1006:AB1006),$V$1006:$AE$1006,0)), HYPERLINK("#",""), HYPERLINK(CONCATENATE("#Metadata!", ADDRESS(INDEX($Q$2:$Q$1001,MATCH(ROWS($O$2:O222),$O$2:$O$1001,0),0), INDEX($V$1004:$AE$1004,1,MATCH(COLUMNS($V$1006:AB1006),$V$1006:$AE$1006,0)))),"Fix")))</f>
        <v>0</v>
      </c>
      <c r="I222" s="4">
        <f>IF(OR(INDEX($P$2:$P$1001,MATCH(ROWS($O$2:O222),$O$2:$O$1001,0),1)&gt;=100000,INDEX($V$1005:$AE$1005,1,MATCH(COLUMNS($V$1006:AC1006),$V$1006:$AE$1006,0))&gt;=100000), " ",IF(INDEX($V$2:$AE$1001,MATCH(ROWS($O$2:O222),$O$2:$O$1001,0),MATCH(COLUMNS($V$1006:AC1006),$V$1006:$AE$1006,0)), HYPERLINK("#",""), HYPERLINK(CONCATENATE("#Metadata!", ADDRESS(INDEX($Q$2:$Q$1001,MATCH(ROWS($O$2:O222),$O$2:$O$1001,0),0), INDEX($V$1004:$AE$1004,1,MATCH(COLUMNS($V$1006:AC1006),$V$1006:$AE$1006,0)))),"Fix")))</f>
        <v>0</v>
      </c>
      <c r="J222" s="4">
        <f>IF(OR(INDEX($P$2:$P$1001,MATCH(ROWS($O$2:O222),$O$2:$O$1001,0),1)&gt;=100000,INDEX($V$1005:$AE$1005,1,MATCH(COLUMNS($V$1006:AD1006),$V$1006:$AE$1006,0))&gt;=100000), " ",IF(INDEX($V$2:$AE$1001,MATCH(ROWS($O$2:O222),$O$2:$O$1001,0),MATCH(COLUMNS($V$1006:AD1006),$V$1006:$AE$1006,0)), HYPERLINK("#",""), HYPERLINK(CONCATENATE("#Metadata!", ADDRESS(INDEX($Q$2:$Q$1001,MATCH(ROWS($O$2:O222),$O$2:$O$1001,0),0), INDEX($V$1004:$AE$1004,1,MATCH(COLUMNS($V$1006:AD1006),$V$1006:$AE$1006,0)))),"Fix")))</f>
        <v>0</v>
      </c>
      <c r="K222" s="4">
        <f>IF(OR(INDEX($P$2:$P$1001,MATCH(ROWS($O$2:O222),$O$2:$O$1001,0),1)&gt;=100000,INDEX($V$1005:$AE$1005,1,MATCH(COLUMNS($V$1006:AE1006),$V$1006:$AE$1006,0))&gt;=100000), " ",IF(INDEX($V$2:$AE$1001,MATCH(ROWS($O$2:O222),$O$2:$O$1001,0),MATCH(COLUMNS($V$1006:AE1006),$V$1006:$AE$1006,0)), HYPERLINK("#",""), HYPERLINK(CONCATENATE("#Metadata!", ADDRESS(INDEX($Q$2:$Q$1001,MATCH(ROWS($O$2:O222),$O$2:$O$1001,0),0), INDEX($V$1004:$AE$1004,1,MATCH(COLUMNS($V$1006:AE1006),$V$1006:$AE$1006,0)))),"Fix")))</f>
        <v>0</v>
      </c>
      <c r="O222">
        <v>0</v>
      </c>
      <c r="P222">
        <v>0</v>
      </c>
      <c r="Q222">
        <v>0</v>
      </c>
      <c r="R222">
        <f>IF(S222,TRUE,AND(V222:AE222))</f>
        <v>0</v>
      </c>
      <c r="S222">
        <f>COUNTBLANK(Metadata!B222:K222)=COLUMNS(Metadata!B222:K222)</f>
        <v>0</v>
      </c>
      <c r="T222">
        <v>0</v>
      </c>
      <c r="V222">
        <f>AND(IF(Metadata!B222="",FALSE,TRUE),COUNTIF(Metadata!B:B, Metadata!B222) = 1,NOT(ISERROR(SUMPRODUCT(SEARCH(MID(Metadata!B222,ROW(INDIRECT("1:"&amp;LEN(Metadata!B222))), 1),"0123456789abcdefghijklmnopqrstuvwxyzABCDEFGHIJKLMNOPQRSTUVWXYZ.")))))</f>
        <v>0</v>
      </c>
      <c r="W222">
        <f>AND(IF(Metadata!C222="",FALSE,TRUE),exact(Metadata!C222,"urban biome"))</f>
        <v>0</v>
      </c>
      <c r="X222">
        <f>AND(IF(Metadata!D222="",FALSE,TRUE),exact(Metadata!D222,"animal-associated habitat"))</f>
        <v>0</v>
      </c>
      <c r="Y222">
        <f>OR(AND(IF(Metadata!E222="",FALSE,TRUE),OR(exact(Metadata!E222,"not applicable"),exact(Metadata!E222,"missing: not collected"),exact(Metadata!E222,"missing: not provided"),exact(Metadata!E222,"missing: restricted access"))),AND(IF(Metadata!E222="",FALSE,ISNUMBER(VALUE(Metadata!E222))),Metadata!E222&gt;0))</f>
        <v>0</v>
      </c>
      <c r="Z222">
        <f>AND(IF(Metadata!F222="",FALSE,TRUE),exact(Metadata!F222,"weeks"))</f>
        <v>0</v>
      </c>
      <c r="AA222">
        <f>AND(IF(Metadata!G222="",FALSE,TRUE),exact(Metadata!G222,"mouse"))</f>
        <v>0</v>
      </c>
      <c r="AB222">
        <f>AND(IF(Metadata!H222="",FALSE,TRUE),exact(Metadata!H222,"Mus musculus"))</f>
        <v>0</v>
      </c>
      <c r="AC222">
        <f>AND(IF(Metadata!I222="",FALSE,TRUE),exact(Metadata!I222,"10090"))</f>
        <v>0</v>
      </c>
      <c r="AD222">
        <f>OR(AND(IF(Metadata!J222="",FALSE,TRUE),OR(exact(Metadata!J222,"not applicable"),exact(Metadata!J222,"missing: not collected"),exact(Metadata!J222,"missing: not provided"),exact(Metadata!J222,"missing: restricted access"))),AND(IF(Metadata!J222="",FALSE,ISNUMBER(VALUE(Metadata!J222))),Metadata!J222&gt;0))</f>
        <v>0</v>
      </c>
      <c r="AE222">
        <f>AND(IF(Metadata!K222="",FALSE,TRUE),exact(Metadata!K222,"g"))</f>
        <v>0</v>
      </c>
    </row>
    <row r="223" spans="1:31">
      <c r="A223" s="5">
        <f>IF(B223=" "," ",HYPERLINK(CONCATENATE("#metadata!",ADDRESS(INDEX($Q$2:$Q$1001,MATCH(ROWS($O$2:O223),$O$2:$O$1001,0),0),1)),INDEX($T$2:$T$1001,MATCH(ROWS($O$2:O223),$O$2:$O$1001,0),0)))</f>
        <v>0</v>
      </c>
      <c r="B223" s="4">
        <f>IF(OR(INDEX($P$2:$P$1001,MATCH(ROWS($O$2:O223),$O$2:$O$1001,0),1)&gt;=100000,INDEX($V$1005:$AE$1005,1,MATCH(COLUMNS($V$1006:V1006),$V$1006:$AE$1006,0))&gt;=100000), " ",IF(INDEX($V$2:$AE$1001,MATCH(ROWS($O$2:O223),$O$2:$O$1001,0),MATCH(COLUMNS($V$1006:V1006),$V$1006:$AE$1006,0)), HYPERLINK("#",""), HYPERLINK(CONCATENATE("#Metadata!", ADDRESS(INDEX($Q$2:$Q$1001,MATCH(ROWS($O$2:O223),$O$2:$O$1001,0),0), INDEX($V$1004:$AE$1004,1,MATCH(COLUMNS($V$1006:V1006),$V$1006:$AE$1006,0)))),"Fix")))</f>
        <v>0</v>
      </c>
      <c r="C223" s="4">
        <f>IF(OR(INDEX($P$2:$P$1001,MATCH(ROWS($O$2:O223),$O$2:$O$1001,0),1)&gt;=100000,INDEX($V$1005:$AE$1005,1,MATCH(COLUMNS($V$1006:W1006),$V$1006:$AE$1006,0))&gt;=100000), " ",IF(INDEX($V$2:$AE$1001,MATCH(ROWS($O$2:O223),$O$2:$O$1001,0),MATCH(COLUMNS($V$1006:W1006),$V$1006:$AE$1006,0)), HYPERLINK("#",""), HYPERLINK(CONCATENATE("#Metadata!", ADDRESS(INDEX($Q$2:$Q$1001,MATCH(ROWS($O$2:O223),$O$2:$O$1001,0),0), INDEX($V$1004:$AE$1004,1,MATCH(COLUMNS($V$1006:W1006),$V$1006:$AE$1006,0)))),"Fix")))</f>
        <v>0</v>
      </c>
      <c r="D223" s="4">
        <f>IF(OR(INDEX($P$2:$P$1001,MATCH(ROWS($O$2:O223),$O$2:$O$1001,0),1)&gt;=100000,INDEX($V$1005:$AE$1005,1,MATCH(COLUMNS($V$1006:X1006),$V$1006:$AE$1006,0))&gt;=100000), " ",IF(INDEX($V$2:$AE$1001,MATCH(ROWS($O$2:O223),$O$2:$O$1001,0),MATCH(COLUMNS($V$1006:X1006),$V$1006:$AE$1006,0)), HYPERLINK("#",""), HYPERLINK(CONCATENATE("#Metadata!", ADDRESS(INDEX($Q$2:$Q$1001,MATCH(ROWS($O$2:O223),$O$2:$O$1001,0),0), INDEX($V$1004:$AE$1004,1,MATCH(COLUMNS($V$1006:X1006),$V$1006:$AE$1006,0)))),"Fix")))</f>
        <v>0</v>
      </c>
      <c r="E223" s="4">
        <f>IF(OR(INDEX($P$2:$P$1001,MATCH(ROWS($O$2:O223),$O$2:$O$1001,0),1)&gt;=100000,INDEX($V$1005:$AE$1005,1,MATCH(COLUMNS($V$1006:Y1006),$V$1006:$AE$1006,0))&gt;=100000), " ",IF(INDEX($V$2:$AE$1001,MATCH(ROWS($O$2:O223),$O$2:$O$1001,0),MATCH(COLUMNS($V$1006:Y1006),$V$1006:$AE$1006,0)), HYPERLINK("#",""), HYPERLINK(CONCATENATE("#Metadata!", ADDRESS(INDEX($Q$2:$Q$1001,MATCH(ROWS($O$2:O223),$O$2:$O$1001,0),0), INDEX($V$1004:$AE$1004,1,MATCH(COLUMNS($V$1006:Y1006),$V$1006:$AE$1006,0)))),"Fix")))</f>
        <v>0</v>
      </c>
      <c r="F223" s="4">
        <f>IF(OR(INDEX($P$2:$P$1001,MATCH(ROWS($O$2:O223),$O$2:$O$1001,0),1)&gt;=100000,INDEX($V$1005:$AE$1005,1,MATCH(COLUMNS($V$1006:Z1006),$V$1006:$AE$1006,0))&gt;=100000), " ",IF(INDEX($V$2:$AE$1001,MATCH(ROWS($O$2:O223),$O$2:$O$1001,0),MATCH(COLUMNS($V$1006:Z1006),$V$1006:$AE$1006,0)), HYPERLINK("#",""), HYPERLINK(CONCATENATE("#Metadata!", ADDRESS(INDEX($Q$2:$Q$1001,MATCH(ROWS($O$2:O223),$O$2:$O$1001,0),0), INDEX($V$1004:$AE$1004,1,MATCH(COLUMNS($V$1006:Z1006),$V$1006:$AE$1006,0)))),"Fix")))</f>
        <v>0</v>
      </c>
      <c r="G223" s="4">
        <f>IF(OR(INDEX($P$2:$P$1001,MATCH(ROWS($O$2:O223),$O$2:$O$1001,0),1)&gt;=100000,INDEX($V$1005:$AE$1005,1,MATCH(COLUMNS($V$1006:AA1006),$V$1006:$AE$1006,0))&gt;=100000), " ",IF(INDEX($V$2:$AE$1001,MATCH(ROWS($O$2:O223),$O$2:$O$1001,0),MATCH(COLUMNS($V$1006:AA1006),$V$1006:$AE$1006,0)), HYPERLINK("#",""), HYPERLINK(CONCATENATE("#Metadata!", ADDRESS(INDEX($Q$2:$Q$1001,MATCH(ROWS($O$2:O223),$O$2:$O$1001,0),0), INDEX($V$1004:$AE$1004,1,MATCH(COLUMNS($V$1006:AA1006),$V$1006:$AE$1006,0)))),"Fix")))</f>
        <v>0</v>
      </c>
      <c r="H223" s="4">
        <f>IF(OR(INDEX($P$2:$P$1001,MATCH(ROWS($O$2:O223),$O$2:$O$1001,0),1)&gt;=100000,INDEX($V$1005:$AE$1005,1,MATCH(COLUMNS($V$1006:AB1006),$V$1006:$AE$1006,0))&gt;=100000), " ",IF(INDEX($V$2:$AE$1001,MATCH(ROWS($O$2:O223),$O$2:$O$1001,0),MATCH(COLUMNS($V$1006:AB1006),$V$1006:$AE$1006,0)), HYPERLINK("#",""), HYPERLINK(CONCATENATE("#Metadata!", ADDRESS(INDEX($Q$2:$Q$1001,MATCH(ROWS($O$2:O223),$O$2:$O$1001,0),0), INDEX($V$1004:$AE$1004,1,MATCH(COLUMNS($V$1006:AB1006),$V$1006:$AE$1006,0)))),"Fix")))</f>
        <v>0</v>
      </c>
      <c r="I223" s="4">
        <f>IF(OR(INDEX($P$2:$P$1001,MATCH(ROWS($O$2:O223),$O$2:$O$1001,0),1)&gt;=100000,INDEX($V$1005:$AE$1005,1,MATCH(COLUMNS($V$1006:AC1006),$V$1006:$AE$1006,0))&gt;=100000), " ",IF(INDEX($V$2:$AE$1001,MATCH(ROWS($O$2:O223),$O$2:$O$1001,0),MATCH(COLUMNS($V$1006:AC1006),$V$1006:$AE$1006,0)), HYPERLINK("#",""), HYPERLINK(CONCATENATE("#Metadata!", ADDRESS(INDEX($Q$2:$Q$1001,MATCH(ROWS($O$2:O223),$O$2:$O$1001,0),0), INDEX($V$1004:$AE$1004,1,MATCH(COLUMNS($V$1006:AC1006),$V$1006:$AE$1006,0)))),"Fix")))</f>
        <v>0</v>
      </c>
      <c r="J223" s="4">
        <f>IF(OR(INDEX($P$2:$P$1001,MATCH(ROWS($O$2:O223),$O$2:$O$1001,0),1)&gt;=100000,INDEX($V$1005:$AE$1005,1,MATCH(COLUMNS($V$1006:AD1006),$V$1006:$AE$1006,0))&gt;=100000), " ",IF(INDEX($V$2:$AE$1001,MATCH(ROWS($O$2:O223),$O$2:$O$1001,0),MATCH(COLUMNS($V$1006:AD1006),$V$1006:$AE$1006,0)), HYPERLINK("#",""), HYPERLINK(CONCATENATE("#Metadata!", ADDRESS(INDEX($Q$2:$Q$1001,MATCH(ROWS($O$2:O223),$O$2:$O$1001,0),0), INDEX($V$1004:$AE$1004,1,MATCH(COLUMNS($V$1006:AD1006),$V$1006:$AE$1006,0)))),"Fix")))</f>
        <v>0</v>
      </c>
      <c r="K223" s="4">
        <f>IF(OR(INDEX($P$2:$P$1001,MATCH(ROWS($O$2:O223),$O$2:$O$1001,0),1)&gt;=100000,INDEX($V$1005:$AE$1005,1,MATCH(COLUMNS($V$1006:AE1006),$V$1006:$AE$1006,0))&gt;=100000), " ",IF(INDEX($V$2:$AE$1001,MATCH(ROWS($O$2:O223),$O$2:$O$1001,0),MATCH(COLUMNS($V$1006:AE1006),$V$1006:$AE$1006,0)), HYPERLINK("#",""), HYPERLINK(CONCATENATE("#Metadata!", ADDRESS(INDEX($Q$2:$Q$1001,MATCH(ROWS($O$2:O223),$O$2:$O$1001,0),0), INDEX($V$1004:$AE$1004,1,MATCH(COLUMNS($V$1006:AE1006),$V$1006:$AE$1006,0)))),"Fix")))</f>
        <v>0</v>
      </c>
      <c r="O223">
        <v>0</v>
      </c>
      <c r="P223">
        <v>0</v>
      </c>
      <c r="Q223">
        <v>0</v>
      </c>
      <c r="R223">
        <f>IF(S223,TRUE,AND(V223:AE223))</f>
        <v>0</v>
      </c>
      <c r="S223">
        <f>COUNTBLANK(Metadata!B223:K223)=COLUMNS(Metadata!B223:K223)</f>
        <v>0</v>
      </c>
      <c r="T223">
        <v>0</v>
      </c>
      <c r="V223">
        <f>AND(IF(Metadata!B223="",FALSE,TRUE),COUNTIF(Metadata!B:B, Metadata!B223) = 1,NOT(ISERROR(SUMPRODUCT(SEARCH(MID(Metadata!B223,ROW(INDIRECT("1:"&amp;LEN(Metadata!B223))), 1),"0123456789abcdefghijklmnopqrstuvwxyzABCDEFGHIJKLMNOPQRSTUVWXYZ.")))))</f>
        <v>0</v>
      </c>
      <c r="W223">
        <f>AND(IF(Metadata!C223="",FALSE,TRUE),exact(Metadata!C223,"urban biome"))</f>
        <v>0</v>
      </c>
      <c r="X223">
        <f>AND(IF(Metadata!D223="",FALSE,TRUE),exact(Metadata!D223,"animal-associated habitat"))</f>
        <v>0</v>
      </c>
      <c r="Y223">
        <f>OR(AND(IF(Metadata!E223="",FALSE,TRUE),OR(exact(Metadata!E223,"not applicable"),exact(Metadata!E223,"missing: not collected"),exact(Metadata!E223,"missing: not provided"),exact(Metadata!E223,"missing: restricted access"))),AND(IF(Metadata!E223="",FALSE,ISNUMBER(VALUE(Metadata!E223))),Metadata!E223&gt;0))</f>
        <v>0</v>
      </c>
      <c r="Z223">
        <f>AND(IF(Metadata!F223="",FALSE,TRUE),exact(Metadata!F223,"weeks"))</f>
        <v>0</v>
      </c>
      <c r="AA223">
        <f>AND(IF(Metadata!G223="",FALSE,TRUE),exact(Metadata!G223,"mouse"))</f>
        <v>0</v>
      </c>
      <c r="AB223">
        <f>AND(IF(Metadata!H223="",FALSE,TRUE),exact(Metadata!H223,"Mus musculus"))</f>
        <v>0</v>
      </c>
      <c r="AC223">
        <f>AND(IF(Metadata!I223="",FALSE,TRUE),exact(Metadata!I223,"10090"))</f>
        <v>0</v>
      </c>
      <c r="AD223">
        <f>OR(AND(IF(Metadata!J223="",FALSE,TRUE),OR(exact(Metadata!J223,"not applicable"),exact(Metadata!J223,"missing: not collected"),exact(Metadata!J223,"missing: not provided"),exact(Metadata!J223,"missing: restricted access"))),AND(IF(Metadata!J223="",FALSE,ISNUMBER(VALUE(Metadata!J223))),Metadata!J223&gt;0))</f>
        <v>0</v>
      </c>
      <c r="AE223">
        <f>AND(IF(Metadata!K223="",FALSE,TRUE),exact(Metadata!K223,"g"))</f>
        <v>0</v>
      </c>
    </row>
    <row r="224" spans="1:31">
      <c r="A224" s="5">
        <f>IF(B224=" "," ",HYPERLINK(CONCATENATE("#metadata!",ADDRESS(INDEX($Q$2:$Q$1001,MATCH(ROWS($O$2:O224),$O$2:$O$1001,0),0),1)),INDEX($T$2:$T$1001,MATCH(ROWS($O$2:O224),$O$2:$O$1001,0),0)))</f>
        <v>0</v>
      </c>
      <c r="B224" s="4">
        <f>IF(OR(INDEX($P$2:$P$1001,MATCH(ROWS($O$2:O224),$O$2:$O$1001,0),1)&gt;=100000,INDEX($V$1005:$AE$1005,1,MATCH(COLUMNS($V$1006:V1006),$V$1006:$AE$1006,0))&gt;=100000), " ",IF(INDEX($V$2:$AE$1001,MATCH(ROWS($O$2:O224),$O$2:$O$1001,0),MATCH(COLUMNS($V$1006:V1006),$V$1006:$AE$1006,0)), HYPERLINK("#",""), HYPERLINK(CONCATENATE("#Metadata!", ADDRESS(INDEX($Q$2:$Q$1001,MATCH(ROWS($O$2:O224),$O$2:$O$1001,0),0), INDEX($V$1004:$AE$1004,1,MATCH(COLUMNS($V$1006:V1006),$V$1006:$AE$1006,0)))),"Fix")))</f>
        <v>0</v>
      </c>
      <c r="C224" s="4">
        <f>IF(OR(INDEX($P$2:$P$1001,MATCH(ROWS($O$2:O224),$O$2:$O$1001,0),1)&gt;=100000,INDEX($V$1005:$AE$1005,1,MATCH(COLUMNS($V$1006:W1006),$V$1006:$AE$1006,0))&gt;=100000), " ",IF(INDEX($V$2:$AE$1001,MATCH(ROWS($O$2:O224),$O$2:$O$1001,0),MATCH(COLUMNS($V$1006:W1006),$V$1006:$AE$1006,0)), HYPERLINK("#",""), HYPERLINK(CONCATENATE("#Metadata!", ADDRESS(INDEX($Q$2:$Q$1001,MATCH(ROWS($O$2:O224),$O$2:$O$1001,0),0), INDEX($V$1004:$AE$1004,1,MATCH(COLUMNS($V$1006:W1006),$V$1006:$AE$1006,0)))),"Fix")))</f>
        <v>0</v>
      </c>
      <c r="D224" s="4">
        <f>IF(OR(INDEX($P$2:$P$1001,MATCH(ROWS($O$2:O224),$O$2:$O$1001,0),1)&gt;=100000,INDEX($V$1005:$AE$1005,1,MATCH(COLUMNS($V$1006:X1006),$V$1006:$AE$1006,0))&gt;=100000), " ",IF(INDEX($V$2:$AE$1001,MATCH(ROWS($O$2:O224),$O$2:$O$1001,0),MATCH(COLUMNS($V$1006:X1006),$V$1006:$AE$1006,0)), HYPERLINK("#",""), HYPERLINK(CONCATENATE("#Metadata!", ADDRESS(INDEX($Q$2:$Q$1001,MATCH(ROWS($O$2:O224),$O$2:$O$1001,0),0), INDEX($V$1004:$AE$1004,1,MATCH(COLUMNS($V$1006:X1006),$V$1006:$AE$1006,0)))),"Fix")))</f>
        <v>0</v>
      </c>
      <c r="E224" s="4">
        <f>IF(OR(INDEX($P$2:$P$1001,MATCH(ROWS($O$2:O224),$O$2:$O$1001,0),1)&gt;=100000,INDEX($V$1005:$AE$1005,1,MATCH(COLUMNS($V$1006:Y1006),$V$1006:$AE$1006,0))&gt;=100000), " ",IF(INDEX($V$2:$AE$1001,MATCH(ROWS($O$2:O224),$O$2:$O$1001,0),MATCH(COLUMNS($V$1006:Y1006),$V$1006:$AE$1006,0)), HYPERLINK("#",""), HYPERLINK(CONCATENATE("#Metadata!", ADDRESS(INDEX($Q$2:$Q$1001,MATCH(ROWS($O$2:O224),$O$2:$O$1001,0),0), INDEX($V$1004:$AE$1004,1,MATCH(COLUMNS($V$1006:Y1006),$V$1006:$AE$1006,0)))),"Fix")))</f>
        <v>0</v>
      </c>
      <c r="F224" s="4">
        <f>IF(OR(INDEX($P$2:$P$1001,MATCH(ROWS($O$2:O224),$O$2:$O$1001,0),1)&gt;=100000,INDEX($V$1005:$AE$1005,1,MATCH(COLUMNS($V$1006:Z1006),$V$1006:$AE$1006,0))&gt;=100000), " ",IF(INDEX($V$2:$AE$1001,MATCH(ROWS($O$2:O224),$O$2:$O$1001,0),MATCH(COLUMNS($V$1006:Z1006),$V$1006:$AE$1006,0)), HYPERLINK("#",""), HYPERLINK(CONCATENATE("#Metadata!", ADDRESS(INDEX($Q$2:$Q$1001,MATCH(ROWS($O$2:O224),$O$2:$O$1001,0),0), INDEX($V$1004:$AE$1004,1,MATCH(COLUMNS($V$1006:Z1006),$V$1006:$AE$1006,0)))),"Fix")))</f>
        <v>0</v>
      </c>
      <c r="G224" s="4">
        <f>IF(OR(INDEX($P$2:$P$1001,MATCH(ROWS($O$2:O224),$O$2:$O$1001,0),1)&gt;=100000,INDEX($V$1005:$AE$1005,1,MATCH(COLUMNS($V$1006:AA1006),$V$1006:$AE$1006,0))&gt;=100000), " ",IF(INDEX($V$2:$AE$1001,MATCH(ROWS($O$2:O224),$O$2:$O$1001,0),MATCH(COLUMNS($V$1006:AA1006),$V$1006:$AE$1006,0)), HYPERLINK("#",""), HYPERLINK(CONCATENATE("#Metadata!", ADDRESS(INDEX($Q$2:$Q$1001,MATCH(ROWS($O$2:O224),$O$2:$O$1001,0),0), INDEX($V$1004:$AE$1004,1,MATCH(COLUMNS($V$1006:AA1006),$V$1006:$AE$1006,0)))),"Fix")))</f>
        <v>0</v>
      </c>
      <c r="H224" s="4">
        <f>IF(OR(INDEX($P$2:$P$1001,MATCH(ROWS($O$2:O224),$O$2:$O$1001,0),1)&gt;=100000,INDEX($V$1005:$AE$1005,1,MATCH(COLUMNS($V$1006:AB1006),$V$1006:$AE$1006,0))&gt;=100000), " ",IF(INDEX($V$2:$AE$1001,MATCH(ROWS($O$2:O224),$O$2:$O$1001,0),MATCH(COLUMNS($V$1006:AB1006),$V$1006:$AE$1006,0)), HYPERLINK("#",""), HYPERLINK(CONCATENATE("#Metadata!", ADDRESS(INDEX($Q$2:$Q$1001,MATCH(ROWS($O$2:O224),$O$2:$O$1001,0),0), INDEX($V$1004:$AE$1004,1,MATCH(COLUMNS($V$1006:AB1006),$V$1006:$AE$1006,0)))),"Fix")))</f>
        <v>0</v>
      </c>
      <c r="I224" s="4">
        <f>IF(OR(INDEX($P$2:$P$1001,MATCH(ROWS($O$2:O224),$O$2:$O$1001,0),1)&gt;=100000,INDEX($V$1005:$AE$1005,1,MATCH(COLUMNS($V$1006:AC1006),$V$1006:$AE$1006,0))&gt;=100000), " ",IF(INDEX($V$2:$AE$1001,MATCH(ROWS($O$2:O224),$O$2:$O$1001,0),MATCH(COLUMNS($V$1006:AC1006),$V$1006:$AE$1006,0)), HYPERLINK("#",""), HYPERLINK(CONCATENATE("#Metadata!", ADDRESS(INDEX($Q$2:$Q$1001,MATCH(ROWS($O$2:O224),$O$2:$O$1001,0),0), INDEX($V$1004:$AE$1004,1,MATCH(COLUMNS($V$1006:AC1006),$V$1006:$AE$1006,0)))),"Fix")))</f>
        <v>0</v>
      </c>
      <c r="J224" s="4">
        <f>IF(OR(INDEX($P$2:$P$1001,MATCH(ROWS($O$2:O224),$O$2:$O$1001,0),1)&gt;=100000,INDEX($V$1005:$AE$1005,1,MATCH(COLUMNS($V$1006:AD1006),$V$1006:$AE$1006,0))&gt;=100000), " ",IF(INDEX($V$2:$AE$1001,MATCH(ROWS($O$2:O224),$O$2:$O$1001,0),MATCH(COLUMNS($V$1006:AD1006),$V$1006:$AE$1006,0)), HYPERLINK("#",""), HYPERLINK(CONCATENATE("#Metadata!", ADDRESS(INDEX($Q$2:$Q$1001,MATCH(ROWS($O$2:O224),$O$2:$O$1001,0),0), INDEX($V$1004:$AE$1004,1,MATCH(COLUMNS($V$1006:AD1006),$V$1006:$AE$1006,0)))),"Fix")))</f>
        <v>0</v>
      </c>
      <c r="K224" s="4">
        <f>IF(OR(INDEX($P$2:$P$1001,MATCH(ROWS($O$2:O224),$O$2:$O$1001,0),1)&gt;=100000,INDEX($V$1005:$AE$1005,1,MATCH(COLUMNS($V$1006:AE1006),$V$1006:$AE$1006,0))&gt;=100000), " ",IF(INDEX($V$2:$AE$1001,MATCH(ROWS($O$2:O224),$O$2:$O$1001,0),MATCH(COLUMNS($V$1006:AE1006),$V$1006:$AE$1006,0)), HYPERLINK("#",""), HYPERLINK(CONCATENATE("#Metadata!", ADDRESS(INDEX($Q$2:$Q$1001,MATCH(ROWS($O$2:O224),$O$2:$O$1001,0),0), INDEX($V$1004:$AE$1004,1,MATCH(COLUMNS($V$1006:AE1006),$V$1006:$AE$1006,0)))),"Fix")))</f>
        <v>0</v>
      </c>
      <c r="O224">
        <v>0</v>
      </c>
      <c r="P224">
        <v>0</v>
      </c>
      <c r="Q224">
        <v>0</v>
      </c>
      <c r="R224">
        <f>IF(S224,TRUE,AND(V224:AE224))</f>
        <v>0</v>
      </c>
      <c r="S224">
        <f>COUNTBLANK(Metadata!B224:K224)=COLUMNS(Metadata!B224:K224)</f>
        <v>0</v>
      </c>
      <c r="T224">
        <v>0</v>
      </c>
      <c r="V224">
        <f>AND(IF(Metadata!B224="",FALSE,TRUE),COUNTIF(Metadata!B:B, Metadata!B224) = 1,NOT(ISERROR(SUMPRODUCT(SEARCH(MID(Metadata!B224,ROW(INDIRECT("1:"&amp;LEN(Metadata!B224))), 1),"0123456789abcdefghijklmnopqrstuvwxyzABCDEFGHIJKLMNOPQRSTUVWXYZ.")))))</f>
        <v>0</v>
      </c>
      <c r="W224">
        <f>AND(IF(Metadata!C224="",FALSE,TRUE),exact(Metadata!C224,"urban biome"))</f>
        <v>0</v>
      </c>
      <c r="X224">
        <f>AND(IF(Metadata!D224="",FALSE,TRUE),exact(Metadata!D224,"animal-associated habitat"))</f>
        <v>0</v>
      </c>
      <c r="Y224">
        <f>OR(AND(IF(Metadata!E224="",FALSE,TRUE),OR(exact(Metadata!E224,"not applicable"),exact(Metadata!E224,"missing: not collected"),exact(Metadata!E224,"missing: not provided"),exact(Metadata!E224,"missing: restricted access"))),AND(IF(Metadata!E224="",FALSE,ISNUMBER(VALUE(Metadata!E224))),Metadata!E224&gt;0))</f>
        <v>0</v>
      </c>
      <c r="Z224">
        <f>AND(IF(Metadata!F224="",FALSE,TRUE),exact(Metadata!F224,"weeks"))</f>
        <v>0</v>
      </c>
      <c r="AA224">
        <f>AND(IF(Metadata!G224="",FALSE,TRUE),exact(Metadata!G224,"mouse"))</f>
        <v>0</v>
      </c>
      <c r="AB224">
        <f>AND(IF(Metadata!H224="",FALSE,TRUE),exact(Metadata!H224,"Mus musculus"))</f>
        <v>0</v>
      </c>
      <c r="AC224">
        <f>AND(IF(Metadata!I224="",FALSE,TRUE),exact(Metadata!I224,"10090"))</f>
        <v>0</v>
      </c>
      <c r="AD224">
        <f>OR(AND(IF(Metadata!J224="",FALSE,TRUE),OR(exact(Metadata!J224,"not applicable"),exact(Metadata!J224,"missing: not collected"),exact(Metadata!J224,"missing: not provided"),exact(Metadata!J224,"missing: restricted access"))),AND(IF(Metadata!J224="",FALSE,ISNUMBER(VALUE(Metadata!J224))),Metadata!J224&gt;0))</f>
        <v>0</v>
      </c>
      <c r="AE224">
        <f>AND(IF(Metadata!K224="",FALSE,TRUE),exact(Metadata!K224,"g"))</f>
        <v>0</v>
      </c>
    </row>
    <row r="225" spans="1:31">
      <c r="A225" s="5">
        <f>IF(B225=" "," ",HYPERLINK(CONCATENATE("#metadata!",ADDRESS(INDEX($Q$2:$Q$1001,MATCH(ROWS($O$2:O225),$O$2:$O$1001,0),0),1)),INDEX($T$2:$T$1001,MATCH(ROWS($O$2:O225),$O$2:$O$1001,0),0)))</f>
        <v>0</v>
      </c>
      <c r="B225" s="4">
        <f>IF(OR(INDEX($P$2:$P$1001,MATCH(ROWS($O$2:O225),$O$2:$O$1001,0),1)&gt;=100000,INDEX($V$1005:$AE$1005,1,MATCH(COLUMNS($V$1006:V1006),$V$1006:$AE$1006,0))&gt;=100000), " ",IF(INDEX($V$2:$AE$1001,MATCH(ROWS($O$2:O225),$O$2:$O$1001,0),MATCH(COLUMNS($V$1006:V1006),$V$1006:$AE$1006,0)), HYPERLINK("#",""), HYPERLINK(CONCATENATE("#Metadata!", ADDRESS(INDEX($Q$2:$Q$1001,MATCH(ROWS($O$2:O225),$O$2:$O$1001,0),0), INDEX($V$1004:$AE$1004,1,MATCH(COLUMNS($V$1006:V1006),$V$1006:$AE$1006,0)))),"Fix")))</f>
        <v>0</v>
      </c>
      <c r="C225" s="4">
        <f>IF(OR(INDEX($P$2:$P$1001,MATCH(ROWS($O$2:O225),$O$2:$O$1001,0),1)&gt;=100000,INDEX($V$1005:$AE$1005,1,MATCH(COLUMNS($V$1006:W1006),$V$1006:$AE$1006,0))&gt;=100000), " ",IF(INDEX($V$2:$AE$1001,MATCH(ROWS($O$2:O225),$O$2:$O$1001,0),MATCH(COLUMNS($V$1006:W1006),$V$1006:$AE$1006,0)), HYPERLINK("#",""), HYPERLINK(CONCATENATE("#Metadata!", ADDRESS(INDEX($Q$2:$Q$1001,MATCH(ROWS($O$2:O225),$O$2:$O$1001,0),0), INDEX($V$1004:$AE$1004,1,MATCH(COLUMNS($V$1006:W1006),$V$1006:$AE$1006,0)))),"Fix")))</f>
        <v>0</v>
      </c>
      <c r="D225" s="4">
        <f>IF(OR(INDEX($P$2:$P$1001,MATCH(ROWS($O$2:O225),$O$2:$O$1001,0),1)&gt;=100000,INDEX($V$1005:$AE$1005,1,MATCH(COLUMNS($V$1006:X1006),$V$1006:$AE$1006,0))&gt;=100000), " ",IF(INDEX($V$2:$AE$1001,MATCH(ROWS($O$2:O225),$O$2:$O$1001,0),MATCH(COLUMNS($V$1006:X1006),$V$1006:$AE$1006,0)), HYPERLINK("#",""), HYPERLINK(CONCATENATE("#Metadata!", ADDRESS(INDEX($Q$2:$Q$1001,MATCH(ROWS($O$2:O225),$O$2:$O$1001,0),0), INDEX($V$1004:$AE$1004,1,MATCH(COLUMNS($V$1006:X1006),$V$1006:$AE$1006,0)))),"Fix")))</f>
        <v>0</v>
      </c>
      <c r="E225" s="4">
        <f>IF(OR(INDEX($P$2:$P$1001,MATCH(ROWS($O$2:O225),$O$2:$O$1001,0),1)&gt;=100000,INDEX($V$1005:$AE$1005,1,MATCH(COLUMNS($V$1006:Y1006),$V$1006:$AE$1006,0))&gt;=100000), " ",IF(INDEX($V$2:$AE$1001,MATCH(ROWS($O$2:O225),$O$2:$O$1001,0),MATCH(COLUMNS($V$1006:Y1006),$V$1006:$AE$1006,0)), HYPERLINK("#",""), HYPERLINK(CONCATENATE("#Metadata!", ADDRESS(INDEX($Q$2:$Q$1001,MATCH(ROWS($O$2:O225),$O$2:$O$1001,0),0), INDEX($V$1004:$AE$1004,1,MATCH(COLUMNS($V$1006:Y1006),$V$1006:$AE$1006,0)))),"Fix")))</f>
        <v>0</v>
      </c>
      <c r="F225" s="4">
        <f>IF(OR(INDEX($P$2:$P$1001,MATCH(ROWS($O$2:O225),$O$2:$O$1001,0),1)&gt;=100000,INDEX($V$1005:$AE$1005,1,MATCH(COLUMNS($V$1006:Z1006),$V$1006:$AE$1006,0))&gt;=100000), " ",IF(INDEX($V$2:$AE$1001,MATCH(ROWS($O$2:O225),$O$2:$O$1001,0),MATCH(COLUMNS($V$1006:Z1006),$V$1006:$AE$1006,0)), HYPERLINK("#",""), HYPERLINK(CONCATENATE("#Metadata!", ADDRESS(INDEX($Q$2:$Q$1001,MATCH(ROWS($O$2:O225),$O$2:$O$1001,0),0), INDEX($V$1004:$AE$1004,1,MATCH(COLUMNS($V$1006:Z1006),$V$1006:$AE$1006,0)))),"Fix")))</f>
        <v>0</v>
      </c>
      <c r="G225" s="4">
        <f>IF(OR(INDEX($P$2:$P$1001,MATCH(ROWS($O$2:O225),$O$2:$O$1001,0),1)&gt;=100000,INDEX($V$1005:$AE$1005,1,MATCH(COLUMNS($V$1006:AA1006),$V$1006:$AE$1006,0))&gt;=100000), " ",IF(INDEX($V$2:$AE$1001,MATCH(ROWS($O$2:O225),$O$2:$O$1001,0),MATCH(COLUMNS($V$1006:AA1006),$V$1006:$AE$1006,0)), HYPERLINK("#",""), HYPERLINK(CONCATENATE("#Metadata!", ADDRESS(INDEX($Q$2:$Q$1001,MATCH(ROWS($O$2:O225),$O$2:$O$1001,0),0), INDEX($V$1004:$AE$1004,1,MATCH(COLUMNS($V$1006:AA1006),$V$1006:$AE$1006,0)))),"Fix")))</f>
        <v>0</v>
      </c>
      <c r="H225" s="4">
        <f>IF(OR(INDEX($P$2:$P$1001,MATCH(ROWS($O$2:O225),$O$2:$O$1001,0),1)&gt;=100000,INDEX($V$1005:$AE$1005,1,MATCH(COLUMNS($V$1006:AB1006),$V$1006:$AE$1006,0))&gt;=100000), " ",IF(INDEX($V$2:$AE$1001,MATCH(ROWS($O$2:O225),$O$2:$O$1001,0),MATCH(COLUMNS($V$1006:AB1006),$V$1006:$AE$1006,0)), HYPERLINK("#",""), HYPERLINK(CONCATENATE("#Metadata!", ADDRESS(INDEX($Q$2:$Q$1001,MATCH(ROWS($O$2:O225),$O$2:$O$1001,0),0), INDEX($V$1004:$AE$1004,1,MATCH(COLUMNS($V$1006:AB1006),$V$1006:$AE$1006,0)))),"Fix")))</f>
        <v>0</v>
      </c>
      <c r="I225" s="4">
        <f>IF(OR(INDEX($P$2:$P$1001,MATCH(ROWS($O$2:O225),$O$2:$O$1001,0),1)&gt;=100000,INDEX($V$1005:$AE$1005,1,MATCH(COLUMNS($V$1006:AC1006),$V$1006:$AE$1006,0))&gt;=100000), " ",IF(INDEX($V$2:$AE$1001,MATCH(ROWS($O$2:O225),$O$2:$O$1001,0),MATCH(COLUMNS($V$1006:AC1006),$V$1006:$AE$1006,0)), HYPERLINK("#",""), HYPERLINK(CONCATENATE("#Metadata!", ADDRESS(INDEX($Q$2:$Q$1001,MATCH(ROWS($O$2:O225),$O$2:$O$1001,0),0), INDEX($V$1004:$AE$1004,1,MATCH(COLUMNS($V$1006:AC1006),$V$1006:$AE$1006,0)))),"Fix")))</f>
        <v>0</v>
      </c>
      <c r="J225" s="4">
        <f>IF(OR(INDEX($P$2:$P$1001,MATCH(ROWS($O$2:O225),$O$2:$O$1001,0),1)&gt;=100000,INDEX($V$1005:$AE$1005,1,MATCH(COLUMNS($V$1006:AD1006),$V$1006:$AE$1006,0))&gt;=100000), " ",IF(INDEX($V$2:$AE$1001,MATCH(ROWS($O$2:O225),$O$2:$O$1001,0),MATCH(COLUMNS($V$1006:AD1006),$V$1006:$AE$1006,0)), HYPERLINK("#",""), HYPERLINK(CONCATENATE("#Metadata!", ADDRESS(INDEX($Q$2:$Q$1001,MATCH(ROWS($O$2:O225),$O$2:$O$1001,0),0), INDEX($V$1004:$AE$1004,1,MATCH(COLUMNS($V$1006:AD1006),$V$1006:$AE$1006,0)))),"Fix")))</f>
        <v>0</v>
      </c>
      <c r="K225" s="4">
        <f>IF(OR(INDEX($P$2:$P$1001,MATCH(ROWS($O$2:O225),$O$2:$O$1001,0),1)&gt;=100000,INDEX($V$1005:$AE$1005,1,MATCH(COLUMNS($V$1006:AE1006),$V$1006:$AE$1006,0))&gt;=100000), " ",IF(INDEX($V$2:$AE$1001,MATCH(ROWS($O$2:O225),$O$2:$O$1001,0),MATCH(COLUMNS($V$1006:AE1006),$V$1006:$AE$1006,0)), HYPERLINK("#",""), HYPERLINK(CONCATENATE("#Metadata!", ADDRESS(INDEX($Q$2:$Q$1001,MATCH(ROWS($O$2:O225),$O$2:$O$1001,0),0), INDEX($V$1004:$AE$1004,1,MATCH(COLUMNS($V$1006:AE1006),$V$1006:$AE$1006,0)))),"Fix")))</f>
        <v>0</v>
      </c>
      <c r="O225">
        <v>0</v>
      </c>
      <c r="P225">
        <v>0</v>
      </c>
      <c r="Q225">
        <v>0</v>
      </c>
      <c r="R225">
        <f>IF(S225,TRUE,AND(V225:AE225))</f>
        <v>0</v>
      </c>
      <c r="S225">
        <f>COUNTBLANK(Metadata!B225:K225)=COLUMNS(Metadata!B225:K225)</f>
        <v>0</v>
      </c>
      <c r="T225">
        <v>0</v>
      </c>
      <c r="V225">
        <f>AND(IF(Metadata!B225="",FALSE,TRUE),COUNTIF(Metadata!B:B, Metadata!B225) = 1,NOT(ISERROR(SUMPRODUCT(SEARCH(MID(Metadata!B225,ROW(INDIRECT("1:"&amp;LEN(Metadata!B225))), 1),"0123456789abcdefghijklmnopqrstuvwxyzABCDEFGHIJKLMNOPQRSTUVWXYZ.")))))</f>
        <v>0</v>
      </c>
      <c r="W225">
        <f>AND(IF(Metadata!C225="",FALSE,TRUE),exact(Metadata!C225,"urban biome"))</f>
        <v>0</v>
      </c>
      <c r="X225">
        <f>AND(IF(Metadata!D225="",FALSE,TRUE),exact(Metadata!D225,"animal-associated habitat"))</f>
        <v>0</v>
      </c>
      <c r="Y225">
        <f>OR(AND(IF(Metadata!E225="",FALSE,TRUE),OR(exact(Metadata!E225,"not applicable"),exact(Metadata!E225,"missing: not collected"),exact(Metadata!E225,"missing: not provided"),exact(Metadata!E225,"missing: restricted access"))),AND(IF(Metadata!E225="",FALSE,ISNUMBER(VALUE(Metadata!E225))),Metadata!E225&gt;0))</f>
        <v>0</v>
      </c>
      <c r="Z225">
        <f>AND(IF(Metadata!F225="",FALSE,TRUE),exact(Metadata!F225,"weeks"))</f>
        <v>0</v>
      </c>
      <c r="AA225">
        <f>AND(IF(Metadata!G225="",FALSE,TRUE),exact(Metadata!G225,"mouse"))</f>
        <v>0</v>
      </c>
      <c r="AB225">
        <f>AND(IF(Metadata!H225="",FALSE,TRUE),exact(Metadata!H225,"Mus musculus"))</f>
        <v>0</v>
      </c>
      <c r="AC225">
        <f>AND(IF(Metadata!I225="",FALSE,TRUE),exact(Metadata!I225,"10090"))</f>
        <v>0</v>
      </c>
      <c r="AD225">
        <f>OR(AND(IF(Metadata!J225="",FALSE,TRUE),OR(exact(Metadata!J225,"not applicable"),exact(Metadata!J225,"missing: not collected"),exact(Metadata!J225,"missing: not provided"),exact(Metadata!J225,"missing: restricted access"))),AND(IF(Metadata!J225="",FALSE,ISNUMBER(VALUE(Metadata!J225))),Metadata!J225&gt;0))</f>
        <v>0</v>
      </c>
      <c r="AE225">
        <f>AND(IF(Metadata!K225="",FALSE,TRUE),exact(Metadata!K225,"g"))</f>
        <v>0</v>
      </c>
    </row>
    <row r="226" spans="1:31">
      <c r="A226" s="5">
        <f>IF(B226=" "," ",HYPERLINK(CONCATENATE("#metadata!",ADDRESS(INDEX($Q$2:$Q$1001,MATCH(ROWS($O$2:O226),$O$2:$O$1001,0),0),1)),INDEX($T$2:$T$1001,MATCH(ROWS($O$2:O226),$O$2:$O$1001,0),0)))</f>
        <v>0</v>
      </c>
      <c r="B226" s="4">
        <f>IF(OR(INDEX($P$2:$P$1001,MATCH(ROWS($O$2:O226),$O$2:$O$1001,0),1)&gt;=100000,INDEX($V$1005:$AE$1005,1,MATCH(COLUMNS($V$1006:V1006),$V$1006:$AE$1006,0))&gt;=100000), " ",IF(INDEX($V$2:$AE$1001,MATCH(ROWS($O$2:O226),$O$2:$O$1001,0),MATCH(COLUMNS($V$1006:V1006),$V$1006:$AE$1006,0)), HYPERLINK("#",""), HYPERLINK(CONCATENATE("#Metadata!", ADDRESS(INDEX($Q$2:$Q$1001,MATCH(ROWS($O$2:O226),$O$2:$O$1001,0),0), INDEX($V$1004:$AE$1004,1,MATCH(COLUMNS($V$1006:V1006),$V$1006:$AE$1006,0)))),"Fix")))</f>
        <v>0</v>
      </c>
      <c r="C226" s="4">
        <f>IF(OR(INDEX($P$2:$P$1001,MATCH(ROWS($O$2:O226),$O$2:$O$1001,0),1)&gt;=100000,INDEX($V$1005:$AE$1005,1,MATCH(COLUMNS($V$1006:W1006),$V$1006:$AE$1006,0))&gt;=100000), " ",IF(INDEX($V$2:$AE$1001,MATCH(ROWS($O$2:O226),$O$2:$O$1001,0),MATCH(COLUMNS($V$1006:W1006),$V$1006:$AE$1006,0)), HYPERLINK("#",""), HYPERLINK(CONCATENATE("#Metadata!", ADDRESS(INDEX($Q$2:$Q$1001,MATCH(ROWS($O$2:O226),$O$2:$O$1001,0),0), INDEX($V$1004:$AE$1004,1,MATCH(COLUMNS($V$1006:W1006),$V$1006:$AE$1006,0)))),"Fix")))</f>
        <v>0</v>
      </c>
      <c r="D226" s="4">
        <f>IF(OR(INDEX($P$2:$P$1001,MATCH(ROWS($O$2:O226),$O$2:$O$1001,0),1)&gt;=100000,INDEX($V$1005:$AE$1005,1,MATCH(COLUMNS($V$1006:X1006),$V$1006:$AE$1006,0))&gt;=100000), " ",IF(INDEX($V$2:$AE$1001,MATCH(ROWS($O$2:O226),$O$2:$O$1001,0),MATCH(COLUMNS($V$1006:X1006),$V$1006:$AE$1006,0)), HYPERLINK("#",""), HYPERLINK(CONCATENATE("#Metadata!", ADDRESS(INDEX($Q$2:$Q$1001,MATCH(ROWS($O$2:O226),$O$2:$O$1001,0),0), INDEX($V$1004:$AE$1004,1,MATCH(COLUMNS($V$1006:X1006),$V$1006:$AE$1006,0)))),"Fix")))</f>
        <v>0</v>
      </c>
      <c r="E226" s="4">
        <f>IF(OR(INDEX($P$2:$P$1001,MATCH(ROWS($O$2:O226),$O$2:$O$1001,0),1)&gt;=100000,INDEX($V$1005:$AE$1005,1,MATCH(COLUMNS($V$1006:Y1006),$V$1006:$AE$1006,0))&gt;=100000), " ",IF(INDEX($V$2:$AE$1001,MATCH(ROWS($O$2:O226),$O$2:$O$1001,0),MATCH(COLUMNS($V$1006:Y1006),$V$1006:$AE$1006,0)), HYPERLINK("#",""), HYPERLINK(CONCATENATE("#Metadata!", ADDRESS(INDEX($Q$2:$Q$1001,MATCH(ROWS($O$2:O226),$O$2:$O$1001,0),0), INDEX($V$1004:$AE$1004,1,MATCH(COLUMNS($V$1006:Y1006),$V$1006:$AE$1006,0)))),"Fix")))</f>
        <v>0</v>
      </c>
      <c r="F226" s="4">
        <f>IF(OR(INDEX($P$2:$P$1001,MATCH(ROWS($O$2:O226),$O$2:$O$1001,0),1)&gt;=100000,INDEX($V$1005:$AE$1005,1,MATCH(COLUMNS($V$1006:Z1006),$V$1006:$AE$1006,0))&gt;=100000), " ",IF(INDEX($V$2:$AE$1001,MATCH(ROWS($O$2:O226),$O$2:$O$1001,0),MATCH(COLUMNS($V$1006:Z1006),$V$1006:$AE$1006,0)), HYPERLINK("#",""), HYPERLINK(CONCATENATE("#Metadata!", ADDRESS(INDEX($Q$2:$Q$1001,MATCH(ROWS($O$2:O226),$O$2:$O$1001,0),0), INDEX($V$1004:$AE$1004,1,MATCH(COLUMNS($V$1006:Z1006),$V$1006:$AE$1006,0)))),"Fix")))</f>
        <v>0</v>
      </c>
      <c r="G226" s="4">
        <f>IF(OR(INDEX($P$2:$P$1001,MATCH(ROWS($O$2:O226),$O$2:$O$1001,0),1)&gt;=100000,INDEX($V$1005:$AE$1005,1,MATCH(COLUMNS($V$1006:AA1006),$V$1006:$AE$1006,0))&gt;=100000), " ",IF(INDEX($V$2:$AE$1001,MATCH(ROWS($O$2:O226),$O$2:$O$1001,0),MATCH(COLUMNS($V$1006:AA1006),$V$1006:$AE$1006,0)), HYPERLINK("#",""), HYPERLINK(CONCATENATE("#Metadata!", ADDRESS(INDEX($Q$2:$Q$1001,MATCH(ROWS($O$2:O226),$O$2:$O$1001,0),0), INDEX($V$1004:$AE$1004,1,MATCH(COLUMNS($V$1006:AA1006),$V$1006:$AE$1006,0)))),"Fix")))</f>
        <v>0</v>
      </c>
      <c r="H226" s="4">
        <f>IF(OR(INDEX($P$2:$P$1001,MATCH(ROWS($O$2:O226),$O$2:$O$1001,0),1)&gt;=100000,INDEX($V$1005:$AE$1005,1,MATCH(COLUMNS($V$1006:AB1006),$V$1006:$AE$1006,0))&gt;=100000), " ",IF(INDEX($V$2:$AE$1001,MATCH(ROWS($O$2:O226),$O$2:$O$1001,0),MATCH(COLUMNS($V$1006:AB1006),$V$1006:$AE$1006,0)), HYPERLINK("#",""), HYPERLINK(CONCATENATE("#Metadata!", ADDRESS(INDEX($Q$2:$Q$1001,MATCH(ROWS($O$2:O226),$O$2:$O$1001,0),0), INDEX($V$1004:$AE$1004,1,MATCH(COLUMNS($V$1006:AB1006),$V$1006:$AE$1006,0)))),"Fix")))</f>
        <v>0</v>
      </c>
      <c r="I226" s="4">
        <f>IF(OR(INDEX($P$2:$P$1001,MATCH(ROWS($O$2:O226),$O$2:$O$1001,0),1)&gt;=100000,INDEX($V$1005:$AE$1005,1,MATCH(COLUMNS($V$1006:AC1006),$V$1006:$AE$1006,0))&gt;=100000), " ",IF(INDEX($V$2:$AE$1001,MATCH(ROWS($O$2:O226),$O$2:$O$1001,0),MATCH(COLUMNS($V$1006:AC1006),$V$1006:$AE$1006,0)), HYPERLINK("#",""), HYPERLINK(CONCATENATE("#Metadata!", ADDRESS(INDEX($Q$2:$Q$1001,MATCH(ROWS($O$2:O226),$O$2:$O$1001,0),0), INDEX($V$1004:$AE$1004,1,MATCH(COLUMNS($V$1006:AC1006),$V$1006:$AE$1006,0)))),"Fix")))</f>
        <v>0</v>
      </c>
      <c r="J226" s="4">
        <f>IF(OR(INDEX($P$2:$P$1001,MATCH(ROWS($O$2:O226),$O$2:$O$1001,0),1)&gt;=100000,INDEX($V$1005:$AE$1005,1,MATCH(COLUMNS($V$1006:AD1006),$V$1006:$AE$1006,0))&gt;=100000), " ",IF(INDEX($V$2:$AE$1001,MATCH(ROWS($O$2:O226),$O$2:$O$1001,0),MATCH(COLUMNS($V$1006:AD1006),$V$1006:$AE$1006,0)), HYPERLINK("#",""), HYPERLINK(CONCATENATE("#Metadata!", ADDRESS(INDEX($Q$2:$Q$1001,MATCH(ROWS($O$2:O226),$O$2:$O$1001,0),0), INDEX($V$1004:$AE$1004,1,MATCH(COLUMNS($V$1006:AD1006),$V$1006:$AE$1006,0)))),"Fix")))</f>
        <v>0</v>
      </c>
      <c r="K226" s="4">
        <f>IF(OR(INDEX($P$2:$P$1001,MATCH(ROWS($O$2:O226),$O$2:$O$1001,0),1)&gt;=100000,INDEX($V$1005:$AE$1005,1,MATCH(COLUMNS($V$1006:AE1006),$V$1006:$AE$1006,0))&gt;=100000), " ",IF(INDEX($V$2:$AE$1001,MATCH(ROWS($O$2:O226),$O$2:$O$1001,0),MATCH(COLUMNS($V$1006:AE1006),$V$1006:$AE$1006,0)), HYPERLINK("#",""), HYPERLINK(CONCATENATE("#Metadata!", ADDRESS(INDEX($Q$2:$Q$1001,MATCH(ROWS($O$2:O226),$O$2:$O$1001,0),0), INDEX($V$1004:$AE$1004,1,MATCH(COLUMNS($V$1006:AE1006),$V$1006:$AE$1006,0)))),"Fix")))</f>
        <v>0</v>
      </c>
      <c r="O226">
        <v>0</v>
      </c>
      <c r="P226">
        <v>0</v>
      </c>
      <c r="Q226">
        <v>0</v>
      </c>
      <c r="R226">
        <f>IF(S226,TRUE,AND(V226:AE226))</f>
        <v>0</v>
      </c>
      <c r="S226">
        <f>COUNTBLANK(Metadata!B226:K226)=COLUMNS(Metadata!B226:K226)</f>
        <v>0</v>
      </c>
      <c r="T226">
        <v>0</v>
      </c>
      <c r="V226">
        <f>AND(IF(Metadata!B226="",FALSE,TRUE),COUNTIF(Metadata!B:B, Metadata!B226) = 1,NOT(ISERROR(SUMPRODUCT(SEARCH(MID(Metadata!B226,ROW(INDIRECT("1:"&amp;LEN(Metadata!B226))), 1),"0123456789abcdefghijklmnopqrstuvwxyzABCDEFGHIJKLMNOPQRSTUVWXYZ.")))))</f>
        <v>0</v>
      </c>
      <c r="W226">
        <f>AND(IF(Metadata!C226="",FALSE,TRUE),exact(Metadata!C226,"urban biome"))</f>
        <v>0</v>
      </c>
      <c r="X226">
        <f>AND(IF(Metadata!D226="",FALSE,TRUE),exact(Metadata!D226,"animal-associated habitat"))</f>
        <v>0</v>
      </c>
      <c r="Y226">
        <f>OR(AND(IF(Metadata!E226="",FALSE,TRUE),OR(exact(Metadata!E226,"not applicable"),exact(Metadata!E226,"missing: not collected"),exact(Metadata!E226,"missing: not provided"),exact(Metadata!E226,"missing: restricted access"))),AND(IF(Metadata!E226="",FALSE,ISNUMBER(VALUE(Metadata!E226))),Metadata!E226&gt;0))</f>
        <v>0</v>
      </c>
      <c r="Z226">
        <f>AND(IF(Metadata!F226="",FALSE,TRUE),exact(Metadata!F226,"weeks"))</f>
        <v>0</v>
      </c>
      <c r="AA226">
        <f>AND(IF(Metadata!G226="",FALSE,TRUE),exact(Metadata!G226,"mouse"))</f>
        <v>0</v>
      </c>
      <c r="AB226">
        <f>AND(IF(Metadata!H226="",FALSE,TRUE),exact(Metadata!H226,"Mus musculus"))</f>
        <v>0</v>
      </c>
      <c r="AC226">
        <f>AND(IF(Metadata!I226="",FALSE,TRUE),exact(Metadata!I226,"10090"))</f>
        <v>0</v>
      </c>
      <c r="AD226">
        <f>OR(AND(IF(Metadata!J226="",FALSE,TRUE),OR(exact(Metadata!J226,"not applicable"),exact(Metadata!J226,"missing: not collected"),exact(Metadata!J226,"missing: not provided"),exact(Metadata!J226,"missing: restricted access"))),AND(IF(Metadata!J226="",FALSE,ISNUMBER(VALUE(Metadata!J226))),Metadata!J226&gt;0))</f>
        <v>0</v>
      </c>
      <c r="AE226">
        <f>AND(IF(Metadata!K226="",FALSE,TRUE),exact(Metadata!K226,"g"))</f>
        <v>0</v>
      </c>
    </row>
    <row r="227" spans="1:31">
      <c r="A227" s="5">
        <f>IF(B227=" "," ",HYPERLINK(CONCATENATE("#metadata!",ADDRESS(INDEX($Q$2:$Q$1001,MATCH(ROWS($O$2:O227),$O$2:$O$1001,0),0),1)),INDEX($T$2:$T$1001,MATCH(ROWS($O$2:O227),$O$2:$O$1001,0),0)))</f>
        <v>0</v>
      </c>
      <c r="B227" s="4">
        <f>IF(OR(INDEX($P$2:$P$1001,MATCH(ROWS($O$2:O227),$O$2:$O$1001,0),1)&gt;=100000,INDEX($V$1005:$AE$1005,1,MATCH(COLUMNS($V$1006:V1006),$V$1006:$AE$1006,0))&gt;=100000), " ",IF(INDEX($V$2:$AE$1001,MATCH(ROWS($O$2:O227),$O$2:$O$1001,0),MATCH(COLUMNS($V$1006:V1006),$V$1006:$AE$1006,0)), HYPERLINK("#",""), HYPERLINK(CONCATENATE("#Metadata!", ADDRESS(INDEX($Q$2:$Q$1001,MATCH(ROWS($O$2:O227),$O$2:$O$1001,0),0), INDEX($V$1004:$AE$1004,1,MATCH(COLUMNS($V$1006:V1006),$V$1006:$AE$1006,0)))),"Fix")))</f>
        <v>0</v>
      </c>
      <c r="C227" s="4">
        <f>IF(OR(INDEX($P$2:$P$1001,MATCH(ROWS($O$2:O227),$O$2:$O$1001,0),1)&gt;=100000,INDEX($V$1005:$AE$1005,1,MATCH(COLUMNS($V$1006:W1006),$V$1006:$AE$1006,0))&gt;=100000), " ",IF(INDEX($V$2:$AE$1001,MATCH(ROWS($O$2:O227),$O$2:$O$1001,0),MATCH(COLUMNS($V$1006:W1006),$V$1006:$AE$1006,0)), HYPERLINK("#",""), HYPERLINK(CONCATENATE("#Metadata!", ADDRESS(INDEX($Q$2:$Q$1001,MATCH(ROWS($O$2:O227),$O$2:$O$1001,0),0), INDEX($V$1004:$AE$1004,1,MATCH(COLUMNS($V$1006:W1006),$V$1006:$AE$1006,0)))),"Fix")))</f>
        <v>0</v>
      </c>
      <c r="D227" s="4">
        <f>IF(OR(INDEX($P$2:$P$1001,MATCH(ROWS($O$2:O227),$O$2:$O$1001,0),1)&gt;=100000,INDEX($V$1005:$AE$1005,1,MATCH(COLUMNS($V$1006:X1006),$V$1006:$AE$1006,0))&gt;=100000), " ",IF(INDEX($V$2:$AE$1001,MATCH(ROWS($O$2:O227),$O$2:$O$1001,0),MATCH(COLUMNS($V$1006:X1006),$V$1006:$AE$1006,0)), HYPERLINK("#",""), HYPERLINK(CONCATENATE("#Metadata!", ADDRESS(INDEX($Q$2:$Q$1001,MATCH(ROWS($O$2:O227),$O$2:$O$1001,0),0), INDEX($V$1004:$AE$1004,1,MATCH(COLUMNS($V$1006:X1006),$V$1006:$AE$1006,0)))),"Fix")))</f>
        <v>0</v>
      </c>
      <c r="E227" s="4">
        <f>IF(OR(INDEX($P$2:$P$1001,MATCH(ROWS($O$2:O227),$O$2:$O$1001,0),1)&gt;=100000,INDEX($V$1005:$AE$1005,1,MATCH(COLUMNS($V$1006:Y1006),$V$1006:$AE$1006,0))&gt;=100000), " ",IF(INDEX($V$2:$AE$1001,MATCH(ROWS($O$2:O227),$O$2:$O$1001,0),MATCH(COLUMNS($V$1006:Y1006),$V$1006:$AE$1006,0)), HYPERLINK("#",""), HYPERLINK(CONCATENATE("#Metadata!", ADDRESS(INDEX($Q$2:$Q$1001,MATCH(ROWS($O$2:O227),$O$2:$O$1001,0),0), INDEX($V$1004:$AE$1004,1,MATCH(COLUMNS($V$1006:Y1006),$V$1006:$AE$1006,0)))),"Fix")))</f>
        <v>0</v>
      </c>
      <c r="F227" s="4">
        <f>IF(OR(INDEX($P$2:$P$1001,MATCH(ROWS($O$2:O227),$O$2:$O$1001,0),1)&gt;=100000,INDEX($V$1005:$AE$1005,1,MATCH(COLUMNS($V$1006:Z1006),$V$1006:$AE$1006,0))&gt;=100000), " ",IF(INDEX($V$2:$AE$1001,MATCH(ROWS($O$2:O227),$O$2:$O$1001,0),MATCH(COLUMNS($V$1006:Z1006),$V$1006:$AE$1006,0)), HYPERLINK("#",""), HYPERLINK(CONCATENATE("#Metadata!", ADDRESS(INDEX($Q$2:$Q$1001,MATCH(ROWS($O$2:O227),$O$2:$O$1001,0),0), INDEX($V$1004:$AE$1004,1,MATCH(COLUMNS($V$1006:Z1006),$V$1006:$AE$1006,0)))),"Fix")))</f>
        <v>0</v>
      </c>
      <c r="G227" s="4">
        <f>IF(OR(INDEX($P$2:$P$1001,MATCH(ROWS($O$2:O227),$O$2:$O$1001,0),1)&gt;=100000,INDEX($V$1005:$AE$1005,1,MATCH(COLUMNS($V$1006:AA1006),$V$1006:$AE$1006,0))&gt;=100000), " ",IF(INDEX($V$2:$AE$1001,MATCH(ROWS($O$2:O227),$O$2:$O$1001,0),MATCH(COLUMNS($V$1006:AA1006),$V$1006:$AE$1006,0)), HYPERLINK("#",""), HYPERLINK(CONCATENATE("#Metadata!", ADDRESS(INDEX($Q$2:$Q$1001,MATCH(ROWS($O$2:O227),$O$2:$O$1001,0),0), INDEX($V$1004:$AE$1004,1,MATCH(COLUMNS($V$1006:AA1006),$V$1006:$AE$1006,0)))),"Fix")))</f>
        <v>0</v>
      </c>
      <c r="H227" s="4">
        <f>IF(OR(INDEX($P$2:$P$1001,MATCH(ROWS($O$2:O227),$O$2:$O$1001,0),1)&gt;=100000,INDEX($V$1005:$AE$1005,1,MATCH(COLUMNS($V$1006:AB1006),$V$1006:$AE$1006,0))&gt;=100000), " ",IF(INDEX($V$2:$AE$1001,MATCH(ROWS($O$2:O227),$O$2:$O$1001,0),MATCH(COLUMNS($V$1006:AB1006),$V$1006:$AE$1006,0)), HYPERLINK("#",""), HYPERLINK(CONCATENATE("#Metadata!", ADDRESS(INDEX($Q$2:$Q$1001,MATCH(ROWS($O$2:O227),$O$2:$O$1001,0),0), INDEX($V$1004:$AE$1004,1,MATCH(COLUMNS($V$1006:AB1006),$V$1006:$AE$1006,0)))),"Fix")))</f>
        <v>0</v>
      </c>
      <c r="I227" s="4">
        <f>IF(OR(INDEX($P$2:$P$1001,MATCH(ROWS($O$2:O227),$O$2:$O$1001,0),1)&gt;=100000,INDEX($V$1005:$AE$1005,1,MATCH(COLUMNS($V$1006:AC1006),$V$1006:$AE$1006,0))&gt;=100000), " ",IF(INDEX($V$2:$AE$1001,MATCH(ROWS($O$2:O227),$O$2:$O$1001,0),MATCH(COLUMNS($V$1006:AC1006),$V$1006:$AE$1006,0)), HYPERLINK("#",""), HYPERLINK(CONCATENATE("#Metadata!", ADDRESS(INDEX($Q$2:$Q$1001,MATCH(ROWS($O$2:O227),$O$2:$O$1001,0),0), INDEX($V$1004:$AE$1004,1,MATCH(COLUMNS($V$1006:AC1006),$V$1006:$AE$1006,0)))),"Fix")))</f>
        <v>0</v>
      </c>
      <c r="J227" s="4">
        <f>IF(OR(INDEX($P$2:$P$1001,MATCH(ROWS($O$2:O227),$O$2:$O$1001,0),1)&gt;=100000,INDEX($V$1005:$AE$1005,1,MATCH(COLUMNS($V$1006:AD1006),$V$1006:$AE$1006,0))&gt;=100000), " ",IF(INDEX($V$2:$AE$1001,MATCH(ROWS($O$2:O227),$O$2:$O$1001,0),MATCH(COLUMNS($V$1006:AD1006),$V$1006:$AE$1006,0)), HYPERLINK("#",""), HYPERLINK(CONCATENATE("#Metadata!", ADDRESS(INDEX($Q$2:$Q$1001,MATCH(ROWS($O$2:O227),$O$2:$O$1001,0),0), INDEX($V$1004:$AE$1004,1,MATCH(COLUMNS($V$1006:AD1006),$V$1006:$AE$1006,0)))),"Fix")))</f>
        <v>0</v>
      </c>
      <c r="K227" s="4">
        <f>IF(OR(INDEX($P$2:$P$1001,MATCH(ROWS($O$2:O227),$O$2:$O$1001,0),1)&gt;=100000,INDEX($V$1005:$AE$1005,1,MATCH(COLUMNS($V$1006:AE1006),$V$1006:$AE$1006,0))&gt;=100000), " ",IF(INDEX($V$2:$AE$1001,MATCH(ROWS($O$2:O227),$O$2:$O$1001,0),MATCH(COLUMNS($V$1006:AE1006),$V$1006:$AE$1006,0)), HYPERLINK("#",""), HYPERLINK(CONCATENATE("#Metadata!", ADDRESS(INDEX($Q$2:$Q$1001,MATCH(ROWS($O$2:O227),$O$2:$O$1001,0),0), INDEX($V$1004:$AE$1004,1,MATCH(COLUMNS($V$1006:AE1006),$V$1006:$AE$1006,0)))),"Fix")))</f>
        <v>0</v>
      </c>
      <c r="O227">
        <v>0</v>
      </c>
      <c r="P227">
        <v>0</v>
      </c>
      <c r="Q227">
        <v>0</v>
      </c>
      <c r="R227">
        <f>IF(S227,TRUE,AND(V227:AE227))</f>
        <v>0</v>
      </c>
      <c r="S227">
        <f>COUNTBLANK(Metadata!B227:K227)=COLUMNS(Metadata!B227:K227)</f>
        <v>0</v>
      </c>
      <c r="T227">
        <v>0</v>
      </c>
      <c r="V227">
        <f>AND(IF(Metadata!B227="",FALSE,TRUE),COUNTIF(Metadata!B:B, Metadata!B227) = 1,NOT(ISERROR(SUMPRODUCT(SEARCH(MID(Metadata!B227,ROW(INDIRECT("1:"&amp;LEN(Metadata!B227))), 1),"0123456789abcdefghijklmnopqrstuvwxyzABCDEFGHIJKLMNOPQRSTUVWXYZ.")))))</f>
        <v>0</v>
      </c>
      <c r="W227">
        <f>AND(IF(Metadata!C227="",FALSE,TRUE),exact(Metadata!C227,"urban biome"))</f>
        <v>0</v>
      </c>
      <c r="X227">
        <f>AND(IF(Metadata!D227="",FALSE,TRUE),exact(Metadata!D227,"animal-associated habitat"))</f>
        <v>0</v>
      </c>
      <c r="Y227">
        <f>OR(AND(IF(Metadata!E227="",FALSE,TRUE),OR(exact(Metadata!E227,"not applicable"),exact(Metadata!E227,"missing: not collected"),exact(Metadata!E227,"missing: not provided"),exact(Metadata!E227,"missing: restricted access"))),AND(IF(Metadata!E227="",FALSE,ISNUMBER(VALUE(Metadata!E227))),Metadata!E227&gt;0))</f>
        <v>0</v>
      </c>
      <c r="Z227">
        <f>AND(IF(Metadata!F227="",FALSE,TRUE),exact(Metadata!F227,"weeks"))</f>
        <v>0</v>
      </c>
      <c r="AA227">
        <f>AND(IF(Metadata!G227="",FALSE,TRUE),exact(Metadata!G227,"mouse"))</f>
        <v>0</v>
      </c>
      <c r="AB227">
        <f>AND(IF(Metadata!H227="",FALSE,TRUE),exact(Metadata!H227,"Mus musculus"))</f>
        <v>0</v>
      </c>
      <c r="AC227">
        <f>AND(IF(Metadata!I227="",FALSE,TRUE),exact(Metadata!I227,"10090"))</f>
        <v>0</v>
      </c>
      <c r="AD227">
        <f>OR(AND(IF(Metadata!J227="",FALSE,TRUE),OR(exact(Metadata!J227,"not applicable"),exact(Metadata!J227,"missing: not collected"),exact(Metadata!J227,"missing: not provided"),exact(Metadata!J227,"missing: restricted access"))),AND(IF(Metadata!J227="",FALSE,ISNUMBER(VALUE(Metadata!J227))),Metadata!J227&gt;0))</f>
        <v>0</v>
      </c>
      <c r="AE227">
        <f>AND(IF(Metadata!K227="",FALSE,TRUE),exact(Metadata!K227,"g"))</f>
        <v>0</v>
      </c>
    </row>
    <row r="228" spans="1:31">
      <c r="A228" s="5">
        <f>IF(B228=" "," ",HYPERLINK(CONCATENATE("#metadata!",ADDRESS(INDEX($Q$2:$Q$1001,MATCH(ROWS($O$2:O228),$O$2:$O$1001,0),0),1)),INDEX($T$2:$T$1001,MATCH(ROWS($O$2:O228),$O$2:$O$1001,0),0)))</f>
        <v>0</v>
      </c>
      <c r="B228" s="4">
        <f>IF(OR(INDEX($P$2:$P$1001,MATCH(ROWS($O$2:O228),$O$2:$O$1001,0),1)&gt;=100000,INDEX($V$1005:$AE$1005,1,MATCH(COLUMNS($V$1006:V1006),$V$1006:$AE$1006,0))&gt;=100000), " ",IF(INDEX($V$2:$AE$1001,MATCH(ROWS($O$2:O228),$O$2:$O$1001,0),MATCH(COLUMNS($V$1006:V1006),$V$1006:$AE$1006,0)), HYPERLINK("#",""), HYPERLINK(CONCATENATE("#Metadata!", ADDRESS(INDEX($Q$2:$Q$1001,MATCH(ROWS($O$2:O228),$O$2:$O$1001,0),0), INDEX($V$1004:$AE$1004,1,MATCH(COLUMNS($V$1006:V1006),$V$1006:$AE$1006,0)))),"Fix")))</f>
        <v>0</v>
      </c>
      <c r="C228" s="4">
        <f>IF(OR(INDEX($P$2:$P$1001,MATCH(ROWS($O$2:O228),$O$2:$O$1001,0),1)&gt;=100000,INDEX($V$1005:$AE$1005,1,MATCH(COLUMNS($V$1006:W1006),$V$1006:$AE$1006,0))&gt;=100000), " ",IF(INDEX($V$2:$AE$1001,MATCH(ROWS($O$2:O228),$O$2:$O$1001,0),MATCH(COLUMNS($V$1006:W1006),$V$1006:$AE$1006,0)), HYPERLINK("#",""), HYPERLINK(CONCATENATE("#Metadata!", ADDRESS(INDEX($Q$2:$Q$1001,MATCH(ROWS($O$2:O228),$O$2:$O$1001,0),0), INDEX($V$1004:$AE$1004,1,MATCH(COLUMNS($V$1006:W1006),$V$1006:$AE$1006,0)))),"Fix")))</f>
        <v>0</v>
      </c>
      <c r="D228" s="4">
        <f>IF(OR(INDEX($P$2:$P$1001,MATCH(ROWS($O$2:O228),$O$2:$O$1001,0),1)&gt;=100000,INDEX($V$1005:$AE$1005,1,MATCH(COLUMNS($V$1006:X1006),$V$1006:$AE$1006,0))&gt;=100000), " ",IF(INDEX($V$2:$AE$1001,MATCH(ROWS($O$2:O228),$O$2:$O$1001,0),MATCH(COLUMNS($V$1006:X1006),$V$1006:$AE$1006,0)), HYPERLINK("#",""), HYPERLINK(CONCATENATE("#Metadata!", ADDRESS(INDEX($Q$2:$Q$1001,MATCH(ROWS($O$2:O228),$O$2:$O$1001,0),0), INDEX($V$1004:$AE$1004,1,MATCH(COLUMNS($V$1006:X1006),$V$1006:$AE$1006,0)))),"Fix")))</f>
        <v>0</v>
      </c>
      <c r="E228" s="4">
        <f>IF(OR(INDEX($P$2:$P$1001,MATCH(ROWS($O$2:O228),$O$2:$O$1001,0),1)&gt;=100000,INDEX($V$1005:$AE$1005,1,MATCH(COLUMNS($V$1006:Y1006),$V$1006:$AE$1006,0))&gt;=100000), " ",IF(INDEX($V$2:$AE$1001,MATCH(ROWS($O$2:O228),$O$2:$O$1001,0),MATCH(COLUMNS($V$1006:Y1006),$V$1006:$AE$1006,0)), HYPERLINK("#",""), HYPERLINK(CONCATENATE("#Metadata!", ADDRESS(INDEX($Q$2:$Q$1001,MATCH(ROWS($O$2:O228),$O$2:$O$1001,0),0), INDEX($V$1004:$AE$1004,1,MATCH(COLUMNS($V$1006:Y1006),$V$1006:$AE$1006,0)))),"Fix")))</f>
        <v>0</v>
      </c>
      <c r="F228" s="4">
        <f>IF(OR(INDEX($P$2:$P$1001,MATCH(ROWS($O$2:O228),$O$2:$O$1001,0),1)&gt;=100000,INDEX($V$1005:$AE$1005,1,MATCH(COLUMNS($V$1006:Z1006),$V$1006:$AE$1006,0))&gt;=100000), " ",IF(INDEX($V$2:$AE$1001,MATCH(ROWS($O$2:O228),$O$2:$O$1001,0),MATCH(COLUMNS($V$1006:Z1006),$V$1006:$AE$1006,0)), HYPERLINK("#",""), HYPERLINK(CONCATENATE("#Metadata!", ADDRESS(INDEX($Q$2:$Q$1001,MATCH(ROWS($O$2:O228),$O$2:$O$1001,0),0), INDEX($V$1004:$AE$1004,1,MATCH(COLUMNS($V$1006:Z1006),$V$1006:$AE$1006,0)))),"Fix")))</f>
        <v>0</v>
      </c>
      <c r="G228" s="4">
        <f>IF(OR(INDEX($P$2:$P$1001,MATCH(ROWS($O$2:O228),$O$2:$O$1001,0),1)&gt;=100000,INDEX($V$1005:$AE$1005,1,MATCH(COLUMNS($V$1006:AA1006),$V$1006:$AE$1006,0))&gt;=100000), " ",IF(INDEX($V$2:$AE$1001,MATCH(ROWS($O$2:O228),$O$2:$O$1001,0),MATCH(COLUMNS($V$1006:AA1006),$V$1006:$AE$1006,0)), HYPERLINK("#",""), HYPERLINK(CONCATENATE("#Metadata!", ADDRESS(INDEX($Q$2:$Q$1001,MATCH(ROWS($O$2:O228),$O$2:$O$1001,0),0), INDEX($V$1004:$AE$1004,1,MATCH(COLUMNS($V$1006:AA1006),$V$1006:$AE$1006,0)))),"Fix")))</f>
        <v>0</v>
      </c>
      <c r="H228" s="4">
        <f>IF(OR(INDEX($P$2:$P$1001,MATCH(ROWS($O$2:O228),$O$2:$O$1001,0),1)&gt;=100000,INDEX($V$1005:$AE$1005,1,MATCH(COLUMNS($V$1006:AB1006),$V$1006:$AE$1006,0))&gt;=100000), " ",IF(INDEX($V$2:$AE$1001,MATCH(ROWS($O$2:O228),$O$2:$O$1001,0),MATCH(COLUMNS($V$1006:AB1006),$V$1006:$AE$1006,0)), HYPERLINK("#",""), HYPERLINK(CONCATENATE("#Metadata!", ADDRESS(INDEX($Q$2:$Q$1001,MATCH(ROWS($O$2:O228),$O$2:$O$1001,0),0), INDEX($V$1004:$AE$1004,1,MATCH(COLUMNS($V$1006:AB1006),$V$1006:$AE$1006,0)))),"Fix")))</f>
        <v>0</v>
      </c>
      <c r="I228" s="4">
        <f>IF(OR(INDEX($P$2:$P$1001,MATCH(ROWS($O$2:O228),$O$2:$O$1001,0),1)&gt;=100000,INDEX($V$1005:$AE$1005,1,MATCH(COLUMNS($V$1006:AC1006),$V$1006:$AE$1006,0))&gt;=100000), " ",IF(INDEX($V$2:$AE$1001,MATCH(ROWS($O$2:O228),$O$2:$O$1001,0),MATCH(COLUMNS($V$1006:AC1006),$V$1006:$AE$1006,0)), HYPERLINK("#",""), HYPERLINK(CONCATENATE("#Metadata!", ADDRESS(INDEX($Q$2:$Q$1001,MATCH(ROWS($O$2:O228),$O$2:$O$1001,0),0), INDEX($V$1004:$AE$1004,1,MATCH(COLUMNS($V$1006:AC1006),$V$1006:$AE$1006,0)))),"Fix")))</f>
        <v>0</v>
      </c>
      <c r="J228" s="4">
        <f>IF(OR(INDEX($P$2:$P$1001,MATCH(ROWS($O$2:O228),$O$2:$O$1001,0),1)&gt;=100000,INDEX($V$1005:$AE$1005,1,MATCH(COLUMNS($V$1006:AD1006),$V$1006:$AE$1006,0))&gt;=100000), " ",IF(INDEX($V$2:$AE$1001,MATCH(ROWS($O$2:O228),$O$2:$O$1001,0),MATCH(COLUMNS($V$1006:AD1006),$V$1006:$AE$1006,0)), HYPERLINK("#",""), HYPERLINK(CONCATENATE("#Metadata!", ADDRESS(INDEX($Q$2:$Q$1001,MATCH(ROWS($O$2:O228),$O$2:$O$1001,0),0), INDEX($V$1004:$AE$1004,1,MATCH(COLUMNS($V$1006:AD1006),$V$1006:$AE$1006,0)))),"Fix")))</f>
        <v>0</v>
      </c>
      <c r="K228" s="4">
        <f>IF(OR(INDEX($P$2:$P$1001,MATCH(ROWS($O$2:O228),$O$2:$O$1001,0),1)&gt;=100000,INDEX($V$1005:$AE$1005,1,MATCH(COLUMNS($V$1006:AE1006),$V$1006:$AE$1006,0))&gt;=100000), " ",IF(INDEX($V$2:$AE$1001,MATCH(ROWS($O$2:O228),$O$2:$O$1001,0),MATCH(COLUMNS($V$1006:AE1006),$V$1006:$AE$1006,0)), HYPERLINK("#",""), HYPERLINK(CONCATENATE("#Metadata!", ADDRESS(INDEX($Q$2:$Q$1001,MATCH(ROWS($O$2:O228),$O$2:$O$1001,0),0), INDEX($V$1004:$AE$1004,1,MATCH(COLUMNS($V$1006:AE1006),$V$1006:$AE$1006,0)))),"Fix")))</f>
        <v>0</v>
      </c>
      <c r="O228">
        <v>0</v>
      </c>
      <c r="P228">
        <v>0</v>
      </c>
      <c r="Q228">
        <v>0</v>
      </c>
      <c r="R228">
        <f>IF(S228,TRUE,AND(V228:AE228))</f>
        <v>0</v>
      </c>
      <c r="S228">
        <f>COUNTBLANK(Metadata!B228:K228)=COLUMNS(Metadata!B228:K228)</f>
        <v>0</v>
      </c>
      <c r="T228">
        <v>0</v>
      </c>
      <c r="V228">
        <f>AND(IF(Metadata!B228="",FALSE,TRUE),COUNTIF(Metadata!B:B, Metadata!B228) = 1,NOT(ISERROR(SUMPRODUCT(SEARCH(MID(Metadata!B228,ROW(INDIRECT("1:"&amp;LEN(Metadata!B228))), 1),"0123456789abcdefghijklmnopqrstuvwxyzABCDEFGHIJKLMNOPQRSTUVWXYZ.")))))</f>
        <v>0</v>
      </c>
      <c r="W228">
        <f>AND(IF(Metadata!C228="",FALSE,TRUE),exact(Metadata!C228,"urban biome"))</f>
        <v>0</v>
      </c>
      <c r="X228">
        <f>AND(IF(Metadata!D228="",FALSE,TRUE),exact(Metadata!D228,"animal-associated habitat"))</f>
        <v>0</v>
      </c>
      <c r="Y228">
        <f>OR(AND(IF(Metadata!E228="",FALSE,TRUE),OR(exact(Metadata!E228,"not applicable"),exact(Metadata!E228,"missing: not collected"),exact(Metadata!E228,"missing: not provided"),exact(Metadata!E228,"missing: restricted access"))),AND(IF(Metadata!E228="",FALSE,ISNUMBER(VALUE(Metadata!E228))),Metadata!E228&gt;0))</f>
        <v>0</v>
      </c>
      <c r="Z228">
        <f>AND(IF(Metadata!F228="",FALSE,TRUE),exact(Metadata!F228,"weeks"))</f>
        <v>0</v>
      </c>
      <c r="AA228">
        <f>AND(IF(Metadata!G228="",FALSE,TRUE),exact(Metadata!G228,"mouse"))</f>
        <v>0</v>
      </c>
      <c r="AB228">
        <f>AND(IF(Metadata!H228="",FALSE,TRUE),exact(Metadata!H228,"Mus musculus"))</f>
        <v>0</v>
      </c>
      <c r="AC228">
        <f>AND(IF(Metadata!I228="",FALSE,TRUE),exact(Metadata!I228,"10090"))</f>
        <v>0</v>
      </c>
      <c r="AD228">
        <f>OR(AND(IF(Metadata!J228="",FALSE,TRUE),OR(exact(Metadata!J228,"not applicable"),exact(Metadata!J228,"missing: not collected"),exact(Metadata!J228,"missing: not provided"),exact(Metadata!J228,"missing: restricted access"))),AND(IF(Metadata!J228="",FALSE,ISNUMBER(VALUE(Metadata!J228))),Metadata!J228&gt;0))</f>
        <v>0</v>
      </c>
      <c r="AE228">
        <f>AND(IF(Metadata!K228="",FALSE,TRUE),exact(Metadata!K228,"g"))</f>
        <v>0</v>
      </c>
    </row>
    <row r="229" spans="1:31">
      <c r="A229" s="5">
        <f>IF(B229=" "," ",HYPERLINK(CONCATENATE("#metadata!",ADDRESS(INDEX($Q$2:$Q$1001,MATCH(ROWS($O$2:O229),$O$2:$O$1001,0),0),1)),INDEX($T$2:$T$1001,MATCH(ROWS($O$2:O229),$O$2:$O$1001,0),0)))</f>
        <v>0</v>
      </c>
      <c r="B229" s="4">
        <f>IF(OR(INDEX($P$2:$P$1001,MATCH(ROWS($O$2:O229),$O$2:$O$1001,0),1)&gt;=100000,INDEX($V$1005:$AE$1005,1,MATCH(COLUMNS($V$1006:V1006),$V$1006:$AE$1006,0))&gt;=100000), " ",IF(INDEX($V$2:$AE$1001,MATCH(ROWS($O$2:O229),$O$2:$O$1001,0),MATCH(COLUMNS($V$1006:V1006),$V$1006:$AE$1006,0)), HYPERLINK("#",""), HYPERLINK(CONCATENATE("#Metadata!", ADDRESS(INDEX($Q$2:$Q$1001,MATCH(ROWS($O$2:O229),$O$2:$O$1001,0),0), INDEX($V$1004:$AE$1004,1,MATCH(COLUMNS($V$1006:V1006),$V$1006:$AE$1006,0)))),"Fix")))</f>
        <v>0</v>
      </c>
      <c r="C229" s="4">
        <f>IF(OR(INDEX($P$2:$P$1001,MATCH(ROWS($O$2:O229),$O$2:$O$1001,0),1)&gt;=100000,INDEX($V$1005:$AE$1005,1,MATCH(COLUMNS($V$1006:W1006),$V$1006:$AE$1006,0))&gt;=100000), " ",IF(INDEX($V$2:$AE$1001,MATCH(ROWS($O$2:O229),$O$2:$O$1001,0),MATCH(COLUMNS($V$1006:W1006),$V$1006:$AE$1006,0)), HYPERLINK("#",""), HYPERLINK(CONCATENATE("#Metadata!", ADDRESS(INDEX($Q$2:$Q$1001,MATCH(ROWS($O$2:O229),$O$2:$O$1001,0),0), INDEX($V$1004:$AE$1004,1,MATCH(COLUMNS($V$1006:W1006),$V$1006:$AE$1006,0)))),"Fix")))</f>
        <v>0</v>
      </c>
      <c r="D229" s="4">
        <f>IF(OR(INDEX($P$2:$P$1001,MATCH(ROWS($O$2:O229),$O$2:$O$1001,0),1)&gt;=100000,INDEX($V$1005:$AE$1005,1,MATCH(COLUMNS($V$1006:X1006),$V$1006:$AE$1006,0))&gt;=100000), " ",IF(INDEX($V$2:$AE$1001,MATCH(ROWS($O$2:O229),$O$2:$O$1001,0),MATCH(COLUMNS($V$1006:X1006),$V$1006:$AE$1006,0)), HYPERLINK("#",""), HYPERLINK(CONCATENATE("#Metadata!", ADDRESS(INDEX($Q$2:$Q$1001,MATCH(ROWS($O$2:O229),$O$2:$O$1001,0),0), INDEX($V$1004:$AE$1004,1,MATCH(COLUMNS($V$1006:X1006),$V$1006:$AE$1006,0)))),"Fix")))</f>
        <v>0</v>
      </c>
      <c r="E229" s="4">
        <f>IF(OR(INDEX($P$2:$P$1001,MATCH(ROWS($O$2:O229),$O$2:$O$1001,0),1)&gt;=100000,INDEX($V$1005:$AE$1005,1,MATCH(COLUMNS($V$1006:Y1006),$V$1006:$AE$1006,0))&gt;=100000), " ",IF(INDEX($V$2:$AE$1001,MATCH(ROWS($O$2:O229),$O$2:$O$1001,0),MATCH(COLUMNS($V$1006:Y1006),$V$1006:$AE$1006,0)), HYPERLINK("#",""), HYPERLINK(CONCATENATE("#Metadata!", ADDRESS(INDEX($Q$2:$Q$1001,MATCH(ROWS($O$2:O229),$O$2:$O$1001,0),0), INDEX($V$1004:$AE$1004,1,MATCH(COLUMNS($V$1006:Y1006),$V$1006:$AE$1006,0)))),"Fix")))</f>
        <v>0</v>
      </c>
      <c r="F229" s="4">
        <f>IF(OR(INDEX($P$2:$P$1001,MATCH(ROWS($O$2:O229),$O$2:$O$1001,0),1)&gt;=100000,INDEX($V$1005:$AE$1005,1,MATCH(COLUMNS($V$1006:Z1006),$V$1006:$AE$1006,0))&gt;=100000), " ",IF(INDEX($V$2:$AE$1001,MATCH(ROWS($O$2:O229),$O$2:$O$1001,0),MATCH(COLUMNS($V$1006:Z1006),$V$1006:$AE$1006,0)), HYPERLINK("#",""), HYPERLINK(CONCATENATE("#Metadata!", ADDRESS(INDEX($Q$2:$Q$1001,MATCH(ROWS($O$2:O229),$O$2:$O$1001,0),0), INDEX($V$1004:$AE$1004,1,MATCH(COLUMNS($V$1006:Z1006),$V$1006:$AE$1006,0)))),"Fix")))</f>
        <v>0</v>
      </c>
      <c r="G229" s="4">
        <f>IF(OR(INDEX($P$2:$P$1001,MATCH(ROWS($O$2:O229),$O$2:$O$1001,0),1)&gt;=100000,INDEX($V$1005:$AE$1005,1,MATCH(COLUMNS($V$1006:AA1006),$V$1006:$AE$1006,0))&gt;=100000), " ",IF(INDEX($V$2:$AE$1001,MATCH(ROWS($O$2:O229),$O$2:$O$1001,0),MATCH(COLUMNS($V$1006:AA1006),$V$1006:$AE$1006,0)), HYPERLINK("#",""), HYPERLINK(CONCATENATE("#Metadata!", ADDRESS(INDEX($Q$2:$Q$1001,MATCH(ROWS($O$2:O229),$O$2:$O$1001,0),0), INDEX($V$1004:$AE$1004,1,MATCH(COLUMNS($V$1006:AA1006),$V$1006:$AE$1006,0)))),"Fix")))</f>
        <v>0</v>
      </c>
      <c r="H229" s="4">
        <f>IF(OR(INDEX($P$2:$P$1001,MATCH(ROWS($O$2:O229),$O$2:$O$1001,0),1)&gt;=100000,INDEX($V$1005:$AE$1005,1,MATCH(COLUMNS($V$1006:AB1006),$V$1006:$AE$1006,0))&gt;=100000), " ",IF(INDEX($V$2:$AE$1001,MATCH(ROWS($O$2:O229),$O$2:$O$1001,0),MATCH(COLUMNS($V$1006:AB1006),$V$1006:$AE$1006,0)), HYPERLINK("#",""), HYPERLINK(CONCATENATE("#Metadata!", ADDRESS(INDEX($Q$2:$Q$1001,MATCH(ROWS($O$2:O229),$O$2:$O$1001,0),0), INDEX($V$1004:$AE$1004,1,MATCH(COLUMNS($V$1006:AB1006),$V$1006:$AE$1006,0)))),"Fix")))</f>
        <v>0</v>
      </c>
      <c r="I229" s="4">
        <f>IF(OR(INDEX($P$2:$P$1001,MATCH(ROWS($O$2:O229),$O$2:$O$1001,0),1)&gt;=100000,INDEX($V$1005:$AE$1005,1,MATCH(COLUMNS($V$1006:AC1006),$V$1006:$AE$1006,0))&gt;=100000), " ",IF(INDEX($V$2:$AE$1001,MATCH(ROWS($O$2:O229),$O$2:$O$1001,0),MATCH(COLUMNS($V$1006:AC1006),$V$1006:$AE$1006,0)), HYPERLINK("#",""), HYPERLINK(CONCATENATE("#Metadata!", ADDRESS(INDEX($Q$2:$Q$1001,MATCH(ROWS($O$2:O229),$O$2:$O$1001,0),0), INDEX($V$1004:$AE$1004,1,MATCH(COLUMNS($V$1006:AC1006),$V$1006:$AE$1006,0)))),"Fix")))</f>
        <v>0</v>
      </c>
      <c r="J229" s="4">
        <f>IF(OR(INDEX($P$2:$P$1001,MATCH(ROWS($O$2:O229),$O$2:$O$1001,0),1)&gt;=100000,INDEX($V$1005:$AE$1005,1,MATCH(COLUMNS($V$1006:AD1006),$V$1006:$AE$1006,0))&gt;=100000), " ",IF(INDEX($V$2:$AE$1001,MATCH(ROWS($O$2:O229),$O$2:$O$1001,0),MATCH(COLUMNS($V$1006:AD1006),$V$1006:$AE$1006,0)), HYPERLINK("#",""), HYPERLINK(CONCATENATE("#Metadata!", ADDRESS(INDEX($Q$2:$Q$1001,MATCH(ROWS($O$2:O229),$O$2:$O$1001,0),0), INDEX($V$1004:$AE$1004,1,MATCH(COLUMNS($V$1006:AD1006),$V$1006:$AE$1006,0)))),"Fix")))</f>
        <v>0</v>
      </c>
      <c r="K229" s="4">
        <f>IF(OR(INDEX($P$2:$P$1001,MATCH(ROWS($O$2:O229),$O$2:$O$1001,0),1)&gt;=100000,INDEX($V$1005:$AE$1005,1,MATCH(COLUMNS($V$1006:AE1006),$V$1006:$AE$1006,0))&gt;=100000), " ",IF(INDEX($V$2:$AE$1001,MATCH(ROWS($O$2:O229),$O$2:$O$1001,0),MATCH(COLUMNS($V$1006:AE1006),$V$1006:$AE$1006,0)), HYPERLINK("#",""), HYPERLINK(CONCATENATE("#Metadata!", ADDRESS(INDEX($Q$2:$Q$1001,MATCH(ROWS($O$2:O229),$O$2:$O$1001,0),0), INDEX($V$1004:$AE$1004,1,MATCH(COLUMNS($V$1006:AE1006),$V$1006:$AE$1006,0)))),"Fix")))</f>
        <v>0</v>
      </c>
      <c r="O229">
        <v>0</v>
      </c>
      <c r="P229">
        <v>0</v>
      </c>
      <c r="Q229">
        <v>0</v>
      </c>
      <c r="R229">
        <f>IF(S229,TRUE,AND(V229:AE229))</f>
        <v>0</v>
      </c>
      <c r="S229">
        <f>COUNTBLANK(Metadata!B229:K229)=COLUMNS(Metadata!B229:K229)</f>
        <v>0</v>
      </c>
      <c r="T229">
        <v>0</v>
      </c>
      <c r="V229">
        <f>AND(IF(Metadata!B229="",FALSE,TRUE),COUNTIF(Metadata!B:B, Metadata!B229) = 1,NOT(ISERROR(SUMPRODUCT(SEARCH(MID(Metadata!B229,ROW(INDIRECT("1:"&amp;LEN(Metadata!B229))), 1),"0123456789abcdefghijklmnopqrstuvwxyzABCDEFGHIJKLMNOPQRSTUVWXYZ.")))))</f>
        <v>0</v>
      </c>
      <c r="W229">
        <f>AND(IF(Metadata!C229="",FALSE,TRUE),exact(Metadata!C229,"urban biome"))</f>
        <v>0</v>
      </c>
      <c r="X229">
        <f>AND(IF(Metadata!D229="",FALSE,TRUE),exact(Metadata!D229,"animal-associated habitat"))</f>
        <v>0</v>
      </c>
      <c r="Y229">
        <f>OR(AND(IF(Metadata!E229="",FALSE,TRUE),OR(exact(Metadata!E229,"not applicable"),exact(Metadata!E229,"missing: not collected"),exact(Metadata!E229,"missing: not provided"),exact(Metadata!E229,"missing: restricted access"))),AND(IF(Metadata!E229="",FALSE,ISNUMBER(VALUE(Metadata!E229))),Metadata!E229&gt;0))</f>
        <v>0</v>
      </c>
      <c r="Z229">
        <f>AND(IF(Metadata!F229="",FALSE,TRUE),exact(Metadata!F229,"weeks"))</f>
        <v>0</v>
      </c>
      <c r="AA229">
        <f>AND(IF(Metadata!G229="",FALSE,TRUE),exact(Metadata!G229,"mouse"))</f>
        <v>0</v>
      </c>
      <c r="AB229">
        <f>AND(IF(Metadata!H229="",FALSE,TRUE),exact(Metadata!H229,"Mus musculus"))</f>
        <v>0</v>
      </c>
      <c r="AC229">
        <f>AND(IF(Metadata!I229="",FALSE,TRUE),exact(Metadata!I229,"10090"))</f>
        <v>0</v>
      </c>
      <c r="AD229">
        <f>OR(AND(IF(Metadata!J229="",FALSE,TRUE),OR(exact(Metadata!J229,"not applicable"),exact(Metadata!J229,"missing: not collected"),exact(Metadata!J229,"missing: not provided"),exact(Metadata!J229,"missing: restricted access"))),AND(IF(Metadata!J229="",FALSE,ISNUMBER(VALUE(Metadata!J229))),Metadata!J229&gt;0))</f>
        <v>0</v>
      </c>
      <c r="AE229">
        <f>AND(IF(Metadata!K229="",FALSE,TRUE),exact(Metadata!K229,"g"))</f>
        <v>0</v>
      </c>
    </row>
    <row r="230" spans="1:31">
      <c r="A230" s="5">
        <f>IF(B230=" "," ",HYPERLINK(CONCATENATE("#metadata!",ADDRESS(INDEX($Q$2:$Q$1001,MATCH(ROWS($O$2:O230),$O$2:$O$1001,0),0),1)),INDEX($T$2:$T$1001,MATCH(ROWS($O$2:O230),$O$2:$O$1001,0),0)))</f>
        <v>0</v>
      </c>
      <c r="B230" s="4">
        <f>IF(OR(INDEX($P$2:$P$1001,MATCH(ROWS($O$2:O230),$O$2:$O$1001,0),1)&gt;=100000,INDEX($V$1005:$AE$1005,1,MATCH(COLUMNS($V$1006:V1006),$V$1006:$AE$1006,0))&gt;=100000), " ",IF(INDEX($V$2:$AE$1001,MATCH(ROWS($O$2:O230),$O$2:$O$1001,0),MATCH(COLUMNS($V$1006:V1006),$V$1006:$AE$1006,0)), HYPERLINK("#",""), HYPERLINK(CONCATENATE("#Metadata!", ADDRESS(INDEX($Q$2:$Q$1001,MATCH(ROWS($O$2:O230),$O$2:$O$1001,0),0), INDEX($V$1004:$AE$1004,1,MATCH(COLUMNS($V$1006:V1006),$V$1006:$AE$1006,0)))),"Fix")))</f>
        <v>0</v>
      </c>
      <c r="C230" s="4">
        <f>IF(OR(INDEX($P$2:$P$1001,MATCH(ROWS($O$2:O230),$O$2:$O$1001,0),1)&gt;=100000,INDEX($V$1005:$AE$1005,1,MATCH(COLUMNS($V$1006:W1006),$V$1006:$AE$1006,0))&gt;=100000), " ",IF(INDEX($V$2:$AE$1001,MATCH(ROWS($O$2:O230),$O$2:$O$1001,0),MATCH(COLUMNS($V$1006:W1006),$V$1006:$AE$1006,0)), HYPERLINK("#",""), HYPERLINK(CONCATENATE("#Metadata!", ADDRESS(INDEX($Q$2:$Q$1001,MATCH(ROWS($O$2:O230),$O$2:$O$1001,0),0), INDEX($V$1004:$AE$1004,1,MATCH(COLUMNS($V$1006:W1006),$V$1006:$AE$1006,0)))),"Fix")))</f>
        <v>0</v>
      </c>
      <c r="D230" s="4">
        <f>IF(OR(INDEX($P$2:$P$1001,MATCH(ROWS($O$2:O230),$O$2:$O$1001,0),1)&gt;=100000,INDEX($V$1005:$AE$1005,1,MATCH(COLUMNS($V$1006:X1006),$V$1006:$AE$1006,0))&gt;=100000), " ",IF(INDEX($V$2:$AE$1001,MATCH(ROWS($O$2:O230),$O$2:$O$1001,0),MATCH(COLUMNS($V$1006:X1006),$V$1006:$AE$1006,0)), HYPERLINK("#",""), HYPERLINK(CONCATENATE("#Metadata!", ADDRESS(INDEX($Q$2:$Q$1001,MATCH(ROWS($O$2:O230),$O$2:$O$1001,0),0), INDEX($V$1004:$AE$1004,1,MATCH(COLUMNS($V$1006:X1006),$V$1006:$AE$1006,0)))),"Fix")))</f>
        <v>0</v>
      </c>
      <c r="E230" s="4">
        <f>IF(OR(INDEX($P$2:$P$1001,MATCH(ROWS($O$2:O230),$O$2:$O$1001,0),1)&gt;=100000,INDEX($V$1005:$AE$1005,1,MATCH(COLUMNS($V$1006:Y1006),$V$1006:$AE$1006,0))&gt;=100000), " ",IF(INDEX($V$2:$AE$1001,MATCH(ROWS($O$2:O230),$O$2:$O$1001,0),MATCH(COLUMNS($V$1006:Y1006),$V$1006:$AE$1006,0)), HYPERLINK("#",""), HYPERLINK(CONCATENATE("#Metadata!", ADDRESS(INDEX($Q$2:$Q$1001,MATCH(ROWS($O$2:O230),$O$2:$O$1001,0),0), INDEX($V$1004:$AE$1004,1,MATCH(COLUMNS($V$1006:Y1006),$V$1006:$AE$1006,0)))),"Fix")))</f>
        <v>0</v>
      </c>
      <c r="F230" s="4">
        <f>IF(OR(INDEX($P$2:$P$1001,MATCH(ROWS($O$2:O230),$O$2:$O$1001,0),1)&gt;=100000,INDEX($V$1005:$AE$1005,1,MATCH(COLUMNS($V$1006:Z1006),$V$1006:$AE$1006,0))&gt;=100000), " ",IF(INDEX($V$2:$AE$1001,MATCH(ROWS($O$2:O230),$O$2:$O$1001,0),MATCH(COLUMNS($V$1006:Z1006),$V$1006:$AE$1006,0)), HYPERLINK("#",""), HYPERLINK(CONCATENATE("#Metadata!", ADDRESS(INDEX($Q$2:$Q$1001,MATCH(ROWS($O$2:O230),$O$2:$O$1001,0),0), INDEX($V$1004:$AE$1004,1,MATCH(COLUMNS($V$1006:Z1006),$V$1006:$AE$1006,0)))),"Fix")))</f>
        <v>0</v>
      </c>
      <c r="G230" s="4">
        <f>IF(OR(INDEX($P$2:$P$1001,MATCH(ROWS($O$2:O230),$O$2:$O$1001,0),1)&gt;=100000,INDEX($V$1005:$AE$1005,1,MATCH(COLUMNS($V$1006:AA1006),$V$1006:$AE$1006,0))&gt;=100000), " ",IF(INDEX($V$2:$AE$1001,MATCH(ROWS($O$2:O230),$O$2:$O$1001,0),MATCH(COLUMNS($V$1006:AA1006),$V$1006:$AE$1006,0)), HYPERLINK("#",""), HYPERLINK(CONCATENATE("#Metadata!", ADDRESS(INDEX($Q$2:$Q$1001,MATCH(ROWS($O$2:O230),$O$2:$O$1001,0),0), INDEX($V$1004:$AE$1004,1,MATCH(COLUMNS($V$1006:AA1006),$V$1006:$AE$1006,0)))),"Fix")))</f>
        <v>0</v>
      </c>
      <c r="H230" s="4">
        <f>IF(OR(INDEX($P$2:$P$1001,MATCH(ROWS($O$2:O230),$O$2:$O$1001,0),1)&gt;=100000,INDEX($V$1005:$AE$1005,1,MATCH(COLUMNS($V$1006:AB1006),$V$1006:$AE$1006,0))&gt;=100000), " ",IF(INDEX($V$2:$AE$1001,MATCH(ROWS($O$2:O230),$O$2:$O$1001,0),MATCH(COLUMNS($V$1006:AB1006),$V$1006:$AE$1006,0)), HYPERLINK("#",""), HYPERLINK(CONCATENATE("#Metadata!", ADDRESS(INDEX($Q$2:$Q$1001,MATCH(ROWS($O$2:O230),$O$2:$O$1001,0),0), INDEX($V$1004:$AE$1004,1,MATCH(COLUMNS($V$1006:AB1006),$V$1006:$AE$1006,0)))),"Fix")))</f>
        <v>0</v>
      </c>
      <c r="I230" s="4">
        <f>IF(OR(INDEX($P$2:$P$1001,MATCH(ROWS($O$2:O230),$O$2:$O$1001,0),1)&gt;=100000,INDEX($V$1005:$AE$1005,1,MATCH(COLUMNS($V$1006:AC1006),$V$1006:$AE$1006,0))&gt;=100000), " ",IF(INDEX($V$2:$AE$1001,MATCH(ROWS($O$2:O230),$O$2:$O$1001,0),MATCH(COLUMNS($V$1006:AC1006),$V$1006:$AE$1006,0)), HYPERLINK("#",""), HYPERLINK(CONCATENATE("#Metadata!", ADDRESS(INDEX($Q$2:$Q$1001,MATCH(ROWS($O$2:O230),$O$2:$O$1001,0),0), INDEX($V$1004:$AE$1004,1,MATCH(COLUMNS($V$1006:AC1006),$V$1006:$AE$1006,0)))),"Fix")))</f>
        <v>0</v>
      </c>
      <c r="J230" s="4">
        <f>IF(OR(INDEX($P$2:$P$1001,MATCH(ROWS($O$2:O230),$O$2:$O$1001,0),1)&gt;=100000,INDEX($V$1005:$AE$1005,1,MATCH(COLUMNS($V$1006:AD1006),$V$1006:$AE$1006,0))&gt;=100000), " ",IF(INDEX($V$2:$AE$1001,MATCH(ROWS($O$2:O230),$O$2:$O$1001,0),MATCH(COLUMNS($V$1006:AD1006),$V$1006:$AE$1006,0)), HYPERLINK("#",""), HYPERLINK(CONCATENATE("#Metadata!", ADDRESS(INDEX($Q$2:$Q$1001,MATCH(ROWS($O$2:O230),$O$2:$O$1001,0),0), INDEX($V$1004:$AE$1004,1,MATCH(COLUMNS($V$1006:AD1006),$V$1006:$AE$1006,0)))),"Fix")))</f>
        <v>0</v>
      </c>
      <c r="K230" s="4">
        <f>IF(OR(INDEX($P$2:$P$1001,MATCH(ROWS($O$2:O230),$O$2:$O$1001,0),1)&gt;=100000,INDEX($V$1005:$AE$1005,1,MATCH(COLUMNS($V$1006:AE1006),$V$1006:$AE$1006,0))&gt;=100000), " ",IF(INDEX($V$2:$AE$1001,MATCH(ROWS($O$2:O230),$O$2:$O$1001,0),MATCH(COLUMNS($V$1006:AE1006),$V$1006:$AE$1006,0)), HYPERLINK("#",""), HYPERLINK(CONCATENATE("#Metadata!", ADDRESS(INDEX($Q$2:$Q$1001,MATCH(ROWS($O$2:O230),$O$2:$O$1001,0),0), INDEX($V$1004:$AE$1004,1,MATCH(COLUMNS($V$1006:AE1006),$V$1006:$AE$1006,0)))),"Fix")))</f>
        <v>0</v>
      </c>
      <c r="O230">
        <v>0</v>
      </c>
      <c r="P230">
        <v>0</v>
      </c>
      <c r="Q230">
        <v>0</v>
      </c>
      <c r="R230">
        <f>IF(S230,TRUE,AND(V230:AE230))</f>
        <v>0</v>
      </c>
      <c r="S230">
        <f>COUNTBLANK(Metadata!B230:K230)=COLUMNS(Metadata!B230:K230)</f>
        <v>0</v>
      </c>
      <c r="T230">
        <v>0</v>
      </c>
      <c r="V230">
        <f>AND(IF(Metadata!B230="",FALSE,TRUE),COUNTIF(Metadata!B:B, Metadata!B230) = 1,NOT(ISERROR(SUMPRODUCT(SEARCH(MID(Metadata!B230,ROW(INDIRECT("1:"&amp;LEN(Metadata!B230))), 1),"0123456789abcdefghijklmnopqrstuvwxyzABCDEFGHIJKLMNOPQRSTUVWXYZ.")))))</f>
        <v>0</v>
      </c>
      <c r="W230">
        <f>AND(IF(Metadata!C230="",FALSE,TRUE),exact(Metadata!C230,"urban biome"))</f>
        <v>0</v>
      </c>
      <c r="X230">
        <f>AND(IF(Metadata!D230="",FALSE,TRUE),exact(Metadata!D230,"animal-associated habitat"))</f>
        <v>0</v>
      </c>
      <c r="Y230">
        <f>OR(AND(IF(Metadata!E230="",FALSE,TRUE),OR(exact(Metadata!E230,"not applicable"),exact(Metadata!E230,"missing: not collected"),exact(Metadata!E230,"missing: not provided"),exact(Metadata!E230,"missing: restricted access"))),AND(IF(Metadata!E230="",FALSE,ISNUMBER(VALUE(Metadata!E230))),Metadata!E230&gt;0))</f>
        <v>0</v>
      </c>
      <c r="Z230">
        <f>AND(IF(Metadata!F230="",FALSE,TRUE),exact(Metadata!F230,"weeks"))</f>
        <v>0</v>
      </c>
      <c r="AA230">
        <f>AND(IF(Metadata!G230="",FALSE,TRUE),exact(Metadata!G230,"mouse"))</f>
        <v>0</v>
      </c>
      <c r="AB230">
        <f>AND(IF(Metadata!H230="",FALSE,TRUE),exact(Metadata!H230,"Mus musculus"))</f>
        <v>0</v>
      </c>
      <c r="AC230">
        <f>AND(IF(Metadata!I230="",FALSE,TRUE),exact(Metadata!I230,"10090"))</f>
        <v>0</v>
      </c>
      <c r="AD230">
        <f>OR(AND(IF(Metadata!J230="",FALSE,TRUE),OR(exact(Metadata!J230,"not applicable"),exact(Metadata!J230,"missing: not collected"),exact(Metadata!J230,"missing: not provided"),exact(Metadata!J230,"missing: restricted access"))),AND(IF(Metadata!J230="",FALSE,ISNUMBER(VALUE(Metadata!J230))),Metadata!J230&gt;0))</f>
        <v>0</v>
      </c>
      <c r="AE230">
        <f>AND(IF(Metadata!K230="",FALSE,TRUE),exact(Metadata!K230,"g"))</f>
        <v>0</v>
      </c>
    </row>
    <row r="231" spans="1:31">
      <c r="A231" s="5">
        <f>IF(B231=" "," ",HYPERLINK(CONCATENATE("#metadata!",ADDRESS(INDEX($Q$2:$Q$1001,MATCH(ROWS($O$2:O231),$O$2:$O$1001,0),0),1)),INDEX($T$2:$T$1001,MATCH(ROWS($O$2:O231),$O$2:$O$1001,0),0)))</f>
        <v>0</v>
      </c>
      <c r="B231" s="4">
        <f>IF(OR(INDEX($P$2:$P$1001,MATCH(ROWS($O$2:O231),$O$2:$O$1001,0),1)&gt;=100000,INDEX($V$1005:$AE$1005,1,MATCH(COLUMNS($V$1006:V1006),$V$1006:$AE$1006,0))&gt;=100000), " ",IF(INDEX($V$2:$AE$1001,MATCH(ROWS($O$2:O231),$O$2:$O$1001,0),MATCH(COLUMNS($V$1006:V1006),$V$1006:$AE$1006,0)), HYPERLINK("#",""), HYPERLINK(CONCATENATE("#Metadata!", ADDRESS(INDEX($Q$2:$Q$1001,MATCH(ROWS($O$2:O231),$O$2:$O$1001,0),0), INDEX($V$1004:$AE$1004,1,MATCH(COLUMNS($V$1006:V1006),$V$1006:$AE$1006,0)))),"Fix")))</f>
        <v>0</v>
      </c>
      <c r="C231" s="4">
        <f>IF(OR(INDEX($P$2:$P$1001,MATCH(ROWS($O$2:O231),$O$2:$O$1001,0),1)&gt;=100000,INDEX($V$1005:$AE$1005,1,MATCH(COLUMNS($V$1006:W1006),$V$1006:$AE$1006,0))&gt;=100000), " ",IF(INDEX($V$2:$AE$1001,MATCH(ROWS($O$2:O231),$O$2:$O$1001,0),MATCH(COLUMNS($V$1006:W1006),$V$1006:$AE$1006,0)), HYPERLINK("#",""), HYPERLINK(CONCATENATE("#Metadata!", ADDRESS(INDEX($Q$2:$Q$1001,MATCH(ROWS($O$2:O231),$O$2:$O$1001,0),0), INDEX($V$1004:$AE$1004,1,MATCH(COLUMNS($V$1006:W1006),$V$1006:$AE$1006,0)))),"Fix")))</f>
        <v>0</v>
      </c>
      <c r="D231" s="4">
        <f>IF(OR(INDEX($P$2:$P$1001,MATCH(ROWS($O$2:O231),$O$2:$O$1001,0),1)&gt;=100000,INDEX($V$1005:$AE$1005,1,MATCH(COLUMNS($V$1006:X1006),$V$1006:$AE$1006,0))&gt;=100000), " ",IF(INDEX($V$2:$AE$1001,MATCH(ROWS($O$2:O231),$O$2:$O$1001,0),MATCH(COLUMNS($V$1006:X1006),$V$1006:$AE$1006,0)), HYPERLINK("#",""), HYPERLINK(CONCATENATE("#Metadata!", ADDRESS(INDEX($Q$2:$Q$1001,MATCH(ROWS($O$2:O231),$O$2:$O$1001,0),0), INDEX($V$1004:$AE$1004,1,MATCH(COLUMNS($V$1006:X1006),$V$1006:$AE$1006,0)))),"Fix")))</f>
        <v>0</v>
      </c>
      <c r="E231" s="4">
        <f>IF(OR(INDEX($P$2:$P$1001,MATCH(ROWS($O$2:O231),$O$2:$O$1001,0),1)&gt;=100000,INDEX($V$1005:$AE$1005,1,MATCH(COLUMNS($V$1006:Y1006),$V$1006:$AE$1006,0))&gt;=100000), " ",IF(INDEX($V$2:$AE$1001,MATCH(ROWS($O$2:O231),$O$2:$O$1001,0),MATCH(COLUMNS($V$1006:Y1006),$V$1006:$AE$1006,0)), HYPERLINK("#",""), HYPERLINK(CONCATENATE("#Metadata!", ADDRESS(INDEX($Q$2:$Q$1001,MATCH(ROWS($O$2:O231),$O$2:$O$1001,0),0), INDEX($V$1004:$AE$1004,1,MATCH(COLUMNS($V$1006:Y1006),$V$1006:$AE$1006,0)))),"Fix")))</f>
        <v>0</v>
      </c>
      <c r="F231" s="4">
        <f>IF(OR(INDEX($P$2:$P$1001,MATCH(ROWS($O$2:O231),$O$2:$O$1001,0),1)&gt;=100000,INDEX($V$1005:$AE$1005,1,MATCH(COLUMNS($V$1006:Z1006),$V$1006:$AE$1006,0))&gt;=100000), " ",IF(INDEX($V$2:$AE$1001,MATCH(ROWS($O$2:O231),$O$2:$O$1001,0),MATCH(COLUMNS($V$1006:Z1006),$V$1006:$AE$1006,0)), HYPERLINK("#",""), HYPERLINK(CONCATENATE("#Metadata!", ADDRESS(INDEX($Q$2:$Q$1001,MATCH(ROWS($O$2:O231),$O$2:$O$1001,0),0), INDEX($V$1004:$AE$1004,1,MATCH(COLUMNS($V$1006:Z1006),$V$1006:$AE$1006,0)))),"Fix")))</f>
        <v>0</v>
      </c>
      <c r="G231" s="4">
        <f>IF(OR(INDEX($P$2:$P$1001,MATCH(ROWS($O$2:O231),$O$2:$O$1001,0),1)&gt;=100000,INDEX($V$1005:$AE$1005,1,MATCH(COLUMNS($V$1006:AA1006),$V$1006:$AE$1006,0))&gt;=100000), " ",IF(INDEX($V$2:$AE$1001,MATCH(ROWS($O$2:O231),$O$2:$O$1001,0),MATCH(COLUMNS($V$1006:AA1006),$V$1006:$AE$1006,0)), HYPERLINK("#",""), HYPERLINK(CONCATENATE("#Metadata!", ADDRESS(INDEX($Q$2:$Q$1001,MATCH(ROWS($O$2:O231),$O$2:$O$1001,0),0), INDEX($V$1004:$AE$1004,1,MATCH(COLUMNS($V$1006:AA1006),$V$1006:$AE$1006,0)))),"Fix")))</f>
        <v>0</v>
      </c>
      <c r="H231" s="4">
        <f>IF(OR(INDEX($P$2:$P$1001,MATCH(ROWS($O$2:O231),$O$2:$O$1001,0),1)&gt;=100000,INDEX($V$1005:$AE$1005,1,MATCH(COLUMNS($V$1006:AB1006),$V$1006:$AE$1006,0))&gt;=100000), " ",IF(INDEX($V$2:$AE$1001,MATCH(ROWS($O$2:O231),$O$2:$O$1001,0),MATCH(COLUMNS($V$1006:AB1006),$V$1006:$AE$1006,0)), HYPERLINK("#",""), HYPERLINK(CONCATENATE("#Metadata!", ADDRESS(INDEX($Q$2:$Q$1001,MATCH(ROWS($O$2:O231),$O$2:$O$1001,0),0), INDEX($V$1004:$AE$1004,1,MATCH(COLUMNS($V$1006:AB1006),$V$1006:$AE$1006,0)))),"Fix")))</f>
        <v>0</v>
      </c>
      <c r="I231" s="4">
        <f>IF(OR(INDEX($P$2:$P$1001,MATCH(ROWS($O$2:O231),$O$2:$O$1001,0),1)&gt;=100000,INDEX($V$1005:$AE$1005,1,MATCH(COLUMNS($V$1006:AC1006),$V$1006:$AE$1006,0))&gt;=100000), " ",IF(INDEX($V$2:$AE$1001,MATCH(ROWS($O$2:O231),$O$2:$O$1001,0),MATCH(COLUMNS($V$1006:AC1006),$V$1006:$AE$1006,0)), HYPERLINK("#",""), HYPERLINK(CONCATENATE("#Metadata!", ADDRESS(INDEX($Q$2:$Q$1001,MATCH(ROWS($O$2:O231),$O$2:$O$1001,0),0), INDEX($V$1004:$AE$1004,1,MATCH(COLUMNS($V$1006:AC1006),$V$1006:$AE$1006,0)))),"Fix")))</f>
        <v>0</v>
      </c>
      <c r="J231" s="4">
        <f>IF(OR(INDEX($P$2:$P$1001,MATCH(ROWS($O$2:O231),$O$2:$O$1001,0),1)&gt;=100000,INDEX($V$1005:$AE$1005,1,MATCH(COLUMNS($V$1006:AD1006),$V$1006:$AE$1006,0))&gt;=100000), " ",IF(INDEX($V$2:$AE$1001,MATCH(ROWS($O$2:O231),$O$2:$O$1001,0),MATCH(COLUMNS($V$1006:AD1006),$V$1006:$AE$1006,0)), HYPERLINK("#",""), HYPERLINK(CONCATENATE("#Metadata!", ADDRESS(INDEX($Q$2:$Q$1001,MATCH(ROWS($O$2:O231),$O$2:$O$1001,0),0), INDEX($V$1004:$AE$1004,1,MATCH(COLUMNS($V$1006:AD1006),$V$1006:$AE$1006,0)))),"Fix")))</f>
        <v>0</v>
      </c>
      <c r="K231" s="4">
        <f>IF(OR(INDEX($P$2:$P$1001,MATCH(ROWS($O$2:O231),$O$2:$O$1001,0),1)&gt;=100000,INDEX($V$1005:$AE$1005,1,MATCH(COLUMNS($V$1006:AE1006),$V$1006:$AE$1006,0))&gt;=100000), " ",IF(INDEX($V$2:$AE$1001,MATCH(ROWS($O$2:O231),$O$2:$O$1001,0),MATCH(COLUMNS($V$1006:AE1006),$V$1006:$AE$1006,0)), HYPERLINK("#",""), HYPERLINK(CONCATENATE("#Metadata!", ADDRESS(INDEX($Q$2:$Q$1001,MATCH(ROWS($O$2:O231),$O$2:$O$1001,0),0), INDEX($V$1004:$AE$1004,1,MATCH(COLUMNS($V$1006:AE1006),$V$1006:$AE$1006,0)))),"Fix")))</f>
        <v>0</v>
      </c>
      <c r="O231">
        <v>0</v>
      </c>
      <c r="P231">
        <v>0</v>
      </c>
      <c r="Q231">
        <v>0</v>
      </c>
      <c r="R231">
        <f>IF(S231,TRUE,AND(V231:AE231))</f>
        <v>0</v>
      </c>
      <c r="S231">
        <f>COUNTBLANK(Metadata!B231:K231)=COLUMNS(Metadata!B231:K231)</f>
        <v>0</v>
      </c>
      <c r="T231">
        <v>0</v>
      </c>
      <c r="V231">
        <f>AND(IF(Metadata!B231="",FALSE,TRUE),COUNTIF(Metadata!B:B, Metadata!B231) = 1,NOT(ISERROR(SUMPRODUCT(SEARCH(MID(Metadata!B231,ROW(INDIRECT("1:"&amp;LEN(Metadata!B231))), 1),"0123456789abcdefghijklmnopqrstuvwxyzABCDEFGHIJKLMNOPQRSTUVWXYZ.")))))</f>
        <v>0</v>
      </c>
      <c r="W231">
        <f>AND(IF(Metadata!C231="",FALSE,TRUE),exact(Metadata!C231,"urban biome"))</f>
        <v>0</v>
      </c>
      <c r="X231">
        <f>AND(IF(Metadata!D231="",FALSE,TRUE),exact(Metadata!D231,"animal-associated habitat"))</f>
        <v>0</v>
      </c>
      <c r="Y231">
        <f>OR(AND(IF(Metadata!E231="",FALSE,TRUE),OR(exact(Metadata!E231,"not applicable"),exact(Metadata!E231,"missing: not collected"),exact(Metadata!E231,"missing: not provided"),exact(Metadata!E231,"missing: restricted access"))),AND(IF(Metadata!E231="",FALSE,ISNUMBER(VALUE(Metadata!E231))),Metadata!E231&gt;0))</f>
        <v>0</v>
      </c>
      <c r="Z231">
        <f>AND(IF(Metadata!F231="",FALSE,TRUE),exact(Metadata!F231,"weeks"))</f>
        <v>0</v>
      </c>
      <c r="AA231">
        <f>AND(IF(Metadata!G231="",FALSE,TRUE),exact(Metadata!G231,"mouse"))</f>
        <v>0</v>
      </c>
      <c r="AB231">
        <f>AND(IF(Metadata!H231="",FALSE,TRUE),exact(Metadata!H231,"Mus musculus"))</f>
        <v>0</v>
      </c>
      <c r="AC231">
        <f>AND(IF(Metadata!I231="",FALSE,TRUE),exact(Metadata!I231,"10090"))</f>
        <v>0</v>
      </c>
      <c r="AD231">
        <f>OR(AND(IF(Metadata!J231="",FALSE,TRUE),OR(exact(Metadata!J231,"not applicable"),exact(Metadata!J231,"missing: not collected"),exact(Metadata!J231,"missing: not provided"),exact(Metadata!J231,"missing: restricted access"))),AND(IF(Metadata!J231="",FALSE,ISNUMBER(VALUE(Metadata!J231))),Metadata!J231&gt;0))</f>
        <v>0</v>
      </c>
      <c r="AE231">
        <f>AND(IF(Metadata!K231="",FALSE,TRUE),exact(Metadata!K231,"g"))</f>
        <v>0</v>
      </c>
    </row>
    <row r="232" spans="1:31">
      <c r="A232" s="5">
        <f>IF(B232=" "," ",HYPERLINK(CONCATENATE("#metadata!",ADDRESS(INDEX($Q$2:$Q$1001,MATCH(ROWS($O$2:O232),$O$2:$O$1001,0),0),1)),INDEX($T$2:$T$1001,MATCH(ROWS($O$2:O232),$O$2:$O$1001,0),0)))</f>
        <v>0</v>
      </c>
      <c r="B232" s="4">
        <f>IF(OR(INDEX($P$2:$P$1001,MATCH(ROWS($O$2:O232),$O$2:$O$1001,0),1)&gt;=100000,INDEX($V$1005:$AE$1005,1,MATCH(COLUMNS($V$1006:V1006),$V$1006:$AE$1006,0))&gt;=100000), " ",IF(INDEX($V$2:$AE$1001,MATCH(ROWS($O$2:O232),$O$2:$O$1001,0),MATCH(COLUMNS($V$1006:V1006),$V$1006:$AE$1006,0)), HYPERLINK("#",""), HYPERLINK(CONCATENATE("#Metadata!", ADDRESS(INDEX($Q$2:$Q$1001,MATCH(ROWS($O$2:O232),$O$2:$O$1001,0),0), INDEX($V$1004:$AE$1004,1,MATCH(COLUMNS($V$1006:V1006),$V$1006:$AE$1006,0)))),"Fix")))</f>
        <v>0</v>
      </c>
      <c r="C232" s="4">
        <f>IF(OR(INDEX($P$2:$P$1001,MATCH(ROWS($O$2:O232),$O$2:$O$1001,0),1)&gt;=100000,INDEX($V$1005:$AE$1005,1,MATCH(COLUMNS($V$1006:W1006),$V$1006:$AE$1006,0))&gt;=100000), " ",IF(INDEX($V$2:$AE$1001,MATCH(ROWS($O$2:O232),$O$2:$O$1001,0),MATCH(COLUMNS($V$1006:W1006),$V$1006:$AE$1006,0)), HYPERLINK("#",""), HYPERLINK(CONCATENATE("#Metadata!", ADDRESS(INDEX($Q$2:$Q$1001,MATCH(ROWS($O$2:O232),$O$2:$O$1001,0),0), INDEX($V$1004:$AE$1004,1,MATCH(COLUMNS($V$1006:W1006),$V$1006:$AE$1006,0)))),"Fix")))</f>
        <v>0</v>
      </c>
      <c r="D232" s="4">
        <f>IF(OR(INDEX($P$2:$P$1001,MATCH(ROWS($O$2:O232),$O$2:$O$1001,0),1)&gt;=100000,INDEX($V$1005:$AE$1005,1,MATCH(COLUMNS($V$1006:X1006),$V$1006:$AE$1006,0))&gt;=100000), " ",IF(INDEX($V$2:$AE$1001,MATCH(ROWS($O$2:O232),$O$2:$O$1001,0),MATCH(COLUMNS($V$1006:X1006),$V$1006:$AE$1006,0)), HYPERLINK("#",""), HYPERLINK(CONCATENATE("#Metadata!", ADDRESS(INDEX($Q$2:$Q$1001,MATCH(ROWS($O$2:O232),$O$2:$O$1001,0),0), INDEX($V$1004:$AE$1004,1,MATCH(COLUMNS($V$1006:X1006),$V$1006:$AE$1006,0)))),"Fix")))</f>
        <v>0</v>
      </c>
      <c r="E232" s="4">
        <f>IF(OR(INDEX($P$2:$P$1001,MATCH(ROWS($O$2:O232),$O$2:$O$1001,0),1)&gt;=100000,INDEX($V$1005:$AE$1005,1,MATCH(COLUMNS($V$1006:Y1006),$V$1006:$AE$1006,0))&gt;=100000), " ",IF(INDEX($V$2:$AE$1001,MATCH(ROWS($O$2:O232),$O$2:$O$1001,0),MATCH(COLUMNS($V$1006:Y1006),$V$1006:$AE$1006,0)), HYPERLINK("#",""), HYPERLINK(CONCATENATE("#Metadata!", ADDRESS(INDEX($Q$2:$Q$1001,MATCH(ROWS($O$2:O232),$O$2:$O$1001,0),0), INDEX($V$1004:$AE$1004,1,MATCH(COLUMNS($V$1006:Y1006),$V$1006:$AE$1006,0)))),"Fix")))</f>
        <v>0</v>
      </c>
      <c r="F232" s="4">
        <f>IF(OR(INDEX($P$2:$P$1001,MATCH(ROWS($O$2:O232),$O$2:$O$1001,0),1)&gt;=100000,INDEX($V$1005:$AE$1005,1,MATCH(COLUMNS($V$1006:Z1006),$V$1006:$AE$1006,0))&gt;=100000), " ",IF(INDEX($V$2:$AE$1001,MATCH(ROWS($O$2:O232),$O$2:$O$1001,0),MATCH(COLUMNS($V$1006:Z1006),$V$1006:$AE$1006,0)), HYPERLINK("#",""), HYPERLINK(CONCATENATE("#Metadata!", ADDRESS(INDEX($Q$2:$Q$1001,MATCH(ROWS($O$2:O232),$O$2:$O$1001,0),0), INDEX($V$1004:$AE$1004,1,MATCH(COLUMNS($V$1006:Z1006),$V$1006:$AE$1006,0)))),"Fix")))</f>
        <v>0</v>
      </c>
      <c r="G232" s="4">
        <f>IF(OR(INDEX($P$2:$P$1001,MATCH(ROWS($O$2:O232),$O$2:$O$1001,0),1)&gt;=100000,INDEX($V$1005:$AE$1005,1,MATCH(COLUMNS($V$1006:AA1006),$V$1006:$AE$1006,0))&gt;=100000), " ",IF(INDEX($V$2:$AE$1001,MATCH(ROWS($O$2:O232),$O$2:$O$1001,0),MATCH(COLUMNS($V$1006:AA1006),$V$1006:$AE$1006,0)), HYPERLINK("#",""), HYPERLINK(CONCATENATE("#Metadata!", ADDRESS(INDEX($Q$2:$Q$1001,MATCH(ROWS($O$2:O232),$O$2:$O$1001,0),0), INDEX($V$1004:$AE$1004,1,MATCH(COLUMNS($V$1006:AA1006),$V$1006:$AE$1006,0)))),"Fix")))</f>
        <v>0</v>
      </c>
      <c r="H232" s="4">
        <f>IF(OR(INDEX($P$2:$P$1001,MATCH(ROWS($O$2:O232),$O$2:$O$1001,0),1)&gt;=100000,INDEX($V$1005:$AE$1005,1,MATCH(COLUMNS($V$1006:AB1006),$V$1006:$AE$1006,0))&gt;=100000), " ",IF(INDEX($V$2:$AE$1001,MATCH(ROWS($O$2:O232),$O$2:$O$1001,0),MATCH(COLUMNS($V$1006:AB1006),$V$1006:$AE$1006,0)), HYPERLINK("#",""), HYPERLINK(CONCATENATE("#Metadata!", ADDRESS(INDEX($Q$2:$Q$1001,MATCH(ROWS($O$2:O232),$O$2:$O$1001,0),0), INDEX($V$1004:$AE$1004,1,MATCH(COLUMNS($V$1006:AB1006),$V$1006:$AE$1006,0)))),"Fix")))</f>
        <v>0</v>
      </c>
      <c r="I232" s="4">
        <f>IF(OR(INDEX($P$2:$P$1001,MATCH(ROWS($O$2:O232),$O$2:$O$1001,0),1)&gt;=100000,INDEX($V$1005:$AE$1005,1,MATCH(COLUMNS($V$1006:AC1006),$V$1006:$AE$1006,0))&gt;=100000), " ",IF(INDEX($V$2:$AE$1001,MATCH(ROWS($O$2:O232),$O$2:$O$1001,0),MATCH(COLUMNS($V$1006:AC1006),$V$1006:$AE$1006,0)), HYPERLINK("#",""), HYPERLINK(CONCATENATE("#Metadata!", ADDRESS(INDEX($Q$2:$Q$1001,MATCH(ROWS($O$2:O232),$O$2:$O$1001,0),0), INDEX($V$1004:$AE$1004,1,MATCH(COLUMNS($V$1006:AC1006),$V$1006:$AE$1006,0)))),"Fix")))</f>
        <v>0</v>
      </c>
      <c r="J232" s="4">
        <f>IF(OR(INDEX($P$2:$P$1001,MATCH(ROWS($O$2:O232),$O$2:$O$1001,0),1)&gt;=100000,INDEX($V$1005:$AE$1005,1,MATCH(COLUMNS($V$1006:AD1006),$V$1006:$AE$1006,0))&gt;=100000), " ",IF(INDEX($V$2:$AE$1001,MATCH(ROWS($O$2:O232),$O$2:$O$1001,0),MATCH(COLUMNS($V$1006:AD1006),$V$1006:$AE$1006,0)), HYPERLINK("#",""), HYPERLINK(CONCATENATE("#Metadata!", ADDRESS(INDEX($Q$2:$Q$1001,MATCH(ROWS($O$2:O232),$O$2:$O$1001,0),0), INDEX($V$1004:$AE$1004,1,MATCH(COLUMNS($V$1006:AD1006),$V$1006:$AE$1006,0)))),"Fix")))</f>
        <v>0</v>
      </c>
      <c r="K232" s="4">
        <f>IF(OR(INDEX($P$2:$P$1001,MATCH(ROWS($O$2:O232),$O$2:$O$1001,0),1)&gt;=100000,INDEX($V$1005:$AE$1005,1,MATCH(COLUMNS($V$1006:AE1006),$V$1006:$AE$1006,0))&gt;=100000), " ",IF(INDEX($V$2:$AE$1001,MATCH(ROWS($O$2:O232),$O$2:$O$1001,0),MATCH(COLUMNS($V$1006:AE1006),$V$1006:$AE$1006,0)), HYPERLINK("#",""), HYPERLINK(CONCATENATE("#Metadata!", ADDRESS(INDEX($Q$2:$Q$1001,MATCH(ROWS($O$2:O232),$O$2:$O$1001,0),0), INDEX($V$1004:$AE$1004,1,MATCH(COLUMNS($V$1006:AE1006),$V$1006:$AE$1006,0)))),"Fix")))</f>
        <v>0</v>
      </c>
      <c r="O232">
        <v>0</v>
      </c>
      <c r="P232">
        <v>0</v>
      </c>
      <c r="Q232">
        <v>0</v>
      </c>
      <c r="R232">
        <f>IF(S232,TRUE,AND(V232:AE232))</f>
        <v>0</v>
      </c>
      <c r="S232">
        <f>COUNTBLANK(Metadata!B232:K232)=COLUMNS(Metadata!B232:K232)</f>
        <v>0</v>
      </c>
      <c r="T232">
        <v>0</v>
      </c>
      <c r="V232">
        <f>AND(IF(Metadata!B232="",FALSE,TRUE),COUNTIF(Metadata!B:B, Metadata!B232) = 1,NOT(ISERROR(SUMPRODUCT(SEARCH(MID(Metadata!B232,ROW(INDIRECT("1:"&amp;LEN(Metadata!B232))), 1),"0123456789abcdefghijklmnopqrstuvwxyzABCDEFGHIJKLMNOPQRSTUVWXYZ.")))))</f>
        <v>0</v>
      </c>
      <c r="W232">
        <f>AND(IF(Metadata!C232="",FALSE,TRUE),exact(Metadata!C232,"urban biome"))</f>
        <v>0</v>
      </c>
      <c r="X232">
        <f>AND(IF(Metadata!D232="",FALSE,TRUE),exact(Metadata!D232,"animal-associated habitat"))</f>
        <v>0</v>
      </c>
      <c r="Y232">
        <f>OR(AND(IF(Metadata!E232="",FALSE,TRUE),OR(exact(Metadata!E232,"not applicable"),exact(Metadata!E232,"missing: not collected"),exact(Metadata!E232,"missing: not provided"),exact(Metadata!E232,"missing: restricted access"))),AND(IF(Metadata!E232="",FALSE,ISNUMBER(VALUE(Metadata!E232))),Metadata!E232&gt;0))</f>
        <v>0</v>
      </c>
      <c r="Z232">
        <f>AND(IF(Metadata!F232="",FALSE,TRUE),exact(Metadata!F232,"weeks"))</f>
        <v>0</v>
      </c>
      <c r="AA232">
        <f>AND(IF(Metadata!G232="",FALSE,TRUE),exact(Metadata!G232,"mouse"))</f>
        <v>0</v>
      </c>
      <c r="AB232">
        <f>AND(IF(Metadata!H232="",FALSE,TRUE),exact(Metadata!H232,"Mus musculus"))</f>
        <v>0</v>
      </c>
      <c r="AC232">
        <f>AND(IF(Metadata!I232="",FALSE,TRUE),exact(Metadata!I232,"10090"))</f>
        <v>0</v>
      </c>
      <c r="AD232">
        <f>OR(AND(IF(Metadata!J232="",FALSE,TRUE),OR(exact(Metadata!J232,"not applicable"),exact(Metadata!J232,"missing: not collected"),exact(Metadata!J232,"missing: not provided"),exact(Metadata!J232,"missing: restricted access"))),AND(IF(Metadata!J232="",FALSE,ISNUMBER(VALUE(Metadata!J232))),Metadata!J232&gt;0))</f>
        <v>0</v>
      </c>
      <c r="AE232">
        <f>AND(IF(Metadata!K232="",FALSE,TRUE),exact(Metadata!K232,"g"))</f>
        <v>0</v>
      </c>
    </row>
    <row r="233" spans="1:31">
      <c r="A233" s="5">
        <f>IF(B233=" "," ",HYPERLINK(CONCATENATE("#metadata!",ADDRESS(INDEX($Q$2:$Q$1001,MATCH(ROWS($O$2:O233),$O$2:$O$1001,0),0),1)),INDEX($T$2:$T$1001,MATCH(ROWS($O$2:O233),$O$2:$O$1001,0),0)))</f>
        <v>0</v>
      </c>
      <c r="B233" s="4">
        <f>IF(OR(INDEX($P$2:$P$1001,MATCH(ROWS($O$2:O233),$O$2:$O$1001,0),1)&gt;=100000,INDEX($V$1005:$AE$1005,1,MATCH(COLUMNS($V$1006:V1006),$V$1006:$AE$1006,0))&gt;=100000), " ",IF(INDEX($V$2:$AE$1001,MATCH(ROWS($O$2:O233),$O$2:$O$1001,0),MATCH(COLUMNS($V$1006:V1006),$V$1006:$AE$1006,0)), HYPERLINK("#",""), HYPERLINK(CONCATENATE("#Metadata!", ADDRESS(INDEX($Q$2:$Q$1001,MATCH(ROWS($O$2:O233),$O$2:$O$1001,0),0), INDEX($V$1004:$AE$1004,1,MATCH(COLUMNS($V$1006:V1006),$V$1006:$AE$1006,0)))),"Fix")))</f>
        <v>0</v>
      </c>
      <c r="C233" s="4">
        <f>IF(OR(INDEX($P$2:$P$1001,MATCH(ROWS($O$2:O233),$O$2:$O$1001,0),1)&gt;=100000,INDEX($V$1005:$AE$1005,1,MATCH(COLUMNS($V$1006:W1006),$V$1006:$AE$1006,0))&gt;=100000), " ",IF(INDEX($V$2:$AE$1001,MATCH(ROWS($O$2:O233),$O$2:$O$1001,0),MATCH(COLUMNS($V$1006:W1006),$V$1006:$AE$1006,0)), HYPERLINK("#",""), HYPERLINK(CONCATENATE("#Metadata!", ADDRESS(INDEX($Q$2:$Q$1001,MATCH(ROWS($O$2:O233),$O$2:$O$1001,0),0), INDEX($V$1004:$AE$1004,1,MATCH(COLUMNS($V$1006:W1006),$V$1006:$AE$1006,0)))),"Fix")))</f>
        <v>0</v>
      </c>
      <c r="D233" s="4">
        <f>IF(OR(INDEX($P$2:$P$1001,MATCH(ROWS($O$2:O233),$O$2:$O$1001,0),1)&gt;=100000,INDEX($V$1005:$AE$1005,1,MATCH(COLUMNS($V$1006:X1006),$V$1006:$AE$1006,0))&gt;=100000), " ",IF(INDEX($V$2:$AE$1001,MATCH(ROWS($O$2:O233),$O$2:$O$1001,0),MATCH(COLUMNS($V$1006:X1006),$V$1006:$AE$1006,0)), HYPERLINK("#",""), HYPERLINK(CONCATENATE("#Metadata!", ADDRESS(INDEX($Q$2:$Q$1001,MATCH(ROWS($O$2:O233),$O$2:$O$1001,0),0), INDEX($V$1004:$AE$1004,1,MATCH(COLUMNS($V$1006:X1006),$V$1006:$AE$1006,0)))),"Fix")))</f>
        <v>0</v>
      </c>
      <c r="E233" s="4">
        <f>IF(OR(INDEX($P$2:$P$1001,MATCH(ROWS($O$2:O233),$O$2:$O$1001,0),1)&gt;=100000,INDEX($V$1005:$AE$1005,1,MATCH(COLUMNS($V$1006:Y1006),$V$1006:$AE$1006,0))&gt;=100000), " ",IF(INDEX($V$2:$AE$1001,MATCH(ROWS($O$2:O233),$O$2:$O$1001,0),MATCH(COLUMNS($V$1006:Y1006),$V$1006:$AE$1006,0)), HYPERLINK("#",""), HYPERLINK(CONCATENATE("#Metadata!", ADDRESS(INDEX($Q$2:$Q$1001,MATCH(ROWS($O$2:O233),$O$2:$O$1001,0),0), INDEX($V$1004:$AE$1004,1,MATCH(COLUMNS($V$1006:Y1006),$V$1006:$AE$1006,0)))),"Fix")))</f>
        <v>0</v>
      </c>
      <c r="F233" s="4">
        <f>IF(OR(INDEX($P$2:$P$1001,MATCH(ROWS($O$2:O233),$O$2:$O$1001,0),1)&gt;=100000,INDEX($V$1005:$AE$1005,1,MATCH(COLUMNS($V$1006:Z1006),$V$1006:$AE$1006,0))&gt;=100000), " ",IF(INDEX($V$2:$AE$1001,MATCH(ROWS($O$2:O233),$O$2:$O$1001,0),MATCH(COLUMNS($V$1006:Z1006),$V$1006:$AE$1006,0)), HYPERLINK("#",""), HYPERLINK(CONCATENATE("#Metadata!", ADDRESS(INDEX($Q$2:$Q$1001,MATCH(ROWS($O$2:O233),$O$2:$O$1001,0),0), INDEX($V$1004:$AE$1004,1,MATCH(COLUMNS($V$1006:Z1006),$V$1006:$AE$1006,0)))),"Fix")))</f>
        <v>0</v>
      </c>
      <c r="G233" s="4">
        <f>IF(OR(INDEX($P$2:$P$1001,MATCH(ROWS($O$2:O233),$O$2:$O$1001,0),1)&gt;=100000,INDEX($V$1005:$AE$1005,1,MATCH(COLUMNS($V$1006:AA1006),$V$1006:$AE$1006,0))&gt;=100000), " ",IF(INDEX($V$2:$AE$1001,MATCH(ROWS($O$2:O233),$O$2:$O$1001,0),MATCH(COLUMNS($V$1006:AA1006),$V$1006:$AE$1006,0)), HYPERLINK("#",""), HYPERLINK(CONCATENATE("#Metadata!", ADDRESS(INDEX($Q$2:$Q$1001,MATCH(ROWS($O$2:O233),$O$2:$O$1001,0),0), INDEX($V$1004:$AE$1004,1,MATCH(COLUMNS($V$1006:AA1006),$V$1006:$AE$1006,0)))),"Fix")))</f>
        <v>0</v>
      </c>
      <c r="H233" s="4">
        <f>IF(OR(INDEX($P$2:$P$1001,MATCH(ROWS($O$2:O233),$O$2:$O$1001,0),1)&gt;=100000,INDEX($V$1005:$AE$1005,1,MATCH(COLUMNS($V$1006:AB1006),$V$1006:$AE$1006,0))&gt;=100000), " ",IF(INDEX($V$2:$AE$1001,MATCH(ROWS($O$2:O233),$O$2:$O$1001,0),MATCH(COLUMNS($V$1006:AB1006),$V$1006:$AE$1006,0)), HYPERLINK("#",""), HYPERLINK(CONCATENATE("#Metadata!", ADDRESS(INDEX($Q$2:$Q$1001,MATCH(ROWS($O$2:O233),$O$2:$O$1001,0),0), INDEX($V$1004:$AE$1004,1,MATCH(COLUMNS($V$1006:AB1006),$V$1006:$AE$1006,0)))),"Fix")))</f>
        <v>0</v>
      </c>
      <c r="I233" s="4">
        <f>IF(OR(INDEX($P$2:$P$1001,MATCH(ROWS($O$2:O233),$O$2:$O$1001,0),1)&gt;=100000,INDEX($V$1005:$AE$1005,1,MATCH(COLUMNS($V$1006:AC1006),$V$1006:$AE$1006,0))&gt;=100000), " ",IF(INDEX($V$2:$AE$1001,MATCH(ROWS($O$2:O233),$O$2:$O$1001,0),MATCH(COLUMNS($V$1006:AC1006),$V$1006:$AE$1006,0)), HYPERLINK("#",""), HYPERLINK(CONCATENATE("#Metadata!", ADDRESS(INDEX($Q$2:$Q$1001,MATCH(ROWS($O$2:O233),$O$2:$O$1001,0),0), INDEX($V$1004:$AE$1004,1,MATCH(COLUMNS($V$1006:AC1006),$V$1006:$AE$1006,0)))),"Fix")))</f>
        <v>0</v>
      </c>
      <c r="J233" s="4">
        <f>IF(OR(INDEX($P$2:$P$1001,MATCH(ROWS($O$2:O233),$O$2:$O$1001,0),1)&gt;=100000,INDEX($V$1005:$AE$1005,1,MATCH(COLUMNS($V$1006:AD1006),$V$1006:$AE$1006,0))&gt;=100000), " ",IF(INDEX($V$2:$AE$1001,MATCH(ROWS($O$2:O233),$O$2:$O$1001,0),MATCH(COLUMNS($V$1006:AD1006),$V$1006:$AE$1006,0)), HYPERLINK("#",""), HYPERLINK(CONCATENATE("#Metadata!", ADDRESS(INDEX($Q$2:$Q$1001,MATCH(ROWS($O$2:O233),$O$2:$O$1001,0),0), INDEX($V$1004:$AE$1004,1,MATCH(COLUMNS($V$1006:AD1006),$V$1006:$AE$1006,0)))),"Fix")))</f>
        <v>0</v>
      </c>
      <c r="K233" s="4">
        <f>IF(OR(INDEX($P$2:$P$1001,MATCH(ROWS($O$2:O233),$O$2:$O$1001,0),1)&gt;=100000,INDEX($V$1005:$AE$1005,1,MATCH(COLUMNS($V$1006:AE1006),$V$1006:$AE$1006,0))&gt;=100000), " ",IF(INDEX($V$2:$AE$1001,MATCH(ROWS($O$2:O233),$O$2:$O$1001,0),MATCH(COLUMNS($V$1006:AE1006),$V$1006:$AE$1006,0)), HYPERLINK("#",""), HYPERLINK(CONCATENATE("#Metadata!", ADDRESS(INDEX($Q$2:$Q$1001,MATCH(ROWS($O$2:O233),$O$2:$O$1001,0),0), INDEX($V$1004:$AE$1004,1,MATCH(COLUMNS($V$1006:AE1006),$V$1006:$AE$1006,0)))),"Fix")))</f>
        <v>0</v>
      </c>
      <c r="O233">
        <v>0</v>
      </c>
      <c r="P233">
        <v>0</v>
      </c>
      <c r="Q233">
        <v>0</v>
      </c>
      <c r="R233">
        <f>IF(S233,TRUE,AND(V233:AE233))</f>
        <v>0</v>
      </c>
      <c r="S233">
        <f>COUNTBLANK(Metadata!B233:K233)=COLUMNS(Metadata!B233:K233)</f>
        <v>0</v>
      </c>
      <c r="T233">
        <v>0</v>
      </c>
      <c r="V233">
        <f>AND(IF(Metadata!B233="",FALSE,TRUE),COUNTIF(Metadata!B:B, Metadata!B233) = 1,NOT(ISERROR(SUMPRODUCT(SEARCH(MID(Metadata!B233,ROW(INDIRECT("1:"&amp;LEN(Metadata!B233))), 1),"0123456789abcdefghijklmnopqrstuvwxyzABCDEFGHIJKLMNOPQRSTUVWXYZ.")))))</f>
        <v>0</v>
      </c>
      <c r="W233">
        <f>AND(IF(Metadata!C233="",FALSE,TRUE),exact(Metadata!C233,"urban biome"))</f>
        <v>0</v>
      </c>
      <c r="X233">
        <f>AND(IF(Metadata!D233="",FALSE,TRUE),exact(Metadata!D233,"animal-associated habitat"))</f>
        <v>0</v>
      </c>
      <c r="Y233">
        <f>OR(AND(IF(Metadata!E233="",FALSE,TRUE),OR(exact(Metadata!E233,"not applicable"),exact(Metadata!E233,"missing: not collected"),exact(Metadata!E233,"missing: not provided"),exact(Metadata!E233,"missing: restricted access"))),AND(IF(Metadata!E233="",FALSE,ISNUMBER(VALUE(Metadata!E233))),Metadata!E233&gt;0))</f>
        <v>0</v>
      </c>
      <c r="Z233">
        <f>AND(IF(Metadata!F233="",FALSE,TRUE),exact(Metadata!F233,"weeks"))</f>
        <v>0</v>
      </c>
      <c r="AA233">
        <f>AND(IF(Metadata!G233="",FALSE,TRUE),exact(Metadata!G233,"mouse"))</f>
        <v>0</v>
      </c>
      <c r="AB233">
        <f>AND(IF(Metadata!H233="",FALSE,TRUE),exact(Metadata!H233,"Mus musculus"))</f>
        <v>0</v>
      </c>
      <c r="AC233">
        <f>AND(IF(Metadata!I233="",FALSE,TRUE),exact(Metadata!I233,"10090"))</f>
        <v>0</v>
      </c>
      <c r="AD233">
        <f>OR(AND(IF(Metadata!J233="",FALSE,TRUE),OR(exact(Metadata!J233,"not applicable"),exact(Metadata!J233,"missing: not collected"),exact(Metadata!J233,"missing: not provided"),exact(Metadata!J233,"missing: restricted access"))),AND(IF(Metadata!J233="",FALSE,ISNUMBER(VALUE(Metadata!J233))),Metadata!J233&gt;0))</f>
        <v>0</v>
      </c>
      <c r="AE233">
        <f>AND(IF(Metadata!K233="",FALSE,TRUE),exact(Metadata!K233,"g"))</f>
        <v>0</v>
      </c>
    </row>
    <row r="234" spans="1:31">
      <c r="A234" s="5">
        <f>IF(B234=" "," ",HYPERLINK(CONCATENATE("#metadata!",ADDRESS(INDEX($Q$2:$Q$1001,MATCH(ROWS($O$2:O234),$O$2:$O$1001,0),0),1)),INDEX($T$2:$T$1001,MATCH(ROWS($O$2:O234),$O$2:$O$1001,0),0)))</f>
        <v>0</v>
      </c>
      <c r="B234" s="4">
        <f>IF(OR(INDEX($P$2:$P$1001,MATCH(ROWS($O$2:O234),$O$2:$O$1001,0),1)&gt;=100000,INDEX($V$1005:$AE$1005,1,MATCH(COLUMNS($V$1006:V1006),$V$1006:$AE$1006,0))&gt;=100000), " ",IF(INDEX($V$2:$AE$1001,MATCH(ROWS($O$2:O234),$O$2:$O$1001,0),MATCH(COLUMNS($V$1006:V1006),$V$1006:$AE$1006,0)), HYPERLINK("#",""), HYPERLINK(CONCATENATE("#Metadata!", ADDRESS(INDEX($Q$2:$Q$1001,MATCH(ROWS($O$2:O234),$O$2:$O$1001,0),0), INDEX($V$1004:$AE$1004,1,MATCH(COLUMNS($V$1006:V1006),$V$1006:$AE$1006,0)))),"Fix")))</f>
        <v>0</v>
      </c>
      <c r="C234" s="4">
        <f>IF(OR(INDEX($P$2:$P$1001,MATCH(ROWS($O$2:O234),$O$2:$O$1001,0),1)&gt;=100000,INDEX($V$1005:$AE$1005,1,MATCH(COLUMNS($V$1006:W1006),$V$1006:$AE$1006,0))&gt;=100000), " ",IF(INDEX($V$2:$AE$1001,MATCH(ROWS($O$2:O234),$O$2:$O$1001,0),MATCH(COLUMNS($V$1006:W1006),$V$1006:$AE$1006,0)), HYPERLINK("#",""), HYPERLINK(CONCATENATE("#Metadata!", ADDRESS(INDEX($Q$2:$Q$1001,MATCH(ROWS($O$2:O234),$O$2:$O$1001,0),0), INDEX($V$1004:$AE$1004,1,MATCH(COLUMNS($V$1006:W1006),$V$1006:$AE$1006,0)))),"Fix")))</f>
        <v>0</v>
      </c>
      <c r="D234" s="4">
        <f>IF(OR(INDEX($P$2:$P$1001,MATCH(ROWS($O$2:O234),$O$2:$O$1001,0),1)&gt;=100000,INDEX($V$1005:$AE$1005,1,MATCH(COLUMNS($V$1006:X1006),$V$1006:$AE$1006,0))&gt;=100000), " ",IF(INDEX($V$2:$AE$1001,MATCH(ROWS($O$2:O234),$O$2:$O$1001,0),MATCH(COLUMNS($V$1006:X1006),$V$1006:$AE$1006,0)), HYPERLINK("#",""), HYPERLINK(CONCATENATE("#Metadata!", ADDRESS(INDEX($Q$2:$Q$1001,MATCH(ROWS($O$2:O234),$O$2:$O$1001,0),0), INDEX($V$1004:$AE$1004,1,MATCH(COLUMNS($V$1006:X1006),$V$1006:$AE$1006,0)))),"Fix")))</f>
        <v>0</v>
      </c>
      <c r="E234" s="4">
        <f>IF(OR(INDEX($P$2:$P$1001,MATCH(ROWS($O$2:O234),$O$2:$O$1001,0),1)&gt;=100000,INDEX($V$1005:$AE$1005,1,MATCH(COLUMNS($V$1006:Y1006),$V$1006:$AE$1006,0))&gt;=100000), " ",IF(INDEX($V$2:$AE$1001,MATCH(ROWS($O$2:O234),$O$2:$O$1001,0),MATCH(COLUMNS($V$1006:Y1006),$V$1006:$AE$1006,0)), HYPERLINK("#",""), HYPERLINK(CONCATENATE("#Metadata!", ADDRESS(INDEX($Q$2:$Q$1001,MATCH(ROWS($O$2:O234),$O$2:$O$1001,0),0), INDEX($V$1004:$AE$1004,1,MATCH(COLUMNS($V$1006:Y1006),$V$1006:$AE$1006,0)))),"Fix")))</f>
        <v>0</v>
      </c>
      <c r="F234" s="4">
        <f>IF(OR(INDEX($P$2:$P$1001,MATCH(ROWS($O$2:O234),$O$2:$O$1001,0),1)&gt;=100000,INDEX($V$1005:$AE$1005,1,MATCH(COLUMNS($V$1006:Z1006),$V$1006:$AE$1006,0))&gt;=100000), " ",IF(INDEX($V$2:$AE$1001,MATCH(ROWS($O$2:O234),$O$2:$O$1001,0),MATCH(COLUMNS($V$1006:Z1006),$V$1006:$AE$1006,0)), HYPERLINK("#",""), HYPERLINK(CONCATENATE("#Metadata!", ADDRESS(INDEX($Q$2:$Q$1001,MATCH(ROWS($O$2:O234),$O$2:$O$1001,0),0), INDEX($V$1004:$AE$1004,1,MATCH(COLUMNS($V$1006:Z1006),$V$1006:$AE$1006,0)))),"Fix")))</f>
        <v>0</v>
      </c>
      <c r="G234" s="4">
        <f>IF(OR(INDEX($P$2:$P$1001,MATCH(ROWS($O$2:O234),$O$2:$O$1001,0),1)&gt;=100000,INDEX($V$1005:$AE$1005,1,MATCH(COLUMNS($V$1006:AA1006),$V$1006:$AE$1006,0))&gt;=100000), " ",IF(INDEX($V$2:$AE$1001,MATCH(ROWS($O$2:O234),$O$2:$O$1001,0),MATCH(COLUMNS($V$1006:AA1006),$V$1006:$AE$1006,0)), HYPERLINK("#",""), HYPERLINK(CONCATENATE("#Metadata!", ADDRESS(INDEX($Q$2:$Q$1001,MATCH(ROWS($O$2:O234),$O$2:$O$1001,0),0), INDEX($V$1004:$AE$1004,1,MATCH(COLUMNS($V$1006:AA1006),$V$1006:$AE$1006,0)))),"Fix")))</f>
        <v>0</v>
      </c>
      <c r="H234" s="4">
        <f>IF(OR(INDEX($P$2:$P$1001,MATCH(ROWS($O$2:O234),$O$2:$O$1001,0),1)&gt;=100000,INDEX($V$1005:$AE$1005,1,MATCH(COLUMNS($V$1006:AB1006),$V$1006:$AE$1006,0))&gt;=100000), " ",IF(INDEX($V$2:$AE$1001,MATCH(ROWS($O$2:O234),$O$2:$O$1001,0),MATCH(COLUMNS($V$1006:AB1006),$V$1006:$AE$1006,0)), HYPERLINK("#",""), HYPERLINK(CONCATENATE("#Metadata!", ADDRESS(INDEX($Q$2:$Q$1001,MATCH(ROWS($O$2:O234),$O$2:$O$1001,0),0), INDEX($V$1004:$AE$1004,1,MATCH(COLUMNS($V$1006:AB1006),$V$1006:$AE$1006,0)))),"Fix")))</f>
        <v>0</v>
      </c>
      <c r="I234" s="4">
        <f>IF(OR(INDEX($P$2:$P$1001,MATCH(ROWS($O$2:O234),$O$2:$O$1001,0),1)&gt;=100000,INDEX($V$1005:$AE$1005,1,MATCH(COLUMNS($V$1006:AC1006),$V$1006:$AE$1006,0))&gt;=100000), " ",IF(INDEX($V$2:$AE$1001,MATCH(ROWS($O$2:O234),$O$2:$O$1001,0),MATCH(COLUMNS($V$1006:AC1006),$V$1006:$AE$1006,0)), HYPERLINK("#",""), HYPERLINK(CONCATENATE("#Metadata!", ADDRESS(INDEX($Q$2:$Q$1001,MATCH(ROWS($O$2:O234),$O$2:$O$1001,0),0), INDEX($V$1004:$AE$1004,1,MATCH(COLUMNS($V$1006:AC1006),$V$1006:$AE$1006,0)))),"Fix")))</f>
        <v>0</v>
      </c>
      <c r="J234" s="4">
        <f>IF(OR(INDEX($P$2:$P$1001,MATCH(ROWS($O$2:O234),$O$2:$O$1001,0),1)&gt;=100000,INDEX($V$1005:$AE$1005,1,MATCH(COLUMNS($V$1006:AD1006),$V$1006:$AE$1006,0))&gt;=100000), " ",IF(INDEX($V$2:$AE$1001,MATCH(ROWS($O$2:O234),$O$2:$O$1001,0),MATCH(COLUMNS($V$1006:AD1006),$V$1006:$AE$1006,0)), HYPERLINK("#",""), HYPERLINK(CONCATENATE("#Metadata!", ADDRESS(INDEX($Q$2:$Q$1001,MATCH(ROWS($O$2:O234),$O$2:$O$1001,0),0), INDEX($V$1004:$AE$1004,1,MATCH(COLUMNS($V$1006:AD1006),$V$1006:$AE$1006,0)))),"Fix")))</f>
        <v>0</v>
      </c>
      <c r="K234" s="4">
        <f>IF(OR(INDEX($P$2:$P$1001,MATCH(ROWS($O$2:O234),$O$2:$O$1001,0),1)&gt;=100000,INDEX($V$1005:$AE$1005,1,MATCH(COLUMNS($V$1006:AE1006),$V$1006:$AE$1006,0))&gt;=100000), " ",IF(INDEX($V$2:$AE$1001,MATCH(ROWS($O$2:O234),$O$2:$O$1001,0),MATCH(COLUMNS($V$1006:AE1006),$V$1006:$AE$1006,0)), HYPERLINK("#",""), HYPERLINK(CONCATENATE("#Metadata!", ADDRESS(INDEX($Q$2:$Q$1001,MATCH(ROWS($O$2:O234),$O$2:$O$1001,0),0), INDEX($V$1004:$AE$1004,1,MATCH(COLUMNS($V$1006:AE1006),$V$1006:$AE$1006,0)))),"Fix")))</f>
        <v>0</v>
      </c>
      <c r="O234">
        <v>0</v>
      </c>
      <c r="P234">
        <v>0</v>
      </c>
      <c r="Q234">
        <v>0</v>
      </c>
      <c r="R234">
        <f>IF(S234,TRUE,AND(V234:AE234))</f>
        <v>0</v>
      </c>
      <c r="S234">
        <f>COUNTBLANK(Metadata!B234:K234)=COLUMNS(Metadata!B234:K234)</f>
        <v>0</v>
      </c>
      <c r="T234">
        <v>0</v>
      </c>
      <c r="V234">
        <f>AND(IF(Metadata!B234="",FALSE,TRUE),COUNTIF(Metadata!B:B, Metadata!B234) = 1,NOT(ISERROR(SUMPRODUCT(SEARCH(MID(Metadata!B234,ROW(INDIRECT("1:"&amp;LEN(Metadata!B234))), 1),"0123456789abcdefghijklmnopqrstuvwxyzABCDEFGHIJKLMNOPQRSTUVWXYZ.")))))</f>
        <v>0</v>
      </c>
      <c r="W234">
        <f>AND(IF(Metadata!C234="",FALSE,TRUE),exact(Metadata!C234,"urban biome"))</f>
        <v>0</v>
      </c>
      <c r="X234">
        <f>AND(IF(Metadata!D234="",FALSE,TRUE),exact(Metadata!D234,"animal-associated habitat"))</f>
        <v>0</v>
      </c>
      <c r="Y234">
        <f>OR(AND(IF(Metadata!E234="",FALSE,TRUE),OR(exact(Metadata!E234,"not applicable"),exact(Metadata!E234,"missing: not collected"),exact(Metadata!E234,"missing: not provided"),exact(Metadata!E234,"missing: restricted access"))),AND(IF(Metadata!E234="",FALSE,ISNUMBER(VALUE(Metadata!E234))),Metadata!E234&gt;0))</f>
        <v>0</v>
      </c>
      <c r="Z234">
        <f>AND(IF(Metadata!F234="",FALSE,TRUE),exact(Metadata!F234,"weeks"))</f>
        <v>0</v>
      </c>
      <c r="AA234">
        <f>AND(IF(Metadata!G234="",FALSE,TRUE),exact(Metadata!G234,"mouse"))</f>
        <v>0</v>
      </c>
      <c r="AB234">
        <f>AND(IF(Metadata!H234="",FALSE,TRUE),exact(Metadata!H234,"Mus musculus"))</f>
        <v>0</v>
      </c>
      <c r="AC234">
        <f>AND(IF(Metadata!I234="",FALSE,TRUE),exact(Metadata!I234,"10090"))</f>
        <v>0</v>
      </c>
      <c r="AD234">
        <f>OR(AND(IF(Metadata!J234="",FALSE,TRUE),OR(exact(Metadata!J234,"not applicable"),exact(Metadata!J234,"missing: not collected"),exact(Metadata!J234,"missing: not provided"),exact(Metadata!J234,"missing: restricted access"))),AND(IF(Metadata!J234="",FALSE,ISNUMBER(VALUE(Metadata!J234))),Metadata!J234&gt;0))</f>
        <v>0</v>
      </c>
      <c r="AE234">
        <f>AND(IF(Metadata!K234="",FALSE,TRUE),exact(Metadata!K234,"g"))</f>
        <v>0</v>
      </c>
    </row>
    <row r="235" spans="1:31">
      <c r="A235" s="5">
        <f>IF(B235=" "," ",HYPERLINK(CONCATENATE("#metadata!",ADDRESS(INDEX($Q$2:$Q$1001,MATCH(ROWS($O$2:O235),$O$2:$O$1001,0),0),1)),INDEX($T$2:$T$1001,MATCH(ROWS($O$2:O235),$O$2:$O$1001,0),0)))</f>
        <v>0</v>
      </c>
      <c r="B235" s="4">
        <f>IF(OR(INDEX($P$2:$P$1001,MATCH(ROWS($O$2:O235),$O$2:$O$1001,0),1)&gt;=100000,INDEX($V$1005:$AE$1005,1,MATCH(COLUMNS($V$1006:V1006),$V$1006:$AE$1006,0))&gt;=100000), " ",IF(INDEX($V$2:$AE$1001,MATCH(ROWS($O$2:O235),$O$2:$O$1001,0),MATCH(COLUMNS($V$1006:V1006),$V$1006:$AE$1006,0)), HYPERLINK("#",""), HYPERLINK(CONCATENATE("#Metadata!", ADDRESS(INDEX($Q$2:$Q$1001,MATCH(ROWS($O$2:O235),$O$2:$O$1001,0),0), INDEX($V$1004:$AE$1004,1,MATCH(COLUMNS($V$1006:V1006),$V$1006:$AE$1006,0)))),"Fix")))</f>
        <v>0</v>
      </c>
      <c r="C235" s="4">
        <f>IF(OR(INDEX($P$2:$P$1001,MATCH(ROWS($O$2:O235),$O$2:$O$1001,0),1)&gt;=100000,INDEX($V$1005:$AE$1005,1,MATCH(COLUMNS($V$1006:W1006),$V$1006:$AE$1006,0))&gt;=100000), " ",IF(INDEX($V$2:$AE$1001,MATCH(ROWS($O$2:O235),$O$2:$O$1001,0),MATCH(COLUMNS($V$1006:W1006),$V$1006:$AE$1006,0)), HYPERLINK("#",""), HYPERLINK(CONCATENATE("#Metadata!", ADDRESS(INDEX($Q$2:$Q$1001,MATCH(ROWS($O$2:O235),$O$2:$O$1001,0),0), INDEX($V$1004:$AE$1004,1,MATCH(COLUMNS($V$1006:W1006),$V$1006:$AE$1006,0)))),"Fix")))</f>
        <v>0</v>
      </c>
      <c r="D235" s="4">
        <f>IF(OR(INDEX($P$2:$P$1001,MATCH(ROWS($O$2:O235),$O$2:$O$1001,0),1)&gt;=100000,INDEX($V$1005:$AE$1005,1,MATCH(COLUMNS($V$1006:X1006),$V$1006:$AE$1006,0))&gt;=100000), " ",IF(INDEX($V$2:$AE$1001,MATCH(ROWS($O$2:O235),$O$2:$O$1001,0),MATCH(COLUMNS($V$1006:X1006),$V$1006:$AE$1006,0)), HYPERLINK("#",""), HYPERLINK(CONCATENATE("#Metadata!", ADDRESS(INDEX($Q$2:$Q$1001,MATCH(ROWS($O$2:O235),$O$2:$O$1001,0),0), INDEX($V$1004:$AE$1004,1,MATCH(COLUMNS($V$1006:X1006),$V$1006:$AE$1006,0)))),"Fix")))</f>
        <v>0</v>
      </c>
      <c r="E235" s="4">
        <f>IF(OR(INDEX($P$2:$P$1001,MATCH(ROWS($O$2:O235),$O$2:$O$1001,0),1)&gt;=100000,INDEX($V$1005:$AE$1005,1,MATCH(COLUMNS($V$1006:Y1006),$V$1006:$AE$1006,0))&gt;=100000), " ",IF(INDEX($V$2:$AE$1001,MATCH(ROWS($O$2:O235),$O$2:$O$1001,0),MATCH(COLUMNS($V$1006:Y1006),$V$1006:$AE$1006,0)), HYPERLINK("#",""), HYPERLINK(CONCATENATE("#Metadata!", ADDRESS(INDEX($Q$2:$Q$1001,MATCH(ROWS($O$2:O235),$O$2:$O$1001,0),0), INDEX($V$1004:$AE$1004,1,MATCH(COLUMNS($V$1006:Y1006),$V$1006:$AE$1006,0)))),"Fix")))</f>
        <v>0</v>
      </c>
      <c r="F235" s="4">
        <f>IF(OR(INDEX($P$2:$P$1001,MATCH(ROWS($O$2:O235),$O$2:$O$1001,0),1)&gt;=100000,INDEX($V$1005:$AE$1005,1,MATCH(COLUMNS($V$1006:Z1006),$V$1006:$AE$1006,0))&gt;=100000), " ",IF(INDEX($V$2:$AE$1001,MATCH(ROWS($O$2:O235),$O$2:$O$1001,0),MATCH(COLUMNS($V$1006:Z1006),$V$1006:$AE$1006,0)), HYPERLINK("#",""), HYPERLINK(CONCATENATE("#Metadata!", ADDRESS(INDEX($Q$2:$Q$1001,MATCH(ROWS($O$2:O235),$O$2:$O$1001,0),0), INDEX($V$1004:$AE$1004,1,MATCH(COLUMNS($V$1006:Z1006),$V$1006:$AE$1006,0)))),"Fix")))</f>
        <v>0</v>
      </c>
      <c r="G235" s="4">
        <f>IF(OR(INDEX($P$2:$P$1001,MATCH(ROWS($O$2:O235),$O$2:$O$1001,0),1)&gt;=100000,INDEX($V$1005:$AE$1005,1,MATCH(COLUMNS($V$1006:AA1006),$V$1006:$AE$1006,0))&gt;=100000), " ",IF(INDEX($V$2:$AE$1001,MATCH(ROWS($O$2:O235),$O$2:$O$1001,0),MATCH(COLUMNS($V$1006:AA1006),$V$1006:$AE$1006,0)), HYPERLINK("#",""), HYPERLINK(CONCATENATE("#Metadata!", ADDRESS(INDEX($Q$2:$Q$1001,MATCH(ROWS($O$2:O235),$O$2:$O$1001,0),0), INDEX($V$1004:$AE$1004,1,MATCH(COLUMNS($V$1006:AA1006),$V$1006:$AE$1006,0)))),"Fix")))</f>
        <v>0</v>
      </c>
      <c r="H235" s="4">
        <f>IF(OR(INDEX($P$2:$P$1001,MATCH(ROWS($O$2:O235),$O$2:$O$1001,0),1)&gt;=100000,INDEX($V$1005:$AE$1005,1,MATCH(COLUMNS($V$1006:AB1006),$V$1006:$AE$1006,0))&gt;=100000), " ",IF(INDEX($V$2:$AE$1001,MATCH(ROWS($O$2:O235),$O$2:$O$1001,0),MATCH(COLUMNS($V$1006:AB1006),$V$1006:$AE$1006,0)), HYPERLINK("#",""), HYPERLINK(CONCATENATE("#Metadata!", ADDRESS(INDEX($Q$2:$Q$1001,MATCH(ROWS($O$2:O235),$O$2:$O$1001,0),0), INDEX($V$1004:$AE$1004,1,MATCH(COLUMNS($V$1006:AB1006),$V$1006:$AE$1006,0)))),"Fix")))</f>
        <v>0</v>
      </c>
      <c r="I235" s="4">
        <f>IF(OR(INDEX($P$2:$P$1001,MATCH(ROWS($O$2:O235),$O$2:$O$1001,0),1)&gt;=100000,INDEX($V$1005:$AE$1005,1,MATCH(COLUMNS($V$1006:AC1006),$V$1006:$AE$1006,0))&gt;=100000), " ",IF(INDEX($V$2:$AE$1001,MATCH(ROWS($O$2:O235),$O$2:$O$1001,0),MATCH(COLUMNS($V$1006:AC1006),$V$1006:$AE$1006,0)), HYPERLINK("#",""), HYPERLINK(CONCATENATE("#Metadata!", ADDRESS(INDEX($Q$2:$Q$1001,MATCH(ROWS($O$2:O235),$O$2:$O$1001,0),0), INDEX($V$1004:$AE$1004,1,MATCH(COLUMNS($V$1006:AC1006),$V$1006:$AE$1006,0)))),"Fix")))</f>
        <v>0</v>
      </c>
      <c r="J235" s="4">
        <f>IF(OR(INDEX($P$2:$P$1001,MATCH(ROWS($O$2:O235),$O$2:$O$1001,0),1)&gt;=100000,INDEX($V$1005:$AE$1005,1,MATCH(COLUMNS($V$1006:AD1006),$V$1006:$AE$1006,0))&gt;=100000), " ",IF(INDEX($V$2:$AE$1001,MATCH(ROWS($O$2:O235),$O$2:$O$1001,0),MATCH(COLUMNS($V$1006:AD1006),$V$1006:$AE$1006,0)), HYPERLINK("#",""), HYPERLINK(CONCATENATE("#Metadata!", ADDRESS(INDEX($Q$2:$Q$1001,MATCH(ROWS($O$2:O235),$O$2:$O$1001,0),0), INDEX($V$1004:$AE$1004,1,MATCH(COLUMNS($V$1006:AD1006),$V$1006:$AE$1006,0)))),"Fix")))</f>
        <v>0</v>
      </c>
      <c r="K235" s="4">
        <f>IF(OR(INDEX($P$2:$P$1001,MATCH(ROWS($O$2:O235),$O$2:$O$1001,0),1)&gt;=100000,INDEX($V$1005:$AE$1005,1,MATCH(COLUMNS($V$1006:AE1006),$V$1006:$AE$1006,0))&gt;=100000), " ",IF(INDEX($V$2:$AE$1001,MATCH(ROWS($O$2:O235),$O$2:$O$1001,0),MATCH(COLUMNS($V$1006:AE1006),$V$1006:$AE$1006,0)), HYPERLINK("#",""), HYPERLINK(CONCATENATE("#Metadata!", ADDRESS(INDEX($Q$2:$Q$1001,MATCH(ROWS($O$2:O235),$O$2:$O$1001,0),0), INDEX($V$1004:$AE$1004,1,MATCH(COLUMNS($V$1006:AE1006),$V$1006:$AE$1006,0)))),"Fix")))</f>
        <v>0</v>
      </c>
      <c r="O235">
        <v>0</v>
      </c>
      <c r="P235">
        <v>0</v>
      </c>
      <c r="Q235">
        <v>0</v>
      </c>
      <c r="R235">
        <f>IF(S235,TRUE,AND(V235:AE235))</f>
        <v>0</v>
      </c>
      <c r="S235">
        <f>COUNTBLANK(Metadata!B235:K235)=COLUMNS(Metadata!B235:K235)</f>
        <v>0</v>
      </c>
      <c r="T235">
        <v>0</v>
      </c>
      <c r="V235">
        <f>AND(IF(Metadata!B235="",FALSE,TRUE),COUNTIF(Metadata!B:B, Metadata!B235) = 1,NOT(ISERROR(SUMPRODUCT(SEARCH(MID(Metadata!B235,ROW(INDIRECT("1:"&amp;LEN(Metadata!B235))), 1),"0123456789abcdefghijklmnopqrstuvwxyzABCDEFGHIJKLMNOPQRSTUVWXYZ.")))))</f>
        <v>0</v>
      </c>
      <c r="W235">
        <f>AND(IF(Metadata!C235="",FALSE,TRUE),exact(Metadata!C235,"urban biome"))</f>
        <v>0</v>
      </c>
      <c r="X235">
        <f>AND(IF(Metadata!D235="",FALSE,TRUE),exact(Metadata!D235,"animal-associated habitat"))</f>
        <v>0</v>
      </c>
      <c r="Y235">
        <f>OR(AND(IF(Metadata!E235="",FALSE,TRUE),OR(exact(Metadata!E235,"not applicable"),exact(Metadata!E235,"missing: not collected"),exact(Metadata!E235,"missing: not provided"),exact(Metadata!E235,"missing: restricted access"))),AND(IF(Metadata!E235="",FALSE,ISNUMBER(VALUE(Metadata!E235))),Metadata!E235&gt;0))</f>
        <v>0</v>
      </c>
      <c r="Z235">
        <f>AND(IF(Metadata!F235="",FALSE,TRUE),exact(Metadata!F235,"weeks"))</f>
        <v>0</v>
      </c>
      <c r="AA235">
        <f>AND(IF(Metadata!G235="",FALSE,TRUE),exact(Metadata!G235,"mouse"))</f>
        <v>0</v>
      </c>
      <c r="AB235">
        <f>AND(IF(Metadata!H235="",FALSE,TRUE),exact(Metadata!H235,"Mus musculus"))</f>
        <v>0</v>
      </c>
      <c r="AC235">
        <f>AND(IF(Metadata!I235="",FALSE,TRUE),exact(Metadata!I235,"10090"))</f>
        <v>0</v>
      </c>
      <c r="AD235">
        <f>OR(AND(IF(Metadata!J235="",FALSE,TRUE),OR(exact(Metadata!J235,"not applicable"),exact(Metadata!J235,"missing: not collected"),exact(Metadata!J235,"missing: not provided"),exact(Metadata!J235,"missing: restricted access"))),AND(IF(Metadata!J235="",FALSE,ISNUMBER(VALUE(Metadata!J235))),Metadata!J235&gt;0))</f>
        <v>0</v>
      </c>
      <c r="AE235">
        <f>AND(IF(Metadata!K235="",FALSE,TRUE),exact(Metadata!K235,"g"))</f>
        <v>0</v>
      </c>
    </row>
    <row r="236" spans="1:31">
      <c r="A236" s="5">
        <f>IF(B236=" "," ",HYPERLINK(CONCATENATE("#metadata!",ADDRESS(INDEX($Q$2:$Q$1001,MATCH(ROWS($O$2:O236),$O$2:$O$1001,0),0),1)),INDEX($T$2:$T$1001,MATCH(ROWS($O$2:O236),$O$2:$O$1001,0),0)))</f>
        <v>0</v>
      </c>
      <c r="B236" s="4">
        <f>IF(OR(INDEX($P$2:$P$1001,MATCH(ROWS($O$2:O236),$O$2:$O$1001,0),1)&gt;=100000,INDEX($V$1005:$AE$1005,1,MATCH(COLUMNS($V$1006:V1006),$V$1006:$AE$1006,0))&gt;=100000), " ",IF(INDEX($V$2:$AE$1001,MATCH(ROWS($O$2:O236),$O$2:$O$1001,0),MATCH(COLUMNS($V$1006:V1006),$V$1006:$AE$1006,0)), HYPERLINK("#",""), HYPERLINK(CONCATENATE("#Metadata!", ADDRESS(INDEX($Q$2:$Q$1001,MATCH(ROWS($O$2:O236),$O$2:$O$1001,0),0), INDEX($V$1004:$AE$1004,1,MATCH(COLUMNS($V$1006:V1006),$V$1006:$AE$1006,0)))),"Fix")))</f>
        <v>0</v>
      </c>
      <c r="C236" s="4">
        <f>IF(OR(INDEX($P$2:$P$1001,MATCH(ROWS($O$2:O236),$O$2:$O$1001,0),1)&gt;=100000,INDEX($V$1005:$AE$1005,1,MATCH(COLUMNS($V$1006:W1006),$V$1006:$AE$1006,0))&gt;=100000), " ",IF(INDEX($V$2:$AE$1001,MATCH(ROWS($O$2:O236),$O$2:$O$1001,0),MATCH(COLUMNS($V$1006:W1006),$V$1006:$AE$1006,0)), HYPERLINK("#",""), HYPERLINK(CONCATENATE("#Metadata!", ADDRESS(INDEX($Q$2:$Q$1001,MATCH(ROWS($O$2:O236),$O$2:$O$1001,0),0), INDEX($V$1004:$AE$1004,1,MATCH(COLUMNS($V$1006:W1006),$V$1006:$AE$1006,0)))),"Fix")))</f>
        <v>0</v>
      </c>
      <c r="D236" s="4">
        <f>IF(OR(INDEX($P$2:$P$1001,MATCH(ROWS($O$2:O236),$O$2:$O$1001,0),1)&gt;=100000,INDEX($V$1005:$AE$1005,1,MATCH(COLUMNS($V$1006:X1006),$V$1006:$AE$1006,0))&gt;=100000), " ",IF(INDEX($V$2:$AE$1001,MATCH(ROWS($O$2:O236),$O$2:$O$1001,0),MATCH(COLUMNS($V$1006:X1006),$V$1006:$AE$1006,0)), HYPERLINK("#",""), HYPERLINK(CONCATENATE("#Metadata!", ADDRESS(INDEX($Q$2:$Q$1001,MATCH(ROWS($O$2:O236),$O$2:$O$1001,0),0), INDEX($V$1004:$AE$1004,1,MATCH(COLUMNS($V$1006:X1006),$V$1006:$AE$1006,0)))),"Fix")))</f>
        <v>0</v>
      </c>
      <c r="E236" s="4">
        <f>IF(OR(INDEX($P$2:$P$1001,MATCH(ROWS($O$2:O236),$O$2:$O$1001,0),1)&gt;=100000,INDEX($V$1005:$AE$1005,1,MATCH(COLUMNS($V$1006:Y1006),$V$1006:$AE$1006,0))&gt;=100000), " ",IF(INDEX($V$2:$AE$1001,MATCH(ROWS($O$2:O236),$O$2:$O$1001,0),MATCH(COLUMNS($V$1006:Y1006),$V$1006:$AE$1006,0)), HYPERLINK("#",""), HYPERLINK(CONCATENATE("#Metadata!", ADDRESS(INDEX($Q$2:$Q$1001,MATCH(ROWS($O$2:O236),$O$2:$O$1001,0),0), INDEX($V$1004:$AE$1004,1,MATCH(COLUMNS($V$1006:Y1006),$V$1006:$AE$1006,0)))),"Fix")))</f>
        <v>0</v>
      </c>
      <c r="F236" s="4">
        <f>IF(OR(INDEX($P$2:$P$1001,MATCH(ROWS($O$2:O236),$O$2:$O$1001,0),1)&gt;=100000,INDEX($V$1005:$AE$1005,1,MATCH(COLUMNS($V$1006:Z1006),$V$1006:$AE$1006,0))&gt;=100000), " ",IF(INDEX($V$2:$AE$1001,MATCH(ROWS($O$2:O236),$O$2:$O$1001,0),MATCH(COLUMNS($V$1006:Z1006),$V$1006:$AE$1006,0)), HYPERLINK("#",""), HYPERLINK(CONCATENATE("#Metadata!", ADDRESS(INDEX($Q$2:$Q$1001,MATCH(ROWS($O$2:O236),$O$2:$O$1001,0),0), INDEX($V$1004:$AE$1004,1,MATCH(COLUMNS($V$1006:Z1006),$V$1006:$AE$1006,0)))),"Fix")))</f>
        <v>0</v>
      </c>
      <c r="G236" s="4">
        <f>IF(OR(INDEX($P$2:$P$1001,MATCH(ROWS($O$2:O236),$O$2:$O$1001,0),1)&gt;=100000,INDEX($V$1005:$AE$1005,1,MATCH(COLUMNS($V$1006:AA1006),$V$1006:$AE$1006,0))&gt;=100000), " ",IF(INDEX($V$2:$AE$1001,MATCH(ROWS($O$2:O236),$O$2:$O$1001,0),MATCH(COLUMNS($V$1006:AA1006),$V$1006:$AE$1006,0)), HYPERLINK("#",""), HYPERLINK(CONCATENATE("#Metadata!", ADDRESS(INDEX($Q$2:$Q$1001,MATCH(ROWS($O$2:O236),$O$2:$O$1001,0),0), INDEX($V$1004:$AE$1004,1,MATCH(COLUMNS($V$1006:AA1006),$V$1006:$AE$1006,0)))),"Fix")))</f>
        <v>0</v>
      </c>
      <c r="H236" s="4">
        <f>IF(OR(INDEX($P$2:$P$1001,MATCH(ROWS($O$2:O236),$O$2:$O$1001,0),1)&gt;=100000,INDEX($V$1005:$AE$1005,1,MATCH(COLUMNS($V$1006:AB1006),$V$1006:$AE$1006,0))&gt;=100000), " ",IF(INDEX($V$2:$AE$1001,MATCH(ROWS($O$2:O236),$O$2:$O$1001,0),MATCH(COLUMNS($V$1006:AB1006),$V$1006:$AE$1006,0)), HYPERLINK("#",""), HYPERLINK(CONCATENATE("#Metadata!", ADDRESS(INDEX($Q$2:$Q$1001,MATCH(ROWS($O$2:O236),$O$2:$O$1001,0),0), INDEX($V$1004:$AE$1004,1,MATCH(COLUMNS($V$1006:AB1006),$V$1006:$AE$1006,0)))),"Fix")))</f>
        <v>0</v>
      </c>
      <c r="I236" s="4">
        <f>IF(OR(INDEX($P$2:$P$1001,MATCH(ROWS($O$2:O236),$O$2:$O$1001,0),1)&gt;=100000,INDEX($V$1005:$AE$1005,1,MATCH(COLUMNS($V$1006:AC1006),$V$1006:$AE$1006,0))&gt;=100000), " ",IF(INDEX($V$2:$AE$1001,MATCH(ROWS($O$2:O236),$O$2:$O$1001,0),MATCH(COLUMNS($V$1006:AC1006),$V$1006:$AE$1006,0)), HYPERLINK("#",""), HYPERLINK(CONCATENATE("#Metadata!", ADDRESS(INDEX($Q$2:$Q$1001,MATCH(ROWS($O$2:O236),$O$2:$O$1001,0),0), INDEX($V$1004:$AE$1004,1,MATCH(COLUMNS($V$1006:AC1006),$V$1006:$AE$1006,0)))),"Fix")))</f>
        <v>0</v>
      </c>
      <c r="J236" s="4">
        <f>IF(OR(INDEX($P$2:$P$1001,MATCH(ROWS($O$2:O236),$O$2:$O$1001,0),1)&gt;=100000,INDEX($V$1005:$AE$1005,1,MATCH(COLUMNS($V$1006:AD1006),$V$1006:$AE$1006,0))&gt;=100000), " ",IF(INDEX($V$2:$AE$1001,MATCH(ROWS($O$2:O236),$O$2:$O$1001,0),MATCH(COLUMNS($V$1006:AD1006),$V$1006:$AE$1006,0)), HYPERLINK("#",""), HYPERLINK(CONCATENATE("#Metadata!", ADDRESS(INDEX($Q$2:$Q$1001,MATCH(ROWS($O$2:O236),$O$2:$O$1001,0),0), INDEX($V$1004:$AE$1004,1,MATCH(COLUMNS($V$1006:AD1006),$V$1006:$AE$1006,0)))),"Fix")))</f>
        <v>0</v>
      </c>
      <c r="K236" s="4">
        <f>IF(OR(INDEX($P$2:$P$1001,MATCH(ROWS($O$2:O236),$O$2:$O$1001,0),1)&gt;=100000,INDEX($V$1005:$AE$1005,1,MATCH(COLUMNS($V$1006:AE1006),$V$1006:$AE$1006,0))&gt;=100000), " ",IF(INDEX($V$2:$AE$1001,MATCH(ROWS($O$2:O236),$O$2:$O$1001,0),MATCH(COLUMNS($V$1006:AE1006),$V$1006:$AE$1006,0)), HYPERLINK("#",""), HYPERLINK(CONCATENATE("#Metadata!", ADDRESS(INDEX($Q$2:$Q$1001,MATCH(ROWS($O$2:O236),$O$2:$O$1001,0),0), INDEX($V$1004:$AE$1004,1,MATCH(COLUMNS($V$1006:AE1006),$V$1006:$AE$1006,0)))),"Fix")))</f>
        <v>0</v>
      </c>
      <c r="O236">
        <v>0</v>
      </c>
      <c r="P236">
        <v>0</v>
      </c>
      <c r="Q236">
        <v>0</v>
      </c>
      <c r="R236">
        <f>IF(S236,TRUE,AND(V236:AE236))</f>
        <v>0</v>
      </c>
      <c r="S236">
        <f>COUNTBLANK(Metadata!B236:K236)=COLUMNS(Metadata!B236:K236)</f>
        <v>0</v>
      </c>
      <c r="T236">
        <v>0</v>
      </c>
      <c r="V236">
        <f>AND(IF(Metadata!B236="",FALSE,TRUE),COUNTIF(Metadata!B:B, Metadata!B236) = 1,NOT(ISERROR(SUMPRODUCT(SEARCH(MID(Metadata!B236,ROW(INDIRECT("1:"&amp;LEN(Metadata!B236))), 1),"0123456789abcdefghijklmnopqrstuvwxyzABCDEFGHIJKLMNOPQRSTUVWXYZ.")))))</f>
        <v>0</v>
      </c>
      <c r="W236">
        <f>AND(IF(Metadata!C236="",FALSE,TRUE),exact(Metadata!C236,"urban biome"))</f>
        <v>0</v>
      </c>
      <c r="X236">
        <f>AND(IF(Metadata!D236="",FALSE,TRUE),exact(Metadata!D236,"animal-associated habitat"))</f>
        <v>0</v>
      </c>
      <c r="Y236">
        <f>OR(AND(IF(Metadata!E236="",FALSE,TRUE),OR(exact(Metadata!E236,"not applicable"),exact(Metadata!E236,"missing: not collected"),exact(Metadata!E236,"missing: not provided"),exact(Metadata!E236,"missing: restricted access"))),AND(IF(Metadata!E236="",FALSE,ISNUMBER(VALUE(Metadata!E236))),Metadata!E236&gt;0))</f>
        <v>0</v>
      </c>
      <c r="Z236">
        <f>AND(IF(Metadata!F236="",FALSE,TRUE),exact(Metadata!F236,"weeks"))</f>
        <v>0</v>
      </c>
      <c r="AA236">
        <f>AND(IF(Metadata!G236="",FALSE,TRUE),exact(Metadata!G236,"mouse"))</f>
        <v>0</v>
      </c>
      <c r="AB236">
        <f>AND(IF(Metadata!H236="",FALSE,TRUE),exact(Metadata!H236,"Mus musculus"))</f>
        <v>0</v>
      </c>
      <c r="AC236">
        <f>AND(IF(Metadata!I236="",FALSE,TRUE),exact(Metadata!I236,"10090"))</f>
        <v>0</v>
      </c>
      <c r="AD236">
        <f>OR(AND(IF(Metadata!J236="",FALSE,TRUE),OR(exact(Metadata!J236,"not applicable"),exact(Metadata!J236,"missing: not collected"),exact(Metadata!J236,"missing: not provided"),exact(Metadata!J236,"missing: restricted access"))),AND(IF(Metadata!J236="",FALSE,ISNUMBER(VALUE(Metadata!J236))),Metadata!J236&gt;0))</f>
        <v>0</v>
      </c>
      <c r="AE236">
        <f>AND(IF(Metadata!K236="",FALSE,TRUE),exact(Metadata!K236,"g"))</f>
        <v>0</v>
      </c>
    </row>
    <row r="237" spans="1:31">
      <c r="A237" s="5">
        <f>IF(B237=" "," ",HYPERLINK(CONCATENATE("#metadata!",ADDRESS(INDEX($Q$2:$Q$1001,MATCH(ROWS($O$2:O237),$O$2:$O$1001,0),0),1)),INDEX($T$2:$T$1001,MATCH(ROWS($O$2:O237),$O$2:$O$1001,0),0)))</f>
        <v>0</v>
      </c>
      <c r="B237" s="4">
        <f>IF(OR(INDEX($P$2:$P$1001,MATCH(ROWS($O$2:O237),$O$2:$O$1001,0),1)&gt;=100000,INDEX($V$1005:$AE$1005,1,MATCH(COLUMNS($V$1006:V1006),$V$1006:$AE$1006,0))&gt;=100000), " ",IF(INDEX($V$2:$AE$1001,MATCH(ROWS($O$2:O237),$O$2:$O$1001,0),MATCH(COLUMNS($V$1006:V1006),$V$1006:$AE$1006,0)), HYPERLINK("#",""), HYPERLINK(CONCATENATE("#Metadata!", ADDRESS(INDEX($Q$2:$Q$1001,MATCH(ROWS($O$2:O237),$O$2:$O$1001,0),0), INDEX($V$1004:$AE$1004,1,MATCH(COLUMNS($V$1006:V1006),$V$1006:$AE$1006,0)))),"Fix")))</f>
        <v>0</v>
      </c>
      <c r="C237" s="4">
        <f>IF(OR(INDEX($P$2:$P$1001,MATCH(ROWS($O$2:O237),$O$2:$O$1001,0),1)&gt;=100000,INDEX($V$1005:$AE$1005,1,MATCH(COLUMNS($V$1006:W1006),$V$1006:$AE$1006,0))&gt;=100000), " ",IF(INDEX($V$2:$AE$1001,MATCH(ROWS($O$2:O237),$O$2:$O$1001,0),MATCH(COLUMNS($V$1006:W1006),$V$1006:$AE$1006,0)), HYPERLINK("#",""), HYPERLINK(CONCATENATE("#Metadata!", ADDRESS(INDEX($Q$2:$Q$1001,MATCH(ROWS($O$2:O237),$O$2:$O$1001,0),0), INDEX($V$1004:$AE$1004,1,MATCH(COLUMNS($V$1006:W1006),$V$1006:$AE$1006,0)))),"Fix")))</f>
        <v>0</v>
      </c>
      <c r="D237" s="4">
        <f>IF(OR(INDEX($P$2:$P$1001,MATCH(ROWS($O$2:O237),$O$2:$O$1001,0),1)&gt;=100000,INDEX($V$1005:$AE$1005,1,MATCH(COLUMNS($V$1006:X1006),$V$1006:$AE$1006,0))&gt;=100000), " ",IF(INDEX($V$2:$AE$1001,MATCH(ROWS($O$2:O237),$O$2:$O$1001,0),MATCH(COLUMNS($V$1006:X1006),$V$1006:$AE$1006,0)), HYPERLINK("#",""), HYPERLINK(CONCATENATE("#Metadata!", ADDRESS(INDEX($Q$2:$Q$1001,MATCH(ROWS($O$2:O237),$O$2:$O$1001,0),0), INDEX($V$1004:$AE$1004,1,MATCH(COLUMNS($V$1006:X1006),$V$1006:$AE$1006,0)))),"Fix")))</f>
        <v>0</v>
      </c>
      <c r="E237" s="4">
        <f>IF(OR(INDEX($P$2:$P$1001,MATCH(ROWS($O$2:O237),$O$2:$O$1001,0),1)&gt;=100000,INDEX($V$1005:$AE$1005,1,MATCH(COLUMNS($V$1006:Y1006),$V$1006:$AE$1006,0))&gt;=100000), " ",IF(INDEX($V$2:$AE$1001,MATCH(ROWS($O$2:O237),$O$2:$O$1001,0),MATCH(COLUMNS($V$1006:Y1006),$V$1006:$AE$1006,0)), HYPERLINK("#",""), HYPERLINK(CONCATENATE("#Metadata!", ADDRESS(INDEX($Q$2:$Q$1001,MATCH(ROWS($O$2:O237),$O$2:$O$1001,0),0), INDEX($V$1004:$AE$1004,1,MATCH(COLUMNS($V$1006:Y1006),$V$1006:$AE$1006,0)))),"Fix")))</f>
        <v>0</v>
      </c>
      <c r="F237" s="4">
        <f>IF(OR(INDEX($P$2:$P$1001,MATCH(ROWS($O$2:O237),$O$2:$O$1001,0),1)&gt;=100000,INDEX($V$1005:$AE$1005,1,MATCH(COLUMNS($V$1006:Z1006),$V$1006:$AE$1006,0))&gt;=100000), " ",IF(INDEX($V$2:$AE$1001,MATCH(ROWS($O$2:O237),$O$2:$O$1001,0),MATCH(COLUMNS($V$1006:Z1006),$V$1006:$AE$1006,0)), HYPERLINK("#",""), HYPERLINK(CONCATENATE("#Metadata!", ADDRESS(INDEX($Q$2:$Q$1001,MATCH(ROWS($O$2:O237),$O$2:$O$1001,0),0), INDEX($V$1004:$AE$1004,1,MATCH(COLUMNS($V$1006:Z1006),$V$1006:$AE$1006,0)))),"Fix")))</f>
        <v>0</v>
      </c>
      <c r="G237" s="4">
        <f>IF(OR(INDEX($P$2:$P$1001,MATCH(ROWS($O$2:O237),$O$2:$O$1001,0),1)&gt;=100000,INDEX($V$1005:$AE$1005,1,MATCH(COLUMNS($V$1006:AA1006),$V$1006:$AE$1006,0))&gt;=100000), " ",IF(INDEX($V$2:$AE$1001,MATCH(ROWS($O$2:O237),$O$2:$O$1001,0),MATCH(COLUMNS($V$1006:AA1006),$V$1006:$AE$1006,0)), HYPERLINK("#",""), HYPERLINK(CONCATENATE("#Metadata!", ADDRESS(INDEX($Q$2:$Q$1001,MATCH(ROWS($O$2:O237),$O$2:$O$1001,0),0), INDEX($V$1004:$AE$1004,1,MATCH(COLUMNS($V$1006:AA1006),$V$1006:$AE$1006,0)))),"Fix")))</f>
        <v>0</v>
      </c>
      <c r="H237" s="4">
        <f>IF(OR(INDEX($P$2:$P$1001,MATCH(ROWS($O$2:O237),$O$2:$O$1001,0),1)&gt;=100000,INDEX($V$1005:$AE$1005,1,MATCH(COLUMNS($V$1006:AB1006),$V$1006:$AE$1006,0))&gt;=100000), " ",IF(INDEX($V$2:$AE$1001,MATCH(ROWS($O$2:O237),$O$2:$O$1001,0),MATCH(COLUMNS($V$1006:AB1006),$V$1006:$AE$1006,0)), HYPERLINK("#",""), HYPERLINK(CONCATENATE("#Metadata!", ADDRESS(INDEX($Q$2:$Q$1001,MATCH(ROWS($O$2:O237),$O$2:$O$1001,0),0), INDEX($V$1004:$AE$1004,1,MATCH(COLUMNS($V$1006:AB1006),$V$1006:$AE$1006,0)))),"Fix")))</f>
        <v>0</v>
      </c>
      <c r="I237" s="4">
        <f>IF(OR(INDEX($P$2:$P$1001,MATCH(ROWS($O$2:O237),$O$2:$O$1001,0),1)&gt;=100000,INDEX($V$1005:$AE$1005,1,MATCH(COLUMNS($V$1006:AC1006),$V$1006:$AE$1006,0))&gt;=100000), " ",IF(INDEX($V$2:$AE$1001,MATCH(ROWS($O$2:O237),$O$2:$O$1001,0),MATCH(COLUMNS($V$1006:AC1006),$V$1006:$AE$1006,0)), HYPERLINK("#",""), HYPERLINK(CONCATENATE("#Metadata!", ADDRESS(INDEX($Q$2:$Q$1001,MATCH(ROWS($O$2:O237),$O$2:$O$1001,0),0), INDEX($V$1004:$AE$1004,1,MATCH(COLUMNS($V$1006:AC1006),$V$1006:$AE$1006,0)))),"Fix")))</f>
        <v>0</v>
      </c>
      <c r="J237" s="4">
        <f>IF(OR(INDEX($P$2:$P$1001,MATCH(ROWS($O$2:O237),$O$2:$O$1001,0),1)&gt;=100000,INDEX($V$1005:$AE$1005,1,MATCH(COLUMNS($V$1006:AD1006),$V$1006:$AE$1006,0))&gt;=100000), " ",IF(INDEX($V$2:$AE$1001,MATCH(ROWS($O$2:O237),$O$2:$O$1001,0),MATCH(COLUMNS($V$1006:AD1006),$V$1006:$AE$1006,0)), HYPERLINK("#",""), HYPERLINK(CONCATENATE("#Metadata!", ADDRESS(INDEX($Q$2:$Q$1001,MATCH(ROWS($O$2:O237),$O$2:$O$1001,0),0), INDEX($V$1004:$AE$1004,1,MATCH(COLUMNS($V$1006:AD1006),$V$1006:$AE$1006,0)))),"Fix")))</f>
        <v>0</v>
      </c>
      <c r="K237" s="4">
        <f>IF(OR(INDEX($P$2:$P$1001,MATCH(ROWS($O$2:O237),$O$2:$O$1001,0),1)&gt;=100000,INDEX($V$1005:$AE$1005,1,MATCH(COLUMNS($V$1006:AE1006),$V$1006:$AE$1006,0))&gt;=100000), " ",IF(INDEX($V$2:$AE$1001,MATCH(ROWS($O$2:O237),$O$2:$O$1001,0),MATCH(COLUMNS($V$1006:AE1006),$V$1006:$AE$1006,0)), HYPERLINK("#",""), HYPERLINK(CONCATENATE("#Metadata!", ADDRESS(INDEX($Q$2:$Q$1001,MATCH(ROWS($O$2:O237),$O$2:$O$1001,0),0), INDEX($V$1004:$AE$1004,1,MATCH(COLUMNS($V$1006:AE1006),$V$1006:$AE$1006,0)))),"Fix")))</f>
        <v>0</v>
      </c>
      <c r="O237">
        <v>0</v>
      </c>
      <c r="P237">
        <v>0</v>
      </c>
      <c r="Q237">
        <v>0</v>
      </c>
      <c r="R237">
        <f>IF(S237,TRUE,AND(V237:AE237))</f>
        <v>0</v>
      </c>
      <c r="S237">
        <f>COUNTBLANK(Metadata!B237:K237)=COLUMNS(Metadata!B237:K237)</f>
        <v>0</v>
      </c>
      <c r="T237">
        <v>0</v>
      </c>
      <c r="V237">
        <f>AND(IF(Metadata!B237="",FALSE,TRUE),COUNTIF(Metadata!B:B, Metadata!B237) = 1,NOT(ISERROR(SUMPRODUCT(SEARCH(MID(Metadata!B237,ROW(INDIRECT("1:"&amp;LEN(Metadata!B237))), 1),"0123456789abcdefghijklmnopqrstuvwxyzABCDEFGHIJKLMNOPQRSTUVWXYZ.")))))</f>
        <v>0</v>
      </c>
      <c r="W237">
        <f>AND(IF(Metadata!C237="",FALSE,TRUE),exact(Metadata!C237,"urban biome"))</f>
        <v>0</v>
      </c>
      <c r="X237">
        <f>AND(IF(Metadata!D237="",FALSE,TRUE),exact(Metadata!D237,"animal-associated habitat"))</f>
        <v>0</v>
      </c>
      <c r="Y237">
        <f>OR(AND(IF(Metadata!E237="",FALSE,TRUE),OR(exact(Metadata!E237,"not applicable"),exact(Metadata!E237,"missing: not collected"),exact(Metadata!E237,"missing: not provided"),exact(Metadata!E237,"missing: restricted access"))),AND(IF(Metadata!E237="",FALSE,ISNUMBER(VALUE(Metadata!E237))),Metadata!E237&gt;0))</f>
        <v>0</v>
      </c>
      <c r="Z237">
        <f>AND(IF(Metadata!F237="",FALSE,TRUE),exact(Metadata!F237,"weeks"))</f>
        <v>0</v>
      </c>
      <c r="AA237">
        <f>AND(IF(Metadata!G237="",FALSE,TRUE),exact(Metadata!G237,"mouse"))</f>
        <v>0</v>
      </c>
      <c r="AB237">
        <f>AND(IF(Metadata!H237="",FALSE,TRUE),exact(Metadata!H237,"Mus musculus"))</f>
        <v>0</v>
      </c>
      <c r="AC237">
        <f>AND(IF(Metadata!I237="",FALSE,TRUE),exact(Metadata!I237,"10090"))</f>
        <v>0</v>
      </c>
      <c r="AD237">
        <f>OR(AND(IF(Metadata!J237="",FALSE,TRUE),OR(exact(Metadata!J237,"not applicable"),exact(Metadata!J237,"missing: not collected"),exact(Metadata!J237,"missing: not provided"),exact(Metadata!J237,"missing: restricted access"))),AND(IF(Metadata!J237="",FALSE,ISNUMBER(VALUE(Metadata!J237))),Metadata!J237&gt;0))</f>
        <v>0</v>
      </c>
      <c r="AE237">
        <f>AND(IF(Metadata!K237="",FALSE,TRUE),exact(Metadata!K237,"g"))</f>
        <v>0</v>
      </c>
    </row>
    <row r="238" spans="1:31">
      <c r="A238" s="5">
        <f>IF(B238=" "," ",HYPERLINK(CONCATENATE("#metadata!",ADDRESS(INDEX($Q$2:$Q$1001,MATCH(ROWS($O$2:O238),$O$2:$O$1001,0),0),1)),INDEX($T$2:$T$1001,MATCH(ROWS($O$2:O238),$O$2:$O$1001,0),0)))</f>
        <v>0</v>
      </c>
      <c r="B238" s="4">
        <f>IF(OR(INDEX($P$2:$P$1001,MATCH(ROWS($O$2:O238),$O$2:$O$1001,0),1)&gt;=100000,INDEX($V$1005:$AE$1005,1,MATCH(COLUMNS($V$1006:V1006),$V$1006:$AE$1006,0))&gt;=100000), " ",IF(INDEX($V$2:$AE$1001,MATCH(ROWS($O$2:O238),$O$2:$O$1001,0),MATCH(COLUMNS($V$1006:V1006),$V$1006:$AE$1006,0)), HYPERLINK("#",""), HYPERLINK(CONCATENATE("#Metadata!", ADDRESS(INDEX($Q$2:$Q$1001,MATCH(ROWS($O$2:O238),$O$2:$O$1001,0),0), INDEX($V$1004:$AE$1004,1,MATCH(COLUMNS($V$1006:V1006),$V$1006:$AE$1006,0)))),"Fix")))</f>
        <v>0</v>
      </c>
      <c r="C238" s="4">
        <f>IF(OR(INDEX($P$2:$P$1001,MATCH(ROWS($O$2:O238),$O$2:$O$1001,0),1)&gt;=100000,INDEX($V$1005:$AE$1005,1,MATCH(COLUMNS($V$1006:W1006),$V$1006:$AE$1006,0))&gt;=100000), " ",IF(INDEX($V$2:$AE$1001,MATCH(ROWS($O$2:O238),$O$2:$O$1001,0),MATCH(COLUMNS($V$1006:W1006),$V$1006:$AE$1006,0)), HYPERLINK("#",""), HYPERLINK(CONCATENATE("#Metadata!", ADDRESS(INDEX($Q$2:$Q$1001,MATCH(ROWS($O$2:O238),$O$2:$O$1001,0),0), INDEX($V$1004:$AE$1004,1,MATCH(COLUMNS($V$1006:W1006),$V$1006:$AE$1006,0)))),"Fix")))</f>
        <v>0</v>
      </c>
      <c r="D238" s="4">
        <f>IF(OR(INDEX($P$2:$P$1001,MATCH(ROWS($O$2:O238),$O$2:$O$1001,0),1)&gt;=100000,INDEX($V$1005:$AE$1005,1,MATCH(COLUMNS($V$1006:X1006),$V$1006:$AE$1006,0))&gt;=100000), " ",IF(INDEX($V$2:$AE$1001,MATCH(ROWS($O$2:O238),$O$2:$O$1001,0),MATCH(COLUMNS($V$1006:X1006),$V$1006:$AE$1006,0)), HYPERLINK("#",""), HYPERLINK(CONCATENATE("#Metadata!", ADDRESS(INDEX($Q$2:$Q$1001,MATCH(ROWS($O$2:O238),$O$2:$O$1001,0),0), INDEX($V$1004:$AE$1004,1,MATCH(COLUMNS($V$1006:X1006),$V$1006:$AE$1006,0)))),"Fix")))</f>
        <v>0</v>
      </c>
      <c r="E238" s="4">
        <f>IF(OR(INDEX($P$2:$P$1001,MATCH(ROWS($O$2:O238),$O$2:$O$1001,0),1)&gt;=100000,INDEX($V$1005:$AE$1005,1,MATCH(COLUMNS($V$1006:Y1006),$V$1006:$AE$1006,0))&gt;=100000), " ",IF(INDEX($V$2:$AE$1001,MATCH(ROWS($O$2:O238),$O$2:$O$1001,0),MATCH(COLUMNS($V$1006:Y1006),$V$1006:$AE$1006,0)), HYPERLINK("#",""), HYPERLINK(CONCATENATE("#Metadata!", ADDRESS(INDEX($Q$2:$Q$1001,MATCH(ROWS($O$2:O238),$O$2:$O$1001,0),0), INDEX($V$1004:$AE$1004,1,MATCH(COLUMNS($V$1006:Y1006),$V$1006:$AE$1006,0)))),"Fix")))</f>
        <v>0</v>
      </c>
      <c r="F238" s="4">
        <f>IF(OR(INDEX($P$2:$P$1001,MATCH(ROWS($O$2:O238),$O$2:$O$1001,0),1)&gt;=100000,INDEX($V$1005:$AE$1005,1,MATCH(COLUMNS($V$1006:Z1006),$V$1006:$AE$1006,0))&gt;=100000), " ",IF(INDEX($V$2:$AE$1001,MATCH(ROWS($O$2:O238),$O$2:$O$1001,0),MATCH(COLUMNS($V$1006:Z1006),$V$1006:$AE$1006,0)), HYPERLINK("#",""), HYPERLINK(CONCATENATE("#Metadata!", ADDRESS(INDEX($Q$2:$Q$1001,MATCH(ROWS($O$2:O238),$O$2:$O$1001,0),0), INDEX($V$1004:$AE$1004,1,MATCH(COLUMNS($V$1006:Z1006),$V$1006:$AE$1006,0)))),"Fix")))</f>
        <v>0</v>
      </c>
      <c r="G238" s="4">
        <f>IF(OR(INDEX($P$2:$P$1001,MATCH(ROWS($O$2:O238),$O$2:$O$1001,0),1)&gt;=100000,INDEX($V$1005:$AE$1005,1,MATCH(COLUMNS($V$1006:AA1006),$V$1006:$AE$1006,0))&gt;=100000), " ",IF(INDEX($V$2:$AE$1001,MATCH(ROWS($O$2:O238),$O$2:$O$1001,0),MATCH(COLUMNS($V$1006:AA1006),$V$1006:$AE$1006,0)), HYPERLINK("#",""), HYPERLINK(CONCATENATE("#Metadata!", ADDRESS(INDEX($Q$2:$Q$1001,MATCH(ROWS($O$2:O238),$O$2:$O$1001,0),0), INDEX($V$1004:$AE$1004,1,MATCH(COLUMNS($V$1006:AA1006),$V$1006:$AE$1006,0)))),"Fix")))</f>
        <v>0</v>
      </c>
      <c r="H238" s="4">
        <f>IF(OR(INDEX($P$2:$P$1001,MATCH(ROWS($O$2:O238),$O$2:$O$1001,0),1)&gt;=100000,INDEX($V$1005:$AE$1005,1,MATCH(COLUMNS($V$1006:AB1006),$V$1006:$AE$1006,0))&gt;=100000), " ",IF(INDEX($V$2:$AE$1001,MATCH(ROWS($O$2:O238),$O$2:$O$1001,0),MATCH(COLUMNS($V$1006:AB1006),$V$1006:$AE$1006,0)), HYPERLINK("#",""), HYPERLINK(CONCATENATE("#Metadata!", ADDRESS(INDEX($Q$2:$Q$1001,MATCH(ROWS($O$2:O238),$O$2:$O$1001,0),0), INDEX($V$1004:$AE$1004,1,MATCH(COLUMNS($V$1006:AB1006),$V$1006:$AE$1006,0)))),"Fix")))</f>
        <v>0</v>
      </c>
      <c r="I238" s="4">
        <f>IF(OR(INDEX($P$2:$P$1001,MATCH(ROWS($O$2:O238),$O$2:$O$1001,0),1)&gt;=100000,INDEX($V$1005:$AE$1005,1,MATCH(COLUMNS($V$1006:AC1006),$V$1006:$AE$1006,0))&gt;=100000), " ",IF(INDEX($V$2:$AE$1001,MATCH(ROWS($O$2:O238),$O$2:$O$1001,0),MATCH(COLUMNS($V$1006:AC1006),$V$1006:$AE$1006,0)), HYPERLINK("#",""), HYPERLINK(CONCATENATE("#Metadata!", ADDRESS(INDEX($Q$2:$Q$1001,MATCH(ROWS($O$2:O238),$O$2:$O$1001,0),0), INDEX($V$1004:$AE$1004,1,MATCH(COLUMNS($V$1006:AC1006),$V$1006:$AE$1006,0)))),"Fix")))</f>
        <v>0</v>
      </c>
      <c r="J238" s="4">
        <f>IF(OR(INDEX($P$2:$P$1001,MATCH(ROWS($O$2:O238),$O$2:$O$1001,0),1)&gt;=100000,INDEX($V$1005:$AE$1005,1,MATCH(COLUMNS($V$1006:AD1006),$V$1006:$AE$1006,0))&gt;=100000), " ",IF(INDEX($V$2:$AE$1001,MATCH(ROWS($O$2:O238),$O$2:$O$1001,0),MATCH(COLUMNS($V$1006:AD1006),$V$1006:$AE$1006,0)), HYPERLINK("#",""), HYPERLINK(CONCATENATE("#Metadata!", ADDRESS(INDEX($Q$2:$Q$1001,MATCH(ROWS($O$2:O238),$O$2:$O$1001,0),0), INDEX($V$1004:$AE$1004,1,MATCH(COLUMNS($V$1006:AD1006),$V$1006:$AE$1006,0)))),"Fix")))</f>
        <v>0</v>
      </c>
      <c r="K238" s="4">
        <f>IF(OR(INDEX($P$2:$P$1001,MATCH(ROWS($O$2:O238),$O$2:$O$1001,0),1)&gt;=100000,INDEX($V$1005:$AE$1005,1,MATCH(COLUMNS($V$1006:AE1006),$V$1006:$AE$1006,0))&gt;=100000), " ",IF(INDEX($V$2:$AE$1001,MATCH(ROWS($O$2:O238),$O$2:$O$1001,0),MATCH(COLUMNS($V$1006:AE1006),$V$1006:$AE$1006,0)), HYPERLINK("#",""), HYPERLINK(CONCATENATE("#Metadata!", ADDRESS(INDEX($Q$2:$Q$1001,MATCH(ROWS($O$2:O238),$O$2:$O$1001,0),0), INDEX($V$1004:$AE$1004,1,MATCH(COLUMNS($V$1006:AE1006),$V$1006:$AE$1006,0)))),"Fix")))</f>
        <v>0</v>
      </c>
      <c r="O238">
        <v>0</v>
      </c>
      <c r="P238">
        <v>0</v>
      </c>
      <c r="Q238">
        <v>0</v>
      </c>
      <c r="R238">
        <f>IF(S238,TRUE,AND(V238:AE238))</f>
        <v>0</v>
      </c>
      <c r="S238">
        <f>COUNTBLANK(Metadata!B238:K238)=COLUMNS(Metadata!B238:K238)</f>
        <v>0</v>
      </c>
      <c r="T238">
        <v>0</v>
      </c>
      <c r="V238">
        <f>AND(IF(Metadata!B238="",FALSE,TRUE),COUNTIF(Metadata!B:B, Metadata!B238) = 1,NOT(ISERROR(SUMPRODUCT(SEARCH(MID(Metadata!B238,ROW(INDIRECT("1:"&amp;LEN(Metadata!B238))), 1),"0123456789abcdefghijklmnopqrstuvwxyzABCDEFGHIJKLMNOPQRSTUVWXYZ.")))))</f>
        <v>0</v>
      </c>
      <c r="W238">
        <f>AND(IF(Metadata!C238="",FALSE,TRUE),exact(Metadata!C238,"urban biome"))</f>
        <v>0</v>
      </c>
      <c r="X238">
        <f>AND(IF(Metadata!D238="",FALSE,TRUE),exact(Metadata!D238,"animal-associated habitat"))</f>
        <v>0</v>
      </c>
      <c r="Y238">
        <f>OR(AND(IF(Metadata!E238="",FALSE,TRUE),OR(exact(Metadata!E238,"not applicable"),exact(Metadata!E238,"missing: not collected"),exact(Metadata!E238,"missing: not provided"),exact(Metadata!E238,"missing: restricted access"))),AND(IF(Metadata!E238="",FALSE,ISNUMBER(VALUE(Metadata!E238))),Metadata!E238&gt;0))</f>
        <v>0</v>
      </c>
      <c r="Z238">
        <f>AND(IF(Metadata!F238="",FALSE,TRUE),exact(Metadata!F238,"weeks"))</f>
        <v>0</v>
      </c>
      <c r="AA238">
        <f>AND(IF(Metadata!G238="",FALSE,TRUE),exact(Metadata!G238,"mouse"))</f>
        <v>0</v>
      </c>
      <c r="AB238">
        <f>AND(IF(Metadata!H238="",FALSE,TRUE),exact(Metadata!H238,"Mus musculus"))</f>
        <v>0</v>
      </c>
      <c r="AC238">
        <f>AND(IF(Metadata!I238="",FALSE,TRUE),exact(Metadata!I238,"10090"))</f>
        <v>0</v>
      </c>
      <c r="AD238">
        <f>OR(AND(IF(Metadata!J238="",FALSE,TRUE),OR(exact(Metadata!J238,"not applicable"),exact(Metadata!J238,"missing: not collected"),exact(Metadata!J238,"missing: not provided"),exact(Metadata!J238,"missing: restricted access"))),AND(IF(Metadata!J238="",FALSE,ISNUMBER(VALUE(Metadata!J238))),Metadata!J238&gt;0))</f>
        <v>0</v>
      </c>
      <c r="AE238">
        <f>AND(IF(Metadata!K238="",FALSE,TRUE),exact(Metadata!K238,"g"))</f>
        <v>0</v>
      </c>
    </row>
    <row r="239" spans="1:31">
      <c r="A239" s="5">
        <f>IF(B239=" "," ",HYPERLINK(CONCATENATE("#metadata!",ADDRESS(INDEX($Q$2:$Q$1001,MATCH(ROWS($O$2:O239),$O$2:$O$1001,0),0),1)),INDEX($T$2:$T$1001,MATCH(ROWS($O$2:O239),$O$2:$O$1001,0),0)))</f>
        <v>0</v>
      </c>
      <c r="B239" s="4">
        <f>IF(OR(INDEX($P$2:$P$1001,MATCH(ROWS($O$2:O239),$O$2:$O$1001,0),1)&gt;=100000,INDEX($V$1005:$AE$1005,1,MATCH(COLUMNS($V$1006:V1006),$V$1006:$AE$1006,0))&gt;=100000), " ",IF(INDEX($V$2:$AE$1001,MATCH(ROWS($O$2:O239),$O$2:$O$1001,0),MATCH(COLUMNS($V$1006:V1006),$V$1006:$AE$1006,0)), HYPERLINK("#",""), HYPERLINK(CONCATENATE("#Metadata!", ADDRESS(INDEX($Q$2:$Q$1001,MATCH(ROWS($O$2:O239),$O$2:$O$1001,0),0), INDEX($V$1004:$AE$1004,1,MATCH(COLUMNS($V$1006:V1006),$V$1006:$AE$1006,0)))),"Fix")))</f>
        <v>0</v>
      </c>
      <c r="C239" s="4">
        <f>IF(OR(INDEX($P$2:$P$1001,MATCH(ROWS($O$2:O239),$O$2:$O$1001,0),1)&gt;=100000,INDEX($V$1005:$AE$1005,1,MATCH(COLUMNS($V$1006:W1006),$V$1006:$AE$1006,0))&gt;=100000), " ",IF(INDEX($V$2:$AE$1001,MATCH(ROWS($O$2:O239),$O$2:$O$1001,0),MATCH(COLUMNS($V$1006:W1006),$V$1006:$AE$1006,0)), HYPERLINK("#",""), HYPERLINK(CONCATENATE("#Metadata!", ADDRESS(INDEX($Q$2:$Q$1001,MATCH(ROWS($O$2:O239),$O$2:$O$1001,0),0), INDEX($V$1004:$AE$1004,1,MATCH(COLUMNS($V$1006:W1006),$V$1006:$AE$1006,0)))),"Fix")))</f>
        <v>0</v>
      </c>
      <c r="D239" s="4">
        <f>IF(OR(INDEX($P$2:$P$1001,MATCH(ROWS($O$2:O239),$O$2:$O$1001,0),1)&gt;=100000,INDEX($V$1005:$AE$1005,1,MATCH(COLUMNS($V$1006:X1006),$V$1006:$AE$1006,0))&gt;=100000), " ",IF(INDEX($V$2:$AE$1001,MATCH(ROWS($O$2:O239),$O$2:$O$1001,0),MATCH(COLUMNS($V$1006:X1006),$V$1006:$AE$1006,0)), HYPERLINK("#",""), HYPERLINK(CONCATENATE("#Metadata!", ADDRESS(INDEX($Q$2:$Q$1001,MATCH(ROWS($O$2:O239),$O$2:$O$1001,0),0), INDEX($V$1004:$AE$1004,1,MATCH(COLUMNS($V$1006:X1006),$V$1006:$AE$1006,0)))),"Fix")))</f>
        <v>0</v>
      </c>
      <c r="E239" s="4">
        <f>IF(OR(INDEX($P$2:$P$1001,MATCH(ROWS($O$2:O239),$O$2:$O$1001,0),1)&gt;=100000,INDEX($V$1005:$AE$1005,1,MATCH(COLUMNS($V$1006:Y1006),$V$1006:$AE$1006,0))&gt;=100000), " ",IF(INDEX($V$2:$AE$1001,MATCH(ROWS($O$2:O239),$O$2:$O$1001,0),MATCH(COLUMNS($V$1006:Y1006),$V$1006:$AE$1006,0)), HYPERLINK("#",""), HYPERLINK(CONCATENATE("#Metadata!", ADDRESS(INDEX($Q$2:$Q$1001,MATCH(ROWS($O$2:O239),$O$2:$O$1001,0),0), INDEX($V$1004:$AE$1004,1,MATCH(COLUMNS($V$1006:Y1006),$V$1006:$AE$1006,0)))),"Fix")))</f>
        <v>0</v>
      </c>
      <c r="F239" s="4">
        <f>IF(OR(INDEX($P$2:$P$1001,MATCH(ROWS($O$2:O239),$O$2:$O$1001,0),1)&gt;=100000,INDEX($V$1005:$AE$1005,1,MATCH(COLUMNS($V$1006:Z1006),$V$1006:$AE$1006,0))&gt;=100000), " ",IF(INDEX($V$2:$AE$1001,MATCH(ROWS($O$2:O239),$O$2:$O$1001,0),MATCH(COLUMNS($V$1006:Z1006),$V$1006:$AE$1006,0)), HYPERLINK("#",""), HYPERLINK(CONCATENATE("#Metadata!", ADDRESS(INDEX($Q$2:$Q$1001,MATCH(ROWS($O$2:O239),$O$2:$O$1001,0),0), INDEX($V$1004:$AE$1004,1,MATCH(COLUMNS($V$1006:Z1006),$V$1006:$AE$1006,0)))),"Fix")))</f>
        <v>0</v>
      </c>
      <c r="G239" s="4">
        <f>IF(OR(INDEX($P$2:$P$1001,MATCH(ROWS($O$2:O239),$O$2:$O$1001,0),1)&gt;=100000,INDEX($V$1005:$AE$1005,1,MATCH(COLUMNS($V$1006:AA1006),$V$1006:$AE$1006,0))&gt;=100000), " ",IF(INDEX($V$2:$AE$1001,MATCH(ROWS($O$2:O239),$O$2:$O$1001,0),MATCH(COLUMNS($V$1006:AA1006),$V$1006:$AE$1006,0)), HYPERLINK("#",""), HYPERLINK(CONCATENATE("#Metadata!", ADDRESS(INDEX($Q$2:$Q$1001,MATCH(ROWS($O$2:O239),$O$2:$O$1001,0),0), INDEX($V$1004:$AE$1004,1,MATCH(COLUMNS($V$1006:AA1006),$V$1006:$AE$1006,0)))),"Fix")))</f>
        <v>0</v>
      </c>
      <c r="H239" s="4">
        <f>IF(OR(INDEX($P$2:$P$1001,MATCH(ROWS($O$2:O239),$O$2:$O$1001,0),1)&gt;=100000,INDEX($V$1005:$AE$1005,1,MATCH(COLUMNS($V$1006:AB1006),$V$1006:$AE$1006,0))&gt;=100000), " ",IF(INDEX($V$2:$AE$1001,MATCH(ROWS($O$2:O239),$O$2:$O$1001,0),MATCH(COLUMNS($V$1006:AB1006),$V$1006:$AE$1006,0)), HYPERLINK("#",""), HYPERLINK(CONCATENATE("#Metadata!", ADDRESS(INDEX($Q$2:$Q$1001,MATCH(ROWS($O$2:O239),$O$2:$O$1001,0),0), INDEX($V$1004:$AE$1004,1,MATCH(COLUMNS($V$1006:AB1006),$V$1006:$AE$1006,0)))),"Fix")))</f>
        <v>0</v>
      </c>
      <c r="I239" s="4">
        <f>IF(OR(INDEX($P$2:$P$1001,MATCH(ROWS($O$2:O239),$O$2:$O$1001,0),1)&gt;=100000,INDEX($V$1005:$AE$1005,1,MATCH(COLUMNS($V$1006:AC1006),$V$1006:$AE$1006,0))&gt;=100000), " ",IF(INDEX($V$2:$AE$1001,MATCH(ROWS($O$2:O239),$O$2:$O$1001,0),MATCH(COLUMNS($V$1006:AC1006),$V$1006:$AE$1006,0)), HYPERLINK("#",""), HYPERLINK(CONCATENATE("#Metadata!", ADDRESS(INDEX($Q$2:$Q$1001,MATCH(ROWS($O$2:O239),$O$2:$O$1001,0),0), INDEX($V$1004:$AE$1004,1,MATCH(COLUMNS($V$1006:AC1006),$V$1006:$AE$1006,0)))),"Fix")))</f>
        <v>0</v>
      </c>
      <c r="J239" s="4">
        <f>IF(OR(INDEX($P$2:$P$1001,MATCH(ROWS($O$2:O239),$O$2:$O$1001,0),1)&gt;=100000,INDEX($V$1005:$AE$1005,1,MATCH(COLUMNS($V$1006:AD1006),$V$1006:$AE$1006,0))&gt;=100000), " ",IF(INDEX($V$2:$AE$1001,MATCH(ROWS($O$2:O239),$O$2:$O$1001,0),MATCH(COLUMNS($V$1006:AD1006),$V$1006:$AE$1006,0)), HYPERLINK("#",""), HYPERLINK(CONCATENATE("#Metadata!", ADDRESS(INDEX($Q$2:$Q$1001,MATCH(ROWS($O$2:O239),$O$2:$O$1001,0),0), INDEX($V$1004:$AE$1004,1,MATCH(COLUMNS($V$1006:AD1006),$V$1006:$AE$1006,0)))),"Fix")))</f>
        <v>0</v>
      </c>
      <c r="K239" s="4">
        <f>IF(OR(INDEX($P$2:$P$1001,MATCH(ROWS($O$2:O239),$O$2:$O$1001,0),1)&gt;=100000,INDEX($V$1005:$AE$1005,1,MATCH(COLUMNS($V$1006:AE1006),$V$1006:$AE$1006,0))&gt;=100000), " ",IF(INDEX($V$2:$AE$1001,MATCH(ROWS($O$2:O239),$O$2:$O$1001,0),MATCH(COLUMNS($V$1006:AE1006),$V$1006:$AE$1006,0)), HYPERLINK("#",""), HYPERLINK(CONCATENATE("#Metadata!", ADDRESS(INDEX($Q$2:$Q$1001,MATCH(ROWS($O$2:O239),$O$2:$O$1001,0),0), INDEX($V$1004:$AE$1004,1,MATCH(COLUMNS($V$1006:AE1006),$V$1006:$AE$1006,0)))),"Fix")))</f>
        <v>0</v>
      </c>
      <c r="O239">
        <v>0</v>
      </c>
      <c r="P239">
        <v>0</v>
      </c>
      <c r="Q239">
        <v>0</v>
      </c>
      <c r="R239">
        <f>IF(S239,TRUE,AND(V239:AE239))</f>
        <v>0</v>
      </c>
      <c r="S239">
        <f>COUNTBLANK(Metadata!B239:K239)=COLUMNS(Metadata!B239:K239)</f>
        <v>0</v>
      </c>
      <c r="T239">
        <v>0</v>
      </c>
      <c r="V239">
        <f>AND(IF(Metadata!B239="",FALSE,TRUE),COUNTIF(Metadata!B:B, Metadata!B239) = 1,NOT(ISERROR(SUMPRODUCT(SEARCH(MID(Metadata!B239,ROW(INDIRECT("1:"&amp;LEN(Metadata!B239))), 1),"0123456789abcdefghijklmnopqrstuvwxyzABCDEFGHIJKLMNOPQRSTUVWXYZ.")))))</f>
        <v>0</v>
      </c>
      <c r="W239">
        <f>AND(IF(Metadata!C239="",FALSE,TRUE),exact(Metadata!C239,"urban biome"))</f>
        <v>0</v>
      </c>
      <c r="X239">
        <f>AND(IF(Metadata!D239="",FALSE,TRUE),exact(Metadata!D239,"animal-associated habitat"))</f>
        <v>0</v>
      </c>
      <c r="Y239">
        <f>OR(AND(IF(Metadata!E239="",FALSE,TRUE),OR(exact(Metadata!E239,"not applicable"),exact(Metadata!E239,"missing: not collected"),exact(Metadata!E239,"missing: not provided"),exact(Metadata!E239,"missing: restricted access"))),AND(IF(Metadata!E239="",FALSE,ISNUMBER(VALUE(Metadata!E239))),Metadata!E239&gt;0))</f>
        <v>0</v>
      </c>
      <c r="Z239">
        <f>AND(IF(Metadata!F239="",FALSE,TRUE),exact(Metadata!F239,"weeks"))</f>
        <v>0</v>
      </c>
      <c r="AA239">
        <f>AND(IF(Metadata!G239="",FALSE,TRUE),exact(Metadata!G239,"mouse"))</f>
        <v>0</v>
      </c>
      <c r="AB239">
        <f>AND(IF(Metadata!H239="",FALSE,TRUE),exact(Metadata!H239,"Mus musculus"))</f>
        <v>0</v>
      </c>
      <c r="AC239">
        <f>AND(IF(Metadata!I239="",FALSE,TRUE),exact(Metadata!I239,"10090"))</f>
        <v>0</v>
      </c>
      <c r="AD239">
        <f>OR(AND(IF(Metadata!J239="",FALSE,TRUE),OR(exact(Metadata!J239,"not applicable"),exact(Metadata!J239,"missing: not collected"),exact(Metadata!J239,"missing: not provided"),exact(Metadata!J239,"missing: restricted access"))),AND(IF(Metadata!J239="",FALSE,ISNUMBER(VALUE(Metadata!J239))),Metadata!J239&gt;0))</f>
        <v>0</v>
      </c>
      <c r="AE239">
        <f>AND(IF(Metadata!K239="",FALSE,TRUE),exact(Metadata!K239,"g"))</f>
        <v>0</v>
      </c>
    </row>
    <row r="240" spans="1:31">
      <c r="A240" s="5">
        <f>IF(B240=" "," ",HYPERLINK(CONCATENATE("#metadata!",ADDRESS(INDEX($Q$2:$Q$1001,MATCH(ROWS($O$2:O240),$O$2:$O$1001,0),0),1)),INDEX($T$2:$T$1001,MATCH(ROWS($O$2:O240),$O$2:$O$1001,0),0)))</f>
        <v>0</v>
      </c>
      <c r="B240" s="4">
        <f>IF(OR(INDEX($P$2:$P$1001,MATCH(ROWS($O$2:O240),$O$2:$O$1001,0),1)&gt;=100000,INDEX($V$1005:$AE$1005,1,MATCH(COLUMNS($V$1006:V1006),$V$1006:$AE$1006,0))&gt;=100000), " ",IF(INDEX($V$2:$AE$1001,MATCH(ROWS($O$2:O240),$O$2:$O$1001,0),MATCH(COLUMNS($V$1006:V1006),$V$1006:$AE$1006,0)), HYPERLINK("#",""), HYPERLINK(CONCATENATE("#Metadata!", ADDRESS(INDEX($Q$2:$Q$1001,MATCH(ROWS($O$2:O240),$O$2:$O$1001,0),0), INDEX($V$1004:$AE$1004,1,MATCH(COLUMNS($V$1006:V1006),$V$1006:$AE$1006,0)))),"Fix")))</f>
        <v>0</v>
      </c>
      <c r="C240" s="4">
        <f>IF(OR(INDEX($P$2:$P$1001,MATCH(ROWS($O$2:O240),$O$2:$O$1001,0),1)&gt;=100000,INDEX($V$1005:$AE$1005,1,MATCH(COLUMNS($V$1006:W1006),$V$1006:$AE$1006,0))&gt;=100000), " ",IF(INDEX($V$2:$AE$1001,MATCH(ROWS($O$2:O240),$O$2:$O$1001,0),MATCH(COLUMNS($V$1006:W1006),$V$1006:$AE$1006,0)), HYPERLINK("#",""), HYPERLINK(CONCATENATE("#Metadata!", ADDRESS(INDEX($Q$2:$Q$1001,MATCH(ROWS($O$2:O240),$O$2:$O$1001,0),0), INDEX($V$1004:$AE$1004,1,MATCH(COLUMNS($V$1006:W1006),$V$1006:$AE$1006,0)))),"Fix")))</f>
        <v>0</v>
      </c>
      <c r="D240" s="4">
        <f>IF(OR(INDEX($P$2:$P$1001,MATCH(ROWS($O$2:O240),$O$2:$O$1001,0),1)&gt;=100000,INDEX($V$1005:$AE$1005,1,MATCH(COLUMNS($V$1006:X1006),$V$1006:$AE$1006,0))&gt;=100000), " ",IF(INDEX($V$2:$AE$1001,MATCH(ROWS($O$2:O240),$O$2:$O$1001,0),MATCH(COLUMNS($V$1006:X1006),$V$1006:$AE$1006,0)), HYPERLINK("#",""), HYPERLINK(CONCATENATE("#Metadata!", ADDRESS(INDEX($Q$2:$Q$1001,MATCH(ROWS($O$2:O240),$O$2:$O$1001,0),0), INDEX($V$1004:$AE$1004,1,MATCH(COLUMNS($V$1006:X1006),$V$1006:$AE$1006,0)))),"Fix")))</f>
        <v>0</v>
      </c>
      <c r="E240" s="4">
        <f>IF(OR(INDEX($P$2:$P$1001,MATCH(ROWS($O$2:O240),$O$2:$O$1001,0),1)&gt;=100000,INDEX($V$1005:$AE$1005,1,MATCH(COLUMNS($V$1006:Y1006),$V$1006:$AE$1006,0))&gt;=100000), " ",IF(INDEX($V$2:$AE$1001,MATCH(ROWS($O$2:O240),$O$2:$O$1001,0),MATCH(COLUMNS($V$1006:Y1006),$V$1006:$AE$1006,0)), HYPERLINK("#",""), HYPERLINK(CONCATENATE("#Metadata!", ADDRESS(INDEX($Q$2:$Q$1001,MATCH(ROWS($O$2:O240),$O$2:$O$1001,0),0), INDEX($V$1004:$AE$1004,1,MATCH(COLUMNS($V$1006:Y1006),$V$1006:$AE$1006,0)))),"Fix")))</f>
        <v>0</v>
      </c>
      <c r="F240" s="4">
        <f>IF(OR(INDEX($P$2:$P$1001,MATCH(ROWS($O$2:O240),$O$2:$O$1001,0),1)&gt;=100000,INDEX($V$1005:$AE$1005,1,MATCH(COLUMNS($V$1006:Z1006),$V$1006:$AE$1006,0))&gt;=100000), " ",IF(INDEX($V$2:$AE$1001,MATCH(ROWS($O$2:O240),$O$2:$O$1001,0),MATCH(COLUMNS($V$1006:Z1006),$V$1006:$AE$1006,0)), HYPERLINK("#",""), HYPERLINK(CONCATENATE("#Metadata!", ADDRESS(INDEX($Q$2:$Q$1001,MATCH(ROWS($O$2:O240),$O$2:$O$1001,0),0), INDEX($V$1004:$AE$1004,1,MATCH(COLUMNS($V$1006:Z1006),$V$1006:$AE$1006,0)))),"Fix")))</f>
        <v>0</v>
      </c>
      <c r="G240" s="4">
        <f>IF(OR(INDEX($P$2:$P$1001,MATCH(ROWS($O$2:O240),$O$2:$O$1001,0),1)&gt;=100000,INDEX($V$1005:$AE$1005,1,MATCH(COLUMNS($V$1006:AA1006),$V$1006:$AE$1006,0))&gt;=100000), " ",IF(INDEX($V$2:$AE$1001,MATCH(ROWS($O$2:O240),$O$2:$O$1001,0),MATCH(COLUMNS($V$1006:AA1006),$V$1006:$AE$1006,0)), HYPERLINK("#",""), HYPERLINK(CONCATENATE("#Metadata!", ADDRESS(INDEX($Q$2:$Q$1001,MATCH(ROWS($O$2:O240),$O$2:$O$1001,0),0), INDEX($V$1004:$AE$1004,1,MATCH(COLUMNS($V$1006:AA1006),$V$1006:$AE$1006,0)))),"Fix")))</f>
        <v>0</v>
      </c>
      <c r="H240" s="4">
        <f>IF(OR(INDEX($P$2:$P$1001,MATCH(ROWS($O$2:O240),$O$2:$O$1001,0),1)&gt;=100000,INDEX($V$1005:$AE$1005,1,MATCH(COLUMNS($V$1006:AB1006),$V$1006:$AE$1006,0))&gt;=100000), " ",IF(INDEX($V$2:$AE$1001,MATCH(ROWS($O$2:O240),$O$2:$O$1001,0),MATCH(COLUMNS($V$1006:AB1006),$V$1006:$AE$1006,0)), HYPERLINK("#",""), HYPERLINK(CONCATENATE("#Metadata!", ADDRESS(INDEX($Q$2:$Q$1001,MATCH(ROWS($O$2:O240),$O$2:$O$1001,0),0), INDEX($V$1004:$AE$1004,1,MATCH(COLUMNS($V$1006:AB1006),$V$1006:$AE$1006,0)))),"Fix")))</f>
        <v>0</v>
      </c>
      <c r="I240" s="4">
        <f>IF(OR(INDEX($P$2:$P$1001,MATCH(ROWS($O$2:O240),$O$2:$O$1001,0),1)&gt;=100000,INDEX($V$1005:$AE$1005,1,MATCH(COLUMNS($V$1006:AC1006),$V$1006:$AE$1006,0))&gt;=100000), " ",IF(INDEX($V$2:$AE$1001,MATCH(ROWS($O$2:O240),$O$2:$O$1001,0),MATCH(COLUMNS($V$1006:AC1006),$V$1006:$AE$1006,0)), HYPERLINK("#",""), HYPERLINK(CONCATENATE("#Metadata!", ADDRESS(INDEX($Q$2:$Q$1001,MATCH(ROWS($O$2:O240),$O$2:$O$1001,0),0), INDEX($V$1004:$AE$1004,1,MATCH(COLUMNS($V$1006:AC1006),$V$1006:$AE$1006,0)))),"Fix")))</f>
        <v>0</v>
      </c>
      <c r="J240" s="4">
        <f>IF(OR(INDEX($P$2:$P$1001,MATCH(ROWS($O$2:O240),$O$2:$O$1001,0),1)&gt;=100000,INDEX($V$1005:$AE$1005,1,MATCH(COLUMNS($V$1006:AD1006),$V$1006:$AE$1006,0))&gt;=100000), " ",IF(INDEX($V$2:$AE$1001,MATCH(ROWS($O$2:O240),$O$2:$O$1001,0),MATCH(COLUMNS($V$1006:AD1006),$V$1006:$AE$1006,0)), HYPERLINK("#",""), HYPERLINK(CONCATENATE("#Metadata!", ADDRESS(INDEX($Q$2:$Q$1001,MATCH(ROWS($O$2:O240),$O$2:$O$1001,0),0), INDEX($V$1004:$AE$1004,1,MATCH(COLUMNS($V$1006:AD1006),$V$1006:$AE$1006,0)))),"Fix")))</f>
        <v>0</v>
      </c>
      <c r="K240" s="4">
        <f>IF(OR(INDEX($P$2:$P$1001,MATCH(ROWS($O$2:O240),$O$2:$O$1001,0),1)&gt;=100000,INDEX($V$1005:$AE$1005,1,MATCH(COLUMNS($V$1006:AE1006),$V$1006:$AE$1006,0))&gt;=100000), " ",IF(INDEX($V$2:$AE$1001,MATCH(ROWS($O$2:O240),$O$2:$O$1001,0),MATCH(COLUMNS($V$1006:AE1006),$V$1006:$AE$1006,0)), HYPERLINK("#",""), HYPERLINK(CONCATENATE("#Metadata!", ADDRESS(INDEX($Q$2:$Q$1001,MATCH(ROWS($O$2:O240),$O$2:$O$1001,0),0), INDEX($V$1004:$AE$1004,1,MATCH(COLUMNS($V$1006:AE1006),$V$1006:$AE$1006,0)))),"Fix")))</f>
        <v>0</v>
      </c>
      <c r="O240">
        <v>0</v>
      </c>
      <c r="P240">
        <v>0</v>
      </c>
      <c r="Q240">
        <v>0</v>
      </c>
      <c r="R240">
        <f>IF(S240,TRUE,AND(V240:AE240))</f>
        <v>0</v>
      </c>
      <c r="S240">
        <f>COUNTBLANK(Metadata!B240:K240)=COLUMNS(Metadata!B240:K240)</f>
        <v>0</v>
      </c>
      <c r="T240">
        <v>0</v>
      </c>
      <c r="V240">
        <f>AND(IF(Metadata!B240="",FALSE,TRUE),COUNTIF(Metadata!B:B, Metadata!B240) = 1,NOT(ISERROR(SUMPRODUCT(SEARCH(MID(Metadata!B240,ROW(INDIRECT("1:"&amp;LEN(Metadata!B240))), 1),"0123456789abcdefghijklmnopqrstuvwxyzABCDEFGHIJKLMNOPQRSTUVWXYZ.")))))</f>
        <v>0</v>
      </c>
      <c r="W240">
        <f>AND(IF(Metadata!C240="",FALSE,TRUE),exact(Metadata!C240,"urban biome"))</f>
        <v>0</v>
      </c>
      <c r="X240">
        <f>AND(IF(Metadata!D240="",FALSE,TRUE),exact(Metadata!D240,"animal-associated habitat"))</f>
        <v>0</v>
      </c>
      <c r="Y240">
        <f>OR(AND(IF(Metadata!E240="",FALSE,TRUE),OR(exact(Metadata!E240,"not applicable"),exact(Metadata!E240,"missing: not collected"),exact(Metadata!E240,"missing: not provided"),exact(Metadata!E240,"missing: restricted access"))),AND(IF(Metadata!E240="",FALSE,ISNUMBER(VALUE(Metadata!E240))),Metadata!E240&gt;0))</f>
        <v>0</v>
      </c>
      <c r="Z240">
        <f>AND(IF(Metadata!F240="",FALSE,TRUE),exact(Metadata!F240,"weeks"))</f>
        <v>0</v>
      </c>
      <c r="AA240">
        <f>AND(IF(Metadata!G240="",FALSE,TRUE),exact(Metadata!G240,"mouse"))</f>
        <v>0</v>
      </c>
      <c r="AB240">
        <f>AND(IF(Metadata!H240="",FALSE,TRUE),exact(Metadata!H240,"Mus musculus"))</f>
        <v>0</v>
      </c>
      <c r="AC240">
        <f>AND(IF(Metadata!I240="",FALSE,TRUE),exact(Metadata!I240,"10090"))</f>
        <v>0</v>
      </c>
      <c r="AD240">
        <f>OR(AND(IF(Metadata!J240="",FALSE,TRUE),OR(exact(Metadata!J240,"not applicable"),exact(Metadata!J240,"missing: not collected"),exact(Metadata!J240,"missing: not provided"),exact(Metadata!J240,"missing: restricted access"))),AND(IF(Metadata!J240="",FALSE,ISNUMBER(VALUE(Metadata!J240))),Metadata!J240&gt;0))</f>
        <v>0</v>
      </c>
      <c r="AE240">
        <f>AND(IF(Metadata!K240="",FALSE,TRUE),exact(Metadata!K240,"g"))</f>
        <v>0</v>
      </c>
    </row>
    <row r="241" spans="1:31">
      <c r="A241" s="5">
        <f>IF(B241=" "," ",HYPERLINK(CONCATENATE("#metadata!",ADDRESS(INDEX($Q$2:$Q$1001,MATCH(ROWS($O$2:O241),$O$2:$O$1001,0),0),1)),INDEX($T$2:$T$1001,MATCH(ROWS($O$2:O241),$O$2:$O$1001,0),0)))</f>
        <v>0</v>
      </c>
      <c r="B241" s="4">
        <f>IF(OR(INDEX($P$2:$P$1001,MATCH(ROWS($O$2:O241),$O$2:$O$1001,0),1)&gt;=100000,INDEX($V$1005:$AE$1005,1,MATCH(COLUMNS($V$1006:V1006),$V$1006:$AE$1006,0))&gt;=100000), " ",IF(INDEX($V$2:$AE$1001,MATCH(ROWS($O$2:O241),$O$2:$O$1001,0),MATCH(COLUMNS($V$1006:V1006),$V$1006:$AE$1006,0)), HYPERLINK("#",""), HYPERLINK(CONCATENATE("#Metadata!", ADDRESS(INDEX($Q$2:$Q$1001,MATCH(ROWS($O$2:O241),$O$2:$O$1001,0),0), INDEX($V$1004:$AE$1004,1,MATCH(COLUMNS($V$1006:V1006),$V$1006:$AE$1006,0)))),"Fix")))</f>
        <v>0</v>
      </c>
      <c r="C241" s="4">
        <f>IF(OR(INDEX($P$2:$P$1001,MATCH(ROWS($O$2:O241),$O$2:$O$1001,0),1)&gt;=100000,INDEX($V$1005:$AE$1005,1,MATCH(COLUMNS($V$1006:W1006),$V$1006:$AE$1006,0))&gt;=100000), " ",IF(INDEX($V$2:$AE$1001,MATCH(ROWS($O$2:O241),$O$2:$O$1001,0),MATCH(COLUMNS($V$1006:W1006),$V$1006:$AE$1006,0)), HYPERLINK("#",""), HYPERLINK(CONCATENATE("#Metadata!", ADDRESS(INDEX($Q$2:$Q$1001,MATCH(ROWS($O$2:O241),$O$2:$O$1001,0),0), INDEX($V$1004:$AE$1004,1,MATCH(COLUMNS($V$1006:W1006),$V$1006:$AE$1006,0)))),"Fix")))</f>
        <v>0</v>
      </c>
      <c r="D241" s="4">
        <f>IF(OR(INDEX($P$2:$P$1001,MATCH(ROWS($O$2:O241),$O$2:$O$1001,0),1)&gt;=100000,INDEX($V$1005:$AE$1005,1,MATCH(COLUMNS($V$1006:X1006),$V$1006:$AE$1006,0))&gt;=100000), " ",IF(INDEX($V$2:$AE$1001,MATCH(ROWS($O$2:O241),$O$2:$O$1001,0),MATCH(COLUMNS($V$1006:X1006),$V$1006:$AE$1006,0)), HYPERLINK("#",""), HYPERLINK(CONCATENATE("#Metadata!", ADDRESS(INDEX($Q$2:$Q$1001,MATCH(ROWS($O$2:O241),$O$2:$O$1001,0),0), INDEX($V$1004:$AE$1004,1,MATCH(COLUMNS($V$1006:X1006),$V$1006:$AE$1006,0)))),"Fix")))</f>
        <v>0</v>
      </c>
      <c r="E241" s="4">
        <f>IF(OR(INDEX($P$2:$P$1001,MATCH(ROWS($O$2:O241),$O$2:$O$1001,0),1)&gt;=100000,INDEX($V$1005:$AE$1005,1,MATCH(COLUMNS($V$1006:Y1006),$V$1006:$AE$1006,0))&gt;=100000), " ",IF(INDEX($V$2:$AE$1001,MATCH(ROWS($O$2:O241),$O$2:$O$1001,0),MATCH(COLUMNS($V$1006:Y1006),$V$1006:$AE$1006,0)), HYPERLINK("#",""), HYPERLINK(CONCATENATE("#Metadata!", ADDRESS(INDEX($Q$2:$Q$1001,MATCH(ROWS($O$2:O241),$O$2:$O$1001,0),0), INDEX($V$1004:$AE$1004,1,MATCH(COLUMNS($V$1006:Y1006),$V$1006:$AE$1006,0)))),"Fix")))</f>
        <v>0</v>
      </c>
      <c r="F241" s="4">
        <f>IF(OR(INDEX($P$2:$P$1001,MATCH(ROWS($O$2:O241),$O$2:$O$1001,0),1)&gt;=100000,INDEX($V$1005:$AE$1005,1,MATCH(COLUMNS($V$1006:Z1006),$V$1006:$AE$1006,0))&gt;=100000), " ",IF(INDEX($V$2:$AE$1001,MATCH(ROWS($O$2:O241),$O$2:$O$1001,0),MATCH(COLUMNS($V$1006:Z1006),$V$1006:$AE$1006,0)), HYPERLINK("#",""), HYPERLINK(CONCATENATE("#Metadata!", ADDRESS(INDEX($Q$2:$Q$1001,MATCH(ROWS($O$2:O241),$O$2:$O$1001,0),0), INDEX($V$1004:$AE$1004,1,MATCH(COLUMNS($V$1006:Z1006),$V$1006:$AE$1006,0)))),"Fix")))</f>
        <v>0</v>
      </c>
      <c r="G241" s="4">
        <f>IF(OR(INDEX($P$2:$P$1001,MATCH(ROWS($O$2:O241),$O$2:$O$1001,0),1)&gt;=100000,INDEX($V$1005:$AE$1005,1,MATCH(COLUMNS($V$1006:AA1006),$V$1006:$AE$1006,0))&gt;=100000), " ",IF(INDEX($V$2:$AE$1001,MATCH(ROWS($O$2:O241),$O$2:$O$1001,0),MATCH(COLUMNS($V$1006:AA1006),$V$1006:$AE$1006,0)), HYPERLINK("#",""), HYPERLINK(CONCATENATE("#Metadata!", ADDRESS(INDEX($Q$2:$Q$1001,MATCH(ROWS($O$2:O241),$O$2:$O$1001,0),0), INDEX($V$1004:$AE$1004,1,MATCH(COLUMNS($V$1006:AA1006),$V$1006:$AE$1006,0)))),"Fix")))</f>
        <v>0</v>
      </c>
      <c r="H241" s="4">
        <f>IF(OR(INDEX($P$2:$P$1001,MATCH(ROWS($O$2:O241),$O$2:$O$1001,0),1)&gt;=100000,INDEX($V$1005:$AE$1005,1,MATCH(COLUMNS($V$1006:AB1006),$V$1006:$AE$1006,0))&gt;=100000), " ",IF(INDEX($V$2:$AE$1001,MATCH(ROWS($O$2:O241),$O$2:$O$1001,0),MATCH(COLUMNS($V$1006:AB1006),$V$1006:$AE$1006,0)), HYPERLINK("#",""), HYPERLINK(CONCATENATE("#Metadata!", ADDRESS(INDEX($Q$2:$Q$1001,MATCH(ROWS($O$2:O241),$O$2:$O$1001,0),0), INDEX($V$1004:$AE$1004,1,MATCH(COLUMNS($V$1006:AB1006),$V$1006:$AE$1006,0)))),"Fix")))</f>
        <v>0</v>
      </c>
      <c r="I241" s="4">
        <f>IF(OR(INDEX($P$2:$P$1001,MATCH(ROWS($O$2:O241),$O$2:$O$1001,0),1)&gt;=100000,INDEX($V$1005:$AE$1005,1,MATCH(COLUMNS($V$1006:AC1006),$V$1006:$AE$1006,0))&gt;=100000), " ",IF(INDEX($V$2:$AE$1001,MATCH(ROWS($O$2:O241),$O$2:$O$1001,0),MATCH(COLUMNS($V$1006:AC1006),$V$1006:$AE$1006,0)), HYPERLINK("#",""), HYPERLINK(CONCATENATE("#Metadata!", ADDRESS(INDEX($Q$2:$Q$1001,MATCH(ROWS($O$2:O241),$O$2:$O$1001,0),0), INDEX($V$1004:$AE$1004,1,MATCH(COLUMNS($V$1006:AC1006),$V$1006:$AE$1006,0)))),"Fix")))</f>
        <v>0</v>
      </c>
      <c r="J241" s="4">
        <f>IF(OR(INDEX($P$2:$P$1001,MATCH(ROWS($O$2:O241),$O$2:$O$1001,0),1)&gt;=100000,INDEX($V$1005:$AE$1005,1,MATCH(COLUMNS($V$1006:AD1006),$V$1006:$AE$1006,0))&gt;=100000), " ",IF(INDEX($V$2:$AE$1001,MATCH(ROWS($O$2:O241),$O$2:$O$1001,0),MATCH(COLUMNS($V$1006:AD1006),$V$1006:$AE$1006,0)), HYPERLINK("#",""), HYPERLINK(CONCATENATE("#Metadata!", ADDRESS(INDEX($Q$2:$Q$1001,MATCH(ROWS($O$2:O241),$O$2:$O$1001,0),0), INDEX($V$1004:$AE$1004,1,MATCH(COLUMNS($V$1006:AD1006),$V$1006:$AE$1006,0)))),"Fix")))</f>
        <v>0</v>
      </c>
      <c r="K241" s="4">
        <f>IF(OR(INDEX($P$2:$P$1001,MATCH(ROWS($O$2:O241),$O$2:$O$1001,0),1)&gt;=100000,INDEX($V$1005:$AE$1005,1,MATCH(COLUMNS($V$1006:AE1006),$V$1006:$AE$1006,0))&gt;=100000), " ",IF(INDEX($V$2:$AE$1001,MATCH(ROWS($O$2:O241),$O$2:$O$1001,0),MATCH(COLUMNS($V$1006:AE1006),$V$1006:$AE$1006,0)), HYPERLINK("#",""), HYPERLINK(CONCATENATE("#Metadata!", ADDRESS(INDEX($Q$2:$Q$1001,MATCH(ROWS($O$2:O241),$O$2:$O$1001,0),0), INDEX($V$1004:$AE$1004,1,MATCH(COLUMNS($V$1006:AE1006),$V$1006:$AE$1006,0)))),"Fix")))</f>
        <v>0</v>
      </c>
      <c r="O241">
        <v>0</v>
      </c>
      <c r="P241">
        <v>0</v>
      </c>
      <c r="Q241">
        <v>0</v>
      </c>
      <c r="R241">
        <f>IF(S241,TRUE,AND(V241:AE241))</f>
        <v>0</v>
      </c>
      <c r="S241">
        <f>COUNTBLANK(Metadata!B241:K241)=COLUMNS(Metadata!B241:K241)</f>
        <v>0</v>
      </c>
      <c r="T241">
        <v>0</v>
      </c>
      <c r="V241">
        <f>AND(IF(Metadata!B241="",FALSE,TRUE),COUNTIF(Metadata!B:B, Metadata!B241) = 1,NOT(ISERROR(SUMPRODUCT(SEARCH(MID(Metadata!B241,ROW(INDIRECT("1:"&amp;LEN(Metadata!B241))), 1),"0123456789abcdefghijklmnopqrstuvwxyzABCDEFGHIJKLMNOPQRSTUVWXYZ.")))))</f>
        <v>0</v>
      </c>
      <c r="W241">
        <f>AND(IF(Metadata!C241="",FALSE,TRUE),exact(Metadata!C241,"urban biome"))</f>
        <v>0</v>
      </c>
      <c r="X241">
        <f>AND(IF(Metadata!D241="",FALSE,TRUE),exact(Metadata!D241,"animal-associated habitat"))</f>
        <v>0</v>
      </c>
      <c r="Y241">
        <f>OR(AND(IF(Metadata!E241="",FALSE,TRUE),OR(exact(Metadata!E241,"not applicable"),exact(Metadata!E241,"missing: not collected"),exact(Metadata!E241,"missing: not provided"),exact(Metadata!E241,"missing: restricted access"))),AND(IF(Metadata!E241="",FALSE,ISNUMBER(VALUE(Metadata!E241))),Metadata!E241&gt;0))</f>
        <v>0</v>
      </c>
      <c r="Z241">
        <f>AND(IF(Metadata!F241="",FALSE,TRUE),exact(Metadata!F241,"weeks"))</f>
        <v>0</v>
      </c>
      <c r="AA241">
        <f>AND(IF(Metadata!G241="",FALSE,TRUE),exact(Metadata!G241,"mouse"))</f>
        <v>0</v>
      </c>
      <c r="AB241">
        <f>AND(IF(Metadata!H241="",FALSE,TRUE),exact(Metadata!H241,"Mus musculus"))</f>
        <v>0</v>
      </c>
      <c r="AC241">
        <f>AND(IF(Metadata!I241="",FALSE,TRUE),exact(Metadata!I241,"10090"))</f>
        <v>0</v>
      </c>
      <c r="AD241">
        <f>OR(AND(IF(Metadata!J241="",FALSE,TRUE),OR(exact(Metadata!J241,"not applicable"),exact(Metadata!J241,"missing: not collected"),exact(Metadata!J241,"missing: not provided"),exact(Metadata!J241,"missing: restricted access"))),AND(IF(Metadata!J241="",FALSE,ISNUMBER(VALUE(Metadata!J241))),Metadata!J241&gt;0))</f>
        <v>0</v>
      </c>
      <c r="AE241">
        <f>AND(IF(Metadata!K241="",FALSE,TRUE),exact(Metadata!K241,"g"))</f>
        <v>0</v>
      </c>
    </row>
    <row r="242" spans="1:31">
      <c r="A242" s="5">
        <f>IF(B242=" "," ",HYPERLINK(CONCATENATE("#metadata!",ADDRESS(INDEX($Q$2:$Q$1001,MATCH(ROWS($O$2:O242),$O$2:$O$1001,0),0),1)),INDEX($T$2:$T$1001,MATCH(ROWS($O$2:O242),$O$2:$O$1001,0),0)))</f>
        <v>0</v>
      </c>
      <c r="B242" s="4">
        <f>IF(OR(INDEX($P$2:$P$1001,MATCH(ROWS($O$2:O242),$O$2:$O$1001,0),1)&gt;=100000,INDEX($V$1005:$AE$1005,1,MATCH(COLUMNS($V$1006:V1006),$V$1006:$AE$1006,0))&gt;=100000), " ",IF(INDEX($V$2:$AE$1001,MATCH(ROWS($O$2:O242),$O$2:$O$1001,0),MATCH(COLUMNS($V$1006:V1006),$V$1006:$AE$1006,0)), HYPERLINK("#",""), HYPERLINK(CONCATENATE("#Metadata!", ADDRESS(INDEX($Q$2:$Q$1001,MATCH(ROWS($O$2:O242),$O$2:$O$1001,0),0), INDEX($V$1004:$AE$1004,1,MATCH(COLUMNS($V$1006:V1006),$V$1006:$AE$1006,0)))),"Fix")))</f>
        <v>0</v>
      </c>
      <c r="C242" s="4">
        <f>IF(OR(INDEX($P$2:$P$1001,MATCH(ROWS($O$2:O242),$O$2:$O$1001,0),1)&gt;=100000,INDEX($V$1005:$AE$1005,1,MATCH(COLUMNS($V$1006:W1006),$V$1006:$AE$1006,0))&gt;=100000), " ",IF(INDEX($V$2:$AE$1001,MATCH(ROWS($O$2:O242),$O$2:$O$1001,0),MATCH(COLUMNS($V$1006:W1006),$V$1006:$AE$1006,0)), HYPERLINK("#",""), HYPERLINK(CONCATENATE("#Metadata!", ADDRESS(INDEX($Q$2:$Q$1001,MATCH(ROWS($O$2:O242),$O$2:$O$1001,0),0), INDEX($V$1004:$AE$1004,1,MATCH(COLUMNS($V$1006:W1006),$V$1006:$AE$1006,0)))),"Fix")))</f>
        <v>0</v>
      </c>
      <c r="D242" s="4">
        <f>IF(OR(INDEX($P$2:$P$1001,MATCH(ROWS($O$2:O242),$O$2:$O$1001,0),1)&gt;=100000,INDEX($V$1005:$AE$1005,1,MATCH(COLUMNS($V$1006:X1006),$V$1006:$AE$1006,0))&gt;=100000), " ",IF(INDEX($V$2:$AE$1001,MATCH(ROWS($O$2:O242),$O$2:$O$1001,0),MATCH(COLUMNS($V$1006:X1006),$V$1006:$AE$1006,0)), HYPERLINK("#",""), HYPERLINK(CONCATENATE("#Metadata!", ADDRESS(INDEX($Q$2:$Q$1001,MATCH(ROWS($O$2:O242),$O$2:$O$1001,0),0), INDEX($V$1004:$AE$1004,1,MATCH(COLUMNS($V$1006:X1006),$V$1006:$AE$1006,0)))),"Fix")))</f>
        <v>0</v>
      </c>
      <c r="E242" s="4">
        <f>IF(OR(INDEX($P$2:$P$1001,MATCH(ROWS($O$2:O242),$O$2:$O$1001,0),1)&gt;=100000,INDEX($V$1005:$AE$1005,1,MATCH(COLUMNS($V$1006:Y1006),$V$1006:$AE$1006,0))&gt;=100000), " ",IF(INDEX($V$2:$AE$1001,MATCH(ROWS($O$2:O242),$O$2:$O$1001,0),MATCH(COLUMNS($V$1006:Y1006),$V$1006:$AE$1006,0)), HYPERLINK("#",""), HYPERLINK(CONCATENATE("#Metadata!", ADDRESS(INDEX($Q$2:$Q$1001,MATCH(ROWS($O$2:O242),$O$2:$O$1001,0),0), INDEX($V$1004:$AE$1004,1,MATCH(COLUMNS($V$1006:Y1006),$V$1006:$AE$1006,0)))),"Fix")))</f>
        <v>0</v>
      </c>
      <c r="F242" s="4">
        <f>IF(OR(INDEX($P$2:$P$1001,MATCH(ROWS($O$2:O242),$O$2:$O$1001,0),1)&gt;=100000,INDEX($V$1005:$AE$1005,1,MATCH(COLUMNS($V$1006:Z1006),$V$1006:$AE$1006,0))&gt;=100000), " ",IF(INDEX($V$2:$AE$1001,MATCH(ROWS($O$2:O242),$O$2:$O$1001,0),MATCH(COLUMNS($V$1006:Z1006),$V$1006:$AE$1006,0)), HYPERLINK("#",""), HYPERLINK(CONCATENATE("#Metadata!", ADDRESS(INDEX($Q$2:$Q$1001,MATCH(ROWS($O$2:O242),$O$2:$O$1001,0),0), INDEX($V$1004:$AE$1004,1,MATCH(COLUMNS($V$1006:Z1006),$V$1006:$AE$1006,0)))),"Fix")))</f>
        <v>0</v>
      </c>
      <c r="G242" s="4">
        <f>IF(OR(INDEX($P$2:$P$1001,MATCH(ROWS($O$2:O242),$O$2:$O$1001,0),1)&gt;=100000,INDEX($V$1005:$AE$1005,1,MATCH(COLUMNS($V$1006:AA1006),$V$1006:$AE$1006,0))&gt;=100000), " ",IF(INDEX($V$2:$AE$1001,MATCH(ROWS($O$2:O242),$O$2:$O$1001,0),MATCH(COLUMNS($V$1006:AA1006),$V$1006:$AE$1006,0)), HYPERLINK("#",""), HYPERLINK(CONCATENATE("#Metadata!", ADDRESS(INDEX($Q$2:$Q$1001,MATCH(ROWS($O$2:O242),$O$2:$O$1001,0),0), INDEX($V$1004:$AE$1004,1,MATCH(COLUMNS($V$1006:AA1006),$V$1006:$AE$1006,0)))),"Fix")))</f>
        <v>0</v>
      </c>
      <c r="H242" s="4">
        <f>IF(OR(INDEX($P$2:$P$1001,MATCH(ROWS($O$2:O242),$O$2:$O$1001,0),1)&gt;=100000,INDEX($V$1005:$AE$1005,1,MATCH(COLUMNS($V$1006:AB1006),$V$1006:$AE$1006,0))&gt;=100000), " ",IF(INDEX($V$2:$AE$1001,MATCH(ROWS($O$2:O242),$O$2:$O$1001,0),MATCH(COLUMNS($V$1006:AB1006),$V$1006:$AE$1006,0)), HYPERLINK("#",""), HYPERLINK(CONCATENATE("#Metadata!", ADDRESS(INDEX($Q$2:$Q$1001,MATCH(ROWS($O$2:O242),$O$2:$O$1001,0),0), INDEX($V$1004:$AE$1004,1,MATCH(COLUMNS($V$1006:AB1006),$V$1006:$AE$1006,0)))),"Fix")))</f>
        <v>0</v>
      </c>
      <c r="I242" s="4">
        <f>IF(OR(INDEX($P$2:$P$1001,MATCH(ROWS($O$2:O242),$O$2:$O$1001,0),1)&gt;=100000,INDEX($V$1005:$AE$1005,1,MATCH(COLUMNS($V$1006:AC1006),$V$1006:$AE$1006,0))&gt;=100000), " ",IF(INDEX($V$2:$AE$1001,MATCH(ROWS($O$2:O242),$O$2:$O$1001,0),MATCH(COLUMNS($V$1006:AC1006),$V$1006:$AE$1006,0)), HYPERLINK("#",""), HYPERLINK(CONCATENATE("#Metadata!", ADDRESS(INDEX($Q$2:$Q$1001,MATCH(ROWS($O$2:O242),$O$2:$O$1001,0),0), INDEX($V$1004:$AE$1004,1,MATCH(COLUMNS($V$1006:AC1006),$V$1006:$AE$1006,0)))),"Fix")))</f>
        <v>0</v>
      </c>
      <c r="J242" s="4">
        <f>IF(OR(INDEX($P$2:$P$1001,MATCH(ROWS($O$2:O242),$O$2:$O$1001,0),1)&gt;=100000,INDEX($V$1005:$AE$1005,1,MATCH(COLUMNS($V$1006:AD1006),$V$1006:$AE$1006,0))&gt;=100000), " ",IF(INDEX($V$2:$AE$1001,MATCH(ROWS($O$2:O242),$O$2:$O$1001,0),MATCH(COLUMNS($V$1006:AD1006),$V$1006:$AE$1006,0)), HYPERLINK("#",""), HYPERLINK(CONCATENATE("#Metadata!", ADDRESS(INDEX($Q$2:$Q$1001,MATCH(ROWS($O$2:O242),$O$2:$O$1001,0),0), INDEX($V$1004:$AE$1004,1,MATCH(COLUMNS($V$1006:AD1006),$V$1006:$AE$1006,0)))),"Fix")))</f>
        <v>0</v>
      </c>
      <c r="K242" s="4">
        <f>IF(OR(INDEX($P$2:$P$1001,MATCH(ROWS($O$2:O242),$O$2:$O$1001,0),1)&gt;=100000,INDEX($V$1005:$AE$1005,1,MATCH(COLUMNS($V$1006:AE1006),$V$1006:$AE$1006,0))&gt;=100000), " ",IF(INDEX($V$2:$AE$1001,MATCH(ROWS($O$2:O242),$O$2:$O$1001,0),MATCH(COLUMNS($V$1006:AE1006),$V$1006:$AE$1006,0)), HYPERLINK("#",""), HYPERLINK(CONCATENATE("#Metadata!", ADDRESS(INDEX($Q$2:$Q$1001,MATCH(ROWS($O$2:O242),$O$2:$O$1001,0),0), INDEX($V$1004:$AE$1004,1,MATCH(COLUMNS($V$1006:AE1006),$V$1006:$AE$1006,0)))),"Fix")))</f>
        <v>0</v>
      </c>
      <c r="O242">
        <v>0</v>
      </c>
      <c r="P242">
        <v>0</v>
      </c>
      <c r="Q242">
        <v>0</v>
      </c>
      <c r="R242">
        <f>IF(S242,TRUE,AND(V242:AE242))</f>
        <v>0</v>
      </c>
      <c r="S242">
        <f>COUNTBLANK(Metadata!B242:K242)=COLUMNS(Metadata!B242:K242)</f>
        <v>0</v>
      </c>
      <c r="T242">
        <v>0</v>
      </c>
      <c r="V242">
        <f>AND(IF(Metadata!B242="",FALSE,TRUE),COUNTIF(Metadata!B:B, Metadata!B242) = 1,NOT(ISERROR(SUMPRODUCT(SEARCH(MID(Metadata!B242,ROW(INDIRECT("1:"&amp;LEN(Metadata!B242))), 1),"0123456789abcdefghijklmnopqrstuvwxyzABCDEFGHIJKLMNOPQRSTUVWXYZ.")))))</f>
        <v>0</v>
      </c>
      <c r="W242">
        <f>AND(IF(Metadata!C242="",FALSE,TRUE),exact(Metadata!C242,"urban biome"))</f>
        <v>0</v>
      </c>
      <c r="X242">
        <f>AND(IF(Metadata!D242="",FALSE,TRUE),exact(Metadata!D242,"animal-associated habitat"))</f>
        <v>0</v>
      </c>
      <c r="Y242">
        <f>OR(AND(IF(Metadata!E242="",FALSE,TRUE),OR(exact(Metadata!E242,"not applicable"),exact(Metadata!E242,"missing: not collected"),exact(Metadata!E242,"missing: not provided"),exact(Metadata!E242,"missing: restricted access"))),AND(IF(Metadata!E242="",FALSE,ISNUMBER(VALUE(Metadata!E242))),Metadata!E242&gt;0))</f>
        <v>0</v>
      </c>
      <c r="Z242">
        <f>AND(IF(Metadata!F242="",FALSE,TRUE),exact(Metadata!F242,"weeks"))</f>
        <v>0</v>
      </c>
      <c r="AA242">
        <f>AND(IF(Metadata!G242="",FALSE,TRUE),exact(Metadata!G242,"mouse"))</f>
        <v>0</v>
      </c>
      <c r="AB242">
        <f>AND(IF(Metadata!H242="",FALSE,TRUE),exact(Metadata!H242,"Mus musculus"))</f>
        <v>0</v>
      </c>
      <c r="AC242">
        <f>AND(IF(Metadata!I242="",FALSE,TRUE),exact(Metadata!I242,"10090"))</f>
        <v>0</v>
      </c>
      <c r="AD242">
        <f>OR(AND(IF(Metadata!J242="",FALSE,TRUE),OR(exact(Metadata!J242,"not applicable"),exact(Metadata!J242,"missing: not collected"),exact(Metadata!J242,"missing: not provided"),exact(Metadata!J242,"missing: restricted access"))),AND(IF(Metadata!J242="",FALSE,ISNUMBER(VALUE(Metadata!J242))),Metadata!J242&gt;0))</f>
        <v>0</v>
      </c>
      <c r="AE242">
        <f>AND(IF(Metadata!K242="",FALSE,TRUE),exact(Metadata!K242,"g"))</f>
        <v>0</v>
      </c>
    </row>
    <row r="243" spans="1:31">
      <c r="A243" s="5">
        <f>IF(B243=" "," ",HYPERLINK(CONCATENATE("#metadata!",ADDRESS(INDEX($Q$2:$Q$1001,MATCH(ROWS($O$2:O243),$O$2:$O$1001,0),0),1)),INDEX($T$2:$T$1001,MATCH(ROWS($O$2:O243),$O$2:$O$1001,0),0)))</f>
        <v>0</v>
      </c>
      <c r="B243" s="4">
        <f>IF(OR(INDEX($P$2:$P$1001,MATCH(ROWS($O$2:O243),$O$2:$O$1001,0),1)&gt;=100000,INDEX($V$1005:$AE$1005,1,MATCH(COLUMNS($V$1006:V1006),$V$1006:$AE$1006,0))&gt;=100000), " ",IF(INDEX($V$2:$AE$1001,MATCH(ROWS($O$2:O243),$O$2:$O$1001,0),MATCH(COLUMNS($V$1006:V1006),$V$1006:$AE$1006,0)), HYPERLINK("#",""), HYPERLINK(CONCATENATE("#Metadata!", ADDRESS(INDEX($Q$2:$Q$1001,MATCH(ROWS($O$2:O243),$O$2:$O$1001,0),0), INDEX($V$1004:$AE$1004,1,MATCH(COLUMNS($V$1006:V1006),$V$1006:$AE$1006,0)))),"Fix")))</f>
        <v>0</v>
      </c>
      <c r="C243" s="4">
        <f>IF(OR(INDEX($P$2:$P$1001,MATCH(ROWS($O$2:O243),$O$2:$O$1001,0),1)&gt;=100000,INDEX($V$1005:$AE$1005,1,MATCH(COLUMNS($V$1006:W1006),$V$1006:$AE$1006,0))&gt;=100000), " ",IF(INDEX($V$2:$AE$1001,MATCH(ROWS($O$2:O243),$O$2:$O$1001,0),MATCH(COLUMNS($V$1006:W1006),$V$1006:$AE$1006,0)), HYPERLINK("#",""), HYPERLINK(CONCATENATE("#Metadata!", ADDRESS(INDEX($Q$2:$Q$1001,MATCH(ROWS($O$2:O243),$O$2:$O$1001,0),0), INDEX($V$1004:$AE$1004,1,MATCH(COLUMNS($V$1006:W1006),$V$1006:$AE$1006,0)))),"Fix")))</f>
        <v>0</v>
      </c>
      <c r="D243" s="4">
        <f>IF(OR(INDEX($P$2:$P$1001,MATCH(ROWS($O$2:O243),$O$2:$O$1001,0),1)&gt;=100000,INDEX($V$1005:$AE$1005,1,MATCH(COLUMNS($V$1006:X1006),$V$1006:$AE$1006,0))&gt;=100000), " ",IF(INDEX($V$2:$AE$1001,MATCH(ROWS($O$2:O243),$O$2:$O$1001,0),MATCH(COLUMNS($V$1006:X1006),$V$1006:$AE$1006,0)), HYPERLINK("#",""), HYPERLINK(CONCATENATE("#Metadata!", ADDRESS(INDEX($Q$2:$Q$1001,MATCH(ROWS($O$2:O243),$O$2:$O$1001,0),0), INDEX($V$1004:$AE$1004,1,MATCH(COLUMNS($V$1006:X1006),$V$1006:$AE$1006,0)))),"Fix")))</f>
        <v>0</v>
      </c>
      <c r="E243" s="4">
        <f>IF(OR(INDEX($P$2:$P$1001,MATCH(ROWS($O$2:O243),$O$2:$O$1001,0),1)&gt;=100000,INDEX($V$1005:$AE$1005,1,MATCH(COLUMNS($V$1006:Y1006),$V$1006:$AE$1006,0))&gt;=100000), " ",IF(INDEX($V$2:$AE$1001,MATCH(ROWS($O$2:O243),$O$2:$O$1001,0),MATCH(COLUMNS($V$1006:Y1006),$V$1006:$AE$1006,0)), HYPERLINK("#",""), HYPERLINK(CONCATENATE("#Metadata!", ADDRESS(INDEX($Q$2:$Q$1001,MATCH(ROWS($O$2:O243),$O$2:$O$1001,0),0), INDEX($V$1004:$AE$1004,1,MATCH(COLUMNS($V$1006:Y1006),$V$1006:$AE$1006,0)))),"Fix")))</f>
        <v>0</v>
      </c>
      <c r="F243" s="4">
        <f>IF(OR(INDEX($P$2:$P$1001,MATCH(ROWS($O$2:O243),$O$2:$O$1001,0),1)&gt;=100000,INDEX($V$1005:$AE$1005,1,MATCH(COLUMNS($V$1006:Z1006),$V$1006:$AE$1006,0))&gt;=100000), " ",IF(INDEX($V$2:$AE$1001,MATCH(ROWS($O$2:O243),$O$2:$O$1001,0),MATCH(COLUMNS($V$1006:Z1006),$V$1006:$AE$1006,0)), HYPERLINK("#",""), HYPERLINK(CONCATENATE("#Metadata!", ADDRESS(INDEX($Q$2:$Q$1001,MATCH(ROWS($O$2:O243),$O$2:$O$1001,0),0), INDEX($V$1004:$AE$1004,1,MATCH(COLUMNS($V$1006:Z1006),$V$1006:$AE$1006,0)))),"Fix")))</f>
        <v>0</v>
      </c>
      <c r="G243" s="4">
        <f>IF(OR(INDEX($P$2:$P$1001,MATCH(ROWS($O$2:O243),$O$2:$O$1001,0),1)&gt;=100000,INDEX($V$1005:$AE$1005,1,MATCH(COLUMNS($V$1006:AA1006),$V$1006:$AE$1006,0))&gt;=100000), " ",IF(INDEX($V$2:$AE$1001,MATCH(ROWS($O$2:O243),$O$2:$O$1001,0),MATCH(COLUMNS($V$1006:AA1006),$V$1006:$AE$1006,0)), HYPERLINK("#",""), HYPERLINK(CONCATENATE("#Metadata!", ADDRESS(INDEX($Q$2:$Q$1001,MATCH(ROWS($O$2:O243),$O$2:$O$1001,0),0), INDEX($V$1004:$AE$1004,1,MATCH(COLUMNS($V$1006:AA1006),$V$1006:$AE$1006,0)))),"Fix")))</f>
        <v>0</v>
      </c>
      <c r="H243" s="4">
        <f>IF(OR(INDEX($P$2:$P$1001,MATCH(ROWS($O$2:O243),$O$2:$O$1001,0),1)&gt;=100000,INDEX($V$1005:$AE$1005,1,MATCH(COLUMNS($V$1006:AB1006),$V$1006:$AE$1006,0))&gt;=100000), " ",IF(INDEX($V$2:$AE$1001,MATCH(ROWS($O$2:O243),$O$2:$O$1001,0),MATCH(COLUMNS($V$1006:AB1006),$V$1006:$AE$1006,0)), HYPERLINK("#",""), HYPERLINK(CONCATENATE("#Metadata!", ADDRESS(INDEX($Q$2:$Q$1001,MATCH(ROWS($O$2:O243),$O$2:$O$1001,0),0), INDEX($V$1004:$AE$1004,1,MATCH(COLUMNS($V$1006:AB1006),$V$1006:$AE$1006,0)))),"Fix")))</f>
        <v>0</v>
      </c>
      <c r="I243" s="4">
        <f>IF(OR(INDEX($P$2:$P$1001,MATCH(ROWS($O$2:O243),$O$2:$O$1001,0),1)&gt;=100000,INDEX($V$1005:$AE$1005,1,MATCH(COLUMNS($V$1006:AC1006),$V$1006:$AE$1006,0))&gt;=100000), " ",IF(INDEX($V$2:$AE$1001,MATCH(ROWS($O$2:O243),$O$2:$O$1001,0),MATCH(COLUMNS($V$1006:AC1006),$V$1006:$AE$1006,0)), HYPERLINK("#",""), HYPERLINK(CONCATENATE("#Metadata!", ADDRESS(INDEX($Q$2:$Q$1001,MATCH(ROWS($O$2:O243),$O$2:$O$1001,0),0), INDEX($V$1004:$AE$1004,1,MATCH(COLUMNS($V$1006:AC1006),$V$1006:$AE$1006,0)))),"Fix")))</f>
        <v>0</v>
      </c>
      <c r="J243" s="4">
        <f>IF(OR(INDEX($P$2:$P$1001,MATCH(ROWS($O$2:O243),$O$2:$O$1001,0),1)&gt;=100000,INDEX($V$1005:$AE$1005,1,MATCH(COLUMNS($V$1006:AD1006),$V$1006:$AE$1006,0))&gt;=100000), " ",IF(INDEX($V$2:$AE$1001,MATCH(ROWS($O$2:O243),$O$2:$O$1001,0),MATCH(COLUMNS($V$1006:AD1006),$V$1006:$AE$1006,0)), HYPERLINK("#",""), HYPERLINK(CONCATENATE("#Metadata!", ADDRESS(INDEX($Q$2:$Q$1001,MATCH(ROWS($O$2:O243),$O$2:$O$1001,0),0), INDEX($V$1004:$AE$1004,1,MATCH(COLUMNS($V$1006:AD1006),$V$1006:$AE$1006,0)))),"Fix")))</f>
        <v>0</v>
      </c>
      <c r="K243" s="4">
        <f>IF(OR(INDEX($P$2:$P$1001,MATCH(ROWS($O$2:O243),$O$2:$O$1001,0),1)&gt;=100000,INDEX($V$1005:$AE$1005,1,MATCH(COLUMNS($V$1006:AE1006),$V$1006:$AE$1006,0))&gt;=100000), " ",IF(INDEX($V$2:$AE$1001,MATCH(ROWS($O$2:O243),$O$2:$O$1001,0),MATCH(COLUMNS($V$1006:AE1006),$V$1006:$AE$1006,0)), HYPERLINK("#",""), HYPERLINK(CONCATENATE("#Metadata!", ADDRESS(INDEX($Q$2:$Q$1001,MATCH(ROWS($O$2:O243),$O$2:$O$1001,0),0), INDEX($V$1004:$AE$1004,1,MATCH(COLUMNS($V$1006:AE1006),$V$1006:$AE$1006,0)))),"Fix")))</f>
        <v>0</v>
      </c>
      <c r="O243">
        <v>0</v>
      </c>
      <c r="P243">
        <v>0</v>
      </c>
      <c r="Q243">
        <v>0</v>
      </c>
      <c r="R243">
        <f>IF(S243,TRUE,AND(V243:AE243))</f>
        <v>0</v>
      </c>
      <c r="S243">
        <f>COUNTBLANK(Metadata!B243:K243)=COLUMNS(Metadata!B243:K243)</f>
        <v>0</v>
      </c>
      <c r="T243">
        <v>0</v>
      </c>
      <c r="V243">
        <f>AND(IF(Metadata!B243="",FALSE,TRUE),COUNTIF(Metadata!B:B, Metadata!B243) = 1,NOT(ISERROR(SUMPRODUCT(SEARCH(MID(Metadata!B243,ROW(INDIRECT("1:"&amp;LEN(Metadata!B243))), 1),"0123456789abcdefghijklmnopqrstuvwxyzABCDEFGHIJKLMNOPQRSTUVWXYZ.")))))</f>
        <v>0</v>
      </c>
      <c r="W243">
        <f>AND(IF(Metadata!C243="",FALSE,TRUE),exact(Metadata!C243,"urban biome"))</f>
        <v>0</v>
      </c>
      <c r="X243">
        <f>AND(IF(Metadata!D243="",FALSE,TRUE),exact(Metadata!D243,"animal-associated habitat"))</f>
        <v>0</v>
      </c>
      <c r="Y243">
        <f>OR(AND(IF(Metadata!E243="",FALSE,TRUE),OR(exact(Metadata!E243,"not applicable"),exact(Metadata!E243,"missing: not collected"),exact(Metadata!E243,"missing: not provided"),exact(Metadata!E243,"missing: restricted access"))),AND(IF(Metadata!E243="",FALSE,ISNUMBER(VALUE(Metadata!E243))),Metadata!E243&gt;0))</f>
        <v>0</v>
      </c>
      <c r="Z243">
        <f>AND(IF(Metadata!F243="",FALSE,TRUE),exact(Metadata!F243,"weeks"))</f>
        <v>0</v>
      </c>
      <c r="AA243">
        <f>AND(IF(Metadata!G243="",FALSE,TRUE),exact(Metadata!G243,"mouse"))</f>
        <v>0</v>
      </c>
      <c r="AB243">
        <f>AND(IF(Metadata!H243="",FALSE,TRUE),exact(Metadata!H243,"Mus musculus"))</f>
        <v>0</v>
      </c>
      <c r="AC243">
        <f>AND(IF(Metadata!I243="",FALSE,TRUE),exact(Metadata!I243,"10090"))</f>
        <v>0</v>
      </c>
      <c r="AD243">
        <f>OR(AND(IF(Metadata!J243="",FALSE,TRUE),OR(exact(Metadata!J243,"not applicable"),exact(Metadata!J243,"missing: not collected"),exact(Metadata!J243,"missing: not provided"),exact(Metadata!J243,"missing: restricted access"))),AND(IF(Metadata!J243="",FALSE,ISNUMBER(VALUE(Metadata!J243))),Metadata!J243&gt;0))</f>
        <v>0</v>
      </c>
      <c r="AE243">
        <f>AND(IF(Metadata!K243="",FALSE,TRUE),exact(Metadata!K243,"g"))</f>
        <v>0</v>
      </c>
    </row>
    <row r="244" spans="1:31">
      <c r="A244" s="5">
        <f>IF(B244=" "," ",HYPERLINK(CONCATENATE("#metadata!",ADDRESS(INDEX($Q$2:$Q$1001,MATCH(ROWS($O$2:O244),$O$2:$O$1001,0),0),1)),INDEX($T$2:$T$1001,MATCH(ROWS($O$2:O244),$O$2:$O$1001,0),0)))</f>
        <v>0</v>
      </c>
      <c r="B244" s="4">
        <f>IF(OR(INDEX($P$2:$P$1001,MATCH(ROWS($O$2:O244),$O$2:$O$1001,0),1)&gt;=100000,INDEX($V$1005:$AE$1005,1,MATCH(COLUMNS($V$1006:V1006),$V$1006:$AE$1006,0))&gt;=100000), " ",IF(INDEX($V$2:$AE$1001,MATCH(ROWS($O$2:O244),$O$2:$O$1001,0),MATCH(COLUMNS($V$1006:V1006),$V$1006:$AE$1006,0)), HYPERLINK("#",""), HYPERLINK(CONCATENATE("#Metadata!", ADDRESS(INDEX($Q$2:$Q$1001,MATCH(ROWS($O$2:O244),$O$2:$O$1001,0),0), INDEX($V$1004:$AE$1004,1,MATCH(COLUMNS($V$1006:V1006),$V$1006:$AE$1006,0)))),"Fix")))</f>
        <v>0</v>
      </c>
      <c r="C244" s="4">
        <f>IF(OR(INDEX($P$2:$P$1001,MATCH(ROWS($O$2:O244),$O$2:$O$1001,0),1)&gt;=100000,INDEX($V$1005:$AE$1005,1,MATCH(COLUMNS($V$1006:W1006),$V$1006:$AE$1006,0))&gt;=100000), " ",IF(INDEX($V$2:$AE$1001,MATCH(ROWS($O$2:O244),$O$2:$O$1001,0),MATCH(COLUMNS($V$1006:W1006),$V$1006:$AE$1006,0)), HYPERLINK("#",""), HYPERLINK(CONCATENATE("#Metadata!", ADDRESS(INDEX($Q$2:$Q$1001,MATCH(ROWS($O$2:O244),$O$2:$O$1001,0),0), INDEX($V$1004:$AE$1004,1,MATCH(COLUMNS($V$1006:W1006),$V$1006:$AE$1006,0)))),"Fix")))</f>
        <v>0</v>
      </c>
      <c r="D244" s="4">
        <f>IF(OR(INDEX($P$2:$P$1001,MATCH(ROWS($O$2:O244),$O$2:$O$1001,0),1)&gt;=100000,INDEX($V$1005:$AE$1005,1,MATCH(COLUMNS($V$1006:X1006),$V$1006:$AE$1006,0))&gt;=100000), " ",IF(INDEX($V$2:$AE$1001,MATCH(ROWS($O$2:O244),$O$2:$O$1001,0),MATCH(COLUMNS($V$1006:X1006),$V$1006:$AE$1006,0)), HYPERLINK("#",""), HYPERLINK(CONCATENATE("#Metadata!", ADDRESS(INDEX($Q$2:$Q$1001,MATCH(ROWS($O$2:O244),$O$2:$O$1001,0),0), INDEX($V$1004:$AE$1004,1,MATCH(COLUMNS($V$1006:X1006),$V$1006:$AE$1006,0)))),"Fix")))</f>
        <v>0</v>
      </c>
      <c r="E244" s="4">
        <f>IF(OR(INDEX($P$2:$P$1001,MATCH(ROWS($O$2:O244),$O$2:$O$1001,0),1)&gt;=100000,INDEX($V$1005:$AE$1005,1,MATCH(COLUMNS($V$1006:Y1006),$V$1006:$AE$1006,0))&gt;=100000), " ",IF(INDEX($V$2:$AE$1001,MATCH(ROWS($O$2:O244),$O$2:$O$1001,0),MATCH(COLUMNS($V$1006:Y1006),$V$1006:$AE$1006,0)), HYPERLINK("#",""), HYPERLINK(CONCATENATE("#Metadata!", ADDRESS(INDEX($Q$2:$Q$1001,MATCH(ROWS($O$2:O244),$O$2:$O$1001,0),0), INDEX($V$1004:$AE$1004,1,MATCH(COLUMNS($V$1006:Y1006),$V$1006:$AE$1006,0)))),"Fix")))</f>
        <v>0</v>
      </c>
      <c r="F244" s="4">
        <f>IF(OR(INDEX($P$2:$P$1001,MATCH(ROWS($O$2:O244),$O$2:$O$1001,0),1)&gt;=100000,INDEX($V$1005:$AE$1005,1,MATCH(COLUMNS($V$1006:Z1006),$V$1006:$AE$1006,0))&gt;=100000), " ",IF(INDEX($V$2:$AE$1001,MATCH(ROWS($O$2:O244),$O$2:$O$1001,0),MATCH(COLUMNS($V$1006:Z1006),$V$1006:$AE$1006,0)), HYPERLINK("#",""), HYPERLINK(CONCATENATE("#Metadata!", ADDRESS(INDEX($Q$2:$Q$1001,MATCH(ROWS($O$2:O244),$O$2:$O$1001,0),0), INDEX($V$1004:$AE$1004,1,MATCH(COLUMNS($V$1006:Z1006),$V$1006:$AE$1006,0)))),"Fix")))</f>
        <v>0</v>
      </c>
      <c r="G244" s="4">
        <f>IF(OR(INDEX($P$2:$P$1001,MATCH(ROWS($O$2:O244),$O$2:$O$1001,0),1)&gt;=100000,INDEX($V$1005:$AE$1005,1,MATCH(COLUMNS($V$1006:AA1006),$V$1006:$AE$1006,0))&gt;=100000), " ",IF(INDEX($V$2:$AE$1001,MATCH(ROWS($O$2:O244),$O$2:$O$1001,0),MATCH(COLUMNS($V$1006:AA1006),$V$1006:$AE$1006,0)), HYPERLINK("#",""), HYPERLINK(CONCATENATE("#Metadata!", ADDRESS(INDEX($Q$2:$Q$1001,MATCH(ROWS($O$2:O244),$O$2:$O$1001,0),0), INDEX($V$1004:$AE$1004,1,MATCH(COLUMNS($V$1006:AA1006),$V$1006:$AE$1006,0)))),"Fix")))</f>
        <v>0</v>
      </c>
      <c r="H244" s="4">
        <f>IF(OR(INDEX($P$2:$P$1001,MATCH(ROWS($O$2:O244),$O$2:$O$1001,0),1)&gt;=100000,INDEX($V$1005:$AE$1005,1,MATCH(COLUMNS($V$1006:AB1006),$V$1006:$AE$1006,0))&gt;=100000), " ",IF(INDEX($V$2:$AE$1001,MATCH(ROWS($O$2:O244),$O$2:$O$1001,0),MATCH(COLUMNS($V$1006:AB1006),$V$1006:$AE$1006,0)), HYPERLINK("#",""), HYPERLINK(CONCATENATE("#Metadata!", ADDRESS(INDEX($Q$2:$Q$1001,MATCH(ROWS($O$2:O244),$O$2:$O$1001,0),0), INDEX($V$1004:$AE$1004,1,MATCH(COLUMNS($V$1006:AB1006),$V$1006:$AE$1006,0)))),"Fix")))</f>
        <v>0</v>
      </c>
      <c r="I244" s="4">
        <f>IF(OR(INDEX($P$2:$P$1001,MATCH(ROWS($O$2:O244),$O$2:$O$1001,0),1)&gt;=100000,INDEX($V$1005:$AE$1005,1,MATCH(COLUMNS($V$1006:AC1006),$V$1006:$AE$1006,0))&gt;=100000), " ",IF(INDEX($V$2:$AE$1001,MATCH(ROWS($O$2:O244),$O$2:$O$1001,0),MATCH(COLUMNS($V$1006:AC1006),$V$1006:$AE$1006,0)), HYPERLINK("#",""), HYPERLINK(CONCATENATE("#Metadata!", ADDRESS(INDEX($Q$2:$Q$1001,MATCH(ROWS($O$2:O244),$O$2:$O$1001,0),0), INDEX($V$1004:$AE$1004,1,MATCH(COLUMNS($V$1006:AC1006),$V$1006:$AE$1006,0)))),"Fix")))</f>
        <v>0</v>
      </c>
      <c r="J244" s="4">
        <f>IF(OR(INDEX($P$2:$P$1001,MATCH(ROWS($O$2:O244),$O$2:$O$1001,0),1)&gt;=100000,INDEX($V$1005:$AE$1005,1,MATCH(COLUMNS($V$1006:AD1006),$V$1006:$AE$1006,0))&gt;=100000), " ",IF(INDEX($V$2:$AE$1001,MATCH(ROWS($O$2:O244),$O$2:$O$1001,0),MATCH(COLUMNS($V$1006:AD1006),$V$1006:$AE$1006,0)), HYPERLINK("#",""), HYPERLINK(CONCATENATE("#Metadata!", ADDRESS(INDEX($Q$2:$Q$1001,MATCH(ROWS($O$2:O244),$O$2:$O$1001,0),0), INDEX($V$1004:$AE$1004,1,MATCH(COLUMNS($V$1006:AD1006),$V$1006:$AE$1006,0)))),"Fix")))</f>
        <v>0</v>
      </c>
      <c r="K244" s="4">
        <f>IF(OR(INDEX($P$2:$P$1001,MATCH(ROWS($O$2:O244),$O$2:$O$1001,0),1)&gt;=100000,INDEX($V$1005:$AE$1005,1,MATCH(COLUMNS($V$1006:AE1006),$V$1006:$AE$1006,0))&gt;=100000), " ",IF(INDEX($V$2:$AE$1001,MATCH(ROWS($O$2:O244),$O$2:$O$1001,0),MATCH(COLUMNS($V$1006:AE1006),$V$1006:$AE$1006,0)), HYPERLINK("#",""), HYPERLINK(CONCATENATE("#Metadata!", ADDRESS(INDEX($Q$2:$Q$1001,MATCH(ROWS($O$2:O244),$O$2:$O$1001,0),0), INDEX($V$1004:$AE$1004,1,MATCH(COLUMNS($V$1006:AE1006),$V$1006:$AE$1006,0)))),"Fix")))</f>
        <v>0</v>
      </c>
      <c r="O244">
        <v>0</v>
      </c>
      <c r="P244">
        <v>0</v>
      </c>
      <c r="Q244">
        <v>0</v>
      </c>
      <c r="R244">
        <f>IF(S244,TRUE,AND(V244:AE244))</f>
        <v>0</v>
      </c>
      <c r="S244">
        <f>COUNTBLANK(Metadata!B244:K244)=COLUMNS(Metadata!B244:K244)</f>
        <v>0</v>
      </c>
      <c r="T244">
        <v>0</v>
      </c>
      <c r="V244">
        <f>AND(IF(Metadata!B244="",FALSE,TRUE),COUNTIF(Metadata!B:B, Metadata!B244) = 1,NOT(ISERROR(SUMPRODUCT(SEARCH(MID(Metadata!B244,ROW(INDIRECT("1:"&amp;LEN(Metadata!B244))), 1),"0123456789abcdefghijklmnopqrstuvwxyzABCDEFGHIJKLMNOPQRSTUVWXYZ.")))))</f>
        <v>0</v>
      </c>
      <c r="W244">
        <f>AND(IF(Metadata!C244="",FALSE,TRUE),exact(Metadata!C244,"urban biome"))</f>
        <v>0</v>
      </c>
      <c r="X244">
        <f>AND(IF(Metadata!D244="",FALSE,TRUE),exact(Metadata!D244,"animal-associated habitat"))</f>
        <v>0</v>
      </c>
      <c r="Y244">
        <f>OR(AND(IF(Metadata!E244="",FALSE,TRUE),OR(exact(Metadata!E244,"not applicable"),exact(Metadata!E244,"missing: not collected"),exact(Metadata!E244,"missing: not provided"),exact(Metadata!E244,"missing: restricted access"))),AND(IF(Metadata!E244="",FALSE,ISNUMBER(VALUE(Metadata!E244))),Metadata!E244&gt;0))</f>
        <v>0</v>
      </c>
      <c r="Z244">
        <f>AND(IF(Metadata!F244="",FALSE,TRUE),exact(Metadata!F244,"weeks"))</f>
        <v>0</v>
      </c>
      <c r="AA244">
        <f>AND(IF(Metadata!G244="",FALSE,TRUE),exact(Metadata!G244,"mouse"))</f>
        <v>0</v>
      </c>
      <c r="AB244">
        <f>AND(IF(Metadata!H244="",FALSE,TRUE),exact(Metadata!H244,"Mus musculus"))</f>
        <v>0</v>
      </c>
      <c r="AC244">
        <f>AND(IF(Metadata!I244="",FALSE,TRUE),exact(Metadata!I244,"10090"))</f>
        <v>0</v>
      </c>
      <c r="AD244">
        <f>OR(AND(IF(Metadata!J244="",FALSE,TRUE),OR(exact(Metadata!J244,"not applicable"),exact(Metadata!J244,"missing: not collected"),exact(Metadata!J244,"missing: not provided"),exact(Metadata!J244,"missing: restricted access"))),AND(IF(Metadata!J244="",FALSE,ISNUMBER(VALUE(Metadata!J244))),Metadata!J244&gt;0))</f>
        <v>0</v>
      </c>
      <c r="AE244">
        <f>AND(IF(Metadata!K244="",FALSE,TRUE),exact(Metadata!K244,"g"))</f>
        <v>0</v>
      </c>
    </row>
    <row r="245" spans="1:31">
      <c r="A245" s="5">
        <f>IF(B245=" "," ",HYPERLINK(CONCATENATE("#metadata!",ADDRESS(INDEX($Q$2:$Q$1001,MATCH(ROWS($O$2:O245),$O$2:$O$1001,0),0),1)),INDEX($T$2:$T$1001,MATCH(ROWS($O$2:O245),$O$2:$O$1001,0),0)))</f>
        <v>0</v>
      </c>
      <c r="B245" s="4">
        <f>IF(OR(INDEX($P$2:$P$1001,MATCH(ROWS($O$2:O245),$O$2:$O$1001,0),1)&gt;=100000,INDEX($V$1005:$AE$1005,1,MATCH(COLUMNS($V$1006:V1006),$V$1006:$AE$1006,0))&gt;=100000), " ",IF(INDEX($V$2:$AE$1001,MATCH(ROWS($O$2:O245),$O$2:$O$1001,0),MATCH(COLUMNS($V$1006:V1006),$V$1006:$AE$1006,0)), HYPERLINK("#",""), HYPERLINK(CONCATENATE("#Metadata!", ADDRESS(INDEX($Q$2:$Q$1001,MATCH(ROWS($O$2:O245),$O$2:$O$1001,0),0), INDEX($V$1004:$AE$1004,1,MATCH(COLUMNS($V$1006:V1006),$V$1006:$AE$1006,0)))),"Fix")))</f>
        <v>0</v>
      </c>
      <c r="C245" s="4">
        <f>IF(OR(INDEX($P$2:$P$1001,MATCH(ROWS($O$2:O245),$O$2:$O$1001,0),1)&gt;=100000,INDEX($V$1005:$AE$1005,1,MATCH(COLUMNS($V$1006:W1006),$V$1006:$AE$1006,0))&gt;=100000), " ",IF(INDEX($V$2:$AE$1001,MATCH(ROWS($O$2:O245),$O$2:$O$1001,0),MATCH(COLUMNS($V$1006:W1006),$V$1006:$AE$1006,0)), HYPERLINK("#",""), HYPERLINK(CONCATENATE("#Metadata!", ADDRESS(INDEX($Q$2:$Q$1001,MATCH(ROWS($O$2:O245),$O$2:$O$1001,0),0), INDEX($V$1004:$AE$1004,1,MATCH(COLUMNS($V$1006:W1006),$V$1006:$AE$1006,0)))),"Fix")))</f>
        <v>0</v>
      </c>
      <c r="D245" s="4">
        <f>IF(OR(INDEX($P$2:$P$1001,MATCH(ROWS($O$2:O245),$O$2:$O$1001,0),1)&gt;=100000,INDEX($V$1005:$AE$1005,1,MATCH(COLUMNS($V$1006:X1006),$V$1006:$AE$1006,0))&gt;=100000), " ",IF(INDEX($V$2:$AE$1001,MATCH(ROWS($O$2:O245),$O$2:$O$1001,0),MATCH(COLUMNS($V$1006:X1006),$V$1006:$AE$1006,0)), HYPERLINK("#",""), HYPERLINK(CONCATENATE("#Metadata!", ADDRESS(INDEX($Q$2:$Q$1001,MATCH(ROWS($O$2:O245),$O$2:$O$1001,0),0), INDEX($V$1004:$AE$1004,1,MATCH(COLUMNS($V$1006:X1006),$V$1006:$AE$1006,0)))),"Fix")))</f>
        <v>0</v>
      </c>
      <c r="E245" s="4">
        <f>IF(OR(INDEX($P$2:$P$1001,MATCH(ROWS($O$2:O245),$O$2:$O$1001,0),1)&gt;=100000,INDEX($V$1005:$AE$1005,1,MATCH(COLUMNS($V$1006:Y1006),$V$1006:$AE$1006,0))&gt;=100000), " ",IF(INDEX($V$2:$AE$1001,MATCH(ROWS($O$2:O245),$O$2:$O$1001,0),MATCH(COLUMNS($V$1006:Y1006),$V$1006:$AE$1006,0)), HYPERLINK("#",""), HYPERLINK(CONCATENATE("#Metadata!", ADDRESS(INDEX($Q$2:$Q$1001,MATCH(ROWS($O$2:O245),$O$2:$O$1001,0),0), INDEX($V$1004:$AE$1004,1,MATCH(COLUMNS($V$1006:Y1006),$V$1006:$AE$1006,0)))),"Fix")))</f>
        <v>0</v>
      </c>
      <c r="F245" s="4">
        <f>IF(OR(INDEX($P$2:$P$1001,MATCH(ROWS($O$2:O245),$O$2:$O$1001,0),1)&gt;=100000,INDEX($V$1005:$AE$1005,1,MATCH(COLUMNS($V$1006:Z1006),$V$1006:$AE$1006,0))&gt;=100000), " ",IF(INDEX($V$2:$AE$1001,MATCH(ROWS($O$2:O245),$O$2:$O$1001,0),MATCH(COLUMNS($V$1006:Z1006),$V$1006:$AE$1006,0)), HYPERLINK("#",""), HYPERLINK(CONCATENATE("#Metadata!", ADDRESS(INDEX($Q$2:$Q$1001,MATCH(ROWS($O$2:O245),$O$2:$O$1001,0),0), INDEX($V$1004:$AE$1004,1,MATCH(COLUMNS($V$1006:Z1006),$V$1006:$AE$1006,0)))),"Fix")))</f>
        <v>0</v>
      </c>
      <c r="G245" s="4">
        <f>IF(OR(INDEX($P$2:$P$1001,MATCH(ROWS($O$2:O245),$O$2:$O$1001,0),1)&gt;=100000,INDEX($V$1005:$AE$1005,1,MATCH(COLUMNS($V$1006:AA1006),$V$1006:$AE$1006,0))&gt;=100000), " ",IF(INDEX($V$2:$AE$1001,MATCH(ROWS($O$2:O245),$O$2:$O$1001,0),MATCH(COLUMNS($V$1006:AA1006),$V$1006:$AE$1006,0)), HYPERLINK("#",""), HYPERLINK(CONCATENATE("#Metadata!", ADDRESS(INDEX($Q$2:$Q$1001,MATCH(ROWS($O$2:O245),$O$2:$O$1001,0),0), INDEX($V$1004:$AE$1004,1,MATCH(COLUMNS($V$1006:AA1006),$V$1006:$AE$1006,0)))),"Fix")))</f>
        <v>0</v>
      </c>
      <c r="H245" s="4">
        <f>IF(OR(INDEX($P$2:$P$1001,MATCH(ROWS($O$2:O245),$O$2:$O$1001,0),1)&gt;=100000,INDEX($V$1005:$AE$1005,1,MATCH(COLUMNS($V$1006:AB1006),$V$1006:$AE$1006,0))&gt;=100000), " ",IF(INDEX($V$2:$AE$1001,MATCH(ROWS($O$2:O245),$O$2:$O$1001,0),MATCH(COLUMNS($V$1006:AB1006),$V$1006:$AE$1006,0)), HYPERLINK("#",""), HYPERLINK(CONCATENATE("#Metadata!", ADDRESS(INDEX($Q$2:$Q$1001,MATCH(ROWS($O$2:O245),$O$2:$O$1001,0),0), INDEX($V$1004:$AE$1004,1,MATCH(COLUMNS($V$1006:AB1006),$V$1006:$AE$1006,0)))),"Fix")))</f>
        <v>0</v>
      </c>
      <c r="I245" s="4">
        <f>IF(OR(INDEX($P$2:$P$1001,MATCH(ROWS($O$2:O245),$O$2:$O$1001,0),1)&gt;=100000,INDEX($V$1005:$AE$1005,1,MATCH(COLUMNS($V$1006:AC1006),$V$1006:$AE$1006,0))&gt;=100000), " ",IF(INDEX($V$2:$AE$1001,MATCH(ROWS($O$2:O245),$O$2:$O$1001,0),MATCH(COLUMNS($V$1006:AC1006),$V$1006:$AE$1006,0)), HYPERLINK("#",""), HYPERLINK(CONCATENATE("#Metadata!", ADDRESS(INDEX($Q$2:$Q$1001,MATCH(ROWS($O$2:O245),$O$2:$O$1001,0),0), INDEX($V$1004:$AE$1004,1,MATCH(COLUMNS($V$1006:AC1006),$V$1006:$AE$1006,0)))),"Fix")))</f>
        <v>0</v>
      </c>
      <c r="J245" s="4">
        <f>IF(OR(INDEX($P$2:$P$1001,MATCH(ROWS($O$2:O245),$O$2:$O$1001,0),1)&gt;=100000,INDEX($V$1005:$AE$1005,1,MATCH(COLUMNS($V$1006:AD1006),$V$1006:$AE$1006,0))&gt;=100000), " ",IF(INDEX($V$2:$AE$1001,MATCH(ROWS($O$2:O245),$O$2:$O$1001,0),MATCH(COLUMNS($V$1006:AD1006),$V$1006:$AE$1006,0)), HYPERLINK("#",""), HYPERLINK(CONCATENATE("#Metadata!", ADDRESS(INDEX($Q$2:$Q$1001,MATCH(ROWS($O$2:O245),$O$2:$O$1001,0),0), INDEX($V$1004:$AE$1004,1,MATCH(COLUMNS($V$1006:AD1006),$V$1006:$AE$1006,0)))),"Fix")))</f>
        <v>0</v>
      </c>
      <c r="K245" s="4">
        <f>IF(OR(INDEX($P$2:$P$1001,MATCH(ROWS($O$2:O245),$O$2:$O$1001,0),1)&gt;=100000,INDEX($V$1005:$AE$1005,1,MATCH(COLUMNS($V$1006:AE1006),$V$1006:$AE$1006,0))&gt;=100000), " ",IF(INDEX($V$2:$AE$1001,MATCH(ROWS($O$2:O245),$O$2:$O$1001,0),MATCH(COLUMNS($V$1006:AE1006),$V$1006:$AE$1006,0)), HYPERLINK("#",""), HYPERLINK(CONCATENATE("#Metadata!", ADDRESS(INDEX($Q$2:$Q$1001,MATCH(ROWS($O$2:O245),$O$2:$O$1001,0),0), INDEX($V$1004:$AE$1004,1,MATCH(COLUMNS($V$1006:AE1006),$V$1006:$AE$1006,0)))),"Fix")))</f>
        <v>0</v>
      </c>
      <c r="O245">
        <v>0</v>
      </c>
      <c r="P245">
        <v>0</v>
      </c>
      <c r="Q245">
        <v>0</v>
      </c>
      <c r="R245">
        <f>IF(S245,TRUE,AND(V245:AE245))</f>
        <v>0</v>
      </c>
      <c r="S245">
        <f>COUNTBLANK(Metadata!B245:K245)=COLUMNS(Metadata!B245:K245)</f>
        <v>0</v>
      </c>
      <c r="T245">
        <v>0</v>
      </c>
      <c r="V245">
        <f>AND(IF(Metadata!B245="",FALSE,TRUE),COUNTIF(Metadata!B:B, Metadata!B245) = 1,NOT(ISERROR(SUMPRODUCT(SEARCH(MID(Metadata!B245,ROW(INDIRECT("1:"&amp;LEN(Metadata!B245))), 1),"0123456789abcdefghijklmnopqrstuvwxyzABCDEFGHIJKLMNOPQRSTUVWXYZ.")))))</f>
        <v>0</v>
      </c>
      <c r="W245">
        <f>AND(IF(Metadata!C245="",FALSE,TRUE),exact(Metadata!C245,"urban biome"))</f>
        <v>0</v>
      </c>
      <c r="X245">
        <f>AND(IF(Metadata!D245="",FALSE,TRUE),exact(Metadata!D245,"animal-associated habitat"))</f>
        <v>0</v>
      </c>
      <c r="Y245">
        <f>OR(AND(IF(Metadata!E245="",FALSE,TRUE),OR(exact(Metadata!E245,"not applicable"),exact(Metadata!E245,"missing: not collected"),exact(Metadata!E245,"missing: not provided"),exact(Metadata!E245,"missing: restricted access"))),AND(IF(Metadata!E245="",FALSE,ISNUMBER(VALUE(Metadata!E245))),Metadata!E245&gt;0))</f>
        <v>0</v>
      </c>
      <c r="Z245">
        <f>AND(IF(Metadata!F245="",FALSE,TRUE),exact(Metadata!F245,"weeks"))</f>
        <v>0</v>
      </c>
      <c r="AA245">
        <f>AND(IF(Metadata!G245="",FALSE,TRUE),exact(Metadata!G245,"mouse"))</f>
        <v>0</v>
      </c>
      <c r="AB245">
        <f>AND(IF(Metadata!H245="",FALSE,TRUE),exact(Metadata!H245,"Mus musculus"))</f>
        <v>0</v>
      </c>
      <c r="AC245">
        <f>AND(IF(Metadata!I245="",FALSE,TRUE),exact(Metadata!I245,"10090"))</f>
        <v>0</v>
      </c>
      <c r="AD245">
        <f>OR(AND(IF(Metadata!J245="",FALSE,TRUE),OR(exact(Metadata!J245,"not applicable"),exact(Metadata!J245,"missing: not collected"),exact(Metadata!J245,"missing: not provided"),exact(Metadata!J245,"missing: restricted access"))),AND(IF(Metadata!J245="",FALSE,ISNUMBER(VALUE(Metadata!J245))),Metadata!J245&gt;0))</f>
        <v>0</v>
      </c>
      <c r="AE245">
        <f>AND(IF(Metadata!K245="",FALSE,TRUE),exact(Metadata!K245,"g"))</f>
        <v>0</v>
      </c>
    </row>
    <row r="246" spans="1:31">
      <c r="A246" s="5">
        <f>IF(B246=" "," ",HYPERLINK(CONCATENATE("#metadata!",ADDRESS(INDEX($Q$2:$Q$1001,MATCH(ROWS($O$2:O246),$O$2:$O$1001,0),0),1)),INDEX($T$2:$T$1001,MATCH(ROWS($O$2:O246),$O$2:$O$1001,0),0)))</f>
        <v>0</v>
      </c>
      <c r="B246" s="4">
        <f>IF(OR(INDEX($P$2:$P$1001,MATCH(ROWS($O$2:O246),$O$2:$O$1001,0),1)&gt;=100000,INDEX($V$1005:$AE$1005,1,MATCH(COLUMNS($V$1006:V1006),$V$1006:$AE$1006,0))&gt;=100000), " ",IF(INDEX($V$2:$AE$1001,MATCH(ROWS($O$2:O246),$O$2:$O$1001,0),MATCH(COLUMNS($V$1006:V1006),$V$1006:$AE$1006,0)), HYPERLINK("#",""), HYPERLINK(CONCATENATE("#Metadata!", ADDRESS(INDEX($Q$2:$Q$1001,MATCH(ROWS($O$2:O246),$O$2:$O$1001,0),0), INDEX($V$1004:$AE$1004,1,MATCH(COLUMNS($V$1006:V1006),$V$1006:$AE$1006,0)))),"Fix")))</f>
        <v>0</v>
      </c>
      <c r="C246" s="4">
        <f>IF(OR(INDEX($P$2:$P$1001,MATCH(ROWS($O$2:O246),$O$2:$O$1001,0),1)&gt;=100000,INDEX($V$1005:$AE$1005,1,MATCH(COLUMNS($V$1006:W1006),$V$1006:$AE$1006,0))&gt;=100000), " ",IF(INDEX($V$2:$AE$1001,MATCH(ROWS($O$2:O246),$O$2:$O$1001,0),MATCH(COLUMNS($V$1006:W1006),$V$1006:$AE$1006,0)), HYPERLINK("#",""), HYPERLINK(CONCATENATE("#Metadata!", ADDRESS(INDEX($Q$2:$Q$1001,MATCH(ROWS($O$2:O246),$O$2:$O$1001,0),0), INDEX($V$1004:$AE$1004,1,MATCH(COLUMNS($V$1006:W1006),$V$1006:$AE$1006,0)))),"Fix")))</f>
        <v>0</v>
      </c>
      <c r="D246" s="4">
        <f>IF(OR(INDEX($P$2:$P$1001,MATCH(ROWS($O$2:O246),$O$2:$O$1001,0),1)&gt;=100000,INDEX($V$1005:$AE$1005,1,MATCH(COLUMNS($V$1006:X1006),$V$1006:$AE$1006,0))&gt;=100000), " ",IF(INDEX($V$2:$AE$1001,MATCH(ROWS($O$2:O246),$O$2:$O$1001,0),MATCH(COLUMNS($V$1006:X1006),$V$1006:$AE$1006,0)), HYPERLINK("#",""), HYPERLINK(CONCATENATE("#Metadata!", ADDRESS(INDEX($Q$2:$Q$1001,MATCH(ROWS($O$2:O246),$O$2:$O$1001,0),0), INDEX($V$1004:$AE$1004,1,MATCH(COLUMNS($V$1006:X1006),$V$1006:$AE$1006,0)))),"Fix")))</f>
        <v>0</v>
      </c>
      <c r="E246" s="4">
        <f>IF(OR(INDEX($P$2:$P$1001,MATCH(ROWS($O$2:O246),$O$2:$O$1001,0),1)&gt;=100000,INDEX($V$1005:$AE$1005,1,MATCH(COLUMNS($V$1006:Y1006),$V$1006:$AE$1006,0))&gt;=100000), " ",IF(INDEX($V$2:$AE$1001,MATCH(ROWS($O$2:O246),$O$2:$O$1001,0),MATCH(COLUMNS($V$1006:Y1006),$V$1006:$AE$1006,0)), HYPERLINK("#",""), HYPERLINK(CONCATENATE("#Metadata!", ADDRESS(INDEX($Q$2:$Q$1001,MATCH(ROWS($O$2:O246),$O$2:$O$1001,0),0), INDEX($V$1004:$AE$1004,1,MATCH(COLUMNS($V$1006:Y1006),$V$1006:$AE$1006,0)))),"Fix")))</f>
        <v>0</v>
      </c>
      <c r="F246" s="4">
        <f>IF(OR(INDEX($P$2:$P$1001,MATCH(ROWS($O$2:O246),$O$2:$O$1001,0),1)&gt;=100000,INDEX($V$1005:$AE$1005,1,MATCH(COLUMNS($V$1006:Z1006),$V$1006:$AE$1006,0))&gt;=100000), " ",IF(INDEX($V$2:$AE$1001,MATCH(ROWS($O$2:O246),$O$2:$O$1001,0),MATCH(COLUMNS($V$1006:Z1006),$V$1006:$AE$1006,0)), HYPERLINK("#",""), HYPERLINK(CONCATENATE("#Metadata!", ADDRESS(INDEX($Q$2:$Q$1001,MATCH(ROWS($O$2:O246),$O$2:$O$1001,0),0), INDEX($V$1004:$AE$1004,1,MATCH(COLUMNS($V$1006:Z1006),$V$1006:$AE$1006,0)))),"Fix")))</f>
        <v>0</v>
      </c>
      <c r="G246" s="4">
        <f>IF(OR(INDEX($P$2:$P$1001,MATCH(ROWS($O$2:O246),$O$2:$O$1001,0),1)&gt;=100000,INDEX($V$1005:$AE$1005,1,MATCH(COLUMNS($V$1006:AA1006),$V$1006:$AE$1006,0))&gt;=100000), " ",IF(INDEX($V$2:$AE$1001,MATCH(ROWS($O$2:O246),$O$2:$O$1001,0),MATCH(COLUMNS($V$1006:AA1006),$V$1006:$AE$1006,0)), HYPERLINK("#",""), HYPERLINK(CONCATENATE("#Metadata!", ADDRESS(INDEX($Q$2:$Q$1001,MATCH(ROWS($O$2:O246),$O$2:$O$1001,0),0), INDEX($V$1004:$AE$1004,1,MATCH(COLUMNS($V$1006:AA1006),$V$1006:$AE$1006,0)))),"Fix")))</f>
        <v>0</v>
      </c>
      <c r="H246" s="4">
        <f>IF(OR(INDEX($P$2:$P$1001,MATCH(ROWS($O$2:O246),$O$2:$O$1001,0),1)&gt;=100000,INDEX($V$1005:$AE$1005,1,MATCH(COLUMNS($V$1006:AB1006),$V$1006:$AE$1006,0))&gt;=100000), " ",IF(INDEX($V$2:$AE$1001,MATCH(ROWS($O$2:O246),$O$2:$O$1001,0),MATCH(COLUMNS($V$1006:AB1006),$V$1006:$AE$1006,0)), HYPERLINK("#",""), HYPERLINK(CONCATENATE("#Metadata!", ADDRESS(INDEX($Q$2:$Q$1001,MATCH(ROWS($O$2:O246),$O$2:$O$1001,0),0), INDEX($V$1004:$AE$1004,1,MATCH(COLUMNS($V$1006:AB1006),$V$1006:$AE$1006,0)))),"Fix")))</f>
        <v>0</v>
      </c>
      <c r="I246" s="4">
        <f>IF(OR(INDEX($P$2:$P$1001,MATCH(ROWS($O$2:O246),$O$2:$O$1001,0),1)&gt;=100000,INDEX($V$1005:$AE$1005,1,MATCH(COLUMNS($V$1006:AC1006),$V$1006:$AE$1006,0))&gt;=100000), " ",IF(INDEX($V$2:$AE$1001,MATCH(ROWS($O$2:O246),$O$2:$O$1001,0),MATCH(COLUMNS($V$1006:AC1006),$V$1006:$AE$1006,0)), HYPERLINK("#",""), HYPERLINK(CONCATENATE("#Metadata!", ADDRESS(INDEX($Q$2:$Q$1001,MATCH(ROWS($O$2:O246),$O$2:$O$1001,0),0), INDEX($V$1004:$AE$1004,1,MATCH(COLUMNS($V$1006:AC1006),$V$1006:$AE$1006,0)))),"Fix")))</f>
        <v>0</v>
      </c>
      <c r="J246" s="4">
        <f>IF(OR(INDEX($P$2:$P$1001,MATCH(ROWS($O$2:O246),$O$2:$O$1001,0),1)&gt;=100000,INDEX($V$1005:$AE$1005,1,MATCH(COLUMNS($V$1006:AD1006),$V$1006:$AE$1006,0))&gt;=100000), " ",IF(INDEX($V$2:$AE$1001,MATCH(ROWS($O$2:O246),$O$2:$O$1001,0),MATCH(COLUMNS($V$1006:AD1006),$V$1006:$AE$1006,0)), HYPERLINK("#",""), HYPERLINK(CONCATENATE("#Metadata!", ADDRESS(INDEX($Q$2:$Q$1001,MATCH(ROWS($O$2:O246),$O$2:$O$1001,0),0), INDEX($V$1004:$AE$1004,1,MATCH(COLUMNS($V$1006:AD1006),$V$1006:$AE$1006,0)))),"Fix")))</f>
        <v>0</v>
      </c>
      <c r="K246" s="4">
        <f>IF(OR(INDEX($P$2:$P$1001,MATCH(ROWS($O$2:O246),$O$2:$O$1001,0),1)&gt;=100000,INDEX($V$1005:$AE$1005,1,MATCH(COLUMNS($V$1006:AE1006),$V$1006:$AE$1006,0))&gt;=100000), " ",IF(INDEX($V$2:$AE$1001,MATCH(ROWS($O$2:O246),$O$2:$O$1001,0),MATCH(COLUMNS($V$1006:AE1006),$V$1006:$AE$1006,0)), HYPERLINK("#",""), HYPERLINK(CONCATENATE("#Metadata!", ADDRESS(INDEX($Q$2:$Q$1001,MATCH(ROWS($O$2:O246),$O$2:$O$1001,0),0), INDEX($V$1004:$AE$1004,1,MATCH(COLUMNS($V$1006:AE1006),$V$1006:$AE$1006,0)))),"Fix")))</f>
        <v>0</v>
      </c>
      <c r="O246">
        <v>0</v>
      </c>
      <c r="P246">
        <v>0</v>
      </c>
      <c r="Q246">
        <v>0</v>
      </c>
      <c r="R246">
        <f>IF(S246,TRUE,AND(V246:AE246))</f>
        <v>0</v>
      </c>
      <c r="S246">
        <f>COUNTBLANK(Metadata!B246:K246)=COLUMNS(Metadata!B246:K246)</f>
        <v>0</v>
      </c>
      <c r="T246">
        <v>0</v>
      </c>
      <c r="V246">
        <f>AND(IF(Metadata!B246="",FALSE,TRUE),COUNTIF(Metadata!B:B, Metadata!B246) = 1,NOT(ISERROR(SUMPRODUCT(SEARCH(MID(Metadata!B246,ROW(INDIRECT("1:"&amp;LEN(Metadata!B246))), 1),"0123456789abcdefghijklmnopqrstuvwxyzABCDEFGHIJKLMNOPQRSTUVWXYZ.")))))</f>
        <v>0</v>
      </c>
      <c r="W246">
        <f>AND(IF(Metadata!C246="",FALSE,TRUE),exact(Metadata!C246,"urban biome"))</f>
        <v>0</v>
      </c>
      <c r="X246">
        <f>AND(IF(Metadata!D246="",FALSE,TRUE),exact(Metadata!D246,"animal-associated habitat"))</f>
        <v>0</v>
      </c>
      <c r="Y246">
        <f>OR(AND(IF(Metadata!E246="",FALSE,TRUE),OR(exact(Metadata!E246,"not applicable"),exact(Metadata!E246,"missing: not collected"),exact(Metadata!E246,"missing: not provided"),exact(Metadata!E246,"missing: restricted access"))),AND(IF(Metadata!E246="",FALSE,ISNUMBER(VALUE(Metadata!E246))),Metadata!E246&gt;0))</f>
        <v>0</v>
      </c>
      <c r="Z246">
        <f>AND(IF(Metadata!F246="",FALSE,TRUE),exact(Metadata!F246,"weeks"))</f>
        <v>0</v>
      </c>
      <c r="AA246">
        <f>AND(IF(Metadata!G246="",FALSE,TRUE),exact(Metadata!G246,"mouse"))</f>
        <v>0</v>
      </c>
      <c r="AB246">
        <f>AND(IF(Metadata!H246="",FALSE,TRUE),exact(Metadata!H246,"Mus musculus"))</f>
        <v>0</v>
      </c>
      <c r="AC246">
        <f>AND(IF(Metadata!I246="",FALSE,TRUE),exact(Metadata!I246,"10090"))</f>
        <v>0</v>
      </c>
      <c r="AD246">
        <f>OR(AND(IF(Metadata!J246="",FALSE,TRUE),OR(exact(Metadata!J246,"not applicable"),exact(Metadata!J246,"missing: not collected"),exact(Metadata!J246,"missing: not provided"),exact(Metadata!J246,"missing: restricted access"))),AND(IF(Metadata!J246="",FALSE,ISNUMBER(VALUE(Metadata!J246))),Metadata!J246&gt;0))</f>
        <v>0</v>
      </c>
      <c r="AE246">
        <f>AND(IF(Metadata!K246="",FALSE,TRUE),exact(Metadata!K246,"g"))</f>
        <v>0</v>
      </c>
    </row>
    <row r="247" spans="1:31">
      <c r="A247" s="5">
        <f>IF(B247=" "," ",HYPERLINK(CONCATENATE("#metadata!",ADDRESS(INDEX($Q$2:$Q$1001,MATCH(ROWS($O$2:O247),$O$2:$O$1001,0),0),1)),INDEX($T$2:$T$1001,MATCH(ROWS($O$2:O247),$O$2:$O$1001,0),0)))</f>
        <v>0</v>
      </c>
      <c r="B247" s="4">
        <f>IF(OR(INDEX($P$2:$P$1001,MATCH(ROWS($O$2:O247),$O$2:$O$1001,0),1)&gt;=100000,INDEX($V$1005:$AE$1005,1,MATCH(COLUMNS($V$1006:V1006),$V$1006:$AE$1006,0))&gt;=100000), " ",IF(INDEX($V$2:$AE$1001,MATCH(ROWS($O$2:O247),$O$2:$O$1001,0),MATCH(COLUMNS($V$1006:V1006),$V$1006:$AE$1006,0)), HYPERLINK("#",""), HYPERLINK(CONCATENATE("#Metadata!", ADDRESS(INDEX($Q$2:$Q$1001,MATCH(ROWS($O$2:O247),$O$2:$O$1001,0),0), INDEX($V$1004:$AE$1004,1,MATCH(COLUMNS($V$1006:V1006),$V$1006:$AE$1006,0)))),"Fix")))</f>
        <v>0</v>
      </c>
      <c r="C247" s="4">
        <f>IF(OR(INDEX($P$2:$P$1001,MATCH(ROWS($O$2:O247),$O$2:$O$1001,0),1)&gt;=100000,INDEX($V$1005:$AE$1005,1,MATCH(COLUMNS($V$1006:W1006),$V$1006:$AE$1006,0))&gt;=100000), " ",IF(INDEX($V$2:$AE$1001,MATCH(ROWS($O$2:O247),$O$2:$O$1001,0),MATCH(COLUMNS($V$1006:W1006),$V$1006:$AE$1006,0)), HYPERLINK("#",""), HYPERLINK(CONCATENATE("#Metadata!", ADDRESS(INDEX($Q$2:$Q$1001,MATCH(ROWS($O$2:O247),$O$2:$O$1001,0),0), INDEX($V$1004:$AE$1004,1,MATCH(COLUMNS($V$1006:W1006),$V$1006:$AE$1006,0)))),"Fix")))</f>
        <v>0</v>
      </c>
      <c r="D247" s="4">
        <f>IF(OR(INDEX($P$2:$P$1001,MATCH(ROWS($O$2:O247),$O$2:$O$1001,0),1)&gt;=100000,INDEX($V$1005:$AE$1005,1,MATCH(COLUMNS($V$1006:X1006),$V$1006:$AE$1006,0))&gt;=100000), " ",IF(INDEX($V$2:$AE$1001,MATCH(ROWS($O$2:O247),$O$2:$O$1001,0),MATCH(COLUMNS($V$1006:X1006),$V$1006:$AE$1006,0)), HYPERLINK("#",""), HYPERLINK(CONCATENATE("#Metadata!", ADDRESS(INDEX($Q$2:$Q$1001,MATCH(ROWS($O$2:O247),$O$2:$O$1001,0),0), INDEX($V$1004:$AE$1004,1,MATCH(COLUMNS($V$1006:X1006),$V$1006:$AE$1006,0)))),"Fix")))</f>
        <v>0</v>
      </c>
      <c r="E247" s="4">
        <f>IF(OR(INDEX($P$2:$P$1001,MATCH(ROWS($O$2:O247),$O$2:$O$1001,0),1)&gt;=100000,INDEX($V$1005:$AE$1005,1,MATCH(COLUMNS($V$1006:Y1006),$V$1006:$AE$1006,0))&gt;=100000), " ",IF(INDEX($V$2:$AE$1001,MATCH(ROWS($O$2:O247),$O$2:$O$1001,0),MATCH(COLUMNS($V$1006:Y1006),$V$1006:$AE$1006,0)), HYPERLINK("#",""), HYPERLINK(CONCATENATE("#Metadata!", ADDRESS(INDEX($Q$2:$Q$1001,MATCH(ROWS($O$2:O247),$O$2:$O$1001,0),0), INDEX($V$1004:$AE$1004,1,MATCH(COLUMNS($V$1006:Y1006),$V$1006:$AE$1006,0)))),"Fix")))</f>
        <v>0</v>
      </c>
      <c r="F247" s="4">
        <f>IF(OR(INDEX($P$2:$P$1001,MATCH(ROWS($O$2:O247),$O$2:$O$1001,0),1)&gt;=100000,INDEX($V$1005:$AE$1005,1,MATCH(COLUMNS($V$1006:Z1006),$V$1006:$AE$1006,0))&gt;=100000), " ",IF(INDEX($V$2:$AE$1001,MATCH(ROWS($O$2:O247),$O$2:$O$1001,0),MATCH(COLUMNS($V$1006:Z1006),$V$1006:$AE$1006,0)), HYPERLINK("#",""), HYPERLINK(CONCATENATE("#Metadata!", ADDRESS(INDEX($Q$2:$Q$1001,MATCH(ROWS($O$2:O247),$O$2:$O$1001,0),0), INDEX($V$1004:$AE$1004,1,MATCH(COLUMNS($V$1006:Z1006),$V$1006:$AE$1006,0)))),"Fix")))</f>
        <v>0</v>
      </c>
      <c r="G247" s="4">
        <f>IF(OR(INDEX($P$2:$P$1001,MATCH(ROWS($O$2:O247),$O$2:$O$1001,0),1)&gt;=100000,INDEX($V$1005:$AE$1005,1,MATCH(COLUMNS($V$1006:AA1006),$V$1006:$AE$1006,0))&gt;=100000), " ",IF(INDEX($V$2:$AE$1001,MATCH(ROWS($O$2:O247),$O$2:$O$1001,0),MATCH(COLUMNS($V$1006:AA1006),$V$1006:$AE$1006,0)), HYPERLINK("#",""), HYPERLINK(CONCATENATE("#Metadata!", ADDRESS(INDEX($Q$2:$Q$1001,MATCH(ROWS($O$2:O247),$O$2:$O$1001,0),0), INDEX($V$1004:$AE$1004,1,MATCH(COLUMNS($V$1006:AA1006),$V$1006:$AE$1006,0)))),"Fix")))</f>
        <v>0</v>
      </c>
      <c r="H247" s="4">
        <f>IF(OR(INDEX($P$2:$P$1001,MATCH(ROWS($O$2:O247),$O$2:$O$1001,0),1)&gt;=100000,INDEX($V$1005:$AE$1005,1,MATCH(COLUMNS($V$1006:AB1006),$V$1006:$AE$1006,0))&gt;=100000), " ",IF(INDEX($V$2:$AE$1001,MATCH(ROWS($O$2:O247),$O$2:$O$1001,0),MATCH(COLUMNS($V$1006:AB1006),$V$1006:$AE$1006,0)), HYPERLINK("#",""), HYPERLINK(CONCATENATE("#Metadata!", ADDRESS(INDEX($Q$2:$Q$1001,MATCH(ROWS($O$2:O247),$O$2:$O$1001,0),0), INDEX($V$1004:$AE$1004,1,MATCH(COLUMNS($V$1006:AB1006),$V$1006:$AE$1006,0)))),"Fix")))</f>
        <v>0</v>
      </c>
      <c r="I247" s="4">
        <f>IF(OR(INDEX($P$2:$P$1001,MATCH(ROWS($O$2:O247),$O$2:$O$1001,0),1)&gt;=100000,INDEX($V$1005:$AE$1005,1,MATCH(COLUMNS($V$1006:AC1006),$V$1006:$AE$1006,0))&gt;=100000), " ",IF(INDEX($V$2:$AE$1001,MATCH(ROWS($O$2:O247),$O$2:$O$1001,0),MATCH(COLUMNS($V$1006:AC1006),$V$1006:$AE$1006,0)), HYPERLINK("#",""), HYPERLINK(CONCATENATE("#Metadata!", ADDRESS(INDEX($Q$2:$Q$1001,MATCH(ROWS($O$2:O247),$O$2:$O$1001,0),0), INDEX($V$1004:$AE$1004,1,MATCH(COLUMNS($V$1006:AC1006),$V$1006:$AE$1006,0)))),"Fix")))</f>
        <v>0</v>
      </c>
      <c r="J247" s="4">
        <f>IF(OR(INDEX($P$2:$P$1001,MATCH(ROWS($O$2:O247),$O$2:$O$1001,0),1)&gt;=100000,INDEX($V$1005:$AE$1005,1,MATCH(COLUMNS($V$1006:AD1006),$V$1006:$AE$1006,0))&gt;=100000), " ",IF(INDEX($V$2:$AE$1001,MATCH(ROWS($O$2:O247),$O$2:$O$1001,0),MATCH(COLUMNS($V$1006:AD1006),$V$1006:$AE$1006,0)), HYPERLINK("#",""), HYPERLINK(CONCATENATE("#Metadata!", ADDRESS(INDEX($Q$2:$Q$1001,MATCH(ROWS($O$2:O247),$O$2:$O$1001,0),0), INDEX($V$1004:$AE$1004,1,MATCH(COLUMNS($V$1006:AD1006),$V$1006:$AE$1006,0)))),"Fix")))</f>
        <v>0</v>
      </c>
      <c r="K247" s="4">
        <f>IF(OR(INDEX($P$2:$P$1001,MATCH(ROWS($O$2:O247),$O$2:$O$1001,0),1)&gt;=100000,INDEX($V$1005:$AE$1005,1,MATCH(COLUMNS($V$1006:AE1006),$V$1006:$AE$1006,0))&gt;=100000), " ",IF(INDEX($V$2:$AE$1001,MATCH(ROWS($O$2:O247),$O$2:$O$1001,0),MATCH(COLUMNS($V$1006:AE1006),$V$1006:$AE$1006,0)), HYPERLINK("#",""), HYPERLINK(CONCATENATE("#Metadata!", ADDRESS(INDEX($Q$2:$Q$1001,MATCH(ROWS($O$2:O247),$O$2:$O$1001,0),0), INDEX($V$1004:$AE$1004,1,MATCH(COLUMNS($V$1006:AE1006),$V$1006:$AE$1006,0)))),"Fix")))</f>
        <v>0</v>
      </c>
      <c r="O247">
        <v>0</v>
      </c>
      <c r="P247">
        <v>0</v>
      </c>
      <c r="Q247">
        <v>0</v>
      </c>
      <c r="R247">
        <f>IF(S247,TRUE,AND(V247:AE247))</f>
        <v>0</v>
      </c>
      <c r="S247">
        <f>COUNTBLANK(Metadata!B247:K247)=COLUMNS(Metadata!B247:K247)</f>
        <v>0</v>
      </c>
      <c r="T247">
        <v>0</v>
      </c>
      <c r="V247">
        <f>AND(IF(Metadata!B247="",FALSE,TRUE),COUNTIF(Metadata!B:B, Metadata!B247) = 1,NOT(ISERROR(SUMPRODUCT(SEARCH(MID(Metadata!B247,ROW(INDIRECT("1:"&amp;LEN(Metadata!B247))), 1),"0123456789abcdefghijklmnopqrstuvwxyzABCDEFGHIJKLMNOPQRSTUVWXYZ.")))))</f>
        <v>0</v>
      </c>
      <c r="W247">
        <f>AND(IF(Metadata!C247="",FALSE,TRUE),exact(Metadata!C247,"urban biome"))</f>
        <v>0</v>
      </c>
      <c r="X247">
        <f>AND(IF(Metadata!D247="",FALSE,TRUE),exact(Metadata!D247,"animal-associated habitat"))</f>
        <v>0</v>
      </c>
      <c r="Y247">
        <f>OR(AND(IF(Metadata!E247="",FALSE,TRUE),OR(exact(Metadata!E247,"not applicable"),exact(Metadata!E247,"missing: not collected"),exact(Metadata!E247,"missing: not provided"),exact(Metadata!E247,"missing: restricted access"))),AND(IF(Metadata!E247="",FALSE,ISNUMBER(VALUE(Metadata!E247))),Metadata!E247&gt;0))</f>
        <v>0</v>
      </c>
      <c r="Z247">
        <f>AND(IF(Metadata!F247="",FALSE,TRUE),exact(Metadata!F247,"weeks"))</f>
        <v>0</v>
      </c>
      <c r="AA247">
        <f>AND(IF(Metadata!G247="",FALSE,TRUE),exact(Metadata!G247,"mouse"))</f>
        <v>0</v>
      </c>
      <c r="AB247">
        <f>AND(IF(Metadata!H247="",FALSE,TRUE),exact(Metadata!H247,"Mus musculus"))</f>
        <v>0</v>
      </c>
      <c r="AC247">
        <f>AND(IF(Metadata!I247="",FALSE,TRUE),exact(Metadata!I247,"10090"))</f>
        <v>0</v>
      </c>
      <c r="AD247">
        <f>OR(AND(IF(Metadata!J247="",FALSE,TRUE),OR(exact(Metadata!J247,"not applicable"),exact(Metadata!J247,"missing: not collected"),exact(Metadata!J247,"missing: not provided"),exact(Metadata!J247,"missing: restricted access"))),AND(IF(Metadata!J247="",FALSE,ISNUMBER(VALUE(Metadata!J247))),Metadata!J247&gt;0))</f>
        <v>0</v>
      </c>
      <c r="AE247">
        <f>AND(IF(Metadata!K247="",FALSE,TRUE),exact(Metadata!K247,"g"))</f>
        <v>0</v>
      </c>
    </row>
    <row r="248" spans="1:31">
      <c r="A248" s="5">
        <f>IF(B248=" "," ",HYPERLINK(CONCATENATE("#metadata!",ADDRESS(INDEX($Q$2:$Q$1001,MATCH(ROWS($O$2:O248),$O$2:$O$1001,0),0),1)),INDEX($T$2:$T$1001,MATCH(ROWS($O$2:O248),$O$2:$O$1001,0),0)))</f>
        <v>0</v>
      </c>
      <c r="B248" s="4">
        <f>IF(OR(INDEX($P$2:$P$1001,MATCH(ROWS($O$2:O248),$O$2:$O$1001,0),1)&gt;=100000,INDEX($V$1005:$AE$1005,1,MATCH(COLUMNS($V$1006:V1006),$V$1006:$AE$1006,0))&gt;=100000), " ",IF(INDEX($V$2:$AE$1001,MATCH(ROWS($O$2:O248),$O$2:$O$1001,0),MATCH(COLUMNS($V$1006:V1006),$V$1006:$AE$1006,0)), HYPERLINK("#",""), HYPERLINK(CONCATENATE("#Metadata!", ADDRESS(INDEX($Q$2:$Q$1001,MATCH(ROWS($O$2:O248),$O$2:$O$1001,0),0), INDEX($V$1004:$AE$1004,1,MATCH(COLUMNS($V$1006:V1006),$V$1006:$AE$1006,0)))),"Fix")))</f>
        <v>0</v>
      </c>
      <c r="C248" s="4">
        <f>IF(OR(INDEX($P$2:$P$1001,MATCH(ROWS($O$2:O248),$O$2:$O$1001,0),1)&gt;=100000,INDEX($V$1005:$AE$1005,1,MATCH(COLUMNS($V$1006:W1006),$V$1006:$AE$1006,0))&gt;=100000), " ",IF(INDEX($V$2:$AE$1001,MATCH(ROWS($O$2:O248),$O$2:$O$1001,0),MATCH(COLUMNS($V$1006:W1006),$V$1006:$AE$1006,0)), HYPERLINK("#",""), HYPERLINK(CONCATENATE("#Metadata!", ADDRESS(INDEX($Q$2:$Q$1001,MATCH(ROWS($O$2:O248),$O$2:$O$1001,0),0), INDEX($V$1004:$AE$1004,1,MATCH(COLUMNS($V$1006:W1006),$V$1006:$AE$1006,0)))),"Fix")))</f>
        <v>0</v>
      </c>
      <c r="D248" s="4">
        <f>IF(OR(INDEX($P$2:$P$1001,MATCH(ROWS($O$2:O248),$O$2:$O$1001,0),1)&gt;=100000,INDEX($V$1005:$AE$1005,1,MATCH(COLUMNS($V$1006:X1006),$V$1006:$AE$1006,0))&gt;=100000), " ",IF(INDEX($V$2:$AE$1001,MATCH(ROWS($O$2:O248),$O$2:$O$1001,0),MATCH(COLUMNS($V$1006:X1006),$V$1006:$AE$1006,0)), HYPERLINK("#",""), HYPERLINK(CONCATENATE("#Metadata!", ADDRESS(INDEX($Q$2:$Q$1001,MATCH(ROWS($O$2:O248),$O$2:$O$1001,0),0), INDEX($V$1004:$AE$1004,1,MATCH(COLUMNS($V$1006:X1006),$V$1006:$AE$1006,0)))),"Fix")))</f>
        <v>0</v>
      </c>
      <c r="E248" s="4">
        <f>IF(OR(INDEX($P$2:$P$1001,MATCH(ROWS($O$2:O248),$O$2:$O$1001,0),1)&gt;=100000,INDEX($V$1005:$AE$1005,1,MATCH(COLUMNS($V$1006:Y1006),$V$1006:$AE$1006,0))&gt;=100000), " ",IF(INDEX($V$2:$AE$1001,MATCH(ROWS($O$2:O248),$O$2:$O$1001,0),MATCH(COLUMNS($V$1006:Y1006),$V$1006:$AE$1006,0)), HYPERLINK("#",""), HYPERLINK(CONCATENATE("#Metadata!", ADDRESS(INDEX($Q$2:$Q$1001,MATCH(ROWS($O$2:O248),$O$2:$O$1001,0),0), INDEX($V$1004:$AE$1004,1,MATCH(COLUMNS($V$1006:Y1006),$V$1006:$AE$1006,0)))),"Fix")))</f>
        <v>0</v>
      </c>
      <c r="F248" s="4">
        <f>IF(OR(INDEX($P$2:$P$1001,MATCH(ROWS($O$2:O248),$O$2:$O$1001,0),1)&gt;=100000,INDEX($V$1005:$AE$1005,1,MATCH(COLUMNS($V$1006:Z1006),$V$1006:$AE$1006,0))&gt;=100000), " ",IF(INDEX($V$2:$AE$1001,MATCH(ROWS($O$2:O248),$O$2:$O$1001,0),MATCH(COLUMNS($V$1006:Z1006),$V$1006:$AE$1006,0)), HYPERLINK("#",""), HYPERLINK(CONCATENATE("#Metadata!", ADDRESS(INDEX($Q$2:$Q$1001,MATCH(ROWS($O$2:O248),$O$2:$O$1001,0),0), INDEX($V$1004:$AE$1004,1,MATCH(COLUMNS($V$1006:Z1006),$V$1006:$AE$1006,0)))),"Fix")))</f>
        <v>0</v>
      </c>
      <c r="G248" s="4">
        <f>IF(OR(INDEX($P$2:$P$1001,MATCH(ROWS($O$2:O248),$O$2:$O$1001,0),1)&gt;=100000,INDEX($V$1005:$AE$1005,1,MATCH(COLUMNS($V$1006:AA1006),$V$1006:$AE$1006,0))&gt;=100000), " ",IF(INDEX($V$2:$AE$1001,MATCH(ROWS($O$2:O248),$O$2:$O$1001,0),MATCH(COLUMNS($V$1006:AA1006),$V$1006:$AE$1006,0)), HYPERLINK("#",""), HYPERLINK(CONCATENATE("#Metadata!", ADDRESS(INDEX($Q$2:$Q$1001,MATCH(ROWS($O$2:O248),$O$2:$O$1001,0),0), INDEX($V$1004:$AE$1004,1,MATCH(COLUMNS($V$1006:AA1006),$V$1006:$AE$1006,0)))),"Fix")))</f>
        <v>0</v>
      </c>
      <c r="H248" s="4">
        <f>IF(OR(INDEX($P$2:$P$1001,MATCH(ROWS($O$2:O248),$O$2:$O$1001,0),1)&gt;=100000,INDEX($V$1005:$AE$1005,1,MATCH(COLUMNS($V$1006:AB1006),$V$1006:$AE$1006,0))&gt;=100000), " ",IF(INDEX($V$2:$AE$1001,MATCH(ROWS($O$2:O248),$O$2:$O$1001,0),MATCH(COLUMNS($V$1006:AB1006),$V$1006:$AE$1006,0)), HYPERLINK("#",""), HYPERLINK(CONCATENATE("#Metadata!", ADDRESS(INDEX($Q$2:$Q$1001,MATCH(ROWS($O$2:O248),$O$2:$O$1001,0),0), INDEX($V$1004:$AE$1004,1,MATCH(COLUMNS($V$1006:AB1006),$V$1006:$AE$1006,0)))),"Fix")))</f>
        <v>0</v>
      </c>
      <c r="I248" s="4">
        <f>IF(OR(INDEX($P$2:$P$1001,MATCH(ROWS($O$2:O248),$O$2:$O$1001,0),1)&gt;=100000,INDEX($V$1005:$AE$1005,1,MATCH(COLUMNS($V$1006:AC1006),$V$1006:$AE$1006,0))&gt;=100000), " ",IF(INDEX($V$2:$AE$1001,MATCH(ROWS($O$2:O248),$O$2:$O$1001,0),MATCH(COLUMNS($V$1006:AC1006),$V$1006:$AE$1006,0)), HYPERLINK("#",""), HYPERLINK(CONCATENATE("#Metadata!", ADDRESS(INDEX($Q$2:$Q$1001,MATCH(ROWS($O$2:O248),$O$2:$O$1001,0),0), INDEX($V$1004:$AE$1004,1,MATCH(COLUMNS($V$1006:AC1006),$V$1006:$AE$1006,0)))),"Fix")))</f>
        <v>0</v>
      </c>
      <c r="J248" s="4">
        <f>IF(OR(INDEX($P$2:$P$1001,MATCH(ROWS($O$2:O248),$O$2:$O$1001,0),1)&gt;=100000,INDEX($V$1005:$AE$1005,1,MATCH(COLUMNS($V$1006:AD1006),$V$1006:$AE$1006,0))&gt;=100000), " ",IF(INDEX($V$2:$AE$1001,MATCH(ROWS($O$2:O248),$O$2:$O$1001,0),MATCH(COLUMNS($V$1006:AD1006),$V$1006:$AE$1006,0)), HYPERLINK("#",""), HYPERLINK(CONCATENATE("#Metadata!", ADDRESS(INDEX($Q$2:$Q$1001,MATCH(ROWS($O$2:O248),$O$2:$O$1001,0),0), INDEX($V$1004:$AE$1004,1,MATCH(COLUMNS($V$1006:AD1006),$V$1006:$AE$1006,0)))),"Fix")))</f>
        <v>0</v>
      </c>
      <c r="K248" s="4">
        <f>IF(OR(INDEX($P$2:$P$1001,MATCH(ROWS($O$2:O248),$O$2:$O$1001,0),1)&gt;=100000,INDEX($V$1005:$AE$1005,1,MATCH(COLUMNS($V$1006:AE1006),$V$1006:$AE$1006,0))&gt;=100000), " ",IF(INDEX($V$2:$AE$1001,MATCH(ROWS($O$2:O248),$O$2:$O$1001,0),MATCH(COLUMNS($V$1006:AE1006),$V$1006:$AE$1006,0)), HYPERLINK("#",""), HYPERLINK(CONCATENATE("#Metadata!", ADDRESS(INDEX($Q$2:$Q$1001,MATCH(ROWS($O$2:O248),$O$2:$O$1001,0),0), INDEX($V$1004:$AE$1004,1,MATCH(COLUMNS($V$1006:AE1006),$V$1006:$AE$1006,0)))),"Fix")))</f>
        <v>0</v>
      </c>
      <c r="O248">
        <v>0</v>
      </c>
      <c r="P248">
        <v>0</v>
      </c>
      <c r="Q248">
        <v>0</v>
      </c>
      <c r="R248">
        <f>IF(S248,TRUE,AND(V248:AE248))</f>
        <v>0</v>
      </c>
      <c r="S248">
        <f>COUNTBLANK(Metadata!B248:K248)=COLUMNS(Metadata!B248:K248)</f>
        <v>0</v>
      </c>
      <c r="T248">
        <v>0</v>
      </c>
      <c r="V248">
        <f>AND(IF(Metadata!B248="",FALSE,TRUE),COUNTIF(Metadata!B:B, Metadata!B248) = 1,NOT(ISERROR(SUMPRODUCT(SEARCH(MID(Metadata!B248,ROW(INDIRECT("1:"&amp;LEN(Metadata!B248))), 1),"0123456789abcdefghijklmnopqrstuvwxyzABCDEFGHIJKLMNOPQRSTUVWXYZ.")))))</f>
        <v>0</v>
      </c>
      <c r="W248">
        <f>AND(IF(Metadata!C248="",FALSE,TRUE),exact(Metadata!C248,"urban biome"))</f>
        <v>0</v>
      </c>
      <c r="X248">
        <f>AND(IF(Metadata!D248="",FALSE,TRUE),exact(Metadata!D248,"animal-associated habitat"))</f>
        <v>0</v>
      </c>
      <c r="Y248">
        <f>OR(AND(IF(Metadata!E248="",FALSE,TRUE),OR(exact(Metadata!E248,"not applicable"),exact(Metadata!E248,"missing: not collected"),exact(Metadata!E248,"missing: not provided"),exact(Metadata!E248,"missing: restricted access"))),AND(IF(Metadata!E248="",FALSE,ISNUMBER(VALUE(Metadata!E248))),Metadata!E248&gt;0))</f>
        <v>0</v>
      </c>
      <c r="Z248">
        <f>AND(IF(Metadata!F248="",FALSE,TRUE),exact(Metadata!F248,"weeks"))</f>
        <v>0</v>
      </c>
      <c r="AA248">
        <f>AND(IF(Metadata!G248="",FALSE,TRUE),exact(Metadata!G248,"mouse"))</f>
        <v>0</v>
      </c>
      <c r="AB248">
        <f>AND(IF(Metadata!H248="",FALSE,TRUE),exact(Metadata!H248,"Mus musculus"))</f>
        <v>0</v>
      </c>
      <c r="AC248">
        <f>AND(IF(Metadata!I248="",FALSE,TRUE),exact(Metadata!I248,"10090"))</f>
        <v>0</v>
      </c>
      <c r="AD248">
        <f>OR(AND(IF(Metadata!J248="",FALSE,TRUE),OR(exact(Metadata!J248,"not applicable"),exact(Metadata!J248,"missing: not collected"),exact(Metadata!J248,"missing: not provided"),exact(Metadata!J248,"missing: restricted access"))),AND(IF(Metadata!J248="",FALSE,ISNUMBER(VALUE(Metadata!J248))),Metadata!J248&gt;0))</f>
        <v>0</v>
      </c>
      <c r="AE248">
        <f>AND(IF(Metadata!K248="",FALSE,TRUE),exact(Metadata!K248,"g"))</f>
        <v>0</v>
      </c>
    </row>
    <row r="249" spans="1:31">
      <c r="A249" s="5">
        <f>IF(B249=" "," ",HYPERLINK(CONCATENATE("#metadata!",ADDRESS(INDEX($Q$2:$Q$1001,MATCH(ROWS($O$2:O249),$O$2:$O$1001,0),0),1)),INDEX($T$2:$T$1001,MATCH(ROWS($O$2:O249),$O$2:$O$1001,0),0)))</f>
        <v>0</v>
      </c>
      <c r="B249" s="4">
        <f>IF(OR(INDEX($P$2:$P$1001,MATCH(ROWS($O$2:O249),$O$2:$O$1001,0),1)&gt;=100000,INDEX($V$1005:$AE$1005,1,MATCH(COLUMNS($V$1006:V1006),$V$1006:$AE$1006,0))&gt;=100000), " ",IF(INDEX($V$2:$AE$1001,MATCH(ROWS($O$2:O249),$O$2:$O$1001,0),MATCH(COLUMNS($V$1006:V1006),$V$1006:$AE$1006,0)), HYPERLINK("#",""), HYPERLINK(CONCATENATE("#Metadata!", ADDRESS(INDEX($Q$2:$Q$1001,MATCH(ROWS($O$2:O249),$O$2:$O$1001,0),0), INDEX($V$1004:$AE$1004,1,MATCH(COLUMNS($V$1006:V1006),$V$1006:$AE$1006,0)))),"Fix")))</f>
        <v>0</v>
      </c>
      <c r="C249" s="4">
        <f>IF(OR(INDEX($P$2:$P$1001,MATCH(ROWS($O$2:O249),$O$2:$O$1001,0),1)&gt;=100000,INDEX($V$1005:$AE$1005,1,MATCH(COLUMNS($V$1006:W1006),$V$1006:$AE$1006,0))&gt;=100000), " ",IF(INDEX($V$2:$AE$1001,MATCH(ROWS($O$2:O249),$O$2:$O$1001,0),MATCH(COLUMNS($V$1006:W1006),$V$1006:$AE$1006,0)), HYPERLINK("#",""), HYPERLINK(CONCATENATE("#Metadata!", ADDRESS(INDEX($Q$2:$Q$1001,MATCH(ROWS($O$2:O249),$O$2:$O$1001,0),0), INDEX($V$1004:$AE$1004,1,MATCH(COLUMNS($V$1006:W1006),$V$1006:$AE$1006,0)))),"Fix")))</f>
        <v>0</v>
      </c>
      <c r="D249" s="4">
        <f>IF(OR(INDEX($P$2:$P$1001,MATCH(ROWS($O$2:O249),$O$2:$O$1001,0),1)&gt;=100000,INDEX($V$1005:$AE$1005,1,MATCH(COLUMNS($V$1006:X1006),$V$1006:$AE$1006,0))&gt;=100000), " ",IF(INDEX($V$2:$AE$1001,MATCH(ROWS($O$2:O249),$O$2:$O$1001,0),MATCH(COLUMNS($V$1006:X1006),$V$1006:$AE$1006,0)), HYPERLINK("#",""), HYPERLINK(CONCATENATE("#Metadata!", ADDRESS(INDEX($Q$2:$Q$1001,MATCH(ROWS($O$2:O249),$O$2:$O$1001,0),0), INDEX($V$1004:$AE$1004,1,MATCH(COLUMNS($V$1006:X1006),$V$1006:$AE$1006,0)))),"Fix")))</f>
        <v>0</v>
      </c>
      <c r="E249" s="4">
        <f>IF(OR(INDEX($P$2:$P$1001,MATCH(ROWS($O$2:O249),$O$2:$O$1001,0),1)&gt;=100000,INDEX($V$1005:$AE$1005,1,MATCH(COLUMNS($V$1006:Y1006),$V$1006:$AE$1006,0))&gt;=100000), " ",IF(INDEX($V$2:$AE$1001,MATCH(ROWS($O$2:O249),$O$2:$O$1001,0),MATCH(COLUMNS($V$1006:Y1006),$V$1006:$AE$1006,0)), HYPERLINK("#",""), HYPERLINK(CONCATENATE("#Metadata!", ADDRESS(INDEX($Q$2:$Q$1001,MATCH(ROWS($O$2:O249),$O$2:$O$1001,0),0), INDEX($V$1004:$AE$1004,1,MATCH(COLUMNS($V$1006:Y1006),$V$1006:$AE$1006,0)))),"Fix")))</f>
        <v>0</v>
      </c>
      <c r="F249" s="4">
        <f>IF(OR(INDEX($P$2:$P$1001,MATCH(ROWS($O$2:O249),$O$2:$O$1001,0),1)&gt;=100000,INDEX($V$1005:$AE$1005,1,MATCH(COLUMNS($V$1006:Z1006),$V$1006:$AE$1006,0))&gt;=100000), " ",IF(INDEX($V$2:$AE$1001,MATCH(ROWS($O$2:O249),$O$2:$O$1001,0),MATCH(COLUMNS($V$1006:Z1006),$V$1006:$AE$1006,0)), HYPERLINK("#",""), HYPERLINK(CONCATENATE("#Metadata!", ADDRESS(INDEX($Q$2:$Q$1001,MATCH(ROWS($O$2:O249),$O$2:$O$1001,0),0), INDEX($V$1004:$AE$1004,1,MATCH(COLUMNS($V$1006:Z1006),$V$1006:$AE$1006,0)))),"Fix")))</f>
        <v>0</v>
      </c>
      <c r="G249" s="4">
        <f>IF(OR(INDEX($P$2:$P$1001,MATCH(ROWS($O$2:O249),$O$2:$O$1001,0),1)&gt;=100000,INDEX($V$1005:$AE$1005,1,MATCH(COLUMNS($V$1006:AA1006),$V$1006:$AE$1006,0))&gt;=100000), " ",IF(INDEX($V$2:$AE$1001,MATCH(ROWS($O$2:O249),$O$2:$O$1001,0),MATCH(COLUMNS($V$1006:AA1006),$V$1006:$AE$1006,0)), HYPERLINK("#",""), HYPERLINK(CONCATENATE("#Metadata!", ADDRESS(INDEX($Q$2:$Q$1001,MATCH(ROWS($O$2:O249),$O$2:$O$1001,0),0), INDEX($V$1004:$AE$1004,1,MATCH(COLUMNS($V$1006:AA1006),$V$1006:$AE$1006,0)))),"Fix")))</f>
        <v>0</v>
      </c>
      <c r="H249" s="4">
        <f>IF(OR(INDEX($P$2:$P$1001,MATCH(ROWS($O$2:O249),$O$2:$O$1001,0),1)&gt;=100000,INDEX($V$1005:$AE$1005,1,MATCH(COLUMNS($V$1006:AB1006),$V$1006:$AE$1006,0))&gt;=100000), " ",IF(INDEX($V$2:$AE$1001,MATCH(ROWS($O$2:O249),$O$2:$O$1001,0),MATCH(COLUMNS($V$1006:AB1006),$V$1006:$AE$1006,0)), HYPERLINK("#",""), HYPERLINK(CONCATENATE("#Metadata!", ADDRESS(INDEX($Q$2:$Q$1001,MATCH(ROWS($O$2:O249),$O$2:$O$1001,0),0), INDEX($V$1004:$AE$1004,1,MATCH(COLUMNS($V$1006:AB1006),$V$1006:$AE$1006,0)))),"Fix")))</f>
        <v>0</v>
      </c>
      <c r="I249" s="4">
        <f>IF(OR(INDEX($P$2:$P$1001,MATCH(ROWS($O$2:O249),$O$2:$O$1001,0),1)&gt;=100000,INDEX($V$1005:$AE$1005,1,MATCH(COLUMNS($V$1006:AC1006),$V$1006:$AE$1006,0))&gt;=100000), " ",IF(INDEX($V$2:$AE$1001,MATCH(ROWS($O$2:O249),$O$2:$O$1001,0),MATCH(COLUMNS($V$1006:AC1006),$V$1006:$AE$1006,0)), HYPERLINK("#",""), HYPERLINK(CONCATENATE("#Metadata!", ADDRESS(INDEX($Q$2:$Q$1001,MATCH(ROWS($O$2:O249),$O$2:$O$1001,0),0), INDEX($V$1004:$AE$1004,1,MATCH(COLUMNS($V$1006:AC1006),$V$1006:$AE$1006,0)))),"Fix")))</f>
        <v>0</v>
      </c>
      <c r="J249" s="4">
        <f>IF(OR(INDEX($P$2:$P$1001,MATCH(ROWS($O$2:O249),$O$2:$O$1001,0),1)&gt;=100000,INDEX($V$1005:$AE$1005,1,MATCH(COLUMNS($V$1006:AD1006),$V$1006:$AE$1006,0))&gt;=100000), " ",IF(INDEX($V$2:$AE$1001,MATCH(ROWS($O$2:O249),$O$2:$O$1001,0),MATCH(COLUMNS($V$1006:AD1006),$V$1006:$AE$1006,0)), HYPERLINK("#",""), HYPERLINK(CONCATENATE("#Metadata!", ADDRESS(INDEX($Q$2:$Q$1001,MATCH(ROWS($O$2:O249),$O$2:$O$1001,0),0), INDEX($V$1004:$AE$1004,1,MATCH(COLUMNS($V$1006:AD1006),$V$1006:$AE$1006,0)))),"Fix")))</f>
        <v>0</v>
      </c>
      <c r="K249" s="4">
        <f>IF(OR(INDEX($P$2:$P$1001,MATCH(ROWS($O$2:O249),$O$2:$O$1001,0),1)&gt;=100000,INDEX($V$1005:$AE$1005,1,MATCH(COLUMNS($V$1006:AE1006),$V$1006:$AE$1006,0))&gt;=100000), " ",IF(INDEX($V$2:$AE$1001,MATCH(ROWS($O$2:O249),$O$2:$O$1001,0),MATCH(COLUMNS($V$1006:AE1006),$V$1006:$AE$1006,0)), HYPERLINK("#",""), HYPERLINK(CONCATENATE("#Metadata!", ADDRESS(INDEX($Q$2:$Q$1001,MATCH(ROWS($O$2:O249),$O$2:$O$1001,0),0), INDEX($V$1004:$AE$1004,1,MATCH(COLUMNS($V$1006:AE1006),$V$1006:$AE$1006,0)))),"Fix")))</f>
        <v>0</v>
      </c>
      <c r="O249">
        <v>0</v>
      </c>
      <c r="P249">
        <v>0</v>
      </c>
      <c r="Q249">
        <v>0</v>
      </c>
      <c r="R249">
        <f>IF(S249,TRUE,AND(V249:AE249))</f>
        <v>0</v>
      </c>
      <c r="S249">
        <f>COUNTBLANK(Metadata!B249:K249)=COLUMNS(Metadata!B249:K249)</f>
        <v>0</v>
      </c>
      <c r="T249">
        <v>0</v>
      </c>
      <c r="V249">
        <f>AND(IF(Metadata!B249="",FALSE,TRUE),COUNTIF(Metadata!B:B, Metadata!B249) = 1,NOT(ISERROR(SUMPRODUCT(SEARCH(MID(Metadata!B249,ROW(INDIRECT("1:"&amp;LEN(Metadata!B249))), 1),"0123456789abcdefghijklmnopqrstuvwxyzABCDEFGHIJKLMNOPQRSTUVWXYZ.")))))</f>
        <v>0</v>
      </c>
      <c r="W249">
        <f>AND(IF(Metadata!C249="",FALSE,TRUE),exact(Metadata!C249,"urban biome"))</f>
        <v>0</v>
      </c>
      <c r="X249">
        <f>AND(IF(Metadata!D249="",FALSE,TRUE),exact(Metadata!D249,"animal-associated habitat"))</f>
        <v>0</v>
      </c>
      <c r="Y249">
        <f>OR(AND(IF(Metadata!E249="",FALSE,TRUE),OR(exact(Metadata!E249,"not applicable"),exact(Metadata!E249,"missing: not collected"),exact(Metadata!E249,"missing: not provided"),exact(Metadata!E249,"missing: restricted access"))),AND(IF(Metadata!E249="",FALSE,ISNUMBER(VALUE(Metadata!E249))),Metadata!E249&gt;0))</f>
        <v>0</v>
      </c>
      <c r="Z249">
        <f>AND(IF(Metadata!F249="",FALSE,TRUE),exact(Metadata!F249,"weeks"))</f>
        <v>0</v>
      </c>
      <c r="AA249">
        <f>AND(IF(Metadata!G249="",FALSE,TRUE),exact(Metadata!G249,"mouse"))</f>
        <v>0</v>
      </c>
      <c r="AB249">
        <f>AND(IF(Metadata!H249="",FALSE,TRUE),exact(Metadata!H249,"Mus musculus"))</f>
        <v>0</v>
      </c>
      <c r="AC249">
        <f>AND(IF(Metadata!I249="",FALSE,TRUE),exact(Metadata!I249,"10090"))</f>
        <v>0</v>
      </c>
      <c r="AD249">
        <f>OR(AND(IF(Metadata!J249="",FALSE,TRUE),OR(exact(Metadata!J249,"not applicable"),exact(Metadata!J249,"missing: not collected"),exact(Metadata!J249,"missing: not provided"),exact(Metadata!J249,"missing: restricted access"))),AND(IF(Metadata!J249="",FALSE,ISNUMBER(VALUE(Metadata!J249))),Metadata!J249&gt;0))</f>
        <v>0</v>
      </c>
      <c r="AE249">
        <f>AND(IF(Metadata!K249="",FALSE,TRUE),exact(Metadata!K249,"g"))</f>
        <v>0</v>
      </c>
    </row>
    <row r="250" spans="1:31">
      <c r="A250" s="5">
        <f>IF(B250=" "," ",HYPERLINK(CONCATENATE("#metadata!",ADDRESS(INDEX($Q$2:$Q$1001,MATCH(ROWS($O$2:O250),$O$2:$O$1001,0),0),1)),INDEX($T$2:$T$1001,MATCH(ROWS($O$2:O250),$O$2:$O$1001,0),0)))</f>
        <v>0</v>
      </c>
      <c r="B250" s="4">
        <f>IF(OR(INDEX($P$2:$P$1001,MATCH(ROWS($O$2:O250),$O$2:$O$1001,0),1)&gt;=100000,INDEX($V$1005:$AE$1005,1,MATCH(COLUMNS($V$1006:V1006),$V$1006:$AE$1006,0))&gt;=100000), " ",IF(INDEX($V$2:$AE$1001,MATCH(ROWS($O$2:O250),$O$2:$O$1001,0),MATCH(COLUMNS($V$1006:V1006),$V$1006:$AE$1006,0)), HYPERLINK("#",""), HYPERLINK(CONCATENATE("#Metadata!", ADDRESS(INDEX($Q$2:$Q$1001,MATCH(ROWS($O$2:O250),$O$2:$O$1001,0),0), INDEX($V$1004:$AE$1004,1,MATCH(COLUMNS($V$1006:V1006),$V$1006:$AE$1006,0)))),"Fix")))</f>
        <v>0</v>
      </c>
      <c r="C250" s="4">
        <f>IF(OR(INDEX($P$2:$P$1001,MATCH(ROWS($O$2:O250),$O$2:$O$1001,0),1)&gt;=100000,INDEX($V$1005:$AE$1005,1,MATCH(COLUMNS($V$1006:W1006),$V$1006:$AE$1006,0))&gt;=100000), " ",IF(INDEX($V$2:$AE$1001,MATCH(ROWS($O$2:O250),$O$2:$O$1001,0),MATCH(COLUMNS($V$1006:W1006),$V$1006:$AE$1006,0)), HYPERLINK("#",""), HYPERLINK(CONCATENATE("#Metadata!", ADDRESS(INDEX($Q$2:$Q$1001,MATCH(ROWS($O$2:O250),$O$2:$O$1001,0),0), INDEX($V$1004:$AE$1004,1,MATCH(COLUMNS($V$1006:W1006),$V$1006:$AE$1006,0)))),"Fix")))</f>
        <v>0</v>
      </c>
      <c r="D250" s="4">
        <f>IF(OR(INDEX($P$2:$P$1001,MATCH(ROWS($O$2:O250),$O$2:$O$1001,0),1)&gt;=100000,INDEX($V$1005:$AE$1005,1,MATCH(COLUMNS($V$1006:X1006),$V$1006:$AE$1006,0))&gt;=100000), " ",IF(INDEX($V$2:$AE$1001,MATCH(ROWS($O$2:O250),$O$2:$O$1001,0),MATCH(COLUMNS($V$1006:X1006),$V$1006:$AE$1006,0)), HYPERLINK("#",""), HYPERLINK(CONCATENATE("#Metadata!", ADDRESS(INDEX($Q$2:$Q$1001,MATCH(ROWS($O$2:O250),$O$2:$O$1001,0),0), INDEX($V$1004:$AE$1004,1,MATCH(COLUMNS($V$1006:X1006),$V$1006:$AE$1006,0)))),"Fix")))</f>
        <v>0</v>
      </c>
      <c r="E250" s="4">
        <f>IF(OR(INDEX($P$2:$P$1001,MATCH(ROWS($O$2:O250),$O$2:$O$1001,0),1)&gt;=100000,INDEX($V$1005:$AE$1005,1,MATCH(COLUMNS($V$1006:Y1006),$V$1006:$AE$1006,0))&gt;=100000), " ",IF(INDEX($V$2:$AE$1001,MATCH(ROWS($O$2:O250),$O$2:$O$1001,0),MATCH(COLUMNS($V$1006:Y1006),$V$1006:$AE$1006,0)), HYPERLINK("#",""), HYPERLINK(CONCATENATE("#Metadata!", ADDRESS(INDEX($Q$2:$Q$1001,MATCH(ROWS($O$2:O250),$O$2:$O$1001,0),0), INDEX($V$1004:$AE$1004,1,MATCH(COLUMNS($V$1006:Y1006),$V$1006:$AE$1006,0)))),"Fix")))</f>
        <v>0</v>
      </c>
      <c r="F250" s="4">
        <f>IF(OR(INDEX($P$2:$P$1001,MATCH(ROWS($O$2:O250),$O$2:$O$1001,0),1)&gt;=100000,INDEX($V$1005:$AE$1005,1,MATCH(COLUMNS($V$1006:Z1006),$V$1006:$AE$1006,0))&gt;=100000), " ",IF(INDEX($V$2:$AE$1001,MATCH(ROWS($O$2:O250),$O$2:$O$1001,0),MATCH(COLUMNS($V$1006:Z1006),$V$1006:$AE$1006,0)), HYPERLINK("#",""), HYPERLINK(CONCATENATE("#Metadata!", ADDRESS(INDEX($Q$2:$Q$1001,MATCH(ROWS($O$2:O250),$O$2:$O$1001,0),0), INDEX($V$1004:$AE$1004,1,MATCH(COLUMNS($V$1006:Z1006),$V$1006:$AE$1006,0)))),"Fix")))</f>
        <v>0</v>
      </c>
      <c r="G250" s="4">
        <f>IF(OR(INDEX($P$2:$P$1001,MATCH(ROWS($O$2:O250),$O$2:$O$1001,0),1)&gt;=100000,INDEX($V$1005:$AE$1005,1,MATCH(COLUMNS($V$1006:AA1006),$V$1006:$AE$1006,0))&gt;=100000), " ",IF(INDEX($V$2:$AE$1001,MATCH(ROWS($O$2:O250),$O$2:$O$1001,0),MATCH(COLUMNS($V$1006:AA1006),$V$1006:$AE$1006,0)), HYPERLINK("#",""), HYPERLINK(CONCATENATE("#Metadata!", ADDRESS(INDEX($Q$2:$Q$1001,MATCH(ROWS($O$2:O250),$O$2:$O$1001,0),0), INDEX($V$1004:$AE$1004,1,MATCH(COLUMNS($V$1006:AA1006),$V$1006:$AE$1006,0)))),"Fix")))</f>
        <v>0</v>
      </c>
      <c r="H250" s="4">
        <f>IF(OR(INDEX($P$2:$P$1001,MATCH(ROWS($O$2:O250),$O$2:$O$1001,0),1)&gt;=100000,INDEX($V$1005:$AE$1005,1,MATCH(COLUMNS($V$1006:AB1006),$V$1006:$AE$1006,0))&gt;=100000), " ",IF(INDEX($V$2:$AE$1001,MATCH(ROWS($O$2:O250),$O$2:$O$1001,0),MATCH(COLUMNS($V$1006:AB1006),$V$1006:$AE$1006,0)), HYPERLINK("#",""), HYPERLINK(CONCATENATE("#Metadata!", ADDRESS(INDEX($Q$2:$Q$1001,MATCH(ROWS($O$2:O250),$O$2:$O$1001,0),0), INDEX($V$1004:$AE$1004,1,MATCH(COLUMNS($V$1006:AB1006),$V$1006:$AE$1006,0)))),"Fix")))</f>
        <v>0</v>
      </c>
      <c r="I250" s="4">
        <f>IF(OR(INDEX($P$2:$P$1001,MATCH(ROWS($O$2:O250),$O$2:$O$1001,0),1)&gt;=100000,INDEX($V$1005:$AE$1005,1,MATCH(COLUMNS($V$1006:AC1006),$V$1006:$AE$1006,0))&gt;=100000), " ",IF(INDEX($V$2:$AE$1001,MATCH(ROWS($O$2:O250),$O$2:$O$1001,0),MATCH(COLUMNS($V$1006:AC1006),$V$1006:$AE$1006,0)), HYPERLINK("#",""), HYPERLINK(CONCATENATE("#Metadata!", ADDRESS(INDEX($Q$2:$Q$1001,MATCH(ROWS($O$2:O250),$O$2:$O$1001,0),0), INDEX($V$1004:$AE$1004,1,MATCH(COLUMNS($V$1006:AC1006),$V$1006:$AE$1006,0)))),"Fix")))</f>
        <v>0</v>
      </c>
      <c r="J250" s="4">
        <f>IF(OR(INDEX($P$2:$P$1001,MATCH(ROWS($O$2:O250),$O$2:$O$1001,0),1)&gt;=100000,INDEX($V$1005:$AE$1005,1,MATCH(COLUMNS($V$1006:AD1006),$V$1006:$AE$1006,0))&gt;=100000), " ",IF(INDEX($V$2:$AE$1001,MATCH(ROWS($O$2:O250),$O$2:$O$1001,0),MATCH(COLUMNS($V$1006:AD1006),$V$1006:$AE$1006,0)), HYPERLINK("#",""), HYPERLINK(CONCATENATE("#Metadata!", ADDRESS(INDEX($Q$2:$Q$1001,MATCH(ROWS($O$2:O250),$O$2:$O$1001,0),0), INDEX($V$1004:$AE$1004,1,MATCH(COLUMNS($V$1006:AD1006),$V$1006:$AE$1006,0)))),"Fix")))</f>
        <v>0</v>
      </c>
      <c r="K250" s="4">
        <f>IF(OR(INDEX($P$2:$P$1001,MATCH(ROWS($O$2:O250),$O$2:$O$1001,0),1)&gt;=100000,INDEX($V$1005:$AE$1005,1,MATCH(COLUMNS($V$1006:AE1006),$V$1006:$AE$1006,0))&gt;=100000), " ",IF(INDEX($V$2:$AE$1001,MATCH(ROWS($O$2:O250),$O$2:$O$1001,0),MATCH(COLUMNS($V$1006:AE1006),$V$1006:$AE$1006,0)), HYPERLINK("#",""), HYPERLINK(CONCATENATE("#Metadata!", ADDRESS(INDEX($Q$2:$Q$1001,MATCH(ROWS($O$2:O250),$O$2:$O$1001,0),0), INDEX($V$1004:$AE$1004,1,MATCH(COLUMNS($V$1006:AE1006),$V$1006:$AE$1006,0)))),"Fix")))</f>
        <v>0</v>
      </c>
      <c r="O250">
        <v>0</v>
      </c>
      <c r="P250">
        <v>0</v>
      </c>
      <c r="Q250">
        <v>0</v>
      </c>
      <c r="R250">
        <f>IF(S250,TRUE,AND(V250:AE250))</f>
        <v>0</v>
      </c>
      <c r="S250">
        <f>COUNTBLANK(Metadata!B250:K250)=COLUMNS(Metadata!B250:K250)</f>
        <v>0</v>
      </c>
      <c r="T250">
        <v>0</v>
      </c>
      <c r="V250">
        <f>AND(IF(Metadata!B250="",FALSE,TRUE),COUNTIF(Metadata!B:B, Metadata!B250) = 1,NOT(ISERROR(SUMPRODUCT(SEARCH(MID(Metadata!B250,ROW(INDIRECT("1:"&amp;LEN(Metadata!B250))), 1),"0123456789abcdefghijklmnopqrstuvwxyzABCDEFGHIJKLMNOPQRSTUVWXYZ.")))))</f>
        <v>0</v>
      </c>
      <c r="W250">
        <f>AND(IF(Metadata!C250="",FALSE,TRUE),exact(Metadata!C250,"urban biome"))</f>
        <v>0</v>
      </c>
      <c r="X250">
        <f>AND(IF(Metadata!D250="",FALSE,TRUE),exact(Metadata!D250,"animal-associated habitat"))</f>
        <v>0</v>
      </c>
      <c r="Y250">
        <f>OR(AND(IF(Metadata!E250="",FALSE,TRUE),OR(exact(Metadata!E250,"not applicable"),exact(Metadata!E250,"missing: not collected"),exact(Metadata!E250,"missing: not provided"),exact(Metadata!E250,"missing: restricted access"))),AND(IF(Metadata!E250="",FALSE,ISNUMBER(VALUE(Metadata!E250))),Metadata!E250&gt;0))</f>
        <v>0</v>
      </c>
      <c r="Z250">
        <f>AND(IF(Metadata!F250="",FALSE,TRUE),exact(Metadata!F250,"weeks"))</f>
        <v>0</v>
      </c>
      <c r="AA250">
        <f>AND(IF(Metadata!G250="",FALSE,TRUE),exact(Metadata!G250,"mouse"))</f>
        <v>0</v>
      </c>
      <c r="AB250">
        <f>AND(IF(Metadata!H250="",FALSE,TRUE),exact(Metadata!H250,"Mus musculus"))</f>
        <v>0</v>
      </c>
      <c r="AC250">
        <f>AND(IF(Metadata!I250="",FALSE,TRUE),exact(Metadata!I250,"10090"))</f>
        <v>0</v>
      </c>
      <c r="AD250">
        <f>OR(AND(IF(Metadata!J250="",FALSE,TRUE),OR(exact(Metadata!J250,"not applicable"),exact(Metadata!J250,"missing: not collected"),exact(Metadata!J250,"missing: not provided"),exact(Metadata!J250,"missing: restricted access"))),AND(IF(Metadata!J250="",FALSE,ISNUMBER(VALUE(Metadata!J250))),Metadata!J250&gt;0))</f>
        <v>0</v>
      </c>
      <c r="AE250">
        <f>AND(IF(Metadata!K250="",FALSE,TRUE),exact(Metadata!K250,"g"))</f>
        <v>0</v>
      </c>
    </row>
    <row r="251" spans="1:31">
      <c r="A251" s="5">
        <f>IF(B251=" "," ",HYPERLINK(CONCATENATE("#metadata!",ADDRESS(INDEX($Q$2:$Q$1001,MATCH(ROWS($O$2:O251),$O$2:$O$1001,0),0),1)),INDEX($T$2:$T$1001,MATCH(ROWS($O$2:O251),$O$2:$O$1001,0),0)))</f>
        <v>0</v>
      </c>
      <c r="B251" s="4">
        <f>IF(OR(INDEX($P$2:$P$1001,MATCH(ROWS($O$2:O251),$O$2:$O$1001,0),1)&gt;=100000,INDEX($V$1005:$AE$1005,1,MATCH(COLUMNS($V$1006:V1006),$V$1006:$AE$1006,0))&gt;=100000), " ",IF(INDEX($V$2:$AE$1001,MATCH(ROWS($O$2:O251),$O$2:$O$1001,0),MATCH(COLUMNS($V$1006:V1006),$V$1006:$AE$1006,0)), HYPERLINK("#",""), HYPERLINK(CONCATENATE("#Metadata!", ADDRESS(INDEX($Q$2:$Q$1001,MATCH(ROWS($O$2:O251),$O$2:$O$1001,0),0), INDEX($V$1004:$AE$1004,1,MATCH(COLUMNS($V$1006:V1006),$V$1006:$AE$1006,0)))),"Fix")))</f>
        <v>0</v>
      </c>
      <c r="C251" s="4">
        <f>IF(OR(INDEX($P$2:$P$1001,MATCH(ROWS($O$2:O251),$O$2:$O$1001,0),1)&gt;=100000,INDEX($V$1005:$AE$1005,1,MATCH(COLUMNS($V$1006:W1006),$V$1006:$AE$1006,0))&gt;=100000), " ",IF(INDEX($V$2:$AE$1001,MATCH(ROWS($O$2:O251),$O$2:$O$1001,0),MATCH(COLUMNS($V$1006:W1006),$V$1006:$AE$1006,0)), HYPERLINK("#",""), HYPERLINK(CONCATENATE("#Metadata!", ADDRESS(INDEX($Q$2:$Q$1001,MATCH(ROWS($O$2:O251),$O$2:$O$1001,0),0), INDEX($V$1004:$AE$1004,1,MATCH(COLUMNS($V$1006:W1006),$V$1006:$AE$1006,0)))),"Fix")))</f>
        <v>0</v>
      </c>
      <c r="D251" s="4">
        <f>IF(OR(INDEX($P$2:$P$1001,MATCH(ROWS($O$2:O251),$O$2:$O$1001,0),1)&gt;=100000,INDEX($V$1005:$AE$1005,1,MATCH(COLUMNS($V$1006:X1006),$V$1006:$AE$1006,0))&gt;=100000), " ",IF(INDEX($V$2:$AE$1001,MATCH(ROWS($O$2:O251),$O$2:$O$1001,0),MATCH(COLUMNS($V$1006:X1006),$V$1006:$AE$1006,0)), HYPERLINK("#",""), HYPERLINK(CONCATENATE("#Metadata!", ADDRESS(INDEX($Q$2:$Q$1001,MATCH(ROWS($O$2:O251),$O$2:$O$1001,0),0), INDEX($V$1004:$AE$1004,1,MATCH(COLUMNS($V$1006:X1006),$V$1006:$AE$1006,0)))),"Fix")))</f>
        <v>0</v>
      </c>
      <c r="E251" s="4">
        <f>IF(OR(INDEX($P$2:$P$1001,MATCH(ROWS($O$2:O251),$O$2:$O$1001,0),1)&gt;=100000,INDEX($V$1005:$AE$1005,1,MATCH(COLUMNS($V$1006:Y1006),$V$1006:$AE$1006,0))&gt;=100000), " ",IF(INDEX($V$2:$AE$1001,MATCH(ROWS($O$2:O251),$O$2:$O$1001,0),MATCH(COLUMNS($V$1006:Y1006),$V$1006:$AE$1006,0)), HYPERLINK("#",""), HYPERLINK(CONCATENATE("#Metadata!", ADDRESS(INDEX($Q$2:$Q$1001,MATCH(ROWS($O$2:O251),$O$2:$O$1001,0),0), INDEX($V$1004:$AE$1004,1,MATCH(COLUMNS($V$1006:Y1006),$V$1006:$AE$1006,0)))),"Fix")))</f>
        <v>0</v>
      </c>
      <c r="F251" s="4">
        <f>IF(OR(INDEX($P$2:$P$1001,MATCH(ROWS($O$2:O251),$O$2:$O$1001,0),1)&gt;=100000,INDEX($V$1005:$AE$1005,1,MATCH(COLUMNS($V$1006:Z1006),$V$1006:$AE$1006,0))&gt;=100000), " ",IF(INDEX($V$2:$AE$1001,MATCH(ROWS($O$2:O251),$O$2:$O$1001,0),MATCH(COLUMNS($V$1006:Z1006),$V$1006:$AE$1006,0)), HYPERLINK("#",""), HYPERLINK(CONCATENATE("#Metadata!", ADDRESS(INDEX($Q$2:$Q$1001,MATCH(ROWS($O$2:O251),$O$2:$O$1001,0),0), INDEX($V$1004:$AE$1004,1,MATCH(COLUMNS($V$1006:Z1006),$V$1006:$AE$1006,0)))),"Fix")))</f>
        <v>0</v>
      </c>
      <c r="G251" s="4">
        <f>IF(OR(INDEX($P$2:$P$1001,MATCH(ROWS($O$2:O251),$O$2:$O$1001,0),1)&gt;=100000,INDEX($V$1005:$AE$1005,1,MATCH(COLUMNS($V$1006:AA1006),$V$1006:$AE$1006,0))&gt;=100000), " ",IF(INDEX($V$2:$AE$1001,MATCH(ROWS($O$2:O251),$O$2:$O$1001,0),MATCH(COLUMNS($V$1006:AA1006),$V$1006:$AE$1006,0)), HYPERLINK("#",""), HYPERLINK(CONCATENATE("#Metadata!", ADDRESS(INDEX($Q$2:$Q$1001,MATCH(ROWS($O$2:O251),$O$2:$O$1001,0),0), INDEX($V$1004:$AE$1004,1,MATCH(COLUMNS($V$1006:AA1006),$V$1006:$AE$1006,0)))),"Fix")))</f>
        <v>0</v>
      </c>
      <c r="H251" s="4">
        <f>IF(OR(INDEX($P$2:$P$1001,MATCH(ROWS($O$2:O251),$O$2:$O$1001,0),1)&gt;=100000,INDEX($V$1005:$AE$1005,1,MATCH(COLUMNS($V$1006:AB1006),$V$1006:$AE$1006,0))&gt;=100000), " ",IF(INDEX($V$2:$AE$1001,MATCH(ROWS($O$2:O251),$O$2:$O$1001,0),MATCH(COLUMNS($V$1006:AB1006),$V$1006:$AE$1006,0)), HYPERLINK("#",""), HYPERLINK(CONCATENATE("#Metadata!", ADDRESS(INDEX($Q$2:$Q$1001,MATCH(ROWS($O$2:O251),$O$2:$O$1001,0),0), INDEX($V$1004:$AE$1004,1,MATCH(COLUMNS($V$1006:AB1006),$V$1006:$AE$1006,0)))),"Fix")))</f>
        <v>0</v>
      </c>
      <c r="I251" s="4">
        <f>IF(OR(INDEX($P$2:$P$1001,MATCH(ROWS($O$2:O251),$O$2:$O$1001,0),1)&gt;=100000,INDEX($V$1005:$AE$1005,1,MATCH(COLUMNS($V$1006:AC1006),$V$1006:$AE$1006,0))&gt;=100000), " ",IF(INDEX($V$2:$AE$1001,MATCH(ROWS($O$2:O251),$O$2:$O$1001,0),MATCH(COLUMNS($V$1006:AC1006),$V$1006:$AE$1006,0)), HYPERLINK("#",""), HYPERLINK(CONCATENATE("#Metadata!", ADDRESS(INDEX($Q$2:$Q$1001,MATCH(ROWS($O$2:O251),$O$2:$O$1001,0),0), INDEX($V$1004:$AE$1004,1,MATCH(COLUMNS($V$1006:AC1006),$V$1006:$AE$1006,0)))),"Fix")))</f>
        <v>0</v>
      </c>
      <c r="J251" s="4">
        <f>IF(OR(INDEX($P$2:$P$1001,MATCH(ROWS($O$2:O251),$O$2:$O$1001,0),1)&gt;=100000,INDEX($V$1005:$AE$1005,1,MATCH(COLUMNS($V$1006:AD1006),$V$1006:$AE$1006,0))&gt;=100000), " ",IF(INDEX($V$2:$AE$1001,MATCH(ROWS($O$2:O251),$O$2:$O$1001,0),MATCH(COLUMNS($V$1006:AD1006),$V$1006:$AE$1006,0)), HYPERLINK("#",""), HYPERLINK(CONCATENATE("#Metadata!", ADDRESS(INDEX($Q$2:$Q$1001,MATCH(ROWS($O$2:O251),$O$2:$O$1001,0),0), INDEX($V$1004:$AE$1004,1,MATCH(COLUMNS($V$1006:AD1006),$V$1006:$AE$1006,0)))),"Fix")))</f>
        <v>0</v>
      </c>
      <c r="K251" s="4">
        <f>IF(OR(INDEX($P$2:$P$1001,MATCH(ROWS($O$2:O251),$O$2:$O$1001,0),1)&gt;=100000,INDEX($V$1005:$AE$1005,1,MATCH(COLUMNS($V$1006:AE1006),$V$1006:$AE$1006,0))&gt;=100000), " ",IF(INDEX($V$2:$AE$1001,MATCH(ROWS($O$2:O251),$O$2:$O$1001,0),MATCH(COLUMNS($V$1006:AE1006),$V$1006:$AE$1006,0)), HYPERLINK("#",""), HYPERLINK(CONCATENATE("#Metadata!", ADDRESS(INDEX($Q$2:$Q$1001,MATCH(ROWS($O$2:O251),$O$2:$O$1001,0),0), INDEX($V$1004:$AE$1004,1,MATCH(COLUMNS($V$1006:AE1006),$V$1006:$AE$1006,0)))),"Fix")))</f>
        <v>0</v>
      </c>
      <c r="O251">
        <v>0</v>
      </c>
      <c r="P251">
        <v>0</v>
      </c>
      <c r="Q251">
        <v>0</v>
      </c>
      <c r="R251">
        <f>IF(S251,TRUE,AND(V251:AE251))</f>
        <v>0</v>
      </c>
      <c r="S251">
        <f>COUNTBLANK(Metadata!B251:K251)=COLUMNS(Metadata!B251:K251)</f>
        <v>0</v>
      </c>
      <c r="T251">
        <v>0</v>
      </c>
      <c r="V251">
        <f>AND(IF(Metadata!B251="",FALSE,TRUE),COUNTIF(Metadata!B:B, Metadata!B251) = 1,NOT(ISERROR(SUMPRODUCT(SEARCH(MID(Metadata!B251,ROW(INDIRECT("1:"&amp;LEN(Metadata!B251))), 1),"0123456789abcdefghijklmnopqrstuvwxyzABCDEFGHIJKLMNOPQRSTUVWXYZ.")))))</f>
        <v>0</v>
      </c>
      <c r="W251">
        <f>AND(IF(Metadata!C251="",FALSE,TRUE),exact(Metadata!C251,"urban biome"))</f>
        <v>0</v>
      </c>
      <c r="X251">
        <f>AND(IF(Metadata!D251="",FALSE,TRUE),exact(Metadata!D251,"animal-associated habitat"))</f>
        <v>0</v>
      </c>
      <c r="Y251">
        <f>OR(AND(IF(Metadata!E251="",FALSE,TRUE),OR(exact(Metadata!E251,"not applicable"),exact(Metadata!E251,"missing: not collected"),exact(Metadata!E251,"missing: not provided"),exact(Metadata!E251,"missing: restricted access"))),AND(IF(Metadata!E251="",FALSE,ISNUMBER(VALUE(Metadata!E251))),Metadata!E251&gt;0))</f>
        <v>0</v>
      </c>
      <c r="Z251">
        <f>AND(IF(Metadata!F251="",FALSE,TRUE),exact(Metadata!F251,"weeks"))</f>
        <v>0</v>
      </c>
      <c r="AA251">
        <f>AND(IF(Metadata!G251="",FALSE,TRUE),exact(Metadata!G251,"mouse"))</f>
        <v>0</v>
      </c>
      <c r="AB251">
        <f>AND(IF(Metadata!H251="",FALSE,TRUE),exact(Metadata!H251,"Mus musculus"))</f>
        <v>0</v>
      </c>
      <c r="AC251">
        <f>AND(IF(Metadata!I251="",FALSE,TRUE),exact(Metadata!I251,"10090"))</f>
        <v>0</v>
      </c>
      <c r="AD251">
        <f>OR(AND(IF(Metadata!J251="",FALSE,TRUE),OR(exact(Metadata!J251,"not applicable"),exact(Metadata!J251,"missing: not collected"),exact(Metadata!J251,"missing: not provided"),exact(Metadata!J251,"missing: restricted access"))),AND(IF(Metadata!J251="",FALSE,ISNUMBER(VALUE(Metadata!J251))),Metadata!J251&gt;0))</f>
        <v>0</v>
      </c>
      <c r="AE251">
        <f>AND(IF(Metadata!K251="",FALSE,TRUE),exact(Metadata!K251,"g"))</f>
        <v>0</v>
      </c>
    </row>
    <row r="252" spans="1:31">
      <c r="A252" s="5">
        <f>IF(B252=" "," ",HYPERLINK(CONCATENATE("#metadata!",ADDRESS(INDEX($Q$2:$Q$1001,MATCH(ROWS($O$2:O252),$O$2:$O$1001,0),0),1)),INDEX($T$2:$T$1001,MATCH(ROWS($O$2:O252),$O$2:$O$1001,0),0)))</f>
        <v>0</v>
      </c>
      <c r="B252" s="4">
        <f>IF(OR(INDEX($P$2:$P$1001,MATCH(ROWS($O$2:O252),$O$2:$O$1001,0),1)&gt;=100000,INDEX($V$1005:$AE$1005,1,MATCH(COLUMNS($V$1006:V1006),$V$1006:$AE$1006,0))&gt;=100000), " ",IF(INDEX($V$2:$AE$1001,MATCH(ROWS($O$2:O252),$O$2:$O$1001,0),MATCH(COLUMNS($V$1006:V1006),$V$1006:$AE$1006,0)), HYPERLINK("#",""), HYPERLINK(CONCATENATE("#Metadata!", ADDRESS(INDEX($Q$2:$Q$1001,MATCH(ROWS($O$2:O252),$O$2:$O$1001,0),0), INDEX($V$1004:$AE$1004,1,MATCH(COLUMNS($V$1006:V1006),$V$1006:$AE$1006,0)))),"Fix")))</f>
        <v>0</v>
      </c>
      <c r="C252" s="4">
        <f>IF(OR(INDEX($P$2:$P$1001,MATCH(ROWS($O$2:O252),$O$2:$O$1001,0),1)&gt;=100000,INDEX($V$1005:$AE$1005,1,MATCH(COLUMNS($V$1006:W1006),$V$1006:$AE$1006,0))&gt;=100000), " ",IF(INDEX($V$2:$AE$1001,MATCH(ROWS($O$2:O252),$O$2:$O$1001,0),MATCH(COLUMNS($V$1006:W1006),$V$1006:$AE$1006,0)), HYPERLINK("#",""), HYPERLINK(CONCATENATE("#Metadata!", ADDRESS(INDEX($Q$2:$Q$1001,MATCH(ROWS($O$2:O252),$O$2:$O$1001,0),0), INDEX($V$1004:$AE$1004,1,MATCH(COLUMNS($V$1006:W1006),$V$1006:$AE$1006,0)))),"Fix")))</f>
        <v>0</v>
      </c>
      <c r="D252" s="4">
        <f>IF(OR(INDEX($P$2:$P$1001,MATCH(ROWS($O$2:O252),$O$2:$O$1001,0),1)&gt;=100000,INDEX($V$1005:$AE$1005,1,MATCH(COLUMNS($V$1006:X1006),$V$1006:$AE$1006,0))&gt;=100000), " ",IF(INDEX($V$2:$AE$1001,MATCH(ROWS($O$2:O252),$O$2:$O$1001,0),MATCH(COLUMNS($V$1006:X1006),$V$1006:$AE$1006,0)), HYPERLINK("#",""), HYPERLINK(CONCATENATE("#Metadata!", ADDRESS(INDEX($Q$2:$Q$1001,MATCH(ROWS($O$2:O252),$O$2:$O$1001,0),0), INDEX($V$1004:$AE$1004,1,MATCH(COLUMNS($V$1006:X1006),$V$1006:$AE$1006,0)))),"Fix")))</f>
        <v>0</v>
      </c>
      <c r="E252" s="4">
        <f>IF(OR(INDEX($P$2:$P$1001,MATCH(ROWS($O$2:O252),$O$2:$O$1001,0),1)&gt;=100000,INDEX($V$1005:$AE$1005,1,MATCH(COLUMNS($V$1006:Y1006),$V$1006:$AE$1006,0))&gt;=100000), " ",IF(INDEX($V$2:$AE$1001,MATCH(ROWS($O$2:O252),$O$2:$O$1001,0),MATCH(COLUMNS($V$1006:Y1006),$V$1006:$AE$1006,0)), HYPERLINK("#",""), HYPERLINK(CONCATENATE("#Metadata!", ADDRESS(INDEX($Q$2:$Q$1001,MATCH(ROWS($O$2:O252),$O$2:$O$1001,0),0), INDEX($V$1004:$AE$1004,1,MATCH(COLUMNS($V$1006:Y1006),$V$1006:$AE$1006,0)))),"Fix")))</f>
        <v>0</v>
      </c>
      <c r="F252" s="4">
        <f>IF(OR(INDEX($P$2:$P$1001,MATCH(ROWS($O$2:O252),$O$2:$O$1001,0),1)&gt;=100000,INDEX($V$1005:$AE$1005,1,MATCH(COLUMNS($V$1006:Z1006),$V$1006:$AE$1006,0))&gt;=100000), " ",IF(INDEX($V$2:$AE$1001,MATCH(ROWS($O$2:O252),$O$2:$O$1001,0),MATCH(COLUMNS($V$1006:Z1006),$V$1006:$AE$1006,0)), HYPERLINK("#",""), HYPERLINK(CONCATENATE("#Metadata!", ADDRESS(INDEX($Q$2:$Q$1001,MATCH(ROWS($O$2:O252),$O$2:$O$1001,0),0), INDEX($V$1004:$AE$1004,1,MATCH(COLUMNS($V$1006:Z1006),$V$1006:$AE$1006,0)))),"Fix")))</f>
        <v>0</v>
      </c>
      <c r="G252" s="4">
        <f>IF(OR(INDEX($P$2:$P$1001,MATCH(ROWS($O$2:O252),$O$2:$O$1001,0),1)&gt;=100000,INDEX($V$1005:$AE$1005,1,MATCH(COLUMNS($V$1006:AA1006),$V$1006:$AE$1006,0))&gt;=100000), " ",IF(INDEX($V$2:$AE$1001,MATCH(ROWS($O$2:O252),$O$2:$O$1001,0),MATCH(COLUMNS($V$1006:AA1006),$V$1006:$AE$1006,0)), HYPERLINK("#",""), HYPERLINK(CONCATENATE("#Metadata!", ADDRESS(INDEX($Q$2:$Q$1001,MATCH(ROWS($O$2:O252),$O$2:$O$1001,0),0), INDEX($V$1004:$AE$1004,1,MATCH(COLUMNS($V$1006:AA1006),$V$1006:$AE$1006,0)))),"Fix")))</f>
        <v>0</v>
      </c>
      <c r="H252" s="4">
        <f>IF(OR(INDEX($P$2:$P$1001,MATCH(ROWS($O$2:O252),$O$2:$O$1001,0),1)&gt;=100000,INDEX($V$1005:$AE$1005,1,MATCH(COLUMNS($V$1006:AB1006),$V$1006:$AE$1006,0))&gt;=100000), " ",IF(INDEX($V$2:$AE$1001,MATCH(ROWS($O$2:O252),$O$2:$O$1001,0),MATCH(COLUMNS($V$1006:AB1006),$V$1006:$AE$1006,0)), HYPERLINK("#",""), HYPERLINK(CONCATENATE("#Metadata!", ADDRESS(INDEX($Q$2:$Q$1001,MATCH(ROWS($O$2:O252),$O$2:$O$1001,0),0), INDEX($V$1004:$AE$1004,1,MATCH(COLUMNS($V$1006:AB1006),$V$1006:$AE$1006,0)))),"Fix")))</f>
        <v>0</v>
      </c>
      <c r="I252" s="4">
        <f>IF(OR(INDEX($P$2:$P$1001,MATCH(ROWS($O$2:O252),$O$2:$O$1001,0),1)&gt;=100000,INDEX($V$1005:$AE$1005,1,MATCH(COLUMNS($V$1006:AC1006),$V$1006:$AE$1006,0))&gt;=100000), " ",IF(INDEX($V$2:$AE$1001,MATCH(ROWS($O$2:O252),$O$2:$O$1001,0),MATCH(COLUMNS($V$1006:AC1006),$V$1006:$AE$1006,0)), HYPERLINK("#",""), HYPERLINK(CONCATENATE("#Metadata!", ADDRESS(INDEX($Q$2:$Q$1001,MATCH(ROWS($O$2:O252),$O$2:$O$1001,0),0), INDEX($V$1004:$AE$1004,1,MATCH(COLUMNS($V$1006:AC1006),$V$1006:$AE$1006,0)))),"Fix")))</f>
        <v>0</v>
      </c>
      <c r="J252" s="4">
        <f>IF(OR(INDEX($P$2:$P$1001,MATCH(ROWS($O$2:O252),$O$2:$O$1001,0),1)&gt;=100000,INDEX($V$1005:$AE$1005,1,MATCH(COLUMNS($V$1006:AD1006),$V$1006:$AE$1006,0))&gt;=100000), " ",IF(INDEX($V$2:$AE$1001,MATCH(ROWS($O$2:O252),$O$2:$O$1001,0),MATCH(COLUMNS($V$1006:AD1006),$V$1006:$AE$1006,0)), HYPERLINK("#",""), HYPERLINK(CONCATENATE("#Metadata!", ADDRESS(INDEX($Q$2:$Q$1001,MATCH(ROWS($O$2:O252),$O$2:$O$1001,0),0), INDEX($V$1004:$AE$1004,1,MATCH(COLUMNS($V$1006:AD1006),$V$1006:$AE$1006,0)))),"Fix")))</f>
        <v>0</v>
      </c>
      <c r="K252" s="4">
        <f>IF(OR(INDEX($P$2:$P$1001,MATCH(ROWS($O$2:O252),$O$2:$O$1001,0),1)&gt;=100000,INDEX($V$1005:$AE$1005,1,MATCH(COLUMNS($V$1006:AE1006),$V$1006:$AE$1006,0))&gt;=100000), " ",IF(INDEX($V$2:$AE$1001,MATCH(ROWS($O$2:O252),$O$2:$O$1001,0),MATCH(COLUMNS($V$1006:AE1006),$V$1006:$AE$1006,0)), HYPERLINK("#",""), HYPERLINK(CONCATENATE("#Metadata!", ADDRESS(INDEX($Q$2:$Q$1001,MATCH(ROWS($O$2:O252),$O$2:$O$1001,0),0), INDEX($V$1004:$AE$1004,1,MATCH(COLUMNS($V$1006:AE1006),$V$1006:$AE$1006,0)))),"Fix")))</f>
        <v>0</v>
      </c>
      <c r="O252">
        <v>0</v>
      </c>
      <c r="P252">
        <v>0</v>
      </c>
      <c r="Q252">
        <v>0</v>
      </c>
      <c r="R252">
        <f>IF(S252,TRUE,AND(V252:AE252))</f>
        <v>0</v>
      </c>
      <c r="S252">
        <f>COUNTBLANK(Metadata!B252:K252)=COLUMNS(Metadata!B252:K252)</f>
        <v>0</v>
      </c>
      <c r="T252">
        <v>0</v>
      </c>
      <c r="V252">
        <f>AND(IF(Metadata!B252="",FALSE,TRUE),COUNTIF(Metadata!B:B, Metadata!B252) = 1,NOT(ISERROR(SUMPRODUCT(SEARCH(MID(Metadata!B252,ROW(INDIRECT("1:"&amp;LEN(Metadata!B252))), 1),"0123456789abcdefghijklmnopqrstuvwxyzABCDEFGHIJKLMNOPQRSTUVWXYZ.")))))</f>
        <v>0</v>
      </c>
      <c r="W252">
        <f>AND(IF(Metadata!C252="",FALSE,TRUE),exact(Metadata!C252,"urban biome"))</f>
        <v>0</v>
      </c>
      <c r="X252">
        <f>AND(IF(Metadata!D252="",FALSE,TRUE),exact(Metadata!D252,"animal-associated habitat"))</f>
        <v>0</v>
      </c>
      <c r="Y252">
        <f>OR(AND(IF(Metadata!E252="",FALSE,TRUE),OR(exact(Metadata!E252,"not applicable"),exact(Metadata!E252,"missing: not collected"),exact(Metadata!E252,"missing: not provided"),exact(Metadata!E252,"missing: restricted access"))),AND(IF(Metadata!E252="",FALSE,ISNUMBER(VALUE(Metadata!E252))),Metadata!E252&gt;0))</f>
        <v>0</v>
      </c>
      <c r="Z252">
        <f>AND(IF(Metadata!F252="",FALSE,TRUE),exact(Metadata!F252,"weeks"))</f>
        <v>0</v>
      </c>
      <c r="AA252">
        <f>AND(IF(Metadata!G252="",FALSE,TRUE),exact(Metadata!G252,"mouse"))</f>
        <v>0</v>
      </c>
      <c r="AB252">
        <f>AND(IF(Metadata!H252="",FALSE,TRUE),exact(Metadata!H252,"Mus musculus"))</f>
        <v>0</v>
      </c>
      <c r="AC252">
        <f>AND(IF(Metadata!I252="",FALSE,TRUE),exact(Metadata!I252,"10090"))</f>
        <v>0</v>
      </c>
      <c r="AD252">
        <f>OR(AND(IF(Metadata!J252="",FALSE,TRUE),OR(exact(Metadata!J252,"not applicable"),exact(Metadata!J252,"missing: not collected"),exact(Metadata!J252,"missing: not provided"),exact(Metadata!J252,"missing: restricted access"))),AND(IF(Metadata!J252="",FALSE,ISNUMBER(VALUE(Metadata!J252))),Metadata!J252&gt;0))</f>
        <v>0</v>
      </c>
      <c r="AE252">
        <f>AND(IF(Metadata!K252="",FALSE,TRUE),exact(Metadata!K252,"g"))</f>
        <v>0</v>
      </c>
    </row>
    <row r="253" spans="1:31">
      <c r="A253" s="5">
        <f>IF(B253=" "," ",HYPERLINK(CONCATENATE("#metadata!",ADDRESS(INDEX($Q$2:$Q$1001,MATCH(ROWS($O$2:O253),$O$2:$O$1001,0),0),1)),INDEX($T$2:$T$1001,MATCH(ROWS($O$2:O253),$O$2:$O$1001,0),0)))</f>
        <v>0</v>
      </c>
      <c r="B253" s="4">
        <f>IF(OR(INDEX($P$2:$P$1001,MATCH(ROWS($O$2:O253),$O$2:$O$1001,0),1)&gt;=100000,INDEX($V$1005:$AE$1005,1,MATCH(COLUMNS($V$1006:V1006),$V$1006:$AE$1006,0))&gt;=100000), " ",IF(INDEX($V$2:$AE$1001,MATCH(ROWS($O$2:O253),$O$2:$O$1001,0),MATCH(COLUMNS($V$1006:V1006),$V$1006:$AE$1006,0)), HYPERLINK("#",""), HYPERLINK(CONCATENATE("#Metadata!", ADDRESS(INDEX($Q$2:$Q$1001,MATCH(ROWS($O$2:O253),$O$2:$O$1001,0),0), INDEX($V$1004:$AE$1004,1,MATCH(COLUMNS($V$1006:V1006),$V$1006:$AE$1006,0)))),"Fix")))</f>
        <v>0</v>
      </c>
      <c r="C253" s="4">
        <f>IF(OR(INDEX($P$2:$P$1001,MATCH(ROWS($O$2:O253),$O$2:$O$1001,0),1)&gt;=100000,INDEX($V$1005:$AE$1005,1,MATCH(COLUMNS($V$1006:W1006),$V$1006:$AE$1006,0))&gt;=100000), " ",IF(INDEX($V$2:$AE$1001,MATCH(ROWS($O$2:O253),$O$2:$O$1001,0),MATCH(COLUMNS($V$1006:W1006),$V$1006:$AE$1006,0)), HYPERLINK("#",""), HYPERLINK(CONCATENATE("#Metadata!", ADDRESS(INDEX($Q$2:$Q$1001,MATCH(ROWS($O$2:O253),$O$2:$O$1001,0),0), INDEX($V$1004:$AE$1004,1,MATCH(COLUMNS($V$1006:W1006),$V$1006:$AE$1006,0)))),"Fix")))</f>
        <v>0</v>
      </c>
      <c r="D253" s="4">
        <f>IF(OR(INDEX($P$2:$P$1001,MATCH(ROWS($O$2:O253),$O$2:$O$1001,0),1)&gt;=100000,INDEX($V$1005:$AE$1005,1,MATCH(COLUMNS($V$1006:X1006),$V$1006:$AE$1006,0))&gt;=100000), " ",IF(INDEX($V$2:$AE$1001,MATCH(ROWS($O$2:O253),$O$2:$O$1001,0),MATCH(COLUMNS($V$1006:X1006),$V$1006:$AE$1006,0)), HYPERLINK("#",""), HYPERLINK(CONCATENATE("#Metadata!", ADDRESS(INDEX($Q$2:$Q$1001,MATCH(ROWS($O$2:O253),$O$2:$O$1001,0),0), INDEX($V$1004:$AE$1004,1,MATCH(COLUMNS($V$1006:X1006),$V$1006:$AE$1006,0)))),"Fix")))</f>
        <v>0</v>
      </c>
      <c r="E253" s="4">
        <f>IF(OR(INDEX($P$2:$P$1001,MATCH(ROWS($O$2:O253),$O$2:$O$1001,0),1)&gt;=100000,INDEX($V$1005:$AE$1005,1,MATCH(COLUMNS($V$1006:Y1006),$V$1006:$AE$1006,0))&gt;=100000), " ",IF(INDEX($V$2:$AE$1001,MATCH(ROWS($O$2:O253),$O$2:$O$1001,0),MATCH(COLUMNS($V$1006:Y1006),$V$1006:$AE$1006,0)), HYPERLINK("#",""), HYPERLINK(CONCATENATE("#Metadata!", ADDRESS(INDEX($Q$2:$Q$1001,MATCH(ROWS($O$2:O253),$O$2:$O$1001,0),0), INDEX($V$1004:$AE$1004,1,MATCH(COLUMNS($V$1006:Y1006),$V$1006:$AE$1006,0)))),"Fix")))</f>
        <v>0</v>
      </c>
      <c r="F253" s="4">
        <f>IF(OR(INDEX($P$2:$P$1001,MATCH(ROWS($O$2:O253),$O$2:$O$1001,0),1)&gt;=100000,INDEX($V$1005:$AE$1005,1,MATCH(COLUMNS($V$1006:Z1006),$V$1006:$AE$1006,0))&gt;=100000), " ",IF(INDEX($V$2:$AE$1001,MATCH(ROWS($O$2:O253),$O$2:$O$1001,0),MATCH(COLUMNS($V$1006:Z1006),$V$1006:$AE$1006,0)), HYPERLINK("#",""), HYPERLINK(CONCATENATE("#Metadata!", ADDRESS(INDEX($Q$2:$Q$1001,MATCH(ROWS($O$2:O253),$O$2:$O$1001,0),0), INDEX($V$1004:$AE$1004,1,MATCH(COLUMNS($V$1006:Z1006),$V$1006:$AE$1006,0)))),"Fix")))</f>
        <v>0</v>
      </c>
      <c r="G253" s="4">
        <f>IF(OR(INDEX($P$2:$P$1001,MATCH(ROWS($O$2:O253),$O$2:$O$1001,0),1)&gt;=100000,INDEX($V$1005:$AE$1005,1,MATCH(COLUMNS($V$1006:AA1006),$V$1006:$AE$1006,0))&gt;=100000), " ",IF(INDEX($V$2:$AE$1001,MATCH(ROWS($O$2:O253),$O$2:$O$1001,0),MATCH(COLUMNS($V$1006:AA1006),$V$1006:$AE$1006,0)), HYPERLINK("#",""), HYPERLINK(CONCATENATE("#Metadata!", ADDRESS(INDEX($Q$2:$Q$1001,MATCH(ROWS($O$2:O253),$O$2:$O$1001,0),0), INDEX($V$1004:$AE$1004,1,MATCH(COLUMNS($V$1006:AA1006),$V$1006:$AE$1006,0)))),"Fix")))</f>
        <v>0</v>
      </c>
      <c r="H253" s="4">
        <f>IF(OR(INDEX($P$2:$P$1001,MATCH(ROWS($O$2:O253),$O$2:$O$1001,0),1)&gt;=100000,INDEX($V$1005:$AE$1005,1,MATCH(COLUMNS($V$1006:AB1006),$V$1006:$AE$1006,0))&gt;=100000), " ",IF(INDEX($V$2:$AE$1001,MATCH(ROWS($O$2:O253),$O$2:$O$1001,0),MATCH(COLUMNS($V$1006:AB1006),$V$1006:$AE$1006,0)), HYPERLINK("#",""), HYPERLINK(CONCATENATE("#Metadata!", ADDRESS(INDEX($Q$2:$Q$1001,MATCH(ROWS($O$2:O253),$O$2:$O$1001,0),0), INDEX($V$1004:$AE$1004,1,MATCH(COLUMNS($V$1006:AB1006),$V$1006:$AE$1006,0)))),"Fix")))</f>
        <v>0</v>
      </c>
      <c r="I253" s="4">
        <f>IF(OR(INDEX($P$2:$P$1001,MATCH(ROWS($O$2:O253),$O$2:$O$1001,0),1)&gt;=100000,INDEX($V$1005:$AE$1005,1,MATCH(COLUMNS($V$1006:AC1006),$V$1006:$AE$1006,0))&gt;=100000), " ",IF(INDEX($V$2:$AE$1001,MATCH(ROWS($O$2:O253),$O$2:$O$1001,0),MATCH(COLUMNS($V$1006:AC1006),$V$1006:$AE$1006,0)), HYPERLINK("#",""), HYPERLINK(CONCATENATE("#Metadata!", ADDRESS(INDEX($Q$2:$Q$1001,MATCH(ROWS($O$2:O253),$O$2:$O$1001,0),0), INDEX($V$1004:$AE$1004,1,MATCH(COLUMNS($V$1006:AC1006),$V$1006:$AE$1006,0)))),"Fix")))</f>
        <v>0</v>
      </c>
      <c r="J253" s="4">
        <f>IF(OR(INDEX($P$2:$P$1001,MATCH(ROWS($O$2:O253),$O$2:$O$1001,0),1)&gt;=100000,INDEX($V$1005:$AE$1005,1,MATCH(COLUMNS($V$1006:AD1006),$V$1006:$AE$1006,0))&gt;=100000), " ",IF(INDEX($V$2:$AE$1001,MATCH(ROWS($O$2:O253),$O$2:$O$1001,0),MATCH(COLUMNS($V$1006:AD1006),$V$1006:$AE$1006,0)), HYPERLINK("#",""), HYPERLINK(CONCATENATE("#Metadata!", ADDRESS(INDEX($Q$2:$Q$1001,MATCH(ROWS($O$2:O253),$O$2:$O$1001,0),0), INDEX($V$1004:$AE$1004,1,MATCH(COLUMNS($V$1006:AD1006),$V$1006:$AE$1006,0)))),"Fix")))</f>
        <v>0</v>
      </c>
      <c r="K253" s="4">
        <f>IF(OR(INDEX($P$2:$P$1001,MATCH(ROWS($O$2:O253),$O$2:$O$1001,0),1)&gt;=100000,INDEX($V$1005:$AE$1005,1,MATCH(COLUMNS($V$1006:AE1006),$V$1006:$AE$1006,0))&gt;=100000), " ",IF(INDEX($V$2:$AE$1001,MATCH(ROWS($O$2:O253),$O$2:$O$1001,0),MATCH(COLUMNS($V$1006:AE1006),$V$1006:$AE$1006,0)), HYPERLINK("#",""), HYPERLINK(CONCATENATE("#Metadata!", ADDRESS(INDEX($Q$2:$Q$1001,MATCH(ROWS($O$2:O253),$O$2:$O$1001,0),0), INDEX($V$1004:$AE$1004,1,MATCH(COLUMNS($V$1006:AE1006),$V$1006:$AE$1006,0)))),"Fix")))</f>
        <v>0</v>
      </c>
      <c r="O253">
        <v>0</v>
      </c>
      <c r="P253">
        <v>0</v>
      </c>
      <c r="Q253">
        <v>0</v>
      </c>
      <c r="R253">
        <f>IF(S253,TRUE,AND(V253:AE253))</f>
        <v>0</v>
      </c>
      <c r="S253">
        <f>COUNTBLANK(Metadata!B253:K253)=COLUMNS(Metadata!B253:K253)</f>
        <v>0</v>
      </c>
      <c r="T253">
        <v>0</v>
      </c>
      <c r="V253">
        <f>AND(IF(Metadata!B253="",FALSE,TRUE),COUNTIF(Metadata!B:B, Metadata!B253) = 1,NOT(ISERROR(SUMPRODUCT(SEARCH(MID(Metadata!B253,ROW(INDIRECT("1:"&amp;LEN(Metadata!B253))), 1),"0123456789abcdefghijklmnopqrstuvwxyzABCDEFGHIJKLMNOPQRSTUVWXYZ.")))))</f>
        <v>0</v>
      </c>
      <c r="W253">
        <f>AND(IF(Metadata!C253="",FALSE,TRUE),exact(Metadata!C253,"urban biome"))</f>
        <v>0</v>
      </c>
      <c r="X253">
        <f>AND(IF(Metadata!D253="",FALSE,TRUE),exact(Metadata!D253,"animal-associated habitat"))</f>
        <v>0</v>
      </c>
      <c r="Y253">
        <f>OR(AND(IF(Metadata!E253="",FALSE,TRUE),OR(exact(Metadata!E253,"not applicable"),exact(Metadata!E253,"missing: not collected"),exact(Metadata!E253,"missing: not provided"),exact(Metadata!E253,"missing: restricted access"))),AND(IF(Metadata!E253="",FALSE,ISNUMBER(VALUE(Metadata!E253))),Metadata!E253&gt;0))</f>
        <v>0</v>
      </c>
      <c r="Z253">
        <f>AND(IF(Metadata!F253="",FALSE,TRUE),exact(Metadata!F253,"weeks"))</f>
        <v>0</v>
      </c>
      <c r="AA253">
        <f>AND(IF(Metadata!G253="",FALSE,TRUE),exact(Metadata!G253,"mouse"))</f>
        <v>0</v>
      </c>
      <c r="AB253">
        <f>AND(IF(Metadata!H253="",FALSE,TRUE),exact(Metadata!H253,"Mus musculus"))</f>
        <v>0</v>
      </c>
      <c r="AC253">
        <f>AND(IF(Metadata!I253="",FALSE,TRUE),exact(Metadata!I253,"10090"))</f>
        <v>0</v>
      </c>
      <c r="AD253">
        <f>OR(AND(IF(Metadata!J253="",FALSE,TRUE),OR(exact(Metadata!J253,"not applicable"),exact(Metadata!J253,"missing: not collected"),exact(Metadata!J253,"missing: not provided"),exact(Metadata!J253,"missing: restricted access"))),AND(IF(Metadata!J253="",FALSE,ISNUMBER(VALUE(Metadata!J253))),Metadata!J253&gt;0))</f>
        <v>0</v>
      </c>
      <c r="AE253">
        <f>AND(IF(Metadata!K253="",FALSE,TRUE),exact(Metadata!K253,"g"))</f>
        <v>0</v>
      </c>
    </row>
    <row r="254" spans="1:31">
      <c r="A254" s="5">
        <f>IF(B254=" "," ",HYPERLINK(CONCATENATE("#metadata!",ADDRESS(INDEX($Q$2:$Q$1001,MATCH(ROWS($O$2:O254),$O$2:$O$1001,0),0),1)),INDEX($T$2:$T$1001,MATCH(ROWS($O$2:O254),$O$2:$O$1001,0),0)))</f>
        <v>0</v>
      </c>
      <c r="B254" s="4">
        <f>IF(OR(INDEX($P$2:$P$1001,MATCH(ROWS($O$2:O254),$O$2:$O$1001,0),1)&gt;=100000,INDEX($V$1005:$AE$1005,1,MATCH(COLUMNS($V$1006:V1006),$V$1006:$AE$1006,0))&gt;=100000), " ",IF(INDEX($V$2:$AE$1001,MATCH(ROWS($O$2:O254),$O$2:$O$1001,0),MATCH(COLUMNS($V$1006:V1006),$V$1006:$AE$1006,0)), HYPERLINK("#",""), HYPERLINK(CONCATENATE("#Metadata!", ADDRESS(INDEX($Q$2:$Q$1001,MATCH(ROWS($O$2:O254),$O$2:$O$1001,0),0), INDEX($V$1004:$AE$1004,1,MATCH(COLUMNS($V$1006:V1006),$V$1006:$AE$1006,0)))),"Fix")))</f>
        <v>0</v>
      </c>
      <c r="C254" s="4">
        <f>IF(OR(INDEX($P$2:$P$1001,MATCH(ROWS($O$2:O254),$O$2:$O$1001,0),1)&gt;=100000,INDEX($V$1005:$AE$1005,1,MATCH(COLUMNS($V$1006:W1006),$V$1006:$AE$1006,0))&gt;=100000), " ",IF(INDEX($V$2:$AE$1001,MATCH(ROWS($O$2:O254),$O$2:$O$1001,0),MATCH(COLUMNS($V$1006:W1006),$V$1006:$AE$1006,0)), HYPERLINK("#",""), HYPERLINK(CONCATENATE("#Metadata!", ADDRESS(INDEX($Q$2:$Q$1001,MATCH(ROWS($O$2:O254),$O$2:$O$1001,0),0), INDEX($V$1004:$AE$1004,1,MATCH(COLUMNS($V$1006:W1006),$V$1006:$AE$1006,0)))),"Fix")))</f>
        <v>0</v>
      </c>
      <c r="D254" s="4">
        <f>IF(OR(INDEX($P$2:$P$1001,MATCH(ROWS($O$2:O254),$O$2:$O$1001,0),1)&gt;=100000,INDEX($V$1005:$AE$1005,1,MATCH(COLUMNS($V$1006:X1006),$V$1006:$AE$1006,0))&gt;=100000), " ",IF(INDEX($V$2:$AE$1001,MATCH(ROWS($O$2:O254),$O$2:$O$1001,0),MATCH(COLUMNS($V$1006:X1006),$V$1006:$AE$1006,0)), HYPERLINK("#",""), HYPERLINK(CONCATENATE("#Metadata!", ADDRESS(INDEX($Q$2:$Q$1001,MATCH(ROWS($O$2:O254),$O$2:$O$1001,0),0), INDEX($V$1004:$AE$1004,1,MATCH(COLUMNS($V$1006:X1006),$V$1006:$AE$1006,0)))),"Fix")))</f>
        <v>0</v>
      </c>
      <c r="E254" s="4">
        <f>IF(OR(INDEX($P$2:$P$1001,MATCH(ROWS($O$2:O254),$O$2:$O$1001,0),1)&gt;=100000,INDEX($V$1005:$AE$1005,1,MATCH(COLUMNS($V$1006:Y1006),$V$1006:$AE$1006,0))&gt;=100000), " ",IF(INDEX($V$2:$AE$1001,MATCH(ROWS($O$2:O254),$O$2:$O$1001,0),MATCH(COLUMNS($V$1006:Y1006),$V$1006:$AE$1006,0)), HYPERLINK("#",""), HYPERLINK(CONCATENATE("#Metadata!", ADDRESS(INDEX($Q$2:$Q$1001,MATCH(ROWS($O$2:O254),$O$2:$O$1001,0),0), INDEX($V$1004:$AE$1004,1,MATCH(COLUMNS($V$1006:Y1006),$V$1006:$AE$1006,0)))),"Fix")))</f>
        <v>0</v>
      </c>
      <c r="F254" s="4">
        <f>IF(OR(INDEX($P$2:$P$1001,MATCH(ROWS($O$2:O254),$O$2:$O$1001,0),1)&gt;=100000,INDEX($V$1005:$AE$1005,1,MATCH(COLUMNS($V$1006:Z1006),$V$1006:$AE$1006,0))&gt;=100000), " ",IF(INDEX($V$2:$AE$1001,MATCH(ROWS($O$2:O254),$O$2:$O$1001,0),MATCH(COLUMNS($V$1006:Z1006),$V$1006:$AE$1006,0)), HYPERLINK("#",""), HYPERLINK(CONCATENATE("#Metadata!", ADDRESS(INDEX($Q$2:$Q$1001,MATCH(ROWS($O$2:O254),$O$2:$O$1001,0),0), INDEX($V$1004:$AE$1004,1,MATCH(COLUMNS($V$1006:Z1006),$V$1006:$AE$1006,0)))),"Fix")))</f>
        <v>0</v>
      </c>
      <c r="G254" s="4">
        <f>IF(OR(INDEX($P$2:$P$1001,MATCH(ROWS($O$2:O254),$O$2:$O$1001,0),1)&gt;=100000,INDEX($V$1005:$AE$1005,1,MATCH(COLUMNS($V$1006:AA1006),$V$1006:$AE$1006,0))&gt;=100000), " ",IF(INDEX($V$2:$AE$1001,MATCH(ROWS($O$2:O254),$O$2:$O$1001,0),MATCH(COLUMNS($V$1006:AA1006),$V$1006:$AE$1006,0)), HYPERLINK("#",""), HYPERLINK(CONCATENATE("#Metadata!", ADDRESS(INDEX($Q$2:$Q$1001,MATCH(ROWS($O$2:O254),$O$2:$O$1001,0),0), INDEX($V$1004:$AE$1004,1,MATCH(COLUMNS($V$1006:AA1006),$V$1006:$AE$1006,0)))),"Fix")))</f>
        <v>0</v>
      </c>
      <c r="H254" s="4">
        <f>IF(OR(INDEX($P$2:$P$1001,MATCH(ROWS($O$2:O254),$O$2:$O$1001,0),1)&gt;=100000,INDEX($V$1005:$AE$1005,1,MATCH(COLUMNS($V$1006:AB1006),$V$1006:$AE$1006,0))&gt;=100000), " ",IF(INDEX($V$2:$AE$1001,MATCH(ROWS($O$2:O254),$O$2:$O$1001,0),MATCH(COLUMNS($V$1006:AB1006),$V$1006:$AE$1006,0)), HYPERLINK("#",""), HYPERLINK(CONCATENATE("#Metadata!", ADDRESS(INDEX($Q$2:$Q$1001,MATCH(ROWS($O$2:O254),$O$2:$O$1001,0),0), INDEX($V$1004:$AE$1004,1,MATCH(COLUMNS($V$1006:AB1006),$V$1006:$AE$1006,0)))),"Fix")))</f>
        <v>0</v>
      </c>
      <c r="I254" s="4">
        <f>IF(OR(INDEX($P$2:$P$1001,MATCH(ROWS($O$2:O254),$O$2:$O$1001,0),1)&gt;=100000,INDEX($V$1005:$AE$1005,1,MATCH(COLUMNS($V$1006:AC1006),$V$1006:$AE$1006,0))&gt;=100000), " ",IF(INDEX($V$2:$AE$1001,MATCH(ROWS($O$2:O254),$O$2:$O$1001,0),MATCH(COLUMNS($V$1006:AC1006),$V$1006:$AE$1006,0)), HYPERLINK("#",""), HYPERLINK(CONCATENATE("#Metadata!", ADDRESS(INDEX($Q$2:$Q$1001,MATCH(ROWS($O$2:O254),$O$2:$O$1001,0),0), INDEX($V$1004:$AE$1004,1,MATCH(COLUMNS($V$1006:AC1006),$V$1006:$AE$1006,0)))),"Fix")))</f>
        <v>0</v>
      </c>
      <c r="J254" s="4">
        <f>IF(OR(INDEX($P$2:$P$1001,MATCH(ROWS($O$2:O254),$O$2:$O$1001,0),1)&gt;=100000,INDEX($V$1005:$AE$1005,1,MATCH(COLUMNS($V$1006:AD1006),$V$1006:$AE$1006,0))&gt;=100000), " ",IF(INDEX($V$2:$AE$1001,MATCH(ROWS($O$2:O254),$O$2:$O$1001,0),MATCH(COLUMNS($V$1006:AD1006),$V$1006:$AE$1006,0)), HYPERLINK("#",""), HYPERLINK(CONCATENATE("#Metadata!", ADDRESS(INDEX($Q$2:$Q$1001,MATCH(ROWS($O$2:O254),$O$2:$O$1001,0),0), INDEX($V$1004:$AE$1004,1,MATCH(COLUMNS($V$1006:AD1006),$V$1006:$AE$1006,0)))),"Fix")))</f>
        <v>0</v>
      </c>
      <c r="K254" s="4">
        <f>IF(OR(INDEX($P$2:$P$1001,MATCH(ROWS($O$2:O254),$O$2:$O$1001,0),1)&gt;=100000,INDEX($V$1005:$AE$1005,1,MATCH(COLUMNS($V$1006:AE1006),$V$1006:$AE$1006,0))&gt;=100000), " ",IF(INDEX($V$2:$AE$1001,MATCH(ROWS($O$2:O254),$O$2:$O$1001,0),MATCH(COLUMNS($V$1006:AE1006),$V$1006:$AE$1006,0)), HYPERLINK("#",""), HYPERLINK(CONCATENATE("#Metadata!", ADDRESS(INDEX($Q$2:$Q$1001,MATCH(ROWS($O$2:O254),$O$2:$O$1001,0),0), INDEX($V$1004:$AE$1004,1,MATCH(COLUMNS($V$1006:AE1006),$V$1006:$AE$1006,0)))),"Fix")))</f>
        <v>0</v>
      </c>
      <c r="O254">
        <v>0</v>
      </c>
      <c r="P254">
        <v>0</v>
      </c>
      <c r="Q254">
        <v>0</v>
      </c>
      <c r="R254">
        <f>IF(S254,TRUE,AND(V254:AE254))</f>
        <v>0</v>
      </c>
      <c r="S254">
        <f>COUNTBLANK(Metadata!B254:K254)=COLUMNS(Metadata!B254:K254)</f>
        <v>0</v>
      </c>
      <c r="T254">
        <v>0</v>
      </c>
      <c r="V254">
        <f>AND(IF(Metadata!B254="",FALSE,TRUE),COUNTIF(Metadata!B:B, Metadata!B254) = 1,NOT(ISERROR(SUMPRODUCT(SEARCH(MID(Metadata!B254,ROW(INDIRECT("1:"&amp;LEN(Metadata!B254))), 1),"0123456789abcdefghijklmnopqrstuvwxyzABCDEFGHIJKLMNOPQRSTUVWXYZ.")))))</f>
        <v>0</v>
      </c>
      <c r="W254">
        <f>AND(IF(Metadata!C254="",FALSE,TRUE),exact(Metadata!C254,"urban biome"))</f>
        <v>0</v>
      </c>
      <c r="X254">
        <f>AND(IF(Metadata!D254="",FALSE,TRUE),exact(Metadata!D254,"animal-associated habitat"))</f>
        <v>0</v>
      </c>
      <c r="Y254">
        <f>OR(AND(IF(Metadata!E254="",FALSE,TRUE),OR(exact(Metadata!E254,"not applicable"),exact(Metadata!E254,"missing: not collected"),exact(Metadata!E254,"missing: not provided"),exact(Metadata!E254,"missing: restricted access"))),AND(IF(Metadata!E254="",FALSE,ISNUMBER(VALUE(Metadata!E254))),Metadata!E254&gt;0))</f>
        <v>0</v>
      </c>
      <c r="Z254">
        <f>AND(IF(Metadata!F254="",FALSE,TRUE),exact(Metadata!F254,"weeks"))</f>
        <v>0</v>
      </c>
      <c r="AA254">
        <f>AND(IF(Metadata!G254="",FALSE,TRUE),exact(Metadata!G254,"mouse"))</f>
        <v>0</v>
      </c>
      <c r="AB254">
        <f>AND(IF(Metadata!H254="",FALSE,TRUE),exact(Metadata!H254,"Mus musculus"))</f>
        <v>0</v>
      </c>
      <c r="AC254">
        <f>AND(IF(Metadata!I254="",FALSE,TRUE),exact(Metadata!I254,"10090"))</f>
        <v>0</v>
      </c>
      <c r="AD254">
        <f>OR(AND(IF(Metadata!J254="",FALSE,TRUE),OR(exact(Metadata!J254,"not applicable"),exact(Metadata!J254,"missing: not collected"),exact(Metadata!J254,"missing: not provided"),exact(Metadata!J254,"missing: restricted access"))),AND(IF(Metadata!J254="",FALSE,ISNUMBER(VALUE(Metadata!J254))),Metadata!J254&gt;0))</f>
        <v>0</v>
      </c>
      <c r="AE254">
        <f>AND(IF(Metadata!K254="",FALSE,TRUE),exact(Metadata!K254,"g"))</f>
        <v>0</v>
      </c>
    </row>
    <row r="255" spans="1:31">
      <c r="A255" s="5">
        <f>IF(B255=" "," ",HYPERLINK(CONCATENATE("#metadata!",ADDRESS(INDEX($Q$2:$Q$1001,MATCH(ROWS($O$2:O255),$O$2:$O$1001,0),0),1)),INDEX($T$2:$T$1001,MATCH(ROWS($O$2:O255),$O$2:$O$1001,0),0)))</f>
        <v>0</v>
      </c>
      <c r="B255" s="4">
        <f>IF(OR(INDEX($P$2:$P$1001,MATCH(ROWS($O$2:O255),$O$2:$O$1001,0),1)&gt;=100000,INDEX($V$1005:$AE$1005,1,MATCH(COLUMNS($V$1006:V1006),$V$1006:$AE$1006,0))&gt;=100000), " ",IF(INDEX($V$2:$AE$1001,MATCH(ROWS($O$2:O255),$O$2:$O$1001,0),MATCH(COLUMNS($V$1006:V1006),$V$1006:$AE$1006,0)), HYPERLINK("#",""), HYPERLINK(CONCATENATE("#Metadata!", ADDRESS(INDEX($Q$2:$Q$1001,MATCH(ROWS($O$2:O255),$O$2:$O$1001,0),0), INDEX($V$1004:$AE$1004,1,MATCH(COLUMNS($V$1006:V1006),$V$1006:$AE$1006,0)))),"Fix")))</f>
        <v>0</v>
      </c>
      <c r="C255" s="4">
        <f>IF(OR(INDEX($P$2:$P$1001,MATCH(ROWS($O$2:O255),$O$2:$O$1001,0),1)&gt;=100000,INDEX($V$1005:$AE$1005,1,MATCH(COLUMNS($V$1006:W1006),$V$1006:$AE$1006,0))&gt;=100000), " ",IF(INDEX($V$2:$AE$1001,MATCH(ROWS($O$2:O255),$O$2:$O$1001,0),MATCH(COLUMNS($V$1006:W1006),$V$1006:$AE$1006,0)), HYPERLINK("#",""), HYPERLINK(CONCATENATE("#Metadata!", ADDRESS(INDEX($Q$2:$Q$1001,MATCH(ROWS($O$2:O255),$O$2:$O$1001,0),0), INDEX($V$1004:$AE$1004,1,MATCH(COLUMNS($V$1006:W1006),$V$1006:$AE$1006,0)))),"Fix")))</f>
        <v>0</v>
      </c>
      <c r="D255" s="4">
        <f>IF(OR(INDEX($P$2:$P$1001,MATCH(ROWS($O$2:O255),$O$2:$O$1001,0),1)&gt;=100000,INDEX($V$1005:$AE$1005,1,MATCH(COLUMNS($V$1006:X1006),$V$1006:$AE$1006,0))&gt;=100000), " ",IF(INDEX($V$2:$AE$1001,MATCH(ROWS($O$2:O255),$O$2:$O$1001,0),MATCH(COLUMNS($V$1006:X1006),$V$1006:$AE$1006,0)), HYPERLINK("#",""), HYPERLINK(CONCATENATE("#Metadata!", ADDRESS(INDEX($Q$2:$Q$1001,MATCH(ROWS($O$2:O255),$O$2:$O$1001,0),0), INDEX($V$1004:$AE$1004,1,MATCH(COLUMNS($V$1006:X1006),$V$1006:$AE$1006,0)))),"Fix")))</f>
        <v>0</v>
      </c>
      <c r="E255" s="4">
        <f>IF(OR(INDEX($P$2:$P$1001,MATCH(ROWS($O$2:O255),$O$2:$O$1001,0),1)&gt;=100000,INDEX($V$1005:$AE$1005,1,MATCH(COLUMNS($V$1006:Y1006),$V$1006:$AE$1006,0))&gt;=100000), " ",IF(INDEX($V$2:$AE$1001,MATCH(ROWS($O$2:O255),$O$2:$O$1001,0),MATCH(COLUMNS($V$1006:Y1006),$V$1006:$AE$1006,0)), HYPERLINK("#",""), HYPERLINK(CONCATENATE("#Metadata!", ADDRESS(INDEX($Q$2:$Q$1001,MATCH(ROWS($O$2:O255),$O$2:$O$1001,0),0), INDEX($V$1004:$AE$1004,1,MATCH(COLUMNS($V$1006:Y1006),$V$1006:$AE$1006,0)))),"Fix")))</f>
        <v>0</v>
      </c>
      <c r="F255" s="4">
        <f>IF(OR(INDEX($P$2:$P$1001,MATCH(ROWS($O$2:O255),$O$2:$O$1001,0),1)&gt;=100000,INDEX($V$1005:$AE$1005,1,MATCH(COLUMNS($V$1006:Z1006),$V$1006:$AE$1006,0))&gt;=100000), " ",IF(INDEX($V$2:$AE$1001,MATCH(ROWS($O$2:O255),$O$2:$O$1001,0),MATCH(COLUMNS($V$1006:Z1006),$V$1006:$AE$1006,0)), HYPERLINK("#",""), HYPERLINK(CONCATENATE("#Metadata!", ADDRESS(INDEX($Q$2:$Q$1001,MATCH(ROWS($O$2:O255),$O$2:$O$1001,0),0), INDEX($V$1004:$AE$1004,1,MATCH(COLUMNS($V$1006:Z1006),$V$1006:$AE$1006,0)))),"Fix")))</f>
        <v>0</v>
      </c>
      <c r="G255" s="4">
        <f>IF(OR(INDEX($P$2:$P$1001,MATCH(ROWS($O$2:O255),$O$2:$O$1001,0),1)&gt;=100000,INDEX($V$1005:$AE$1005,1,MATCH(COLUMNS($V$1006:AA1006),$V$1006:$AE$1006,0))&gt;=100000), " ",IF(INDEX($V$2:$AE$1001,MATCH(ROWS($O$2:O255),$O$2:$O$1001,0),MATCH(COLUMNS($V$1006:AA1006),$V$1006:$AE$1006,0)), HYPERLINK("#",""), HYPERLINK(CONCATENATE("#Metadata!", ADDRESS(INDEX($Q$2:$Q$1001,MATCH(ROWS($O$2:O255),$O$2:$O$1001,0),0), INDEX($V$1004:$AE$1004,1,MATCH(COLUMNS($V$1006:AA1006),$V$1006:$AE$1006,0)))),"Fix")))</f>
        <v>0</v>
      </c>
      <c r="H255" s="4">
        <f>IF(OR(INDEX($P$2:$P$1001,MATCH(ROWS($O$2:O255),$O$2:$O$1001,0),1)&gt;=100000,INDEX($V$1005:$AE$1005,1,MATCH(COLUMNS($V$1006:AB1006),$V$1006:$AE$1006,0))&gt;=100000), " ",IF(INDEX($V$2:$AE$1001,MATCH(ROWS($O$2:O255),$O$2:$O$1001,0),MATCH(COLUMNS($V$1006:AB1006),$V$1006:$AE$1006,0)), HYPERLINK("#",""), HYPERLINK(CONCATENATE("#Metadata!", ADDRESS(INDEX($Q$2:$Q$1001,MATCH(ROWS($O$2:O255),$O$2:$O$1001,0),0), INDEX($V$1004:$AE$1004,1,MATCH(COLUMNS($V$1006:AB1006),$V$1006:$AE$1006,0)))),"Fix")))</f>
        <v>0</v>
      </c>
      <c r="I255" s="4">
        <f>IF(OR(INDEX($P$2:$P$1001,MATCH(ROWS($O$2:O255),$O$2:$O$1001,0),1)&gt;=100000,INDEX($V$1005:$AE$1005,1,MATCH(COLUMNS($V$1006:AC1006),$V$1006:$AE$1006,0))&gt;=100000), " ",IF(INDEX($V$2:$AE$1001,MATCH(ROWS($O$2:O255),$O$2:$O$1001,0),MATCH(COLUMNS($V$1006:AC1006),$V$1006:$AE$1006,0)), HYPERLINK("#",""), HYPERLINK(CONCATENATE("#Metadata!", ADDRESS(INDEX($Q$2:$Q$1001,MATCH(ROWS($O$2:O255),$O$2:$O$1001,0),0), INDEX($V$1004:$AE$1004,1,MATCH(COLUMNS($V$1006:AC1006),$V$1006:$AE$1006,0)))),"Fix")))</f>
        <v>0</v>
      </c>
      <c r="J255" s="4">
        <f>IF(OR(INDEX($P$2:$P$1001,MATCH(ROWS($O$2:O255),$O$2:$O$1001,0),1)&gt;=100000,INDEX($V$1005:$AE$1005,1,MATCH(COLUMNS($V$1006:AD1006),$V$1006:$AE$1006,0))&gt;=100000), " ",IF(INDEX($V$2:$AE$1001,MATCH(ROWS($O$2:O255),$O$2:$O$1001,0),MATCH(COLUMNS($V$1006:AD1006),$V$1006:$AE$1006,0)), HYPERLINK("#",""), HYPERLINK(CONCATENATE("#Metadata!", ADDRESS(INDEX($Q$2:$Q$1001,MATCH(ROWS($O$2:O255),$O$2:$O$1001,0),0), INDEX($V$1004:$AE$1004,1,MATCH(COLUMNS($V$1006:AD1006),$V$1006:$AE$1006,0)))),"Fix")))</f>
        <v>0</v>
      </c>
      <c r="K255" s="4">
        <f>IF(OR(INDEX($P$2:$P$1001,MATCH(ROWS($O$2:O255),$O$2:$O$1001,0),1)&gt;=100000,INDEX($V$1005:$AE$1005,1,MATCH(COLUMNS($V$1006:AE1006),$V$1006:$AE$1006,0))&gt;=100000), " ",IF(INDEX($V$2:$AE$1001,MATCH(ROWS($O$2:O255),$O$2:$O$1001,0),MATCH(COLUMNS($V$1006:AE1006),$V$1006:$AE$1006,0)), HYPERLINK("#",""), HYPERLINK(CONCATENATE("#Metadata!", ADDRESS(INDEX($Q$2:$Q$1001,MATCH(ROWS($O$2:O255),$O$2:$O$1001,0),0), INDEX($V$1004:$AE$1004,1,MATCH(COLUMNS($V$1006:AE1006),$V$1006:$AE$1006,0)))),"Fix")))</f>
        <v>0</v>
      </c>
      <c r="O255">
        <v>0</v>
      </c>
      <c r="P255">
        <v>0</v>
      </c>
      <c r="Q255">
        <v>0</v>
      </c>
      <c r="R255">
        <f>IF(S255,TRUE,AND(V255:AE255))</f>
        <v>0</v>
      </c>
      <c r="S255">
        <f>COUNTBLANK(Metadata!B255:K255)=COLUMNS(Metadata!B255:K255)</f>
        <v>0</v>
      </c>
      <c r="T255">
        <v>0</v>
      </c>
      <c r="V255">
        <f>AND(IF(Metadata!B255="",FALSE,TRUE),COUNTIF(Metadata!B:B, Metadata!B255) = 1,NOT(ISERROR(SUMPRODUCT(SEARCH(MID(Metadata!B255,ROW(INDIRECT("1:"&amp;LEN(Metadata!B255))), 1),"0123456789abcdefghijklmnopqrstuvwxyzABCDEFGHIJKLMNOPQRSTUVWXYZ.")))))</f>
        <v>0</v>
      </c>
      <c r="W255">
        <f>AND(IF(Metadata!C255="",FALSE,TRUE),exact(Metadata!C255,"urban biome"))</f>
        <v>0</v>
      </c>
      <c r="X255">
        <f>AND(IF(Metadata!D255="",FALSE,TRUE),exact(Metadata!D255,"animal-associated habitat"))</f>
        <v>0</v>
      </c>
      <c r="Y255">
        <f>OR(AND(IF(Metadata!E255="",FALSE,TRUE),OR(exact(Metadata!E255,"not applicable"),exact(Metadata!E255,"missing: not collected"),exact(Metadata!E255,"missing: not provided"),exact(Metadata!E255,"missing: restricted access"))),AND(IF(Metadata!E255="",FALSE,ISNUMBER(VALUE(Metadata!E255))),Metadata!E255&gt;0))</f>
        <v>0</v>
      </c>
      <c r="Z255">
        <f>AND(IF(Metadata!F255="",FALSE,TRUE),exact(Metadata!F255,"weeks"))</f>
        <v>0</v>
      </c>
      <c r="AA255">
        <f>AND(IF(Metadata!G255="",FALSE,TRUE),exact(Metadata!G255,"mouse"))</f>
        <v>0</v>
      </c>
      <c r="AB255">
        <f>AND(IF(Metadata!H255="",FALSE,TRUE),exact(Metadata!H255,"Mus musculus"))</f>
        <v>0</v>
      </c>
      <c r="AC255">
        <f>AND(IF(Metadata!I255="",FALSE,TRUE),exact(Metadata!I255,"10090"))</f>
        <v>0</v>
      </c>
      <c r="AD255">
        <f>OR(AND(IF(Metadata!J255="",FALSE,TRUE),OR(exact(Metadata!J255,"not applicable"),exact(Metadata!J255,"missing: not collected"),exact(Metadata!J255,"missing: not provided"),exact(Metadata!J255,"missing: restricted access"))),AND(IF(Metadata!J255="",FALSE,ISNUMBER(VALUE(Metadata!J255))),Metadata!J255&gt;0))</f>
        <v>0</v>
      </c>
      <c r="AE255">
        <f>AND(IF(Metadata!K255="",FALSE,TRUE),exact(Metadata!K255,"g"))</f>
        <v>0</v>
      </c>
    </row>
    <row r="256" spans="1:31">
      <c r="A256" s="5">
        <f>IF(B256=" "," ",HYPERLINK(CONCATENATE("#metadata!",ADDRESS(INDEX($Q$2:$Q$1001,MATCH(ROWS($O$2:O256),$O$2:$O$1001,0),0),1)),INDEX($T$2:$T$1001,MATCH(ROWS($O$2:O256),$O$2:$O$1001,0),0)))</f>
        <v>0</v>
      </c>
      <c r="B256" s="4">
        <f>IF(OR(INDEX($P$2:$P$1001,MATCH(ROWS($O$2:O256),$O$2:$O$1001,0),1)&gt;=100000,INDEX($V$1005:$AE$1005,1,MATCH(COLUMNS($V$1006:V1006),$V$1006:$AE$1006,0))&gt;=100000), " ",IF(INDEX($V$2:$AE$1001,MATCH(ROWS($O$2:O256),$O$2:$O$1001,0),MATCH(COLUMNS($V$1006:V1006),$V$1006:$AE$1006,0)), HYPERLINK("#",""), HYPERLINK(CONCATENATE("#Metadata!", ADDRESS(INDEX($Q$2:$Q$1001,MATCH(ROWS($O$2:O256),$O$2:$O$1001,0),0), INDEX($V$1004:$AE$1004,1,MATCH(COLUMNS($V$1006:V1006),$V$1006:$AE$1006,0)))),"Fix")))</f>
        <v>0</v>
      </c>
      <c r="C256" s="4">
        <f>IF(OR(INDEX($P$2:$P$1001,MATCH(ROWS($O$2:O256),$O$2:$O$1001,0),1)&gt;=100000,INDEX($V$1005:$AE$1005,1,MATCH(COLUMNS($V$1006:W1006),$V$1006:$AE$1006,0))&gt;=100000), " ",IF(INDEX($V$2:$AE$1001,MATCH(ROWS($O$2:O256),$O$2:$O$1001,0),MATCH(COLUMNS($V$1006:W1006),$V$1006:$AE$1006,0)), HYPERLINK("#",""), HYPERLINK(CONCATENATE("#Metadata!", ADDRESS(INDEX($Q$2:$Q$1001,MATCH(ROWS($O$2:O256),$O$2:$O$1001,0),0), INDEX($V$1004:$AE$1004,1,MATCH(COLUMNS($V$1006:W1006),$V$1006:$AE$1006,0)))),"Fix")))</f>
        <v>0</v>
      </c>
      <c r="D256" s="4">
        <f>IF(OR(INDEX($P$2:$P$1001,MATCH(ROWS($O$2:O256),$O$2:$O$1001,0),1)&gt;=100000,INDEX($V$1005:$AE$1005,1,MATCH(COLUMNS($V$1006:X1006),$V$1006:$AE$1006,0))&gt;=100000), " ",IF(INDEX($V$2:$AE$1001,MATCH(ROWS($O$2:O256),$O$2:$O$1001,0),MATCH(COLUMNS($V$1006:X1006),$V$1006:$AE$1006,0)), HYPERLINK("#",""), HYPERLINK(CONCATENATE("#Metadata!", ADDRESS(INDEX($Q$2:$Q$1001,MATCH(ROWS($O$2:O256),$O$2:$O$1001,0),0), INDEX($V$1004:$AE$1004,1,MATCH(COLUMNS($V$1006:X1006),$V$1006:$AE$1006,0)))),"Fix")))</f>
        <v>0</v>
      </c>
      <c r="E256" s="4">
        <f>IF(OR(INDEX($P$2:$P$1001,MATCH(ROWS($O$2:O256),$O$2:$O$1001,0),1)&gt;=100000,INDEX($V$1005:$AE$1005,1,MATCH(COLUMNS($V$1006:Y1006),$V$1006:$AE$1006,0))&gt;=100000), " ",IF(INDEX($V$2:$AE$1001,MATCH(ROWS($O$2:O256),$O$2:$O$1001,0),MATCH(COLUMNS($V$1006:Y1006),$V$1006:$AE$1006,0)), HYPERLINK("#",""), HYPERLINK(CONCATENATE("#Metadata!", ADDRESS(INDEX($Q$2:$Q$1001,MATCH(ROWS($O$2:O256),$O$2:$O$1001,0),0), INDEX($V$1004:$AE$1004,1,MATCH(COLUMNS($V$1006:Y1006),$V$1006:$AE$1006,0)))),"Fix")))</f>
        <v>0</v>
      </c>
      <c r="F256" s="4">
        <f>IF(OR(INDEX($P$2:$P$1001,MATCH(ROWS($O$2:O256),$O$2:$O$1001,0),1)&gt;=100000,INDEX($V$1005:$AE$1005,1,MATCH(COLUMNS($V$1006:Z1006),$V$1006:$AE$1006,0))&gt;=100000), " ",IF(INDEX($V$2:$AE$1001,MATCH(ROWS($O$2:O256),$O$2:$O$1001,0),MATCH(COLUMNS($V$1006:Z1006),$V$1006:$AE$1006,0)), HYPERLINK("#",""), HYPERLINK(CONCATENATE("#Metadata!", ADDRESS(INDEX($Q$2:$Q$1001,MATCH(ROWS($O$2:O256),$O$2:$O$1001,0),0), INDEX($V$1004:$AE$1004,1,MATCH(COLUMNS($V$1006:Z1006),$V$1006:$AE$1006,0)))),"Fix")))</f>
        <v>0</v>
      </c>
      <c r="G256" s="4">
        <f>IF(OR(INDEX($P$2:$P$1001,MATCH(ROWS($O$2:O256),$O$2:$O$1001,0),1)&gt;=100000,INDEX($V$1005:$AE$1005,1,MATCH(COLUMNS($V$1006:AA1006),$V$1006:$AE$1006,0))&gt;=100000), " ",IF(INDEX($V$2:$AE$1001,MATCH(ROWS($O$2:O256),$O$2:$O$1001,0),MATCH(COLUMNS($V$1006:AA1006),$V$1006:$AE$1006,0)), HYPERLINK("#",""), HYPERLINK(CONCATENATE("#Metadata!", ADDRESS(INDEX($Q$2:$Q$1001,MATCH(ROWS($O$2:O256),$O$2:$O$1001,0),0), INDEX($V$1004:$AE$1004,1,MATCH(COLUMNS($V$1006:AA1006),$V$1006:$AE$1006,0)))),"Fix")))</f>
        <v>0</v>
      </c>
      <c r="H256" s="4">
        <f>IF(OR(INDEX($P$2:$P$1001,MATCH(ROWS($O$2:O256),$O$2:$O$1001,0),1)&gt;=100000,INDEX($V$1005:$AE$1005,1,MATCH(COLUMNS($V$1006:AB1006),$V$1006:$AE$1006,0))&gt;=100000), " ",IF(INDEX($V$2:$AE$1001,MATCH(ROWS($O$2:O256),$O$2:$O$1001,0),MATCH(COLUMNS($V$1006:AB1006),$V$1006:$AE$1006,0)), HYPERLINK("#",""), HYPERLINK(CONCATENATE("#Metadata!", ADDRESS(INDEX($Q$2:$Q$1001,MATCH(ROWS($O$2:O256),$O$2:$O$1001,0),0), INDEX($V$1004:$AE$1004,1,MATCH(COLUMNS($V$1006:AB1006),$V$1006:$AE$1006,0)))),"Fix")))</f>
        <v>0</v>
      </c>
      <c r="I256" s="4">
        <f>IF(OR(INDEX($P$2:$P$1001,MATCH(ROWS($O$2:O256),$O$2:$O$1001,0),1)&gt;=100000,INDEX($V$1005:$AE$1005,1,MATCH(COLUMNS($V$1006:AC1006),$V$1006:$AE$1006,0))&gt;=100000), " ",IF(INDEX($V$2:$AE$1001,MATCH(ROWS($O$2:O256),$O$2:$O$1001,0),MATCH(COLUMNS($V$1006:AC1006),$V$1006:$AE$1006,0)), HYPERLINK("#",""), HYPERLINK(CONCATENATE("#Metadata!", ADDRESS(INDEX($Q$2:$Q$1001,MATCH(ROWS($O$2:O256),$O$2:$O$1001,0),0), INDEX($V$1004:$AE$1004,1,MATCH(COLUMNS($V$1006:AC1006),$V$1006:$AE$1006,0)))),"Fix")))</f>
        <v>0</v>
      </c>
      <c r="J256" s="4">
        <f>IF(OR(INDEX($P$2:$P$1001,MATCH(ROWS($O$2:O256),$O$2:$O$1001,0),1)&gt;=100000,INDEX($V$1005:$AE$1005,1,MATCH(COLUMNS($V$1006:AD1006),$V$1006:$AE$1006,0))&gt;=100000), " ",IF(INDEX($V$2:$AE$1001,MATCH(ROWS($O$2:O256),$O$2:$O$1001,0),MATCH(COLUMNS($V$1006:AD1006),$V$1006:$AE$1006,0)), HYPERLINK("#",""), HYPERLINK(CONCATENATE("#Metadata!", ADDRESS(INDEX($Q$2:$Q$1001,MATCH(ROWS($O$2:O256),$O$2:$O$1001,0),0), INDEX($V$1004:$AE$1004,1,MATCH(COLUMNS($V$1006:AD1006),$V$1006:$AE$1006,0)))),"Fix")))</f>
        <v>0</v>
      </c>
      <c r="K256" s="4">
        <f>IF(OR(INDEX($P$2:$P$1001,MATCH(ROWS($O$2:O256),$O$2:$O$1001,0),1)&gt;=100000,INDEX($V$1005:$AE$1005,1,MATCH(COLUMNS($V$1006:AE1006),$V$1006:$AE$1006,0))&gt;=100000), " ",IF(INDEX($V$2:$AE$1001,MATCH(ROWS($O$2:O256),$O$2:$O$1001,0),MATCH(COLUMNS($V$1006:AE1006),$V$1006:$AE$1006,0)), HYPERLINK("#",""), HYPERLINK(CONCATENATE("#Metadata!", ADDRESS(INDEX($Q$2:$Q$1001,MATCH(ROWS($O$2:O256),$O$2:$O$1001,0),0), INDEX($V$1004:$AE$1004,1,MATCH(COLUMNS($V$1006:AE1006),$V$1006:$AE$1006,0)))),"Fix")))</f>
        <v>0</v>
      </c>
      <c r="O256">
        <v>0</v>
      </c>
      <c r="P256">
        <v>0</v>
      </c>
      <c r="Q256">
        <v>0</v>
      </c>
      <c r="R256">
        <f>IF(S256,TRUE,AND(V256:AE256))</f>
        <v>0</v>
      </c>
      <c r="S256">
        <f>COUNTBLANK(Metadata!B256:K256)=COLUMNS(Metadata!B256:K256)</f>
        <v>0</v>
      </c>
      <c r="T256">
        <v>0</v>
      </c>
      <c r="V256">
        <f>AND(IF(Metadata!B256="",FALSE,TRUE),COUNTIF(Metadata!B:B, Metadata!B256) = 1,NOT(ISERROR(SUMPRODUCT(SEARCH(MID(Metadata!B256,ROW(INDIRECT("1:"&amp;LEN(Metadata!B256))), 1),"0123456789abcdefghijklmnopqrstuvwxyzABCDEFGHIJKLMNOPQRSTUVWXYZ.")))))</f>
        <v>0</v>
      </c>
      <c r="W256">
        <f>AND(IF(Metadata!C256="",FALSE,TRUE),exact(Metadata!C256,"urban biome"))</f>
        <v>0</v>
      </c>
      <c r="X256">
        <f>AND(IF(Metadata!D256="",FALSE,TRUE),exact(Metadata!D256,"animal-associated habitat"))</f>
        <v>0</v>
      </c>
      <c r="Y256">
        <f>OR(AND(IF(Metadata!E256="",FALSE,TRUE),OR(exact(Metadata!E256,"not applicable"),exact(Metadata!E256,"missing: not collected"),exact(Metadata!E256,"missing: not provided"),exact(Metadata!E256,"missing: restricted access"))),AND(IF(Metadata!E256="",FALSE,ISNUMBER(VALUE(Metadata!E256))),Metadata!E256&gt;0))</f>
        <v>0</v>
      </c>
      <c r="Z256">
        <f>AND(IF(Metadata!F256="",FALSE,TRUE),exact(Metadata!F256,"weeks"))</f>
        <v>0</v>
      </c>
      <c r="AA256">
        <f>AND(IF(Metadata!G256="",FALSE,TRUE),exact(Metadata!G256,"mouse"))</f>
        <v>0</v>
      </c>
      <c r="AB256">
        <f>AND(IF(Metadata!H256="",FALSE,TRUE),exact(Metadata!H256,"Mus musculus"))</f>
        <v>0</v>
      </c>
      <c r="AC256">
        <f>AND(IF(Metadata!I256="",FALSE,TRUE),exact(Metadata!I256,"10090"))</f>
        <v>0</v>
      </c>
      <c r="AD256">
        <f>OR(AND(IF(Metadata!J256="",FALSE,TRUE),OR(exact(Metadata!J256,"not applicable"),exact(Metadata!J256,"missing: not collected"),exact(Metadata!J256,"missing: not provided"),exact(Metadata!J256,"missing: restricted access"))),AND(IF(Metadata!J256="",FALSE,ISNUMBER(VALUE(Metadata!J256))),Metadata!J256&gt;0))</f>
        <v>0</v>
      </c>
      <c r="AE256">
        <f>AND(IF(Metadata!K256="",FALSE,TRUE),exact(Metadata!K256,"g"))</f>
        <v>0</v>
      </c>
    </row>
    <row r="257" spans="1:31">
      <c r="A257" s="5">
        <f>IF(B257=" "," ",HYPERLINK(CONCATENATE("#metadata!",ADDRESS(INDEX($Q$2:$Q$1001,MATCH(ROWS($O$2:O257),$O$2:$O$1001,0),0),1)),INDEX($T$2:$T$1001,MATCH(ROWS($O$2:O257),$O$2:$O$1001,0),0)))</f>
        <v>0</v>
      </c>
      <c r="B257" s="4">
        <f>IF(OR(INDEX($P$2:$P$1001,MATCH(ROWS($O$2:O257),$O$2:$O$1001,0),1)&gt;=100000,INDEX($V$1005:$AE$1005,1,MATCH(COLUMNS($V$1006:V1006),$V$1006:$AE$1006,0))&gt;=100000), " ",IF(INDEX($V$2:$AE$1001,MATCH(ROWS($O$2:O257),$O$2:$O$1001,0),MATCH(COLUMNS($V$1006:V1006),$V$1006:$AE$1006,0)), HYPERLINK("#",""), HYPERLINK(CONCATENATE("#Metadata!", ADDRESS(INDEX($Q$2:$Q$1001,MATCH(ROWS($O$2:O257),$O$2:$O$1001,0),0), INDEX($V$1004:$AE$1004,1,MATCH(COLUMNS($V$1006:V1006),$V$1006:$AE$1006,0)))),"Fix")))</f>
        <v>0</v>
      </c>
      <c r="C257" s="4">
        <f>IF(OR(INDEX($P$2:$P$1001,MATCH(ROWS($O$2:O257),$O$2:$O$1001,0),1)&gt;=100000,INDEX($V$1005:$AE$1005,1,MATCH(COLUMNS($V$1006:W1006),$V$1006:$AE$1006,0))&gt;=100000), " ",IF(INDEX($V$2:$AE$1001,MATCH(ROWS($O$2:O257),$O$2:$O$1001,0),MATCH(COLUMNS($V$1006:W1006),$V$1006:$AE$1006,0)), HYPERLINK("#",""), HYPERLINK(CONCATENATE("#Metadata!", ADDRESS(INDEX($Q$2:$Q$1001,MATCH(ROWS($O$2:O257),$O$2:$O$1001,0),0), INDEX($V$1004:$AE$1004,1,MATCH(COLUMNS($V$1006:W1006),$V$1006:$AE$1006,0)))),"Fix")))</f>
        <v>0</v>
      </c>
      <c r="D257" s="4">
        <f>IF(OR(INDEX($P$2:$P$1001,MATCH(ROWS($O$2:O257),$O$2:$O$1001,0),1)&gt;=100000,INDEX($V$1005:$AE$1005,1,MATCH(COLUMNS($V$1006:X1006),$V$1006:$AE$1006,0))&gt;=100000), " ",IF(INDEX($V$2:$AE$1001,MATCH(ROWS($O$2:O257),$O$2:$O$1001,0),MATCH(COLUMNS($V$1006:X1006),$V$1006:$AE$1006,0)), HYPERLINK("#",""), HYPERLINK(CONCATENATE("#Metadata!", ADDRESS(INDEX($Q$2:$Q$1001,MATCH(ROWS($O$2:O257),$O$2:$O$1001,0),0), INDEX($V$1004:$AE$1004,1,MATCH(COLUMNS($V$1006:X1006),$V$1006:$AE$1006,0)))),"Fix")))</f>
        <v>0</v>
      </c>
      <c r="E257" s="4">
        <f>IF(OR(INDEX($P$2:$P$1001,MATCH(ROWS($O$2:O257),$O$2:$O$1001,0),1)&gt;=100000,INDEX($V$1005:$AE$1005,1,MATCH(COLUMNS($V$1006:Y1006),$V$1006:$AE$1006,0))&gt;=100000), " ",IF(INDEX($V$2:$AE$1001,MATCH(ROWS($O$2:O257),$O$2:$O$1001,0),MATCH(COLUMNS($V$1006:Y1006),$V$1006:$AE$1006,0)), HYPERLINK("#",""), HYPERLINK(CONCATENATE("#Metadata!", ADDRESS(INDEX($Q$2:$Q$1001,MATCH(ROWS($O$2:O257),$O$2:$O$1001,0),0), INDEX($V$1004:$AE$1004,1,MATCH(COLUMNS($V$1006:Y1006),$V$1006:$AE$1006,0)))),"Fix")))</f>
        <v>0</v>
      </c>
      <c r="F257" s="4">
        <f>IF(OR(INDEX($P$2:$P$1001,MATCH(ROWS($O$2:O257),$O$2:$O$1001,0),1)&gt;=100000,INDEX($V$1005:$AE$1005,1,MATCH(COLUMNS($V$1006:Z1006),$V$1006:$AE$1006,0))&gt;=100000), " ",IF(INDEX($V$2:$AE$1001,MATCH(ROWS($O$2:O257),$O$2:$O$1001,0),MATCH(COLUMNS($V$1006:Z1006),$V$1006:$AE$1006,0)), HYPERLINK("#",""), HYPERLINK(CONCATENATE("#Metadata!", ADDRESS(INDEX($Q$2:$Q$1001,MATCH(ROWS($O$2:O257),$O$2:$O$1001,0),0), INDEX($V$1004:$AE$1004,1,MATCH(COLUMNS($V$1006:Z1006),$V$1006:$AE$1006,0)))),"Fix")))</f>
        <v>0</v>
      </c>
      <c r="G257" s="4">
        <f>IF(OR(INDEX($P$2:$P$1001,MATCH(ROWS($O$2:O257),$O$2:$O$1001,0),1)&gt;=100000,INDEX($V$1005:$AE$1005,1,MATCH(COLUMNS($V$1006:AA1006),$V$1006:$AE$1006,0))&gt;=100000), " ",IF(INDEX($V$2:$AE$1001,MATCH(ROWS($O$2:O257),$O$2:$O$1001,0),MATCH(COLUMNS($V$1006:AA1006),$V$1006:$AE$1006,0)), HYPERLINK("#",""), HYPERLINK(CONCATENATE("#Metadata!", ADDRESS(INDEX($Q$2:$Q$1001,MATCH(ROWS($O$2:O257),$O$2:$O$1001,0),0), INDEX($V$1004:$AE$1004,1,MATCH(COLUMNS($V$1006:AA1006),$V$1006:$AE$1006,0)))),"Fix")))</f>
        <v>0</v>
      </c>
      <c r="H257" s="4">
        <f>IF(OR(INDEX($P$2:$P$1001,MATCH(ROWS($O$2:O257),$O$2:$O$1001,0),1)&gt;=100000,INDEX($V$1005:$AE$1005,1,MATCH(COLUMNS($V$1006:AB1006),$V$1006:$AE$1006,0))&gt;=100000), " ",IF(INDEX($V$2:$AE$1001,MATCH(ROWS($O$2:O257),$O$2:$O$1001,0),MATCH(COLUMNS($V$1006:AB1006),$V$1006:$AE$1006,0)), HYPERLINK("#",""), HYPERLINK(CONCATENATE("#Metadata!", ADDRESS(INDEX($Q$2:$Q$1001,MATCH(ROWS($O$2:O257),$O$2:$O$1001,0),0), INDEX($V$1004:$AE$1004,1,MATCH(COLUMNS($V$1006:AB1006),$V$1006:$AE$1006,0)))),"Fix")))</f>
        <v>0</v>
      </c>
      <c r="I257" s="4">
        <f>IF(OR(INDEX($P$2:$P$1001,MATCH(ROWS($O$2:O257),$O$2:$O$1001,0),1)&gt;=100000,INDEX($V$1005:$AE$1005,1,MATCH(COLUMNS($V$1006:AC1006),$V$1006:$AE$1006,0))&gt;=100000), " ",IF(INDEX($V$2:$AE$1001,MATCH(ROWS($O$2:O257),$O$2:$O$1001,0),MATCH(COLUMNS($V$1006:AC1006),$V$1006:$AE$1006,0)), HYPERLINK("#",""), HYPERLINK(CONCATENATE("#Metadata!", ADDRESS(INDEX($Q$2:$Q$1001,MATCH(ROWS($O$2:O257),$O$2:$O$1001,0),0), INDEX($V$1004:$AE$1004,1,MATCH(COLUMNS($V$1006:AC1006),$V$1006:$AE$1006,0)))),"Fix")))</f>
        <v>0</v>
      </c>
      <c r="J257" s="4">
        <f>IF(OR(INDEX($P$2:$P$1001,MATCH(ROWS($O$2:O257),$O$2:$O$1001,0),1)&gt;=100000,INDEX($V$1005:$AE$1005,1,MATCH(COLUMNS($V$1006:AD1006),$V$1006:$AE$1006,0))&gt;=100000), " ",IF(INDEX($V$2:$AE$1001,MATCH(ROWS($O$2:O257),$O$2:$O$1001,0),MATCH(COLUMNS($V$1006:AD1006),$V$1006:$AE$1006,0)), HYPERLINK("#",""), HYPERLINK(CONCATENATE("#Metadata!", ADDRESS(INDEX($Q$2:$Q$1001,MATCH(ROWS($O$2:O257),$O$2:$O$1001,0),0), INDEX($V$1004:$AE$1004,1,MATCH(COLUMNS($V$1006:AD1006),$V$1006:$AE$1006,0)))),"Fix")))</f>
        <v>0</v>
      </c>
      <c r="K257" s="4">
        <f>IF(OR(INDEX($P$2:$P$1001,MATCH(ROWS($O$2:O257),$O$2:$O$1001,0),1)&gt;=100000,INDEX($V$1005:$AE$1005,1,MATCH(COLUMNS($V$1006:AE1006),$V$1006:$AE$1006,0))&gt;=100000), " ",IF(INDEX($V$2:$AE$1001,MATCH(ROWS($O$2:O257),$O$2:$O$1001,0),MATCH(COLUMNS($V$1006:AE1006),$V$1006:$AE$1006,0)), HYPERLINK("#",""), HYPERLINK(CONCATENATE("#Metadata!", ADDRESS(INDEX($Q$2:$Q$1001,MATCH(ROWS($O$2:O257),$O$2:$O$1001,0),0), INDEX($V$1004:$AE$1004,1,MATCH(COLUMNS($V$1006:AE1006),$V$1006:$AE$1006,0)))),"Fix")))</f>
        <v>0</v>
      </c>
      <c r="O257">
        <v>0</v>
      </c>
      <c r="P257">
        <v>0</v>
      </c>
      <c r="Q257">
        <v>0</v>
      </c>
      <c r="R257">
        <f>IF(S257,TRUE,AND(V257:AE257))</f>
        <v>0</v>
      </c>
      <c r="S257">
        <f>COUNTBLANK(Metadata!B257:K257)=COLUMNS(Metadata!B257:K257)</f>
        <v>0</v>
      </c>
      <c r="T257">
        <v>0</v>
      </c>
      <c r="V257">
        <f>AND(IF(Metadata!B257="",FALSE,TRUE),COUNTIF(Metadata!B:B, Metadata!B257) = 1,NOT(ISERROR(SUMPRODUCT(SEARCH(MID(Metadata!B257,ROW(INDIRECT("1:"&amp;LEN(Metadata!B257))), 1),"0123456789abcdefghijklmnopqrstuvwxyzABCDEFGHIJKLMNOPQRSTUVWXYZ.")))))</f>
        <v>0</v>
      </c>
      <c r="W257">
        <f>AND(IF(Metadata!C257="",FALSE,TRUE),exact(Metadata!C257,"urban biome"))</f>
        <v>0</v>
      </c>
      <c r="X257">
        <f>AND(IF(Metadata!D257="",FALSE,TRUE),exact(Metadata!D257,"animal-associated habitat"))</f>
        <v>0</v>
      </c>
      <c r="Y257">
        <f>OR(AND(IF(Metadata!E257="",FALSE,TRUE),OR(exact(Metadata!E257,"not applicable"),exact(Metadata!E257,"missing: not collected"),exact(Metadata!E257,"missing: not provided"),exact(Metadata!E257,"missing: restricted access"))),AND(IF(Metadata!E257="",FALSE,ISNUMBER(VALUE(Metadata!E257))),Metadata!E257&gt;0))</f>
        <v>0</v>
      </c>
      <c r="Z257">
        <f>AND(IF(Metadata!F257="",FALSE,TRUE),exact(Metadata!F257,"weeks"))</f>
        <v>0</v>
      </c>
      <c r="AA257">
        <f>AND(IF(Metadata!G257="",FALSE,TRUE),exact(Metadata!G257,"mouse"))</f>
        <v>0</v>
      </c>
      <c r="AB257">
        <f>AND(IF(Metadata!H257="",FALSE,TRUE),exact(Metadata!H257,"Mus musculus"))</f>
        <v>0</v>
      </c>
      <c r="AC257">
        <f>AND(IF(Metadata!I257="",FALSE,TRUE),exact(Metadata!I257,"10090"))</f>
        <v>0</v>
      </c>
      <c r="AD257">
        <f>OR(AND(IF(Metadata!J257="",FALSE,TRUE),OR(exact(Metadata!J257,"not applicable"),exact(Metadata!J257,"missing: not collected"),exact(Metadata!J257,"missing: not provided"),exact(Metadata!J257,"missing: restricted access"))),AND(IF(Metadata!J257="",FALSE,ISNUMBER(VALUE(Metadata!J257))),Metadata!J257&gt;0))</f>
        <v>0</v>
      </c>
      <c r="AE257">
        <f>AND(IF(Metadata!K257="",FALSE,TRUE),exact(Metadata!K257,"g"))</f>
        <v>0</v>
      </c>
    </row>
    <row r="258" spans="1:31">
      <c r="A258" s="5">
        <f>IF(B258=" "," ",HYPERLINK(CONCATENATE("#metadata!",ADDRESS(INDEX($Q$2:$Q$1001,MATCH(ROWS($O$2:O258),$O$2:$O$1001,0),0),1)),INDEX($T$2:$T$1001,MATCH(ROWS($O$2:O258),$O$2:$O$1001,0),0)))</f>
        <v>0</v>
      </c>
      <c r="B258" s="4">
        <f>IF(OR(INDEX($P$2:$P$1001,MATCH(ROWS($O$2:O258),$O$2:$O$1001,0),1)&gt;=100000,INDEX($V$1005:$AE$1005,1,MATCH(COLUMNS($V$1006:V1006),$V$1006:$AE$1006,0))&gt;=100000), " ",IF(INDEX($V$2:$AE$1001,MATCH(ROWS($O$2:O258),$O$2:$O$1001,0),MATCH(COLUMNS($V$1006:V1006),$V$1006:$AE$1006,0)), HYPERLINK("#",""), HYPERLINK(CONCATENATE("#Metadata!", ADDRESS(INDEX($Q$2:$Q$1001,MATCH(ROWS($O$2:O258),$O$2:$O$1001,0),0), INDEX($V$1004:$AE$1004,1,MATCH(COLUMNS($V$1006:V1006),$V$1006:$AE$1006,0)))),"Fix")))</f>
        <v>0</v>
      </c>
      <c r="C258" s="4">
        <f>IF(OR(INDEX($P$2:$P$1001,MATCH(ROWS($O$2:O258),$O$2:$O$1001,0),1)&gt;=100000,INDEX($V$1005:$AE$1005,1,MATCH(COLUMNS($V$1006:W1006),$V$1006:$AE$1006,0))&gt;=100000), " ",IF(INDEX($V$2:$AE$1001,MATCH(ROWS($O$2:O258),$O$2:$O$1001,0),MATCH(COLUMNS($V$1006:W1006),$V$1006:$AE$1006,0)), HYPERLINK("#",""), HYPERLINK(CONCATENATE("#Metadata!", ADDRESS(INDEX($Q$2:$Q$1001,MATCH(ROWS($O$2:O258),$O$2:$O$1001,0),0), INDEX($V$1004:$AE$1004,1,MATCH(COLUMNS($V$1006:W1006),$V$1006:$AE$1006,0)))),"Fix")))</f>
        <v>0</v>
      </c>
      <c r="D258" s="4">
        <f>IF(OR(INDEX($P$2:$P$1001,MATCH(ROWS($O$2:O258),$O$2:$O$1001,0),1)&gt;=100000,INDEX($V$1005:$AE$1005,1,MATCH(COLUMNS($V$1006:X1006),$V$1006:$AE$1006,0))&gt;=100000), " ",IF(INDEX($V$2:$AE$1001,MATCH(ROWS($O$2:O258),$O$2:$O$1001,0),MATCH(COLUMNS($V$1006:X1006),$V$1006:$AE$1006,0)), HYPERLINK("#",""), HYPERLINK(CONCATENATE("#Metadata!", ADDRESS(INDEX($Q$2:$Q$1001,MATCH(ROWS($O$2:O258),$O$2:$O$1001,0),0), INDEX($V$1004:$AE$1004,1,MATCH(COLUMNS($V$1006:X1006),$V$1006:$AE$1006,0)))),"Fix")))</f>
        <v>0</v>
      </c>
      <c r="E258" s="4">
        <f>IF(OR(INDEX($P$2:$P$1001,MATCH(ROWS($O$2:O258),$O$2:$O$1001,0),1)&gt;=100000,INDEX($V$1005:$AE$1005,1,MATCH(COLUMNS($V$1006:Y1006),$V$1006:$AE$1006,0))&gt;=100000), " ",IF(INDEX($V$2:$AE$1001,MATCH(ROWS($O$2:O258),$O$2:$O$1001,0),MATCH(COLUMNS($V$1006:Y1006),$V$1006:$AE$1006,0)), HYPERLINK("#",""), HYPERLINK(CONCATENATE("#Metadata!", ADDRESS(INDEX($Q$2:$Q$1001,MATCH(ROWS($O$2:O258),$O$2:$O$1001,0),0), INDEX($V$1004:$AE$1004,1,MATCH(COLUMNS($V$1006:Y1006),$V$1006:$AE$1006,0)))),"Fix")))</f>
        <v>0</v>
      </c>
      <c r="F258" s="4">
        <f>IF(OR(INDEX($P$2:$P$1001,MATCH(ROWS($O$2:O258),$O$2:$O$1001,0),1)&gt;=100000,INDEX($V$1005:$AE$1005,1,MATCH(COLUMNS($V$1006:Z1006),$V$1006:$AE$1006,0))&gt;=100000), " ",IF(INDEX($V$2:$AE$1001,MATCH(ROWS($O$2:O258),$O$2:$O$1001,0),MATCH(COLUMNS($V$1006:Z1006),$V$1006:$AE$1006,0)), HYPERLINK("#",""), HYPERLINK(CONCATENATE("#Metadata!", ADDRESS(INDEX($Q$2:$Q$1001,MATCH(ROWS($O$2:O258),$O$2:$O$1001,0),0), INDEX($V$1004:$AE$1004,1,MATCH(COLUMNS($V$1006:Z1006),$V$1006:$AE$1006,0)))),"Fix")))</f>
        <v>0</v>
      </c>
      <c r="G258" s="4">
        <f>IF(OR(INDEX($P$2:$P$1001,MATCH(ROWS($O$2:O258),$O$2:$O$1001,0),1)&gt;=100000,INDEX($V$1005:$AE$1005,1,MATCH(COLUMNS($V$1006:AA1006),$V$1006:$AE$1006,0))&gt;=100000), " ",IF(INDEX($V$2:$AE$1001,MATCH(ROWS($O$2:O258),$O$2:$O$1001,0),MATCH(COLUMNS($V$1006:AA1006),$V$1006:$AE$1006,0)), HYPERLINK("#",""), HYPERLINK(CONCATENATE("#Metadata!", ADDRESS(INDEX($Q$2:$Q$1001,MATCH(ROWS($O$2:O258),$O$2:$O$1001,0),0), INDEX($V$1004:$AE$1004,1,MATCH(COLUMNS($V$1006:AA1006),$V$1006:$AE$1006,0)))),"Fix")))</f>
        <v>0</v>
      </c>
      <c r="H258" s="4">
        <f>IF(OR(INDEX($P$2:$P$1001,MATCH(ROWS($O$2:O258),$O$2:$O$1001,0),1)&gt;=100000,INDEX($V$1005:$AE$1005,1,MATCH(COLUMNS($V$1006:AB1006),$V$1006:$AE$1006,0))&gt;=100000), " ",IF(INDEX($V$2:$AE$1001,MATCH(ROWS($O$2:O258),$O$2:$O$1001,0),MATCH(COLUMNS($V$1006:AB1006),$V$1006:$AE$1006,0)), HYPERLINK("#",""), HYPERLINK(CONCATENATE("#Metadata!", ADDRESS(INDEX($Q$2:$Q$1001,MATCH(ROWS($O$2:O258),$O$2:$O$1001,0),0), INDEX($V$1004:$AE$1004,1,MATCH(COLUMNS($V$1006:AB1006),$V$1006:$AE$1006,0)))),"Fix")))</f>
        <v>0</v>
      </c>
      <c r="I258" s="4">
        <f>IF(OR(INDEX($P$2:$P$1001,MATCH(ROWS($O$2:O258),$O$2:$O$1001,0),1)&gt;=100000,INDEX($V$1005:$AE$1005,1,MATCH(COLUMNS($V$1006:AC1006),$V$1006:$AE$1006,0))&gt;=100000), " ",IF(INDEX($V$2:$AE$1001,MATCH(ROWS($O$2:O258),$O$2:$O$1001,0),MATCH(COLUMNS($V$1006:AC1006),$V$1006:$AE$1006,0)), HYPERLINK("#",""), HYPERLINK(CONCATENATE("#Metadata!", ADDRESS(INDEX($Q$2:$Q$1001,MATCH(ROWS($O$2:O258),$O$2:$O$1001,0),0), INDEX($V$1004:$AE$1004,1,MATCH(COLUMNS($V$1006:AC1006),$V$1006:$AE$1006,0)))),"Fix")))</f>
        <v>0</v>
      </c>
      <c r="J258" s="4">
        <f>IF(OR(INDEX($P$2:$P$1001,MATCH(ROWS($O$2:O258),$O$2:$O$1001,0),1)&gt;=100000,INDEX($V$1005:$AE$1005,1,MATCH(COLUMNS($V$1006:AD1006),$V$1006:$AE$1006,0))&gt;=100000), " ",IF(INDEX($V$2:$AE$1001,MATCH(ROWS($O$2:O258),$O$2:$O$1001,0),MATCH(COLUMNS($V$1006:AD1006),$V$1006:$AE$1006,0)), HYPERLINK("#",""), HYPERLINK(CONCATENATE("#Metadata!", ADDRESS(INDEX($Q$2:$Q$1001,MATCH(ROWS($O$2:O258),$O$2:$O$1001,0),0), INDEX($V$1004:$AE$1004,1,MATCH(COLUMNS($V$1006:AD1006),$V$1006:$AE$1006,0)))),"Fix")))</f>
        <v>0</v>
      </c>
      <c r="K258" s="4">
        <f>IF(OR(INDEX($P$2:$P$1001,MATCH(ROWS($O$2:O258),$O$2:$O$1001,0),1)&gt;=100000,INDEX($V$1005:$AE$1005,1,MATCH(COLUMNS($V$1006:AE1006),$V$1006:$AE$1006,0))&gt;=100000), " ",IF(INDEX($V$2:$AE$1001,MATCH(ROWS($O$2:O258),$O$2:$O$1001,0),MATCH(COLUMNS($V$1006:AE1006),$V$1006:$AE$1006,0)), HYPERLINK("#",""), HYPERLINK(CONCATENATE("#Metadata!", ADDRESS(INDEX($Q$2:$Q$1001,MATCH(ROWS($O$2:O258),$O$2:$O$1001,0),0), INDEX($V$1004:$AE$1004,1,MATCH(COLUMNS($V$1006:AE1006),$V$1006:$AE$1006,0)))),"Fix")))</f>
        <v>0</v>
      </c>
      <c r="O258">
        <v>0</v>
      </c>
      <c r="P258">
        <v>0</v>
      </c>
      <c r="Q258">
        <v>0</v>
      </c>
      <c r="R258">
        <f>IF(S258,TRUE,AND(V258:AE258))</f>
        <v>0</v>
      </c>
      <c r="S258">
        <f>COUNTBLANK(Metadata!B258:K258)=COLUMNS(Metadata!B258:K258)</f>
        <v>0</v>
      </c>
      <c r="T258">
        <v>0</v>
      </c>
      <c r="V258">
        <f>AND(IF(Metadata!B258="",FALSE,TRUE),COUNTIF(Metadata!B:B, Metadata!B258) = 1,NOT(ISERROR(SUMPRODUCT(SEARCH(MID(Metadata!B258,ROW(INDIRECT("1:"&amp;LEN(Metadata!B258))), 1),"0123456789abcdefghijklmnopqrstuvwxyzABCDEFGHIJKLMNOPQRSTUVWXYZ.")))))</f>
        <v>0</v>
      </c>
      <c r="W258">
        <f>AND(IF(Metadata!C258="",FALSE,TRUE),exact(Metadata!C258,"urban biome"))</f>
        <v>0</v>
      </c>
      <c r="X258">
        <f>AND(IF(Metadata!D258="",FALSE,TRUE),exact(Metadata!D258,"animal-associated habitat"))</f>
        <v>0</v>
      </c>
      <c r="Y258">
        <f>OR(AND(IF(Metadata!E258="",FALSE,TRUE),OR(exact(Metadata!E258,"not applicable"),exact(Metadata!E258,"missing: not collected"),exact(Metadata!E258,"missing: not provided"),exact(Metadata!E258,"missing: restricted access"))),AND(IF(Metadata!E258="",FALSE,ISNUMBER(VALUE(Metadata!E258))),Metadata!E258&gt;0))</f>
        <v>0</v>
      </c>
      <c r="Z258">
        <f>AND(IF(Metadata!F258="",FALSE,TRUE),exact(Metadata!F258,"weeks"))</f>
        <v>0</v>
      </c>
      <c r="AA258">
        <f>AND(IF(Metadata!G258="",FALSE,TRUE),exact(Metadata!G258,"mouse"))</f>
        <v>0</v>
      </c>
      <c r="AB258">
        <f>AND(IF(Metadata!H258="",FALSE,TRUE),exact(Metadata!H258,"Mus musculus"))</f>
        <v>0</v>
      </c>
      <c r="AC258">
        <f>AND(IF(Metadata!I258="",FALSE,TRUE),exact(Metadata!I258,"10090"))</f>
        <v>0</v>
      </c>
      <c r="AD258">
        <f>OR(AND(IF(Metadata!J258="",FALSE,TRUE),OR(exact(Metadata!J258,"not applicable"),exact(Metadata!J258,"missing: not collected"),exact(Metadata!J258,"missing: not provided"),exact(Metadata!J258,"missing: restricted access"))),AND(IF(Metadata!J258="",FALSE,ISNUMBER(VALUE(Metadata!J258))),Metadata!J258&gt;0))</f>
        <v>0</v>
      </c>
      <c r="AE258">
        <f>AND(IF(Metadata!K258="",FALSE,TRUE),exact(Metadata!K258,"g"))</f>
        <v>0</v>
      </c>
    </row>
    <row r="259" spans="1:31">
      <c r="A259" s="5">
        <f>IF(B259=" "," ",HYPERLINK(CONCATENATE("#metadata!",ADDRESS(INDEX($Q$2:$Q$1001,MATCH(ROWS($O$2:O259),$O$2:$O$1001,0),0),1)),INDEX($T$2:$T$1001,MATCH(ROWS($O$2:O259),$O$2:$O$1001,0),0)))</f>
        <v>0</v>
      </c>
      <c r="B259" s="4">
        <f>IF(OR(INDEX($P$2:$P$1001,MATCH(ROWS($O$2:O259),$O$2:$O$1001,0),1)&gt;=100000,INDEX($V$1005:$AE$1005,1,MATCH(COLUMNS($V$1006:V1006),$V$1006:$AE$1006,0))&gt;=100000), " ",IF(INDEX($V$2:$AE$1001,MATCH(ROWS($O$2:O259),$O$2:$O$1001,0),MATCH(COLUMNS($V$1006:V1006),$V$1006:$AE$1006,0)), HYPERLINK("#",""), HYPERLINK(CONCATENATE("#Metadata!", ADDRESS(INDEX($Q$2:$Q$1001,MATCH(ROWS($O$2:O259),$O$2:$O$1001,0),0), INDEX($V$1004:$AE$1004,1,MATCH(COLUMNS($V$1006:V1006),$V$1006:$AE$1006,0)))),"Fix")))</f>
        <v>0</v>
      </c>
      <c r="C259" s="4">
        <f>IF(OR(INDEX($P$2:$P$1001,MATCH(ROWS($O$2:O259),$O$2:$O$1001,0),1)&gt;=100000,INDEX($V$1005:$AE$1005,1,MATCH(COLUMNS($V$1006:W1006),$V$1006:$AE$1006,0))&gt;=100000), " ",IF(INDEX($V$2:$AE$1001,MATCH(ROWS($O$2:O259),$O$2:$O$1001,0),MATCH(COLUMNS($V$1006:W1006),$V$1006:$AE$1006,0)), HYPERLINK("#",""), HYPERLINK(CONCATENATE("#Metadata!", ADDRESS(INDEX($Q$2:$Q$1001,MATCH(ROWS($O$2:O259),$O$2:$O$1001,0),0), INDEX($V$1004:$AE$1004,1,MATCH(COLUMNS($V$1006:W1006),$V$1006:$AE$1006,0)))),"Fix")))</f>
        <v>0</v>
      </c>
      <c r="D259" s="4">
        <f>IF(OR(INDEX($P$2:$P$1001,MATCH(ROWS($O$2:O259),$O$2:$O$1001,0),1)&gt;=100000,INDEX($V$1005:$AE$1005,1,MATCH(COLUMNS($V$1006:X1006),$V$1006:$AE$1006,0))&gt;=100000), " ",IF(INDEX($V$2:$AE$1001,MATCH(ROWS($O$2:O259),$O$2:$O$1001,0),MATCH(COLUMNS($V$1006:X1006),$V$1006:$AE$1006,0)), HYPERLINK("#",""), HYPERLINK(CONCATENATE("#Metadata!", ADDRESS(INDEX($Q$2:$Q$1001,MATCH(ROWS($O$2:O259),$O$2:$O$1001,0),0), INDEX($V$1004:$AE$1004,1,MATCH(COLUMNS($V$1006:X1006),$V$1006:$AE$1006,0)))),"Fix")))</f>
        <v>0</v>
      </c>
      <c r="E259" s="4">
        <f>IF(OR(INDEX($P$2:$P$1001,MATCH(ROWS($O$2:O259),$O$2:$O$1001,0),1)&gt;=100000,INDEX($V$1005:$AE$1005,1,MATCH(COLUMNS($V$1006:Y1006),$V$1006:$AE$1006,0))&gt;=100000), " ",IF(INDEX($V$2:$AE$1001,MATCH(ROWS($O$2:O259),$O$2:$O$1001,0),MATCH(COLUMNS($V$1006:Y1006),$V$1006:$AE$1006,0)), HYPERLINK("#",""), HYPERLINK(CONCATENATE("#Metadata!", ADDRESS(INDEX($Q$2:$Q$1001,MATCH(ROWS($O$2:O259),$O$2:$O$1001,0),0), INDEX($V$1004:$AE$1004,1,MATCH(COLUMNS($V$1006:Y1006),$V$1006:$AE$1006,0)))),"Fix")))</f>
        <v>0</v>
      </c>
      <c r="F259" s="4">
        <f>IF(OR(INDEX($P$2:$P$1001,MATCH(ROWS($O$2:O259),$O$2:$O$1001,0),1)&gt;=100000,INDEX($V$1005:$AE$1005,1,MATCH(COLUMNS($V$1006:Z1006),$V$1006:$AE$1006,0))&gt;=100000), " ",IF(INDEX($V$2:$AE$1001,MATCH(ROWS($O$2:O259),$O$2:$O$1001,0),MATCH(COLUMNS($V$1006:Z1006),$V$1006:$AE$1006,0)), HYPERLINK("#",""), HYPERLINK(CONCATENATE("#Metadata!", ADDRESS(INDEX($Q$2:$Q$1001,MATCH(ROWS($O$2:O259),$O$2:$O$1001,0),0), INDEX($V$1004:$AE$1004,1,MATCH(COLUMNS($V$1006:Z1006),$V$1006:$AE$1006,0)))),"Fix")))</f>
        <v>0</v>
      </c>
      <c r="G259" s="4">
        <f>IF(OR(INDEX($P$2:$P$1001,MATCH(ROWS($O$2:O259),$O$2:$O$1001,0),1)&gt;=100000,INDEX($V$1005:$AE$1005,1,MATCH(COLUMNS($V$1006:AA1006),$V$1006:$AE$1006,0))&gt;=100000), " ",IF(INDEX($V$2:$AE$1001,MATCH(ROWS($O$2:O259),$O$2:$O$1001,0),MATCH(COLUMNS($V$1006:AA1006),$V$1006:$AE$1006,0)), HYPERLINK("#",""), HYPERLINK(CONCATENATE("#Metadata!", ADDRESS(INDEX($Q$2:$Q$1001,MATCH(ROWS($O$2:O259),$O$2:$O$1001,0),0), INDEX($V$1004:$AE$1004,1,MATCH(COLUMNS($V$1006:AA1006),$V$1006:$AE$1006,0)))),"Fix")))</f>
        <v>0</v>
      </c>
      <c r="H259" s="4">
        <f>IF(OR(INDEX($P$2:$P$1001,MATCH(ROWS($O$2:O259),$O$2:$O$1001,0),1)&gt;=100000,INDEX($V$1005:$AE$1005,1,MATCH(COLUMNS($V$1006:AB1006),$V$1006:$AE$1006,0))&gt;=100000), " ",IF(INDEX($V$2:$AE$1001,MATCH(ROWS($O$2:O259),$O$2:$O$1001,0),MATCH(COLUMNS($V$1006:AB1006),$V$1006:$AE$1006,0)), HYPERLINK("#",""), HYPERLINK(CONCATENATE("#Metadata!", ADDRESS(INDEX($Q$2:$Q$1001,MATCH(ROWS($O$2:O259),$O$2:$O$1001,0),0), INDEX($V$1004:$AE$1004,1,MATCH(COLUMNS($V$1006:AB1006),$V$1006:$AE$1006,0)))),"Fix")))</f>
        <v>0</v>
      </c>
      <c r="I259" s="4">
        <f>IF(OR(INDEX($P$2:$P$1001,MATCH(ROWS($O$2:O259),$O$2:$O$1001,0),1)&gt;=100000,INDEX($V$1005:$AE$1005,1,MATCH(COLUMNS($V$1006:AC1006),$V$1006:$AE$1006,0))&gt;=100000), " ",IF(INDEX($V$2:$AE$1001,MATCH(ROWS($O$2:O259),$O$2:$O$1001,0),MATCH(COLUMNS($V$1006:AC1006),$V$1006:$AE$1006,0)), HYPERLINK("#",""), HYPERLINK(CONCATENATE("#Metadata!", ADDRESS(INDEX($Q$2:$Q$1001,MATCH(ROWS($O$2:O259),$O$2:$O$1001,0),0), INDEX($V$1004:$AE$1004,1,MATCH(COLUMNS($V$1006:AC1006),$V$1006:$AE$1006,0)))),"Fix")))</f>
        <v>0</v>
      </c>
      <c r="J259" s="4">
        <f>IF(OR(INDEX($P$2:$P$1001,MATCH(ROWS($O$2:O259),$O$2:$O$1001,0),1)&gt;=100000,INDEX($V$1005:$AE$1005,1,MATCH(COLUMNS($V$1006:AD1006),$V$1006:$AE$1006,0))&gt;=100000), " ",IF(INDEX($V$2:$AE$1001,MATCH(ROWS($O$2:O259),$O$2:$O$1001,0),MATCH(COLUMNS($V$1006:AD1006),$V$1006:$AE$1006,0)), HYPERLINK("#",""), HYPERLINK(CONCATENATE("#Metadata!", ADDRESS(INDEX($Q$2:$Q$1001,MATCH(ROWS($O$2:O259),$O$2:$O$1001,0),0), INDEX($V$1004:$AE$1004,1,MATCH(COLUMNS($V$1006:AD1006),$V$1006:$AE$1006,0)))),"Fix")))</f>
        <v>0</v>
      </c>
      <c r="K259" s="4">
        <f>IF(OR(INDEX($P$2:$P$1001,MATCH(ROWS($O$2:O259),$O$2:$O$1001,0),1)&gt;=100000,INDEX($V$1005:$AE$1005,1,MATCH(COLUMNS($V$1006:AE1006),$V$1006:$AE$1006,0))&gt;=100000), " ",IF(INDEX($V$2:$AE$1001,MATCH(ROWS($O$2:O259),$O$2:$O$1001,0),MATCH(COLUMNS($V$1006:AE1006),$V$1006:$AE$1006,0)), HYPERLINK("#",""), HYPERLINK(CONCATENATE("#Metadata!", ADDRESS(INDEX($Q$2:$Q$1001,MATCH(ROWS($O$2:O259),$O$2:$O$1001,0),0), INDEX($V$1004:$AE$1004,1,MATCH(COLUMNS($V$1006:AE1006),$V$1006:$AE$1006,0)))),"Fix")))</f>
        <v>0</v>
      </c>
      <c r="O259">
        <v>0</v>
      </c>
      <c r="P259">
        <v>0</v>
      </c>
      <c r="Q259">
        <v>0</v>
      </c>
      <c r="R259">
        <f>IF(S259,TRUE,AND(V259:AE259))</f>
        <v>0</v>
      </c>
      <c r="S259">
        <f>COUNTBLANK(Metadata!B259:K259)=COLUMNS(Metadata!B259:K259)</f>
        <v>0</v>
      </c>
      <c r="T259">
        <v>0</v>
      </c>
      <c r="V259">
        <f>AND(IF(Metadata!B259="",FALSE,TRUE),COUNTIF(Metadata!B:B, Metadata!B259) = 1,NOT(ISERROR(SUMPRODUCT(SEARCH(MID(Metadata!B259,ROW(INDIRECT("1:"&amp;LEN(Metadata!B259))), 1),"0123456789abcdefghijklmnopqrstuvwxyzABCDEFGHIJKLMNOPQRSTUVWXYZ.")))))</f>
        <v>0</v>
      </c>
      <c r="W259">
        <f>AND(IF(Metadata!C259="",FALSE,TRUE),exact(Metadata!C259,"urban biome"))</f>
        <v>0</v>
      </c>
      <c r="X259">
        <f>AND(IF(Metadata!D259="",FALSE,TRUE),exact(Metadata!D259,"animal-associated habitat"))</f>
        <v>0</v>
      </c>
      <c r="Y259">
        <f>OR(AND(IF(Metadata!E259="",FALSE,TRUE),OR(exact(Metadata!E259,"not applicable"),exact(Metadata!E259,"missing: not collected"),exact(Metadata!E259,"missing: not provided"),exact(Metadata!E259,"missing: restricted access"))),AND(IF(Metadata!E259="",FALSE,ISNUMBER(VALUE(Metadata!E259))),Metadata!E259&gt;0))</f>
        <v>0</v>
      </c>
      <c r="Z259">
        <f>AND(IF(Metadata!F259="",FALSE,TRUE),exact(Metadata!F259,"weeks"))</f>
        <v>0</v>
      </c>
      <c r="AA259">
        <f>AND(IF(Metadata!G259="",FALSE,TRUE),exact(Metadata!G259,"mouse"))</f>
        <v>0</v>
      </c>
      <c r="AB259">
        <f>AND(IF(Metadata!H259="",FALSE,TRUE),exact(Metadata!H259,"Mus musculus"))</f>
        <v>0</v>
      </c>
      <c r="AC259">
        <f>AND(IF(Metadata!I259="",FALSE,TRUE),exact(Metadata!I259,"10090"))</f>
        <v>0</v>
      </c>
      <c r="AD259">
        <f>OR(AND(IF(Metadata!J259="",FALSE,TRUE),OR(exact(Metadata!J259,"not applicable"),exact(Metadata!J259,"missing: not collected"),exact(Metadata!J259,"missing: not provided"),exact(Metadata!J259,"missing: restricted access"))),AND(IF(Metadata!J259="",FALSE,ISNUMBER(VALUE(Metadata!J259))),Metadata!J259&gt;0))</f>
        <v>0</v>
      </c>
      <c r="AE259">
        <f>AND(IF(Metadata!K259="",FALSE,TRUE),exact(Metadata!K259,"g"))</f>
        <v>0</v>
      </c>
    </row>
    <row r="260" spans="1:31">
      <c r="A260" s="5">
        <f>IF(B260=" "," ",HYPERLINK(CONCATENATE("#metadata!",ADDRESS(INDEX($Q$2:$Q$1001,MATCH(ROWS($O$2:O260),$O$2:$O$1001,0),0),1)),INDEX($T$2:$T$1001,MATCH(ROWS($O$2:O260),$O$2:$O$1001,0),0)))</f>
        <v>0</v>
      </c>
      <c r="B260" s="4">
        <f>IF(OR(INDEX($P$2:$P$1001,MATCH(ROWS($O$2:O260),$O$2:$O$1001,0),1)&gt;=100000,INDEX($V$1005:$AE$1005,1,MATCH(COLUMNS($V$1006:V1006),$V$1006:$AE$1006,0))&gt;=100000), " ",IF(INDEX($V$2:$AE$1001,MATCH(ROWS($O$2:O260),$O$2:$O$1001,0),MATCH(COLUMNS($V$1006:V1006),$V$1006:$AE$1006,0)), HYPERLINK("#",""), HYPERLINK(CONCATENATE("#Metadata!", ADDRESS(INDEX($Q$2:$Q$1001,MATCH(ROWS($O$2:O260),$O$2:$O$1001,0),0), INDEX($V$1004:$AE$1004,1,MATCH(COLUMNS($V$1006:V1006),$V$1006:$AE$1006,0)))),"Fix")))</f>
        <v>0</v>
      </c>
      <c r="C260" s="4">
        <f>IF(OR(INDEX($P$2:$P$1001,MATCH(ROWS($O$2:O260),$O$2:$O$1001,0),1)&gt;=100000,INDEX($V$1005:$AE$1005,1,MATCH(COLUMNS($V$1006:W1006),$V$1006:$AE$1006,0))&gt;=100000), " ",IF(INDEX($V$2:$AE$1001,MATCH(ROWS($O$2:O260),$O$2:$O$1001,0),MATCH(COLUMNS($V$1006:W1006),$V$1006:$AE$1006,0)), HYPERLINK("#",""), HYPERLINK(CONCATENATE("#Metadata!", ADDRESS(INDEX($Q$2:$Q$1001,MATCH(ROWS($O$2:O260),$O$2:$O$1001,0),0), INDEX($V$1004:$AE$1004,1,MATCH(COLUMNS($V$1006:W1006),$V$1006:$AE$1006,0)))),"Fix")))</f>
        <v>0</v>
      </c>
      <c r="D260" s="4">
        <f>IF(OR(INDEX($P$2:$P$1001,MATCH(ROWS($O$2:O260),$O$2:$O$1001,0),1)&gt;=100000,INDEX($V$1005:$AE$1005,1,MATCH(COLUMNS($V$1006:X1006),$V$1006:$AE$1006,0))&gt;=100000), " ",IF(INDEX($V$2:$AE$1001,MATCH(ROWS($O$2:O260),$O$2:$O$1001,0),MATCH(COLUMNS($V$1006:X1006),$V$1006:$AE$1006,0)), HYPERLINK("#",""), HYPERLINK(CONCATENATE("#Metadata!", ADDRESS(INDEX($Q$2:$Q$1001,MATCH(ROWS($O$2:O260),$O$2:$O$1001,0),0), INDEX($V$1004:$AE$1004,1,MATCH(COLUMNS($V$1006:X1006),$V$1006:$AE$1006,0)))),"Fix")))</f>
        <v>0</v>
      </c>
      <c r="E260" s="4">
        <f>IF(OR(INDEX($P$2:$P$1001,MATCH(ROWS($O$2:O260),$O$2:$O$1001,0),1)&gt;=100000,INDEX($V$1005:$AE$1005,1,MATCH(COLUMNS($V$1006:Y1006),$V$1006:$AE$1006,0))&gt;=100000), " ",IF(INDEX($V$2:$AE$1001,MATCH(ROWS($O$2:O260),$O$2:$O$1001,0),MATCH(COLUMNS($V$1006:Y1006),$V$1006:$AE$1006,0)), HYPERLINK("#",""), HYPERLINK(CONCATENATE("#Metadata!", ADDRESS(INDEX($Q$2:$Q$1001,MATCH(ROWS($O$2:O260),$O$2:$O$1001,0),0), INDEX($V$1004:$AE$1004,1,MATCH(COLUMNS($V$1006:Y1006),$V$1006:$AE$1006,0)))),"Fix")))</f>
        <v>0</v>
      </c>
      <c r="F260" s="4">
        <f>IF(OR(INDEX($P$2:$P$1001,MATCH(ROWS($O$2:O260),$O$2:$O$1001,0),1)&gt;=100000,INDEX($V$1005:$AE$1005,1,MATCH(COLUMNS($V$1006:Z1006),$V$1006:$AE$1006,0))&gt;=100000), " ",IF(INDEX($V$2:$AE$1001,MATCH(ROWS($O$2:O260),$O$2:$O$1001,0),MATCH(COLUMNS($V$1006:Z1006),$V$1006:$AE$1006,0)), HYPERLINK("#",""), HYPERLINK(CONCATENATE("#Metadata!", ADDRESS(INDEX($Q$2:$Q$1001,MATCH(ROWS($O$2:O260),$O$2:$O$1001,0),0), INDEX($V$1004:$AE$1004,1,MATCH(COLUMNS($V$1006:Z1006),$V$1006:$AE$1006,0)))),"Fix")))</f>
        <v>0</v>
      </c>
      <c r="G260" s="4">
        <f>IF(OR(INDEX($P$2:$P$1001,MATCH(ROWS($O$2:O260),$O$2:$O$1001,0),1)&gt;=100000,INDEX($V$1005:$AE$1005,1,MATCH(COLUMNS($V$1006:AA1006),$V$1006:$AE$1006,0))&gt;=100000), " ",IF(INDEX($V$2:$AE$1001,MATCH(ROWS($O$2:O260),$O$2:$O$1001,0),MATCH(COLUMNS($V$1006:AA1006),$V$1006:$AE$1006,0)), HYPERLINK("#",""), HYPERLINK(CONCATENATE("#Metadata!", ADDRESS(INDEX($Q$2:$Q$1001,MATCH(ROWS($O$2:O260),$O$2:$O$1001,0),0), INDEX($V$1004:$AE$1004,1,MATCH(COLUMNS($V$1006:AA1006),$V$1006:$AE$1006,0)))),"Fix")))</f>
        <v>0</v>
      </c>
      <c r="H260" s="4">
        <f>IF(OR(INDEX($P$2:$P$1001,MATCH(ROWS($O$2:O260),$O$2:$O$1001,0),1)&gt;=100000,INDEX($V$1005:$AE$1005,1,MATCH(COLUMNS($V$1006:AB1006),$V$1006:$AE$1006,0))&gt;=100000), " ",IF(INDEX($V$2:$AE$1001,MATCH(ROWS($O$2:O260),$O$2:$O$1001,0),MATCH(COLUMNS($V$1006:AB1006),$V$1006:$AE$1006,0)), HYPERLINK("#",""), HYPERLINK(CONCATENATE("#Metadata!", ADDRESS(INDEX($Q$2:$Q$1001,MATCH(ROWS($O$2:O260),$O$2:$O$1001,0),0), INDEX($V$1004:$AE$1004,1,MATCH(COLUMNS($V$1006:AB1006),$V$1006:$AE$1006,0)))),"Fix")))</f>
        <v>0</v>
      </c>
      <c r="I260" s="4">
        <f>IF(OR(INDEX($P$2:$P$1001,MATCH(ROWS($O$2:O260),$O$2:$O$1001,0),1)&gt;=100000,INDEX($V$1005:$AE$1005,1,MATCH(COLUMNS($V$1006:AC1006),$V$1006:$AE$1006,0))&gt;=100000), " ",IF(INDEX($V$2:$AE$1001,MATCH(ROWS($O$2:O260),$O$2:$O$1001,0),MATCH(COLUMNS($V$1006:AC1006),$V$1006:$AE$1006,0)), HYPERLINK("#",""), HYPERLINK(CONCATENATE("#Metadata!", ADDRESS(INDEX($Q$2:$Q$1001,MATCH(ROWS($O$2:O260),$O$2:$O$1001,0),0), INDEX($V$1004:$AE$1004,1,MATCH(COLUMNS($V$1006:AC1006),$V$1006:$AE$1006,0)))),"Fix")))</f>
        <v>0</v>
      </c>
      <c r="J260" s="4">
        <f>IF(OR(INDEX($P$2:$P$1001,MATCH(ROWS($O$2:O260),$O$2:$O$1001,0),1)&gt;=100000,INDEX($V$1005:$AE$1005,1,MATCH(COLUMNS($V$1006:AD1006),$V$1006:$AE$1006,0))&gt;=100000), " ",IF(INDEX($V$2:$AE$1001,MATCH(ROWS($O$2:O260),$O$2:$O$1001,0),MATCH(COLUMNS($V$1006:AD1006),$V$1006:$AE$1006,0)), HYPERLINK("#",""), HYPERLINK(CONCATENATE("#Metadata!", ADDRESS(INDEX($Q$2:$Q$1001,MATCH(ROWS($O$2:O260),$O$2:$O$1001,0),0), INDEX($V$1004:$AE$1004,1,MATCH(COLUMNS($V$1006:AD1006),$V$1006:$AE$1006,0)))),"Fix")))</f>
        <v>0</v>
      </c>
      <c r="K260" s="4">
        <f>IF(OR(INDEX($P$2:$P$1001,MATCH(ROWS($O$2:O260),$O$2:$O$1001,0),1)&gt;=100000,INDEX($V$1005:$AE$1005,1,MATCH(COLUMNS($V$1006:AE1006),$V$1006:$AE$1006,0))&gt;=100000), " ",IF(INDEX($V$2:$AE$1001,MATCH(ROWS($O$2:O260),$O$2:$O$1001,0),MATCH(COLUMNS($V$1006:AE1006),$V$1006:$AE$1006,0)), HYPERLINK("#",""), HYPERLINK(CONCATENATE("#Metadata!", ADDRESS(INDEX($Q$2:$Q$1001,MATCH(ROWS($O$2:O260),$O$2:$O$1001,0),0), INDEX($V$1004:$AE$1004,1,MATCH(COLUMNS($V$1006:AE1006),$V$1006:$AE$1006,0)))),"Fix")))</f>
        <v>0</v>
      </c>
      <c r="O260">
        <v>0</v>
      </c>
      <c r="P260">
        <v>0</v>
      </c>
      <c r="Q260">
        <v>0</v>
      </c>
      <c r="R260">
        <f>IF(S260,TRUE,AND(V260:AE260))</f>
        <v>0</v>
      </c>
      <c r="S260">
        <f>COUNTBLANK(Metadata!B260:K260)=COLUMNS(Metadata!B260:K260)</f>
        <v>0</v>
      </c>
      <c r="T260">
        <v>0</v>
      </c>
      <c r="V260">
        <f>AND(IF(Metadata!B260="",FALSE,TRUE),COUNTIF(Metadata!B:B, Metadata!B260) = 1,NOT(ISERROR(SUMPRODUCT(SEARCH(MID(Metadata!B260,ROW(INDIRECT("1:"&amp;LEN(Metadata!B260))), 1),"0123456789abcdefghijklmnopqrstuvwxyzABCDEFGHIJKLMNOPQRSTUVWXYZ.")))))</f>
        <v>0</v>
      </c>
      <c r="W260">
        <f>AND(IF(Metadata!C260="",FALSE,TRUE),exact(Metadata!C260,"urban biome"))</f>
        <v>0</v>
      </c>
      <c r="X260">
        <f>AND(IF(Metadata!D260="",FALSE,TRUE),exact(Metadata!D260,"animal-associated habitat"))</f>
        <v>0</v>
      </c>
      <c r="Y260">
        <f>OR(AND(IF(Metadata!E260="",FALSE,TRUE),OR(exact(Metadata!E260,"not applicable"),exact(Metadata!E260,"missing: not collected"),exact(Metadata!E260,"missing: not provided"),exact(Metadata!E260,"missing: restricted access"))),AND(IF(Metadata!E260="",FALSE,ISNUMBER(VALUE(Metadata!E260))),Metadata!E260&gt;0))</f>
        <v>0</v>
      </c>
      <c r="Z260">
        <f>AND(IF(Metadata!F260="",FALSE,TRUE),exact(Metadata!F260,"weeks"))</f>
        <v>0</v>
      </c>
      <c r="AA260">
        <f>AND(IF(Metadata!G260="",FALSE,TRUE),exact(Metadata!G260,"mouse"))</f>
        <v>0</v>
      </c>
      <c r="AB260">
        <f>AND(IF(Metadata!H260="",FALSE,TRUE),exact(Metadata!H260,"Mus musculus"))</f>
        <v>0</v>
      </c>
      <c r="AC260">
        <f>AND(IF(Metadata!I260="",FALSE,TRUE),exact(Metadata!I260,"10090"))</f>
        <v>0</v>
      </c>
      <c r="AD260">
        <f>OR(AND(IF(Metadata!J260="",FALSE,TRUE),OR(exact(Metadata!J260,"not applicable"),exact(Metadata!J260,"missing: not collected"),exact(Metadata!J260,"missing: not provided"),exact(Metadata!J260,"missing: restricted access"))),AND(IF(Metadata!J260="",FALSE,ISNUMBER(VALUE(Metadata!J260))),Metadata!J260&gt;0))</f>
        <v>0</v>
      </c>
      <c r="AE260">
        <f>AND(IF(Metadata!K260="",FALSE,TRUE),exact(Metadata!K260,"g"))</f>
        <v>0</v>
      </c>
    </row>
    <row r="261" spans="1:31">
      <c r="A261" s="5">
        <f>IF(B261=" "," ",HYPERLINK(CONCATENATE("#metadata!",ADDRESS(INDEX($Q$2:$Q$1001,MATCH(ROWS($O$2:O261),$O$2:$O$1001,0),0),1)),INDEX($T$2:$T$1001,MATCH(ROWS($O$2:O261),$O$2:$O$1001,0),0)))</f>
        <v>0</v>
      </c>
      <c r="B261" s="4">
        <f>IF(OR(INDEX($P$2:$P$1001,MATCH(ROWS($O$2:O261),$O$2:$O$1001,0),1)&gt;=100000,INDEX($V$1005:$AE$1005,1,MATCH(COLUMNS($V$1006:V1006),$V$1006:$AE$1006,0))&gt;=100000), " ",IF(INDEX($V$2:$AE$1001,MATCH(ROWS($O$2:O261),$O$2:$O$1001,0),MATCH(COLUMNS($V$1006:V1006),$V$1006:$AE$1006,0)), HYPERLINK("#",""), HYPERLINK(CONCATENATE("#Metadata!", ADDRESS(INDEX($Q$2:$Q$1001,MATCH(ROWS($O$2:O261),$O$2:$O$1001,0),0), INDEX($V$1004:$AE$1004,1,MATCH(COLUMNS($V$1006:V1006),$V$1006:$AE$1006,0)))),"Fix")))</f>
        <v>0</v>
      </c>
      <c r="C261" s="4">
        <f>IF(OR(INDEX($P$2:$P$1001,MATCH(ROWS($O$2:O261),$O$2:$O$1001,0),1)&gt;=100000,INDEX($V$1005:$AE$1005,1,MATCH(COLUMNS($V$1006:W1006),$V$1006:$AE$1006,0))&gt;=100000), " ",IF(INDEX($V$2:$AE$1001,MATCH(ROWS($O$2:O261),$O$2:$O$1001,0),MATCH(COLUMNS($V$1006:W1006),$V$1006:$AE$1006,0)), HYPERLINK("#",""), HYPERLINK(CONCATENATE("#Metadata!", ADDRESS(INDEX($Q$2:$Q$1001,MATCH(ROWS($O$2:O261),$O$2:$O$1001,0),0), INDEX($V$1004:$AE$1004,1,MATCH(COLUMNS($V$1006:W1006),$V$1006:$AE$1006,0)))),"Fix")))</f>
        <v>0</v>
      </c>
      <c r="D261" s="4">
        <f>IF(OR(INDEX($P$2:$P$1001,MATCH(ROWS($O$2:O261),$O$2:$O$1001,0),1)&gt;=100000,INDEX($V$1005:$AE$1005,1,MATCH(COLUMNS($V$1006:X1006),$V$1006:$AE$1006,0))&gt;=100000), " ",IF(INDEX($V$2:$AE$1001,MATCH(ROWS($O$2:O261),$O$2:$O$1001,0),MATCH(COLUMNS($V$1006:X1006),$V$1006:$AE$1006,0)), HYPERLINK("#",""), HYPERLINK(CONCATENATE("#Metadata!", ADDRESS(INDEX($Q$2:$Q$1001,MATCH(ROWS($O$2:O261),$O$2:$O$1001,0),0), INDEX($V$1004:$AE$1004,1,MATCH(COLUMNS($V$1006:X1006),$V$1006:$AE$1006,0)))),"Fix")))</f>
        <v>0</v>
      </c>
      <c r="E261" s="4">
        <f>IF(OR(INDEX($P$2:$P$1001,MATCH(ROWS($O$2:O261),$O$2:$O$1001,0),1)&gt;=100000,INDEX($V$1005:$AE$1005,1,MATCH(COLUMNS($V$1006:Y1006),$V$1006:$AE$1006,0))&gt;=100000), " ",IF(INDEX($V$2:$AE$1001,MATCH(ROWS($O$2:O261),$O$2:$O$1001,0),MATCH(COLUMNS($V$1006:Y1006),$V$1006:$AE$1006,0)), HYPERLINK("#",""), HYPERLINK(CONCATENATE("#Metadata!", ADDRESS(INDEX($Q$2:$Q$1001,MATCH(ROWS($O$2:O261),$O$2:$O$1001,0),0), INDEX($V$1004:$AE$1004,1,MATCH(COLUMNS($V$1006:Y1006),$V$1006:$AE$1006,0)))),"Fix")))</f>
        <v>0</v>
      </c>
      <c r="F261" s="4">
        <f>IF(OR(INDEX($P$2:$P$1001,MATCH(ROWS($O$2:O261),$O$2:$O$1001,0),1)&gt;=100000,INDEX($V$1005:$AE$1005,1,MATCH(COLUMNS($V$1006:Z1006),$V$1006:$AE$1006,0))&gt;=100000), " ",IF(INDEX($V$2:$AE$1001,MATCH(ROWS($O$2:O261),$O$2:$O$1001,0),MATCH(COLUMNS($V$1006:Z1006),$V$1006:$AE$1006,0)), HYPERLINK("#",""), HYPERLINK(CONCATENATE("#Metadata!", ADDRESS(INDEX($Q$2:$Q$1001,MATCH(ROWS($O$2:O261),$O$2:$O$1001,0),0), INDEX($V$1004:$AE$1004,1,MATCH(COLUMNS($V$1006:Z1006),$V$1006:$AE$1006,0)))),"Fix")))</f>
        <v>0</v>
      </c>
      <c r="G261" s="4">
        <f>IF(OR(INDEX($P$2:$P$1001,MATCH(ROWS($O$2:O261),$O$2:$O$1001,0),1)&gt;=100000,INDEX($V$1005:$AE$1005,1,MATCH(COLUMNS($V$1006:AA1006),$V$1006:$AE$1006,0))&gt;=100000), " ",IF(INDEX($V$2:$AE$1001,MATCH(ROWS($O$2:O261),$O$2:$O$1001,0),MATCH(COLUMNS($V$1006:AA1006),$V$1006:$AE$1006,0)), HYPERLINK("#",""), HYPERLINK(CONCATENATE("#Metadata!", ADDRESS(INDEX($Q$2:$Q$1001,MATCH(ROWS($O$2:O261),$O$2:$O$1001,0),0), INDEX($V$1004:$AE$1004,1,MATCH(COLUMNS($V$1006:AA1006),$V$1006:$AE$1006,0)))),"Fix")))</f>
        <v>0</v>
      </c>
      <c r="H261" s="4">
        <f>IF(OR(INDEX($P$2:$P$1001,MATCH(ROWS($O$2:O261),$O$2:$O$1001,0),1)&gt;=100000,INDEX($V$1005:$AE$1005,1,MATCH(COLUMNS($V$1006:AB1006),$V$1006:$AE$1006,0))&gt;=100000), " ",IF(INDEX($V$2:$AE$1001,MATCH(ROWS($O$2:O261),$O$2:$O$1001,0),MATCH(COLUMNS($V$1006:AB1006),$V$1006:$AE$1006,0)), HYPERLINK("#",""), HYPERLINK(CONCATENATE("#Metadata!", ADDRESS(INDEX($Q$2:$Q$1001,MATCH(ROWS($O$2:O261),$O$2:$O$1001,0),0), INDEX($V$1004:$AE$1004,1,MATCH(COLUMNS($V$1006:AB1006),$V$1006:$AE$1006,0)))),"Fix")))</f>
        <v>0</v>
      </c>
      <c r="I261" s="4">
        <f>IF(OR(INDEX($P$2:$P$1001,MATCH(ROWS($O$2:O261),$O$2:$O$1001,0),1)&gt;=100000,INDEX($V$1005:$AE$1005,1,MATCH(COLUMNS($V$1006:AC1006),$V$1006:$AE$1006,0))&gt;=100000), " ",IF(INDEX($V$2:$AE$1001,MATCH(ROWS($O$2:O261),$O$2:$O$1001,0),MATCH(COLUMNS($V$1006:AC1006),$V$1006:$AE$1006,0)), HYPERLINK("#",""), HYPERLINK(CONCATENATE("#Metadata!", ADDRESS(INDEX($Q$2:$Q$1001,MATCH(ROWS($O$2:O261),$O$2:$O$1001,0),0), INDEX($V$1004:$AE$1004,1,MATCH(COLUMNS($V$1006:AC1006),$V$1006:$AE$1006,0)))),"Fix")))</f>
        <v>0</v>
      </c>
      <c r="J261" s="4">
        <f>IF(OR(INDEX($P$2:$P$1001,MATCH(ROWS($O$2:O261),$O$2:$O$1001,0),1)&gt;=100000,INDEX($V$1005:$AE$1005,1,MATCH(COLUMNS($V$1006:AD1006),$V$1006:$AE$1006,0))&gt;=100000), " ",IF(INDEX($V$2:$AE$1001,MATCH(ROWS($O$2:O261),$O$2:$O$1001,0),MATCH(COLUMNS($V$1006:AD1006),$V$1006:$AE$1006,0)), HYPERLINK("#",""), HYPERLINK(CONCATENATE("#Metadata!", ADDRESS(INDEX($Q$2:$Q$1001,MATCH(ROWS($O$2:O261),$O$2:$O$1001,0),0), INDEX($V$1004:$AE$1004,1,MATCH(COLUMNS($V$1006:AD1006),$V$1006:$AE$1006,0)))),"Fix")))</f>
        <v>0</v>
      </c>
      <c r="K261" s="4">
        <f>IF(OR(INDEX($P$2:$P$1001,MATCH(ROWS($O$2:O261),$O$2:$O$1001,0),1)&gt;=100000,INDEX($V$1005:$AE$1005,1,MATCH(COLUMNS($V$1006:AE1006),$V$1006:$AE$1006,0))&gt;=100000), " ",IF(INDEX($V$2:$AE$1001,MATCH(ROWS($O$2:O261),$O$2:$O$1001,0),MATCH(COLUMNS($V$1006:AE1006),$V$1006:$AE$1006,0)), HYPERLINK("#",""), HYPERLINK(CONCATENATE("#Metadata!", ADDRESS(INDEX($Q$2:$Q$1001,MATCH(ROWS($O$2:O261),$O$2:$O$1001,0),0), INDEX($V$1004:$AE$1004,1,MATCH(COLUMNS($V$1006:AE1006),$V$1006:$AE$1006,0)))),"Fix")))</f>
        <v>0</v>
      </c>
      <c r="O261">
        <v>0</v>
      </c>
      <c r="P261">
        <v>0</v>
      </c>
      <c r="Q261">
        <v>0</v>
      </c>
      <c r="R261">
        <f>IF(S261,TRUE,AND(V261:AE261))</f>
        <v>0</v>
      </c>
      <c r="S261">
        <f>COUNTBLANK(Metadata!B261:K261)=COLUMNS(Metadata!B261:K261)</f>
        <v>0</v>
      </c>
      <c r="T261">
        <v>0</v>
      </c>
      <c r="V261">
        <f>AND(IF(Metadata!B261="",FALSE,TRUE),COUNTIF(Metadata!B:B, Metadata!B261) = 1,NOT(ISERROR(SUMPRODUCT(SEARCH(MID(Metadata!B261,ROW(INDIRECT("1:"&amp;LEN(Metadata!B261))), 1),"0123456789abcdefghijklmnopqrstuvwxyzABCDEFGHIJKLMNOPQRSTUVWXYZ.")))))</f>
        <v>0</v>
      </c>
      <c r="W261">
        <f>AND(IF(Metadata!C261="",FALSE,TRUE),exact(Metadata!C261,"urban biome"))</f>
        <v>0</v>
      </c>
      <c r="X261">
        <f>AND(IF(Metadata!D261="",FALSE,TRUE),exact(Metadata!D261,"animal-associated habitat"))</f>
        <v>0</v>
      </c>
      <c r="Y261">
        <f>OR(AND(IF(Metadata!E261="",FALSE,TRUE),OR(exact(Metadata!E261,"not applicable"),exact(Metadata!E261,"missing: not collected"),exact(Metadata!E261,"missing: not provided"),exact(Metadata!E261,"missing: restricted access"))),AND(IF(Metadata!E261="",FALSE,ISNUMBER(VALUE(Metadata!E261))),Metadata!E261&gt;0))</f>
        <v>0</v>
      </c>
      <c r="Z261">
        <f>AND(IF(Metadata!F261="",FALSE,TRUE),exact(Metadata!F261,"weeks"))</f>
        <v>0</v>
      </c>
      <c r="AA261">
        <f>AND(IF(Metadata!G261="",FALSE,TRUE),exact(Metadata!G261,"mouse"))</f>
        <v>0</v>
      </c>
      <c r="AB261">
        <f>AND(IF(Metadata!H261="",FALSE,TRUE),exact(Metadata!H261,"Mus musculus"))</f>
        <v>0</v>
      </c>
      <c r="AC261">
        <f>AND(IF(Metadata!I261="",FALSE,TRUE),exact(Metadata!I261,"10090"))</f>
        <v>0</v>
      </c>
      <c r="AD261">
        <f>OR(AND(IF(Metadata!J261="",FALSE,TRUE),OR(exact(Metadata!J261,"not applicable"),exact(Metadata!J261,"missing: not collected"),exact(Metadata!J261,"missing: not provided"),exact(Metadata!J261,"missing: restricted access"))),AND(IF(Metadata!J261="",FALSE,ISNUMBER(VALUE(Metadata!J261))),Metadata!J261&gt;0))</f>
        <v>0</v>
      </c>
      <c r="AE261">
        <f>AND(IF(Metadata!K261="",FALSE,TRUE),exact(Metadata!K261,"g"))</f>
        <v>0</v>
      </c>
    </row>
    <row r="262" spans="1:31">
      <c r="A262" s="5">
        <f>IF(B262=" "," ",HYPERLINK(CONCATENATE("#metadata!",ADDRESS(INDEX($Q$2:$Q$1001,MATCH(ROWS($O$2:O262),$O$2:$O$1001,0),0),1)),INDEX($T$2:$T$1001,MATCH(ROWS($O$2:O262),$O$2:$O$1001,0),0)))</f>
        <v>0</v>
      </c>
      <c r="B262" s="4">
        <f>IF(OR(INDEX($P$2:$P$1001,MATCH(ROWS($O$2:O262),$O$2:$O$1001,0),1)&gt;=100000,INDEX($V$1005:$AE$1005,1,MATCH(COLUMNS($V$1006:V1006),$V$1006:$AE$1006,0))&gt;=100000), " ",IF(INDEX($V$2:$AE$1001,MATCH(ROWS($O$2:O262),$O$2:$O$1001,0),MATCH(COLUMNS($V$1006:V1006),$V$1006:$AE$1006,0)), HYPERLINK("#",""), HYPERLINK(CONCATENATE("#Metadata!", ADDRESS(INDEX($Q$2:$Q$1001,MATCH(ROWS($O$2:O262),$O$2:$O$1001,0),0), INDEX($V$1004:$AE$1004,1,MATCH(COLUMNS($V$1006:V1006),$V$1006:$AE$1006,0)))),"Fix")))</f>
        <v>0</v>
      </c>
      <c r="C262" s="4">
        <f>IF(OR(INDEX($P$2:$P$1001,MATCH(ROWS($O$2:O262),$O$2:$O$1001,0),1)&gt;=100000,INDEX($V$1005:$AE$1005,1,MATCH(COLUMNS($V$1006:W1006),$V$1006:$AE$1006,0))&gt;=100000), " ",IF(INDEX($V$2:$AE$1001,MATCH(ROWS($O$2:O262),$O$2:$O$1001,0),MATCH(COLUMNS($V$1006:W1006),$V$1006:$AE$1006,0)), HYPERLINK("#",""), HYPERLINK(CONCATENATE("#Metadata!", ADDRESS(INDEX($Q$2:$Q$1001,MATCH(ROWS($O$2:O262),$O$2:$O$1001,0),0), INDEX($V$1004:$AE$1004,1,MATCH(COLUMNS($V$1006:W1006),$V$1006:$AE$1006,0)))),"Fix")))</f>
        <v>0</v>
      </c>
      <c r="D262" s="4">
        <f>IF(OR(INDEX($P$2:$P$1001,MATCH(ROWS($O$2:O262),$O$2:$O$1001,0),1)&gt;=100000,INDEX($V$1005:$AE$1005,1,MATCH(COLUMNS($V$1006:X1006),$V$1006:$AE$1006,0))&gt;=100000), " ",IF(INDEX($V$2:$AE$1001,MATCH(ROWS($O$2:O262),$O$2:$O$1001,0),MATCH(COLUMNS($V$1006:X1006),$V$1006:$AE$1006,0)), HYPERLINK("#",""), HYPERLINK(CONCATENATE("#Metadata!", ADDRESS(INDEX($Q$2:$Q$1001,MATCH(ROWS($O$2:O262),$O$2:$O$1001,0),0), INDEX($V$1004:$AE$1004,1,MATCH(COLUMNS($V$1006:X1006),$V$1006:$AE$1006,0)))),"Fix")))</f>
        <v>0</v>
      </c>
      <c r="E262" s="4">
        <f>IF(OR(INDEX($P$2:$P$1001,MATCH(ROWS($O$2:O262),$O$2:$O$1001,0),1)&gt;=100000,INDEX($V$1005:$AE$1005,1,MATCH(COLUMNS($V$1006:Y1006),$V$1006:$AE$1006,0))&gt;=100000), " ",IF(INDEX($V$2:$AE$1001,MATCH(ROWS($O$2:O262),$O$2:$O$1001,0),MATCH(COLUMNS($V$1006:Y1006),$V$1006:$AE$1006,0)), HYPERLINK("#",""), HYPERLINK(CONCATENATE("#Metadata!", ADDRESS(INDEX($Q$2:$Q$1001,MATCH(ROWS($O$2:O262),$O$2:$O$1001,0),0), INDEX($V$1004:$AE$1004,1,MATCH(COLUMNS($V$1006:Y1006),$V$1006:$AE$1006,0)))),"Fix")))</f>
        <v>0</v>
      </c>
      <c r="F262" s="4">
        <f>IF(OR(INDEX($P$2:$P$1001,MATCH(ROWS($O$2:O262),$O$2:$O$1001,0),1)&gt;=100000,INDEX($V$1005:$AE$1005,1,MATCH(COLUMNS($V$1006:Z1006),$V$1006:$AE$1006,0))&gt;=100000), " ",IF(INDEX($V$2:$AE$1001,MATCH(ROWS($O$2:O262),$O$2:$O$1001,0),MATCH(COLUMNS($V$1006:Z1006),$V$1006:$AE$1006,0)), HYPERLINK("#",""), HYPERLINK(CONCATENATE("#Metadata!", ADDRESS(INDEX($Q$2:$Q$1001,MATCH(ROWS($O$2:O262),$O$2:$O$1001,0),0), INDEX($V$1004:$AE$1004,1,MATCH(COLUMNS($V$1006:Z1006),$V$1006:$AE$1006,0)))),"Fix")))</f>
        <v>0</v>
      </c>
      <c r="G262" s="4">
        <f>IF(OR(INDEX($P$2:$P$1001,MATCH(ROWS($O$2:O262),$O$2:$O$1001,0),1)&gt;=100000,INDEX($V$1005:$AE$1005,1,MATCH(COLUMNS($V$1006:AA1006),$V$1006:$AE$1006,0))&gt;=100000), " ",IF(INDEX($V$2:$AE$1001,MATCH(ROWS($O$2:O262),$O$2:$O$1001,0),MATCH(COLUMNS($V$1006:AA1006),$V$1006:$AE$1006,0)), HYPERLINK("#",""), HYPERLINK(CONCATENATE("#Metadata!", ADDRESS(INDEX($Q$2:$Q$1001,MATCH(ROWS($O$2:O262),$O$2:$O$1001,0),0), INDEX($V$1004:$AE$1004,1,MATCH(COLUMNS($V$1006:AA1006),$V$1006:$AE$1006,0)))),"Fix")))</f>
        <v>0</v>
      </c>
      <c r="H262" s="4">
        <f>IF(OR(INDEX($P$2:$P$1001,MATCH(ROWS($O$2:O262),$O$2:$O$1001,0),1)&gt;=100000,INDEX($V$1005:$AE$1005,1,MATCH(COLUMNS($V$1006:AB1006),$V$1006:$AE$1006,0))&gt;=100000), " ",IF(INDEX($V$2:$AE$1001,MATCH(ROWS($O$2:O262),$O$2:$O$1001,0),MATCH(COLUMNS($V$1006:AB1006),$V$1006:$AE$1006,0)), HYPERLINK("#",""), HYPERLINK(CONCATENATE("#Metadata!", ADDRESS(INDEX($Q$2:$Q$1001,MATCH(ROWS($O$2:O262),$O$2:$O$1001,0),0), INDEX($V$1004:$AE$1004,1,MATCH(COLUMNS($V$1006:AB1006),$V$1006:$AE$1006,0)))),"Fix")))</f>
        <v>0</v>
      </c>
      <c r="I262" s="4">
        <f>IF(OR(INDEX($P$2:$P$1001,MATCH(ROWS($O$2:O262),$O$2:$O$1001,0),1)&gt;=100000,INDEX($V$1005:$AE$1005,1,MATCH(COLUMNS($V$1006:AC1006),$V$1006:$AE$1006,0))&gt;=100000), " ",IF(INDEX($V$2:$AE$1001,MATCH(ROWS($O$2:O262),$O$2:$O$1001,0),MATCH(COLUMNS($V$1006:AC1006),$V$1006:$AE$1006,0)), HYPERLINK("#",""), HYPERLINK(CONCATENATE("#Metadata!", ADDRESS(INDEX($Q$2:$Q$1001,MATCH(ROWS($O$2:O262),$O$2:$O$1001,0),0), INDEX($V$1004:$AE$1004,1,MATCH(COLUMNS($V$1006:AC1006),$V$1006:$AE$1006,0)))),"Fix")))</f>
        <v>0</v>
      </c>
      <c r="J262" s="4">
        <f>IF(OR(INDEX($P$2:$P$1001,MATCH(ROWS($O$2:O262),$O$2:$O$1001,0),1)&gt;=100000,INDEX($V$1005:$AE$1005,1,MATCH(COLUMNS($V$1006:AD1006),$V$1006:$AE$1006,0))&gt;=100000), " ",IF(INDEX($V$2:$AE$1001,MATCH(ROWS($O$2:O262),$O$2:$O$1001,0),MATCH(COLUMNS($V$1006:AD1006),$V$1006:$AE$1006,0)), HYPERLINK("#",""), HYPERLINK(CONCATENATE("#Metadata!", ADDRESS(INDEX($Q$2:$Q$1001,MATCH(ROWS($O$2:O262),$O$2:$O$1001,0),0), INDEX($V$1004:$AE$1004,1,MATCH(COLUMNS($V$1006:AD1006),$V$1006:$AE$1006,0)))),"Fix")))</f>
        <v>0</v>
      </c>
      <c r="K262" s="4">
        <f>IF(OR(INDEX($P$2:$P$1001,MATCH(ROWS($O$2:O262),$O$2:$O$1001,0),1)&gt;=100000,INDEX($V$1005:$AE$1005,1,MATCH(COLUMNS($V$1006:AE1006),$V$1006:$AE$1006,0))&gt;=100000), " ",IF(INDEX($V$2:$AE$1001,MATCH(ROWS($O$2:O262),$O$2:$O$1001,0),MATCH(COLUMNS($V$1006:AE1006),$V$1006:$AE$1006,0)), HYPERLINK("#",""), HYPERLINK(CONCATENATE("#Metadata!", ADDRESS(INDEX($Q$2:$Q$1001,MATCH(ROWS($O$2:O262),$O$2:$O$1001,0),0), INDEX($V$1004:$AE$1004,1,MATCH(COLUMNS($V$1006:AE1006),$V$1006:$AE$1006,0)))),"Fix")))</f>
        <v>0</v>
      </c>
      <c r="O262">
        <v>0</v>
      </c>
      <c r="P262">
        <v>0</v>
      </c>
      <c r="Q262">
        <v>0</v>
      </c>
      <c r="R262">
        <f>IF(S262,TRUE,AND(V262:AE262))</f>
        <v>0</v>
      </c>
      <c r="S262">
        <f>COUNTBLANK(Metadata!B262:K262)=COLUMNS(Metadata!B262:K262)</f>
        <v>0</v>
      </c>
      <c r="T262">
        <v>0</v>
      </c>
      <c r="V262">
        <f>AND(IF(Metadata!B262="",FALSE,TRUE),COUNTIF(Metadata!B:B, Metadata!B262) = 1,NOT(ISERROR(SUMPRODUCT(SEARCH(MID(Metadata!B262,ROW(INDIRECT("1:"&amp;LEN(Metadata!B262))), 1),"0123456789abcdefghijklmnopqrstuvwxyzABCDEFGHIJKLMNOPQRSTUVWXYZ.")))))</f>
        <v>0</v>
      </c>
      <c r="W262">
        <f>AND(IF(Metadata!C262="",FALSE,TRUE),exact(Metadata!C262,"urban biome"))</f>
        <v>0</v>
      </c>
      <c r="X262">
        <f>AND(IF(Metadata!D262="",FALSE,TRUE),exact(Metadata!D262,"animal-associated habitat"))</f>
        <v>0</v>
      </c>
      <c r="Y262">
        <f>OR(AND(IF(Metadata!E262="",FALSE,TRUE),OR(exact(Metadata!E262,"not applicable"),exact(Metadata!E262,"missing: not collected"),exact(Metadata!E262,"missing: not provided"),exact(Metadata!E262,"missing: restricted access"))),AND(IF(Metadata!E262="",FALSE,ISNUMBER(VALUE(Metadata!E262))),Metadata!E262&gt;0))</f>
        <v>0</v>
      </c>
      <c r="Z262">
        <f>AND(IF(Metadata!F262="",FALSE,TRUE),exact(Metadata!F262,"weeks"))</f>
        <v>0</v>
      </c>
      <c r="AA262">
        <f>AND(IF(Metadata!G262="",FALSE,TRUE),exact(Metadata!G262,"mouse"))</f>
        <v>0</v>
      </c>
      <c r="AB262">
        <f>AND(IF(Metadata!H262="",FALSE,TRUE),exact(Metadata!H262,"Mus musculus"))</f>
        <v>0</v>
      </c>
      <c r="AC262">
        <f>AND(IF(Metadata!I262="",FALSE,TRUE),exact(Metadata!I262,"10090"))</f>
        <v>0</v>
      </c>
      <c r="AD262">
        <f>OR(AND(IF(Metadata!J262="",FALSE,TRUE),OR(exact(Metadata!J262,"not applicable"),exact(Metadata!J262,"missing: not collected"),exact(Metadata!J262,"missing: not provided"),exact(Metadata!J262,"missing: restricted access"))),AND(IF(Metadata!J262="",FALSE,ISNUMBER(VALUE(Metadata!J262))),Metadata!J262&gt;0))</f>
        <v>0</v>
      </c>
      <c r="AE262">
        <f>AND(IF(Metadata!K262="",FALSE,TRUE),exact(Metadata!K262,"g"))</f>
        <v>0</v>
      </c>
    </row>
    <row r="263" spans="1:31">
      <c r="A263" s="5">
        <f>IF(B263=" "," ",HYPERLINK(CONCATENATE("#metadata!",ADDRESS(INDEX($Q$2:$Q$1001,MATCH(ROWS($O$2:O263),$O$2:$O$1001,0),0),1)),INDEX($T$2:$T$1001,MATCH(ROWS($O$2:O263),$O$2:$O$1001,0),0)))</f>
        <v>0</v>
      </c>
      <c r="B263" s="4">
        <f>IF(OR(INDEX($P$2:$P$1001,MATCH(ROWS($O$2:O263),$O$2:$O$1001,0),1)&gt;=100000,INDEX($V$1005:$AE$1005,1,MATCH(COLUMNS($V$1006:V1006),$V$1006:$AE$1006,0))&gt;=100000), " ",IF(INDEX($V$2:$AE$1001,MATCH(ROWS($O$2:O263),$O$2:$O$1001,0),MATCH(COLUMNS($V$1006:V1006),$V$1006:$AE$1006,0)), HYPERLINK("#",""), HYPERLINK(CONCATENATE("#Metadata!", ADDRESS(INDEX($Q$2:$Q$1001,MATCH(ROWS($O$2:O263),$O$2:$O$1001,0),0), INDEX($V$1004:$AE$1004,1,MATCH(COLUMNS($V$1006:V1006),$V$1006:$AE$1006,0)))),"Fix")))</f>
        <v>0</v>
      </c>
      <c r="C263" s="4">
        <f>IF(OR(INDEX($P$2:$P$1001,MATCH(ROWS($O$2:O263),$O$2:$O$1001,0),1)&gt;=100000,INDEX($V$1005:$AE$1005,1,MATCH(COLUMNS($V$1006:W1006),$V$1006:$AE$1006,0))&gt;=100000), " ",IF(INDEX($V$2:$AE$1001,MATCH(ROWS($O$2:O263),$O$2:$O$1001,0),MATCH(COLUMNS($V$1006:W1006),$V$1006:$AE$1006,0)), HYPERLINK("#",""), HYPERLINK(CONCATENATE("#Metadata!", ADDRESS(INDEX($Q$2:$Q$1001,MATCH(ROWS($O$2:O263),$O$2:$O$1001,0),0), INDEX($V$1004:$AE$1004,1,MATCH(COLUMNS($V$1006:W1006),$V$1006:$AE$1006,0)))),"Fix")))</f>
        <v>0</v>
      </c>
      <c r="D263" s="4">
        <f>IF(OR(INDEX($P$2:$P$1001,MATCH(ROWS($O$2:O263),$O$2:$O$1001,0),1)&gt;=100000,INDEX($V$1005:$AE$1005,1,MATCH(COLUMNS($V$1006:X1006),$V$1006:$AE$1006,0))&gt;=100000), " ",IF(INDEX($V$2:$AE$1001,MATCH(ROWS($O$2:O263),$O$2:$O$1001,0),MATCH(COLUMNS($V$1006:X1006),$V$1006:$AE$1006,0)), HYPERLINK("#",""), HYPERLINK(CONCATENATE("#Metadata!", ADDRESS(INDEX($Q$2:$Q$1001,MATCH(ROWS($O$2:O263),$O$2:$O$1001,0),0), INDEX($V$1004:$AE$1004,1,MATCH(COLUMNS($V$1006:X1006),$V$1006:$AE$1006,0)))),"Fix")))</f>
        <v>0</v>
      </c>
      <c r="E263" s="4">
        <f>IF(OR(INDEX($P$2:$P$1001,MATCH(ROWS($O$2:O263),$O$2:$O$1001,0),1)&gt;=100000,INDEX($V$1005:$AE$1005,1,MATCH(COLUMNS($V$1006:Y1006),$V$1006:$AE$1006,0))&gt;=100000), " ",IF(INDEX($V$2:$AE$1001,MATCH(ROWS($O$2:O263),$O$2:$O$1001,0),MATCH(COLUMNS($V$1006:Y1006),$V$1006:$AE$1006,0)), HYPERLINK("#",""), HYPERLINK(CONCATENATE("#Metadata!", ADDRESS(INDEX($Q$2:$Q$1001,MATCH(ROWS($O$2:O263),$O$2:$O$1001,0),0), INDEX($V$1004:$AE$1004,1,MATCH(COLUMNS($V$1006:Y1006),$V$1006:$AE$1006,0)))),"Fix")))</f>
        <v>0</v>
      </c>
      <c r="F263" s="4">
        <f>IF(OR(INDEX($P$2:$P$1001,MATCH(ROWS($O$2:O263),$O$2:$O$1001,0),1)&gt;=100000,INDEX($V$1005:$AE$1005,1,MATCH(COLUMNS($V$1006:Z1006),$V$1006:$AE$1006,0))&gt;=100000), " ",IF(INDEX($V$2:$AE$1001,MATCH(ROWS($O$2:O263),$O$2:$O$1001,0),MATCH(COLUMNS($V$1006:Z1006),$V$1006:$AE$1006,0)), HYPERLINK("#",""), HYPERLINK(CONCATENATE("#Metadata!", ADDRESS(INDEX($Q$2:$Q$1001,MATCH(ROWS($O$2:O263),$O$2:$O$1001,0),0), INDEX($V$1004:$AE$1004,1,MATCH(COLUMNS($V$1006:Z1006),$V$1006:$AE$1006,0)))),"Fix")))</f>
        <v>0</v>
      </c>
      <c r="G263" s="4">
        <f>IF(OR(INDEX($P$2:$P$1001,MATCH(ROWS($O$2:O263),$O$2:$O$1001,0),1)&gt;=100000,INDEX($V$1005:$AE$1005,1,MATCH(COLUMNS($V$1006:AA1006),$V$1006:$AE$1006,0))&gt;=100000), " ",IF(INDEX($V$2:$AE$1001,MATCH(ROWS($O$2:O263),$O$2:$O$1001,0),MATCH(COLUMNS($V$1006:AA1006),$V$1006:$AE$1006,0)), HYPERLINK("#",""), HYPERLINK(CONCATENATE("#Metadata!", ADDRESS(INDEX($Q$2:$Q$1001,MATCH(ROWS($O$2:O263),$O$2:$O$1001,0),0), INDEX($V$1004:$AE$1004,1,MATCH(COLUMNS($V$1006:AA1006),$V$1006:$AE$1006,0)))),"Fix")))</f>
        <v>0</v>
      </c>
      <c r="H263" s="4">
        <f>IF(OR(INDEX($P$2:$P$1001,MATCH(ROWS($O$2:O263),$O$2:$O$1001,0),1)&gt;=100000,INDEX($V$1005:$AE$1005,1,MATCH(COLUMNS($V$1006:AB1006),$V$1006:$AE$1006,0))&gt;=100000), " ",IF(INDEX($V$2:$AE$1001,MATCH(ROWS($O$2:O263),$O$2:$O$1001,0),MATCH(COLUMNS($V$1006:AB1006),$V$1006:$AE$1006,0)), HYPERLINK("#",""), HYPERLINK(CONCATENATE("#Metadata!", ADDRESS(INDEX($Q$2:$Q$1001,MATCH(ROWS($O$2:O263),$O$2:$O$1001,0),0), INDEX($V$1004:$AE$1004,1,MATCH(COLUMNS($V$1006:AB1006),$V$1006:$AE$1006,0)))),"Fix")))</f>
        <v>0</v>
      </c>
      <c r="I263" s="4">
        <f>IF(OR(INDEX($P$2:$P$1001,MATCH(ROWS($O$2:O263),$O$2:$O$1001,0),1)&gt;=100000,INDEX($V$1005:$AE$1005,1,MATCH(COLUMNS($V$1006:AC1006),$V$1006:$AE$1006,0))&gt;=100000), " ",IF(INDEX($V$2:$AE$1001,MATCH(ROWS($O$2:O263),$O$2:$O$1001,0),MATCH(COLUMNS($V$1006:AC1006),$V$1006:$AE$1006,0)), HYPERLINK("#",""), HYPERLINK(CONCATENATE("#Metadata!", ADDRESS(INDEX($Q$2:$Q$1001,MATCH(ROWS($O$2:O263),$O$2:$O$1001,0),0), INDEX($V$1004:$AE$1004,1,MATCH(COLUMNS($V$1006:AC1006),$V$1006:$AE$1006,0)))),"Fix")))</f>
        <v>0</v>
      </c>
      <c r="J263" s="4">
        <f>IF(OR(INDEX($P$2:$P$1001,MATCH(ROWS($O$2:O263),$O$2:$O$1001,0),1)&gt;=100000,INDEX($V$1005:$AE$1005,1,MATCH(COLUMNS($V$1006:AD1006),$V$1006:$AE$1006,0))&gt;=100000), " ",IF(INDEX($V$2:$AE$1001,MATCH(ROWS($O$2:O263),$O$2:$O$1001,0),MATCH(COLUMNS($V$1006:AD1006),$V$1006:$AE$1006,0)), HYPERLINK("#",""), HYPERLINK(CONCATENATE("#Metadata!", ADDRESS(INDEX($Q$2:$Q$1001,MATCH(ROWS($O$2:O263),$O$2:$O$1001,0),0), INDEX($V$1004:$AE$1004,1,MATCH(COLUMNS($V$1006:AD1006),$V$1006:$AE$1006,0)))),"Fix")))</f>
        <v>0</v>
      </c>
      <c r="K263" s="4">
        <f>IF(OR(INDEX($P$2:$P$1001,MATCH(ROWS($O$2:O263),$O$2:$O$1001,0),1)&gt;=100000,INDEX($V$1005:$AE$1005,1,MATCH(COLUMNS($V$1006:AE1006),$V$1006:$AE$1006,0))&gt;=100000), " ",IF(INDEX($V$2:$AE$1001,MATCH(ROWS($O$2:O263),$O$2:$O$1001,0),MATCH(COLUMNS($V$1006:AE1006),$V$1006:$AE$1006,0)), HYPERLINK("#",""), HYPERLINK(CONCATENATE("#Metadata!", ADDRESS(INDEX($Q$2:$Q$1001,MATCH(ROWS($O$2:O263),$O$2:$O$1001,0),0), INDEX($V$1004:$AE$1004,1,MATCH(COLUMNS($V$1006:AE1006),$V$1006:$AE$1006,0)))),"Fix")))</f>
        <v>0</v>
      </c>
      <c r="O263">
        <v>0</v>
      </c>
      <c r="P263">
        <v>0</v>
      </c>
      <c r="Q263">
        <v>0</v>
      </c>
      <c r="R263">
        <f>IF(S263,TRUE,AND(V263:AE263))</f>
        <v>0</v>
      </c>
      <c r="S263">
        <f>COUNTBLANK(Metadata!B263:K263)=COLUMNS(Metadata!B263:K263)</f>
        <v>0</v>
      </c>
      <c r="T263">
        <v>0</v>
      </c>
      <c r="V263">
        <f>AND(IF(Metadata!B263="",FALSE,TRUE),COUNTIF(Metadata!B:B, Metadata!B263) = 1,NOT(ISERROR(SUMPRODUCT(SEARCH(MID(Metadata!B263,ROW(INDIRECT("1:"&amp;LEN(Metadata!B263))), 1),"0123456789abcdefghijklmnopqrstuvwxyzABCDEFGHIJKLMNOPQRSTUVWXYZ.")))))</f>
        <v>0</v>
      </c>
      <c r="W263">
        <f>AND(IF(Metadata!C263="",FALSE,TRUE),exact(Metadata!C263,"urban biome"))</f>
        <v>0</v>
      </c>
      <c r="X263">
        <f>AND(IF(Metadata!D263="",FALSE,TRUE),exact(Metadata!D263,"animal-associated habitat"))</f>
        <v>0</v>
      </c>
      <c r="Y263">
        <f>OR(AND(IF(Metadata!E263="",FALSE,TRUE),OR(exact(Metadata!E263,"not applicable"),exact(Metadata!E263,"missing: not collected"),exact(Metadata!E263,"missing: not provided"),exact(Metadata!E263,"missing: restricted access"))),AND(IF(Metadata!E263="",FALSE,ISNUMBER(VALUE(Metadata!E263))),Metadata!E263&gt;0))</f>
        <v>0</v>
      </c>
      <c r="Z263">
        <f>AND(IF(Metadata!F263="",FALSE,TRUE),exact(Metadata!F263,"weeks"))</f>
        <v>0</v>
      </c>
      <c r="AA263">
        <f>AND(IF(Metadata!G263="",FALSE,TRUE),exact(Metadata!G263,"mouse"))</f>
        <v>0</v>
      </c>
      <c r="AB263">
        <f>AND(IF(Metadata!H263="",FALSE,TRUE),exact(Metadata!H263,"Mus musculus"))</f>
        <v>0</v>
      </c>
      <c r="AC263">
        <f>AND(IF(Metadata!I263="",FALSE,TRUE),exact(Metadata!I263,"10090"))</f>
        <v>0</v>
      </c>
      <c r="AD263">
        <f>OR(AND(IF(Metadata!J263="",FALSE,TRUE),OR(exact(Metadata!J263,"not applicable"),exact(Metadata!J263,"missing: not collected"),exact(Metadata!J263,"missing: not provided"),exact(Metadata!J263,"missing: restricted access"))),AND(IF(Metadata!J263="",FALSE,ISNUMBER(VALUE(Metadata!J263))),Metadata!J263&gt;0))</f>
        <v>0</v>
      </c>
      <c r="AE263">
        <f>AND(IF(Metadata!K263="",FALSE,TRUE),exact(Metadata!K263,"g"))</f>
        <v>0</v>
      </c>
    </row>
    <row r="264" spans="1:31">
      <c r="A264" s="5">
        <f>IF(B264=" "," ",HYPERLINK(CONCATENATE("#metadata!",ADDRESS(INDEX($Q$2:$Q$1001,MATCH(ROWS($O$2:O264),$O$2:$O$1001,0),0),1)),INDEX($T$2:$T$1001,MATCH(ROWS($O$2:O264),$O$2:$O$1001,0),0)))</f>
        <v>0</v>
      </c>
      <c r="B264" s="4">
        <f>IF(OR(INDEX($P$2:$P$1001,MATCH(ROWS($O$2:O264),$O$2:$O$1001,0),1)&gt;=100000,INDEX($V$1005:$AE$1005,1,MATCH(COLUMNS($V$1006:V1006),$V$1006:$AE$1006,0))&gt;=100000), " ",IF(INDEX($V$2:$AE$1001,MATCH(ROWS($O$2:O264),$O$2:$O$1001,0),MATCH(COLUMNS($V$1006:V1006),$V$1006:$AE$1006,0)), HYPERLINK("#",""), HYPERLINK(CONCATENATE("#Metadata!", ADDRESS(INDEX($Q$2:$Q$1001,MATCH(ROWS($O$2:O264),$O$2:$O$1001,0),0), INDEX($V$1004:$AE$1004,1,MATCH(COLUMNS($V$1006:V1006),$V$1006:$AE$1006,0)))),"Fix")))</f>
        <v>0</v>
      </c>
      <c r="C264" s="4">
        <f>IF(OR(INDEX($P$2:$P$1001,MATCH(ROWS($O$2:O264),$O$2:$O$1001,0),1)&gt;=100000,INDEX($V$1005:$AE$1005,1,MATCH(COLUMNS($V$1006:W1006),$V$1006:$AE$1006,0))&gt;=100000), " ",IF(INDEX($V$2:$AE$1001,MATCH(ROWS($O$2:O264),$O$2:$O$1001,0),MATCH(COLUMNS($V$1006:W1006),$V$1006:$AE$1006,0)), HYPERLINK("#",""), HYPERLINK(CONCATENATE("#Metadata!", ADDRESS(INDEX($Q$2:$Q$1001,MATCH(ROWS($O$2:O264),$O$2:$O$1001,0),0), INDEX($V$1004:$AE$1004,1,MATCH(COLUMNS($V$1006:W1006),$V$1006:$AE$1006,0)))),"Fix")))</f>
        <v>0</v>
      </c>
      <c r="D264" s="4">
        <f>IF(OR(INDEX($P$2:$P$1001,MATCH(ROWS($O$2:O264),$O$2:$O$1001,0),1)&gt;=100000,INDEX($V$1005:$AE$1005,1,MATCH(COLUMNS($V$1006:X1006),$V$1006:$AE$1006,0))&gt;=100000), " ",IF(INDEX($V$2:$AE$1001,MATCH(ROWS($O$2:O264),$O$2:$O$1001,0),MATCH(COLUMNS($V$1006:X1006),$V$1006:$AE$1006,0)), HYPERLINK("#",""), HYPERLINK(CONCATENATE("#Metadata!", ADDRESS(INDEX($Q$2:$Q$1001,MATCH(ROWS($O$2:O264),$O$2:$O$1001,0),0), INDEX($V$1004:$AE$1004,1,MATCH(COLUMNS($V$1006:X1006),$V$1006:$AE$1006,0)))),"Fix")))</f>
        <v>0</v>
      </c>
      <c r="E264" s="4">
        <f>IF(OR(INDEX($P$2:$P$1001,MATCH(ROWS($O$2:O264),$O$2:$O$1001,0),1)&gt;=100000,INDEX($V$1005:$AE$1005,1,MATCH(COLUMNS($V$1006:Y1006),$V$1006:$AE$1006,0))&gt;=100000), " ",IF(INDEX($V$2:$AE$1001,MATCH(ROWS($O$2:O264),$O$2:$O$1001,0),MATCH(COLUMNS($V$1006:Y1006),$V$1006:$AE$1006,0)), HYPERLINK("#",""), HYPERLINK(CONCATENATE("#Metadata!", ADDRESS(INDEX($Q$2:$Q$1001,MATCH(ROWS($O$2:O264),$O$2:$O$1001,0),0), INDEX($V$1004:$AE$1004,1,MATCH(COLUMNS($V$1006:Y1006),$V$1006:$AE$1006,0)))),"Fix")))</f>
        <v>0</v>
      </c>
      <c r="F264" s="4">
        <f>IF(OR(INDEX($P$2:$P$1001,MATCH(ROWS($O$2:O264),$O$2:$O$1001,0),1)&gt;=100000,INDEX($V$1005:$AE$1005,1,MATCH(COLUMNS($V$1006:Z1006),$V$1006:$AE$1006,0))&gt;=100000), " ",IF(INDEX($V$2:$AE$1001,MATCH(ROWS($O$2:O264),$O$2:$O$1001,0),MATCH(COLUMNS($V$1006:Z1006),$V$1006:$AE$1006,0)), HYPERLINK("#",""), HYPERLINK(CONCATENATE("#Metadata!", ADDRESS(INDEX($Q$2:$Q$1001,MATCH(ROWS($O$2:O264),$O$2:$O$1001,0),0), INDEX($V$1004:$AE$1004,1,MATCH(COLUMNS($V$1006:Z1006),$V$1006:$AE$1006,0)))),"Fix")))</f>
        <v>0</v>
      </c>
      <c r="G264" s="4">
        <f>IF(OR(INDEX($P$2:$P$1001,MATCH(ROWS($O$2:O264),$O$2:$O$1001,0),1)&gt;=100000,INDEX($V$1005:$AE$1005,1,MATCH(COLUMNS($V$1006:AA1006),$V$1006:$AE$1006,0))&gt;=100000), " ",IF(INDEX($V$2:$AE$1001,MATCH(ROWS($O$2:O264),$O$2:$O$1001,0),MATCH(COLUMNS($V$1006:AA1006),$V$1006:$AE$1006,0)), HYPERLINK("#",""), HYPERLINK(CONCATENATE("#Metadata!", ADDRESS(INDEX($Q$2:$Q$1001,MATCH(ROWS($O$2:O264),$O$2:$O$1001,0),0), INDEX($V$1004:$AE$1004,1,MATCH(COLUMNS($V$1006:AA1006),$V$1006:$AE$1006,0)))),"Fix")))</f>
        <v>0</v>
      </c>
      <c r="H264" s="4">
        <f>IF(OR(INDEX($P$2:$P$1001,MATCH(ROWS($O$2:O264),$O$2:$O$1001,0),1)&gt;=100000,INDEX($V$1005:$AE$1005,1,MATCH(COLUMNS($V$1006:AB1006),$V$1006:$AE$1006,0))&gt;=100000), " ",IF(INDEX($V$2:$AE$1001,MATCH(ROWS($O$2:O264),$O$2:$O$1001,0),MATCH(COLUMNS($V$1006:AB1006),$V$1006:$AE$1006,0)), HYPERLINK("#",""), HYPERLINK(CONCATENATE("#Metadata!", ADDRESS(INDEX($Q$2:$Q$1001,MATCH(ROWS($O$2:O264),$O$2:$O$1001,0),0), INDEX($V$1004:$AE$1004,1,MATCH(COLUMNS($V$1006:AB1006),$V$1006:$AE$1006,0)))),"Fix")))</f>
        <v>0</v>
      </c>
      <c r="I264" s="4">
        <f>IF(OR(INDEX($P$2:$P$1001,MATCH(ROWS($O$2:O264),$O$2:$O$1001,0),1)&gt;=100000,INDEX($V$1005:$AE$1005,1,MATCH(COLUMNS($V$1006:AC1006),$V$1006:$AE$1006,0))&gt;=100000), " ",IF(INDEX($V$2:$AE$1001,MATCH(ROWS($O$2:O264),$O$2:$O$1001,0),MATCH(COLUMNS($V$1006:AC1006),$V$1006:$AE$1006,0)), HYPERLINK("#",""), HYPERLINK(CONCATENATE("#Metadata!", ADDRESS(INDEX($Q$2:$Q$1001,MATCH(ROWS($O$2:O264),$O$2:$O$1001,0),0), INDEX($V$1004:$AE$1004,1,MATCH(COLUMNS($V$1006:AC1006),$V$1006:$AE$1006,0)))),"Fix")))</f>
        <v>0</v>
      </c>
      <c r="J264" s="4">
        <f>IF(OR(INDEX($P$2:$P$1001,MATCH(ROWS($O$2:O264),$O$2:$O$1001,0),1)&gt;=100000,INDEX($V$1005:$AE$1005,1,MATCH(COLUMNS($V$1006:AD1006),$V$1006:$AE$1006,0))&gt;=100000), " ",IF(INDEX($V$2:$AE$1001,MATCH(ROWS($O$2:O264),$O$2:$O$1001,0),MATCH(COLUMNS($V$1006:AD1006),$V$1006:$AE$1006,0)), HYPERLINK("#",""), HYPERLINK(CONCATENATE("#Metadata!", ADDRESS(INDEX($Q$2:$Q$1001,MATCH(ROWS($O$2:O264),$O$2:$O$1001,0),0), INDEX($V$1004:$AE$1004,1,MATCH(COLUMNS($V$1006:AD1006),$V$1006:$AE$1006,0)))),"Fix")))</f>
        <v>0</v>
      </c>
      <c r="K264" s="4">
        <f>IF(OR(INDEX($P$2:$P$1001,MATCH(ROWS($O$2:O264),$O$2:$O$1001,0),1)&gt;=100000,INDEX($V$1005:$AE$1005,1,MATCH(COLUMNS($V$1006:AE1006),$V$1006:$AE$1006,0))&gt;=100000), " ",IF(INDEX($V$2:$AE$1001,MATCH(ROWS($O$2:O264),$O$2:$O$1001,0),MATCH(COLUMNS($V$1006:AE1006),$V$1006:$AE$1006,0)), HYPERLINK("#",""), HYPERLINK(CONCATENATE("#Metadata!", ADDRESS(INDEX($Q$2:$Q$1001,MATCH(ROWS($O$2:O264),$O$2:$O$1001,0),0), INDEX($V$1004:$AE$1004,1,MATCH(COLUMNS($V$1006:AE1006),$V$1006:$AE$1006,0)))),"Fix")))</f>
        <v>0</v>
      </c>
      <c r="O264">
        <v>0</v>
      </c>
      <c r="P264">
        <v>0</v>
      </c>
      <c r="Q264">
        <v>0</v>
      </c>
      <c r="R264">
        <f>IF(S264,TRUE,AND(V264:AE264))</f>
        <v>0</v>
      </c>
      <c r="S264">
        <f>COUNTBLANK(Metadata!B264:K264)=COLUMNS(Metadata!B264:K264)</f>
        <v>0</v>
      </c>
      <c r="T264">
        <v>0</v>
      </c>
      <c r="V264">
        <f>AND(IF(Metadata!B264="",FALSE,TRUE),COUNTIF(Metadata!B:B, Metadata!B264) = 1,NOT(ISERROR(SUMPRODUCT(SEARCH(MID(Metadata!B264,ROW(INDIRECT("1:"&amp;LEN(Metadata!B264))), 1),"0123456789abcdefghijklmnopqrstuvwxyzABCDEFGHIJKLMNOPQRSTUVWXYZ.")))))</f>
        <v>0</v>
      </c>
      <c r="W264">
        <f>AND(IF(Metadata!C264="",FALSE,TRUE),exact(Metadata!C264,"urban biome"))</f>
        <v>0</v>
      </c>
      <c r="X264">
        <f>AND(IF(Metadata!D264="",FALSE,TRUE),exact(Metadata!D264,"animal-associated habitat"))</f>
        <v>0</v>
      </c>
      <c r="Y264">
        <f>OR(AND(IF(Metadata!E264="",FALSE,TRUE),OR(exact(Metadata!E264,"not applicable"),exact(Metadata!E264,"missing: not collected"),exact(Metadata!E264,"missing: not provided"),exact(Metadata!E264,"missing: restricted access"))),AND(IF(Metadata!E264="",FALSE,ISNUMBER(VALUE(Metadata!E264))),Metadata!E264&gt;0))</f>
        <v>0</v>
      </c>
      <c r="Z264">
        <f>AND(IF(Metadata!F264="",FALSE,TRUE),exact(Metadata!F264,"weeks"))</f>
        <v>0</v>
      </c>
      <c r="AA264">
        <f>AND(IF(Metadata!G264="",FALSE,TRUE),exact(Metadata!G264,"mouse"))</f>
        <v>0</v>
      </c>
      <c r="AB264">
        <f>AND(IF(Metadata!H264="",FALSE,TRUE),exact(Metadata!H264,"Mus musculus"))</f>
        <v>0</v>
      </c>
      <c r="AC264">
        <f>AND(IF(Metadata!I264="",FALSE,TRUE),exact(Metadata!I264,"10090"))</f>
        <v>0</v>
      </c>
      <c r="AD264">
        <f>OR(AND(IF(Metadata!J264="",FALSE,TRUE),OR(exact(Metadata!J264,"not applicable"),exact(Metadata!J264,"missing: not collected"),exact(Metadata!J264,"missing: not provided"),exact(Metadata!J264,"missing: restricted access"))),AND(IF(Metadata!J264="",FALSE,ISNUMBER(VALUE(Metadata!J264))),Metadata!J264&gt;0))</f>
        <v>0</v>
      </c>
      <c r="AE264">
        <f>AND(IF(Metadata!K264="",FALSE,TRUE),exact(Metadata!K264,"g"))</f>
        <v>0</v>
      </c>
    </row>
    <row r="265" spans="1:31">
      <c r="A265" s="5">
        <f>IF(B265=" "," ",HYPERLINK(CONCATENATE("#metadata!",ADDRESS(INDEX($Q$2:$Q$1001,MATCH(ROWS($O$2:O265),$O$2:$O$1001,0),0),1)),INDEX($T$2:$T$1001,MATCH(ROWS($O$2:O265),$O$2:$O$1001,0),0)))</f>
        <v>0</v>
      </c>
      <c r="B265" s="4">
        <f>IF(OR(INDEX($P$2:$P$1001,MATCH(ROWS($O$2:O265),$O$2:$O$1001,0),1)&gt;=100000,INDEX($V$1005:$AE$1005,1,MATCH(COLUMNS($V$1006:V1006),$V$1006:$AE$1006,0))&gt;=100000), " ",IF(INDEX($V$2:$AE$1001,MATCH(ROWS($O$2:O265),$O$2:$O$1001,0),MATCH(COLUMNS($V$1006:V1006),$V$1006:$AE$1006,0)), HYPERLINK("#",""), HYPERLINK(CONCATENATE("#Metadata!", ADDRESS(INDEX($Q$2:$Q$1001,MATCH(ROWS($O$2:O265),$O$2:$O$1001,0),0), INDEX($V$1004:$AE$1004,1,MATCH(COLUMNS($V$1006:V1006),$V$1006:$AE$1006,0)))),"Fix")))</f>
        <v>0</v>
      </c>
      <c r="C265" s="4">
        <f>IF(OR(INDEX($P$2:$P$1001,MATCH(ROWS($O$2:O265),$O$2:$O$1001,0),1)&gt;=100000,INDEX($V$1005:$AE$1005,1,MATCH(COLUMNS($V$1006:W1006),$V$1006:$AE$1006,0))&gt;=100000), " ",IF(INDEX($V$2:$AE$1001,MATCH(ROWS($O$2:O265),$O$2:$O$1001,0),MATCH(COLUMNS($V$1006:W1006),$V$1006:$AE$1006,0)), HYPERLINK("#",""), HYPERLINK(CONCATENATE("#Metadata!", ADDRESS(INDEX($Q$2:$Q$1001,MATCH(ROWS($O$2:O265),$O$2:$O$1001,0),0), INDEX($V$1004:$AE$1004,1,MATCH(COLUMNS($V$1006:W1006),$V$1006:$AE$1006,0)))),"Fix")))</f>
        <v>0</v>
      </c>
      <c r="D265" s="4">
        <f>IF(OR(INDEX($P$2:$P$1001,MATCH(ROWS($O$2:O265),$O$2:$O$1001,0),1)&gt;=100000,INDEX($V$1005:$AE$1005,1,MATCH(COLUMNS($V$1006:X1006),$V$1006:$AE$1006,0))&gt;=100000), " ",IF(INDEX($V$2:$AE$1001,MATCH(ROWS($O$2:O265),$O$2:$O$1001,0),MATCH(COLUMNS($V$1006:X1006),$V$1006:$AE$1006,0)), HYPERLINK("#",""), HYPERLINK(CONCATENATE("#Metadata!", ADDRESS(INDEX($Q$2:$Q$1001,MATCH(ROWS($O$2:O265),$O$2:$O$1001,0),0), INDEX($V$1004:$AE$1004,1,MATCH(COLUMNS($V$1006:X1006),$V$1006:$AE$1006,0)))),"Fix")))</f>
        <v>0</v>
      </c>
      <c r="E265" s="4">
        <f>IF(OR(INDEX($P$2:$P$1001,MATCH(ROWS($O$2:O265),$O$2:$O$1001,0),1)&gt;=100000,INDEX($V$1005:$AE$1005,1,MATCH(COLUMNS($V$1006:Y1006),$V$1006:$AE$1006,0))&gt;=100000), " ",IF(INDEX($V$2:$AE$1001,MATCH(ROWS($O$2:O265),$O$2:$O$1001,0),MATCH(COLUMNS($V$1006:Y1006),$V$1006:$AE$1006,0)), HYPERLINK("#",""), HYPERLINK(CONCATENATE("#Metadata!", ADDRESS(INDEX($Q$2:$Q$1001,MATCH(ROWS($O$2:O265),$O$2:$O$1001,0),0), INDEX($V$1004:$AE$1004,1,MATCH(COLUMNS($V$1006:Y1006),$V$1006:$AE$1006,0)))),"Fix")))</f>
        <v>0</v>
      </c>
      <c r="F265" s="4">
        <f>IF(OR(INDEX($P$2:$P$1001,MATCH(ROWS($O$2:O265),$O$2:$O$1001,0),1)&gt;=100000,INDEX($V$1005:$AE$1005,1,MATCH(COLUMNS($V$1006:Z1006),$V$1006:$AE$1006,0))&gt;=100000), " ",IF(INDEX($V$2:$AE$1001,MATCH(ROWS($O$2:O265),$O$2:$O$1001,0),MATCH(COLUMNS($V$1006:Z1006),$V$1006:$AE$1006,0)), HYPERLINK("#",""), HYPERLINK(CONCATENATE("#Metadata!", ADDRESS(INDEX($Q$2:$Q$1001,MATCH(ROWS($O$2:O265),$O$2:$O$1001,0),0), INDEX($V$1004:$AE$1004,1,MATCH(COLUMNS($V$1006:Z1006),$V$1006:$AE$1006,0)))),"Fix")))</f>
        <v>0</v>
      </c>
      <c r="G265" s="4">
        <f>IF(OR(INDEX($P$2:$P$1001,MATCH(ROWS($O$2:O265),$O$2:$O$1001,0),1)&gt;=100000,INDEX($V$1005:$AE$1005,1,MATCH(COLUMNS($V$1006:AA1006),$V$1006:$AE$1006,0))&gt;=100000), " ",IF(INDEX($V$2:$AE$1001,MATCH(ROWS($O$2:O265),$O$2:$O$1001,0),MATCH(COLUMNS($V$1006:AA1006),$V$1006:$AE$1006,0)), HYPERLINK("#",""), HYPERLINK(CONCATENATE("#Metadata!", ADDRESS(INDEX($Q$2:$Q$1001,MATCH(ROWS($O$2:O265),$O$2:$O$1001,0),0), INDEX($V$1004:$AE$1004,1,MATCH(COLUMNS($V$1006:AA1006),$V$1006:$AE$1006,0)))),"Fix")))</f>
        <v>0</v>
      </c>
      <c r="H265" s="4">
        <f>IF(OR(INDEX($P$2:$P$1001,MATCH(ROWS($O$2:O265),$O$2:$O$1001,0),1)&gt;=100000,INDEX($V$1005:$AE$1005,1,MATCH(COLUMNS($V$1006:AB1006),$V$1006:$AE$1006,0))&gt;=100000), " ",IF(INDEX($V$2:$AE$1001,MATCH(ROWS($O$2:O265),$O$2:$O$1001,0),MATCH(COLUMNS($V$1006:AB1006),$V$1006:$AE$1006,0)), HYPERLINK("#",""), HYPERLINK(CONCATENATE("#Metadata!", ADDRESS(INDEX($Q$2:$Q$1001,MATCH(ROWS($O$2:O265),$O$2:$O$1001,0),0), INDEX($V$1004:$AE$1004,1,MATCH(COLUMNS($V$1006:AB1006),$V$1006:$AE$1006,0)))),"Fix")))</f>
        <v>0</v>
      </c>
      <c r="I265" s="4">
        <f>IF(OR(INDEX($P$2:$P$1001,MATCH(ROWS($O$2:O265),$O$2:$O$1001,0),1)&gt;=100000,INDEX($V$1005:$AE$1005,1,MATCH(COLUMNS($V$1006:AC1006),$V$1006:$AE$1006,0))&gt;=100000), " ",IF(INDEX($V$2:$AE$1001,MATCH(ROWS($O$2:O265),$O$2:$O$1001,0),MATCH(COLUMNS($V$1006:AC1006),$V$1006:$AE$1006,0)), HYPERLINK("#",""), HYPERLINK(CONCATENATE("#Metadata!", ADDRESS(INDEX($Q$2:$Q$1001,MATCH(ROWS($O$2:O265),$O$2:$O$1001,0),0), INDEX($V$1004:$AE$1004,1,MATCH(COLUMNS($V$1006:AC1006),$V$1006:$AE$1006,0)))),"Fix")))</f>
        <v>0</v>
      </c>
      <c r="J265" s="4">
        <f>IF(OR(INDEX($P$2:$P$1001,MATCH(ROWS($O$2:O265),$O$2:$O$1001,0),1)&gt;=100000,INDEX($V$1005:$AE$1005,1,MATCH(COLUMNS($V$1006:AD1006),$V$1006:$AE$1006,0))&gt;=100000), " ",IF(INDEX($V$2:$AE$1001,MATCH(ROWS($O$2:O265),$O$2:$O$1001,0),MATCH(COLUMNS($V$1006:AD1006),$V$1006:$AE$1006,0)), HYPERLINK("#",""), HYPERLINK(CONCATENATE("#Metadata!", ADDRESS(INDEX($Q$2:$Q$1001,MATCH(ROWS($O$2:O265),$O$2:$O$1001,0),0), INDEX($V$1004:$AE$1004,1,MATCH(COLUMNS($V$1006:AD1006),$V$1006:$AE$1006,0)))),"Fix")))</f>
        <v>0</v>
      </c>
      <c r="K265" s="4">
        <f>IF(OR(INDEX($P$2:$P$1001,MATCH(ROWS($O$2:O265),$O$2:$O$1001,0),1)&gt;=100000,INDEX($V$1005:$AE$1005,1,MATCH(COLUMNS($V$1006:AE1006),$V$1006:$AE$1006,0))&gt;=100000), " ",IF(INDEX($V$2:$AE$1001,MATCH(ROWS($O$2:O265),$O$2:$O$1001,0),MATCH(COLUMNS($V$1006:AE1006),$V$1006:$AE$1006,0)), HYPERLINK("#",""), HYPERLINK(CONCATENATE("#Metadata!", ADDRESS(INDEX($Q$2:$Q$1001,MATCH(ROWS($O$2:O265),$O$2:$O$1001,0),0), INDEX($V$1004:$AE$1004,1,MATCH(COLUMNS($V$1006:AE1006),$V$1006:$AE$1006,0)))),"Fix")))</f>
        <v>0</v>
      </c>
      <c r="O265">
        <v>0</v>
      </c>
      <c r="P265">
        <v>0</v>
      </c>
      <c r="Q265">
        <v>0</v>
      </c>
      <c r="R265">
        <f>IF(S265,TRUE,AND(V265:AE265))</f>
        <v>0</v>
      </c>
      <c r="S265">
        <f>COUNTBLANK(Metadata!B265:K265)=COLUMNS(Metadata!B265:K265)</f>
        <v>0</v>
      </c>
      <c r="T265">
        <v>0</v>
      </c>
      <c r="V265">
        <f>AND(IF(Metadata!B265="",FALSE,TRUE),COUNTIF(Metadata!B:B, Metadata!B265) = 1,NOT(ISERROR(SUMPRODUCT(SEARCH(MID(Metadata!B265,ROW(INDIRECT("1:"&amp;LEN(Metadata!B265))), 1),"0123456789abcdefghijklmnopqrstuvwxyzABCDEFGHIJKLMNOPQRSTUVWXYZ.")))))</f>
        <v>0</v>
      </c>
      <c r="W265">
        <f>AND(IF(Metadata!C265="",FALSE,TRUE),exact(Metadata!C265,"urban biome"))</f>
        <v>0</v>
      </c>
      <c r="X265">
        <f>AND(IF(Metadata!D265="",FALSE,TRUE),exact(Metadata!D265,"animal-associated habitat"))</f>
        <v>0</v>
      </c>
      <c r="Y265">
        <f>OR(AND(IF(Metadata!E265="",FALSE,TRUE),OR(exact(Metadata!E265,"not applicable"),exact(Metadata!E265,"missing: not collected"),exact(Metadata!E265,"missing: not provided"),exact(Metadata!E265,"missing: restricted access"))),AND(IF(Metadata!E265="",FALSE,ISNUMBER(VALUE(Metadata!E265))),Metadata!E265&gt;0))</f>
        <v>0</v>
      </c>
      <c r="Z265">
        <f>AND(IF(Metadata!F265="",FALSE,TRUE),exact(Metadata!F265,"weeks"))</f>
        <v>0</v>
      </c>
      <c r="AA265">
        <f>AND(IF(Metadata!G265="",FALSE,TRUE),exact(Metadata!G265,"mouse"))</f>
        <v>0</v>
      </c>
      <c r="AB265">
        <f>AND(IF(Metadata!H265="",FALSE,TRUE),exact(Metadata!H265,"Mus musculus"))</f>
        <v>0</v>
      </c>
      <c r="AC265">
        <f>AND(IF(Metadata!I265="",FALSE,TRUE),exact(Metadata!I265,"10090"))</f>
        <v>0</v>
      </c>
      <c r="AD265">
        <f>OR(AND(IF(Metadata!J265="",FALSE,TRUE),OR(exact(Metadata!J265,"not applicable"),exact(Metadata!J265,"missing: not collected"),exact(Metadata!J265,"missing: not provided"),exact(Metadata!J265,"missing: restricted access"))),AND(IF(Metadata!J265="",FALSE,ISNUMBER(VALUE(Metadata!J265))),Metadata!J265&gt;0))</f>
        <v>0</v>
      </c>
      <c r="AE265">
        <f>AND(IF(Metadata!K265="",FALSE,TRUE),exact(Metadata!K265,"g"))</f>
        <v>0</v>
      </c>
    </row>
    <row r="266" spans="1:31">
      <c r="A266" s="5">
        <f>IF(B266=" "," ",HYPERLINK(CONCATENATE("#metadata!",ADDRESS(INDEX($Q$2:$Q$1001,MATCH(ROWS($O$2:O266),$O$2:$O$1001,0),0),1)),INDEX($T$2:$T$1001,MATCH(ROWS($O$2:O266),$O$2:$O$1001,0),0)))</f>
        <v>0</v>
      </c>
      <c r="B266" s="4">
        <f>IF(OR(INDEX($P$2:$P$1001,MATCH(ROWS($O$2:O266),$O$2:$O$1001,0),1)&gt;=100000,INDEX($V$1005:$AE$1005,1,MATCH(COLUMNS($V$1006:V1006),$V$1006:$AE$1006,0))&gt;=100000), " ",IF(INDEX($V$2:$AE$1001,MATCH(ROWS($O$2:O266),$O$2:$O$1001,0),MATCH(COLUMNS($V$1006:V1006),$V$1006:$AE$1006,0)), HYPERLINK("#",""), HYPERLINK(CONCATENATE("#Metadata!", ADDRESS(INDEX($Q$2:$Q$1001,MATCH(ROWS($O$2:O266),$O$2:$O$1001,0),0), INDEX($V$1004:$AE$1004,1,MATCH(COLUMNS($V$1006:V1006),$V$1006:$AE$1006,0)))),"Fix")))</f>
        <v>0</v>
      </c>
      <c r="C266" s="4">
        <f>IF(OR(INDEX($P$2:$P$1001,MATCH(ROWS($O$2:O266),$O$2:$O$1001,0),1)&gt;=100000,INDEX($V$1005:$AE$1005,1,MATCH(COLUMNS($V$1006:W1006),$V$1006:$AE$1006,0))&gt;=100000), " ",IF(INDEX($V$2:$AE$1001,MATCH(ROWS($O$2:O266),$O$2:$O$1001,0),MATCH(COLUMNS($V$1006:W1006),$V$1006:$AE$1006,0)), HYPERLINK("#",""), HYPERLINK(CONCATENATE("#Metadata!", ADDRESS(INDEX($Q$2:$Q$1001,MATCH(ROWS($O$2:O266),$O$2:$O$1001,0),0), INDEX($V$1004:$AE$1004,1,MATCH(COLUMNS($V$1006:W1006),$V$1006:$AE$1006,0)))),"Fix")))</f>
        <v>0</v>
      </c>
      <c r="D266" s="4">
        <f>IF(OR(INDEX($P$2:$P$1001,MATCH(ROWS($O$2:O266),$O$2:$O$1001,0),1)&gt;=100000,INDEX($V$1005:$AE$1005,1,MATCH(COLUMNS($V$1006:X1006),$V$1006:$AE$1006,0))&gt;=100000), " ",IF(INDEX($V$2:$AE$1001,MATCH(ROWS($O$2:O266),$O$2:$O$1001,0),MATCH(COLUMNS($V$1006:X1006),$V$1006:$AE$1006,0)), HYPERLINK("#",""), HYPERLINK(CONCATENATE("#Metadata!", ADDRESS(INDEX($Q$2:$Q$1001,MATCH(ROWS($O$2:O266),$O$2:$O$1001,0),0), INDEX($V$1004:$AE$1004,1,MATCH(COLUMNS($V$1006:X1006),$V$1006:$AE$1006,0)))),"Fix")))</f>
        <v>0</v>
      </c>
      <c r="E266" s="4">
        <f>IF(OR(INDEX($P$2:$P$1001,MATCH(ROWS($O$2:O266),$O$2:$O$1001,0),1)&gt;=100000,INDEX($V$1005:$AE$1005,1,MATCH(COLUMNS($V$1006:Y1006),$V$1006:$AE$1006,0))&gt;=100000), " ",IF(INDEX($V$2:$AE$1001,MATCH(ROWS($O$2:O266),$O$2:$O$1001,0),MATCH(COLUMNS($V$1006:Y1006),$V$1006:$AE$1006,0)), HYPERLINK("#",""), HYPERLINK(CONCATENATE("#Metadata!", ADDRESS(INDEX($Q$2:$Q$1001,MATCH(ROWS($O$2:O266),$O$2:$O$1001,0),0), INDEX($V$1004:$AE$1004,1,MATCH(COLUMNS($V$1006:Y1006),$V$1006:$AE$1006,0)))),"Fix")))</f>
        <v>0</v>
      </c>
      <c r="F266" s="4">
        <f>IF(OR(INDEX($P$2:$P$1001,MATCH(ROWS($O$2:O266),$O$2:$O$1001,0),1)&gt;=100000,INDEX($V$1005:$AE$1005,1,MATCH(COLUMNS($V$1006:Z1006),$V$1006:$AE$1006,0))&gt;=100000), " ",IF(INDEX($V$2:$AE$1001,MATCH(ROWS($O$2:O266),$O$2:$O$1001,0),MATCH(COLUMNS($V$1006:Z1006),$V$1006:$AE$1006,0)), HYPERLINK("#",""), HYPERLINK(CONCATENATE("#Metadata!", ADDRESS(INDEX($Q$2:$Q$1001,MATCH(ROWS($O$2:O266),$O$2:$O$1001,0),0), INDEX($V$1004:$AE$1004,1,MATCH(COLUMNS($V$1006:Z1006),$V$1006:$AE$1006,0)))),"Fix")))</f>
        <v>0</v>
      </c>
      <c r="G266" s="4">
        <f>IF(OR(INDEX($P$2:$P$1001,MATCH(ROWS($O$2:O266),$O$2:$O$1001,0),1)&gt;=100000,INDEX($V$1005:$AE$1005,1,MATCH(COLUMNS($V$1006:AA1006),$V$1006:$AE$1006,0))&gt;=100000), " ",IF(INDEX($V$2:$AE$1001,MATCH(ROWS($O$2:O266),$O$2:$O$1001,0),MATCH(COLUMNS($V$1006:AA1006),$V$1006:$AE$1006,0)), HYPERLINK("#",""), HYPERLINK(CONCATENATE("#Metadata!", ADDRESS(INDEX($Q$2:$Q$1001,MATCH(ROWS($O$2:O266),$O$2:$O$1001,0),0), INDEX($V$1004:$AE$1004,1,MATCH(COLUMNS($V$1006:AA1006),$V$1006:$AE$1006,0)))),"Fix")))</f>
        <v>0</v>
      </c>
      <c r="H266" s="4">
        <f>IF(OR(INDEX($P$2:$P$1001,MATCH(ROWS($O$2:O266),$O$2:$O$1001,0),1)&gt;=100000,INDEX($V$1005:$AE$1005,1,MATCH(COLUMNS($V$1006:AB1006),$V$1006:$AE$1006,0))&gt;=100000), " ",IF(INDEX($V$2:$AE$1001,MATCH(ROWS($O$2:O266),$O$2:$O$1001,0),MATCH(COLUMNS($V$1006:AB1006),$V$1006:$AE$1006,0)), HYPERLINK("#",""), HYPERLINK(CONCATENATE("#Metadata!", ADDRESS(INDEX($Q$2:$Q$1001,MATCH(ROWS($O$2:O266),$O$2:$O$1001,0),0), INDEX($V$1004:$AE$1004,1,MATCH(COLUMNS($V$1006:AB1006),$V$1006:$AE$1006,0)))),"Fix")))</f>
        <v>0</v>
      </c>
      <c r="I266" s="4">
        <f>IF(OR(INDEX($P$2:$P$1001,MATCH(ROWS($O$2:O266),$O$2:$O$1001,0),1)&gt;=100000,INDEX($V$1005:$AE$1005,1,MATCH(COLUMNS($V$1006:AC1006),$V$1006:$AE$1006,0))&gt;=100000), " ",IF(INDEX($V$2:$AE$1001,MATCH(ROWS($O$2:O266),$O$2:$O$1001,0),MATCH(COLUMNS($V$1006:AC1006),$V$1006:$AE$1006,0)), HYPERLINK("#",""), HYPERLINK(CONCATENATE("#Metadata!", ADDRESS(INDEX($Q$2:$Q$1001,MATCH(ROWS($O$2:O266),$O$2:$O$1001,0),0), INDEX($V$1004:$AE$1004,1,MATCH(COLUMNS($V$1006:AC1006),$V$1006:$AE$1006,0)))),"Fix")))</f>
        <v>0</v>
      </c>
      <c r="J266" s="4">
        <f>IF(OR(INDEX($P$2:$P$1001,MATCH(ROWS($O$2:O266),$O$2:$O$1001,0),1)&gt;=100000,INDEX($V$1005:$AE$1005,1,MATCH(COLUMNS($V$1006:AD1006),$V$1006:$AE$1006,0))&gt;=100000), " ",IF(INDEX($V$2:$AE$1001,MATCH(ROWS($O$2:O266),$O$2:$O$1001,0),MATCH(COLUMNS($V$1006:AD1006),$V$1006:$AE$1006,0)), HYPERLINK("#",""), HYPERLINK(CONCATENATE("#Metadata!", ADDRESS(INDEX($Q$2:$Q$1001,MATCH(ROWS($O$2:O266),$O$2:$O$1001,0),0), INDEX($V$1004:$AE$1004,1,MATCH(COLUMNS($V$1006:AD1006),$V$1006:$AE$1006,0)))),"Fix")))</f>
        <v>0</v>
      </c>
      <c r="K266" s="4">
        <f>IF(OR(INDEX($P$2:$P$1001,MATCH(ROWS($O$2:O266),$O$2:$O$1001,0),1)&gt;=100000,INDEX($V$1005:$AE$1005,1,MATCH(COLUMNS($V$1006:AE1006),$V$1006:$AE$1006,0))&gt;=100000), " ",IF(INDEX($V$2:$AE$1001,MATCH(ROWS($O$2:O266),$O$2:$O$1001,0),MATCH(COLUMNS($V$1006:AE1006),$V$1006:$AE$1006,0)), HYPERLINK("#",""), HYPERLINK(CONCATENATE("#Metadata!", ADDRESS(INDEX($Q$2:$Q$1001,MATCH(ROWS($O$2:O266),$O$2:$O$1001,0),0), INDEX($V$1004:$AE$1004,1,MATCH(COLUMNS($V$1006:AE1006),$V$1006:$AE$1006,0)))),"Fix")))</f>
        <v>0</v>
      </c>
      <c r="O266">
        <v>0</v>
      </c>
      <c r="P266">
        <v>0</v>
      </c>
      <c r="Q266">
        <v>0</v>
      </c>
      <c r="R266">
        <f>IF(S266,TRUE,AND(V266:AE266))</f>
        <v>0</v>
      </c>
      <c r="S266">
        <f>COUNTBLANK(Metadata!B266:K266)=COLUMNS(Metadata!B266:K266)</f>
        <v>0</v>
      </c>
      <c r="T266">
        <v>0</v>
      </c>
      <c r="V266">
        <f>AND(IF(Metadata!B266="",FALSE,TRUE),COUNTIF(Metadata!B:B, Metadata!B266) = 1,NOT(ISERROR(SUMPRODUCT(SEARCH(MID(Metadata!B266,ROW(INDIRECT("1:"&amp;LEN(Metadata!B266))), 1),"0123456789abcdefghijklmnopqrstuvwxyzABCDEFGHIJKLMNOPQRSTUVWXYZ.")))))</f>
        <v>0</v>
      </c>
      <c r="W266">
        <f>AND(IF(Metadata!C266="",FALSE,TRUE),exact(Metadata!C266,"urban biome"))</f>
        <v>0</v>
      </c>
      <c r="X266">
        <f>AND(IF(Metadata!D266="",FALSE,TRUE),exact(Metadata!D266,"animal-associated habitat"))</f>
        <v>0</v>
      </c>
      <c r="Y266">
        <f>OR(AND(IF(Metadata!E266="",FALSE,TRUE),OR(exact(Metadata!E266,"not applicable"),exact(Metadata!E266,"missing: not collected"),exact(Metadata!E266,"missing: not provided"),exact(Metadata!E266,"missing: restricted access"))),AND(IF(Metadata!E266="",FALSE,ISNUMBER(VALUE(Metadata!E266))),Metadata!E266&gt;0))</f>
        <v>0</v>
      </c>
      <c r="Z266">
        <f>AND(IF(Metadata!F266="",FALSE,TRUE),exact(Metadata!F266,"weeks"))</f>
        <v>0</v>
      </c>
      <c r="AA266">
        <f>AND(IF(Metadata!G266="",FALSE,TRUE),exact(Metadata!G266,"mouse"))</f>
        <v>0</v>
      </c>
      <c r="AB266">
        <f>AND(IF(Metadata!H266="",FALSE,TRUE),exact(Metadata!H266,"Mus musculus"))</f>
        <v>0</v>
      </c>
      <c r="AC266">
        <f>AND(IF(Metadata!I266="",FALSE,TRUE),exact(Metadata!I266,"10090"))</f>
        <v>0</v>
      </c>
      <c r="AD266">
        <f>OR(AND(IF(Metadata!J266="",FALSE,TRUE),OR(exact(Metadata!J266,"not applicable"),exact(Metadata!J266,"missing: not collected"),exact(Metadata!J266,"missing: not provided"),exact(Metadata!J266,"missing: restricted access"))),AND(IF(Metadata!J266="",FALSE,ISNUMBER(VALUE(Metadata!J266))),Metadata!J266&gt;0))</f>
        <v>0</v>
      </c>
      <c r="AE266">
        <f>AND(IF(Metadata!K266="",FALSE,TRUE),exact(Metadata!K266,"g"))</f>
        <v>0</v>
      </c>
    </row>
    <row r="267" spans="1:31">
      <c r="A267" s="5">
        <f>IF(B267=" "," ",HYPERLINK(CONCATENATE("#metadata!",ADDRESS(INDEX($Q$2:$Q$1001,MATCH(ROWS($O$2:O267),$O$2:$O$1001,0),0),1)),INDEX($T$2:$T$1001,MATCH(ROWS($O$2:O267),$O$2:$O$1001,0),0)))</f>
        <v>0</v>
      </c>
      <c r="B267" s="4">
        <f>IF(OR(INDEX($P$2:$P$1001,MATCH(ROWS($O$2:O267),$O$2:$O$1001,0),1)&gt;=100000,INDEX($V$1005:$AE$1005,1,MATCH(COLUMNS($V$1006:V1006),$V$1006:$AE$1006,0))&gt;=100000), " ",IF(INDEX($V$2:$AE$1001,MATCH(ROWS($O$2:O267),$O$2:$O$1001,0),MATCH(COLUMNS($V$1006:V1006),$V$1006:$AE$1006,0)), HYPERLINK("#",""), HYPERLINK(CONCATENATE("#Metadata!", ADDRESS(INDEX($Q$2:$Q$1001,MATCH(ROWS($O$2:O267),$O$2:$O$1001,0),0), INDEX($V$1004:$AE$1004,1,MATCH(COLUMNS($V$1006:V1006),$V$1006:$AE$1006,0)))),"Fix")))</f>
        <v>0</v>
      </c>
      <c r="C267" s="4">
        <f>IF(OR(INDEX($P$2:$P$1001,MATCH(ROWS($O$2:O267),$O$2:$O$1001,0),1)&gt;=100000,INDEX($V$1005:$AE$1005,1,MATCH(COLUMNS($V$1006:W1006),$V$1006:$AE$1006,0))&gt;=100000), " ",IF(INDEX($V$2:$AE$1001,MATCH(ROWS($O$2:O267),$O$2:$O$1001,0),MATCH(COLUMNS($V$1006:W1006),$V$1006:$AE$1006,0)), HYPERLINK("#",""), HYPERLINK(CONCATENATE("#Metadata!", ADDRESS(INDEX($Q$2:$Q$1001,MATCH(ROWS($O$2:O267),$O$2:$O$1001,0),0), INDEX($V$1004:$AE$1004,1,MATCH(COLUMNS($V$1006:W1006),$V$1006:$AE$1006,0)))),"Fix")))</f>
        <v>0</v>
      </c>
      <c r="D267" s="4">
        <f>IF(OR(INDEX($P$2:$P$1001,MATCH(ROWS($O$2:O267),$O$2:$O$1001,0),1)&gt;=100000,INDEX($V$1005:$AE$1005,1,MATCH(COLUMNS($V$1006:X1006),$V$1006:$AE$1006,0))&gt;=100000), " ",IF(INDEX($V$2:$AE$1001,MATCH(ROWS($O$2:O267),$O$2:$O$1001,0),MATCH(COLUMNS($V$1006:X1006),$V$1006:$AE$1006,0)), HYPERLINK("#",""), HYPERLINK(CONCATENATE("#Metadata!", ADDRESS(INDEX($Q$2:$Q$1001,MATCH(ROWS($O$2:O267),$O$2:$O$1001,0),0), INDEX($V$1004:$AE$1004,1,MATCH(COLUMNS($V$1006:X1006),$V$1006:$AE$1006,0)))),"Fix")))</f>
        <v>0</v>
      </c>
      <c r="E267" s="4">
        <f>IF(OR(INDEX($P$2:$P$1001,MATCH(ROWS($O$2:O267),$O$2:$O$1001,0),1)&gt;=100000,INDEX($V$1005:$AE$1005,1,MATCH(COLUMNS($V$1006:Y1006),$V$1006:$AE$1006,0))&gt;=100000), " ",IF(INDEX($V$2:$AE$1001,MATCH(ROWS($O$2:O267),$O$2:$O$1001,0),MATCH(COLUMNS($V$1006:Y1006),$V$1006:$AE$1006,0)), HYPERLINK("#",""), HYPERLINK(CONCATENATE("#Metadata!", ADDRESS(INDEX($Q$2:$Q$1001,MATCH(ROWS($O$2:O267),$O$2:$O$1001,0),0), INDEX($V$1004:$AE$1004,1,MATCH(COLUMNS($V$1006:Y1006),$V$1006:$AE$1006,0)))),"Fix")))</f>
        <v>0</v>
      </c>
      <c r="F267" s="4">
        <f>IF(OR(INDEX($P$2:$P$1001,MATCH(ROWS($O$2:O267),$O$2:$O$1001,0),1)&gt;=100000,INDEX($V$1005:$AE$1005,1,MATCH(COLUMNS($V$1006:Z1006),$V$1006:$AE$1006,0))&gt;=100000), " ",IF(INDEX($V$2:$AE$1001,MATCH(ROWS($O$2:O267),$O$2:$O$1001,0),MATCH(COLUMNS($V$1006:Z1006),$V$1006:$AE$1006,0)), HYPERLINK("#",""), HYPERLINK(CONCATENATE("#Metadata!", ADDRESS(INDEX($Q$2:$Q$1001,MATCH(ROWS($O$2:O267),$O$2:$O$1001,0),0), INDEX($V$1004:$AE$1004,1,MATCH(COLUMNS($V$1006:Z1006),$V$1006:$AE$1006,0)))),"Fix")))</f>
        <v>0</v>
      </c>
      <c r="G267" s="4">
        <f>IF(OR(INDEX($P$2:$P$1001,MATCH(ROWS($O$2:O267),$O$2:$O$1001,0),1)&gt;=100000,INDEX($V$1005:$AE$1005,1,MATCH(COLUMNS($V$1006:AA1006),$V$1006:$AE$1006,0))&gt;=100000), " ",IF(INDEX($V$2:$AE$1001,MATCH(ROWS($O$2:O267),$O$2:$O$1001,0),MATCH(COLUMNS($V$1006:AA1006),$V$1006:$AE$1006,0)), HYPERLINK("#",""), HYPERLINK(CONCATENATE("#Metadata!", ADDRESS(INDEX($Q$2:$Q$1001,MATCH(ROWS($O$2:O267),$O$2:$O$1001,0),0), INDEX($V$1004:$AE$1004,1,MATCH(COLUMNS($V$1006:AA1006),$V$1006:$AE$1006,0)))),"Fix")))</f>
        <v>0</v>
      </c>
      <c r="H267" s="4">
        <f>IF(OR(INDEX($P$2:$P$1001,MATCH(ROWS($O$2:O267),$O$2:$O$1001,0),1)&gt;=100000,INDEX($V$1005:$AE$1005,1,MATCH(COLUMNS($V$1006:AB1006),$V$1006:$AE$1006,0))&gt;=100000), " ",IF(INDEX($V$2:$AE$1001,MATCH(ROWS($O$2:O267),$O$2:$O$1001,0),MATCH(COLUMNS($V$1006:AB1006),$V$1006:$AE$1006,0)), HYPERLINK("#",""), HYPERLINK(CONCATENATE("#Metadata!", ADDRESS(INDEX($Q$2:$Q$1001,MATCH(ROWS($O$2:O267),$O$2:$O$1001,0),0), INDEX($V$1004:$AE$1004,1,MATCH(COLUMNS($V$1006:AB1006),$V$1006:$AE$1006,0)))),"Fix")))</f>
        <v>0</v>
      </c>
      <c r="I267" s="4">
        <f>IF(OR(INDEX($P$2:$P$1001,MATCH(ROWS($O$2:O267),$O$2:$O$1001,0),1)&gt;=100000,INDEX($V$1005:$AE$1005,1,MATCH(COLUMNS($V$1006:AC1006),$V$1006:$AE$1006,0))&gt;=100000), " ",IF(INDEX($V$2:$AE$1001,MATCH(ROWS($O$2:O267),$O$2:$O$1001,0),MATCH(COLUMNS($V$1006:AC1006),$V$1006:$AE$1006,0)), HYPERLINK("#",""), HYPERLINK(CONCATENATE("#Metadata!", ADDRESS(INDEX($Q$2:$Q$1001,MATCH(ROWS($O$2:O267),$O$2:$O$1001,0),0), INDEX($V$1004:$AE$1004,1,MATCH(COLUMNS($V$1006:AC1006),$V$1006:$AE$1006,0)))),"Fix")))</f>
        <v>0</v>
      </c>
      <c r="J267" s="4">
        <f>IF(OR(INDEX($P$2:$P$1001,MATCH(ROWS($O$2:O267),$O$2:$O$1001,0),1)&gt;=100000,INDEX($V$1005:$AE$1005,1,MATCH(COLUMNS($V$1006:AD1006),$V$1006:$AE$1006,0))&gt;=100000), " ",IF(INDEX($V$2:$AE$1001,MATCH(ROWS($O$2:O267),$O$2:$O$1001,0),MATCH(COLUMNS($V$1006:AD1006),$V$1006:$AE$1006,0)), HYPERLINK("#",""), HYPERLINK(CONCATENATE("#Metadata!", ADDRESS(INDEX($Q$2:$Q$1001,MATCH(ROWS($O$2:O267),$O$2:$O$1001,0),0), INDEX($V$1004:$AE$1004,1,MATCH(COLUMNS($V$1006:AD1006),$V$1006:$AE$1006,0)))),"Fix")))</f>
        <v>0</v>
      </c>
      <c r="K267" s="4">
        <f>IF(OR(INDEX($P$2:$P$1001,MATCH(ROWS($O$2:O267),$O$2:$O$1001,0),1)&gt;=100000,INDEX($V$1005:$AE$1005,1,MATCH(COLUMNS($V$1006:AE1006),$V$1006:$AE$1006,0))&gt;=100000), " ",IF(INDEX($V$2:$AE$1001,MATCH(ROWS($O$2:O267),$O$2:$O$1001,0),MATCH(COLUMNS($V$1006:AE1006),$V$1006:$AE$1006,0)), HYPERLINK("#",""), HYPERLINK(CONCATENATE("#Metadata!", ADDRESS(INDEX($Q$2:$Q$1001,MATCH(ROWS($O$2:O267),$O$2:$O$1001,0),0), INDEX($V$1004:$AE$1004,1,MATCH(COLUMNS($V$1006:AE1006),$V$1006:$AE$1006,0)))),"Fix")))</f>
        <v>0</v>
      </c>
      <c r="O267">
        <v>0</v>
      </c>
      <c r="P267">
        <v>0</v>
      </c>
      <c r="Q267">
        <v>0</v>
      </c>
      <c r="R267">
        <f>IF(S267,TRUE,AND(V267:AE267))</f>
        <v>0</v>
      </c>
      <c r="S267">
        <f>COUNTBLANK(Metadata!B267:K267)=COLUMNS(Metadata!B267:K267)</f>
        <v>0</v>
      </c>
      <c r="T267">
        <v>0</v>
      </c>
      <c r="V267">
        <f>AND(IF(Metadata!B267="",FALSE,TRUE),COUNTIF(Metadata!B:B, Metadata!B267) = 1,NOT(ISERROR(SUMPRODUCT(SEARCH(MID(Metadata!B267,ROW(INDIRECT("1:"&amp;LEN(Metadata!B267))), 1),"0123456789abcdefghijklmnopqrstuvwxyzABCDEFGHIJKLMNOPQRSTUVWXYZ.")))))</f>
        <v>0</v>
      </c>
      <c r="W267">
        <f>AND(IF(Metadata!C267="",FALSE,TRUE),exact(Metadata!C267,"urban biome"))</f>
        <v>0</v>
      </c>
      <c r="X267">
        <f>AND(IF(Metadata!D267="",FALSE,TRUE),exact(Metadata!D267,"animal-associated habitat"))</f>
        <v>0</v>
      </c>
      <c r="Y267">
        <f>OR(AND(IF(Metadata!E267="",FALSE,TRUE),OR(exact(Metadata!E267,"not applicable"),exact(Metadata!E267,"missing: not collected"),exact(Metadata!E267,"missing: not provided"),exact(Metadata!E267,"missing: restricted access"))),AND(IF(Metadata!E267="",FALSE,ISNUMBER(VALUE(Metadata!E267))),Metadata!E267&gt;0))</f>
        <v>0</v>
      </c>
      <c r="Z267">
        <f>AND(IF(Metadata!F267="",FALSE,TRUE),exact(Metadata!F267,"weeks"))</f>
        <v>0</v>
      </c>
      <c r="AA267">
        <f>AND(IF(Metadata!G267="",FALSE,TRUE),exact(Metadata!G267,"mouse"))</f>
        <v>0</v>
      </c>
      <c r="AB267">
        <f>AND(IF(Metadata!H267="",FALSE,TRUE),exact(Metadata!H267,"Mus musculus"))</f>
        <v>0</v>
      </c>
      <c r="AC267">
        <f>AND(IF(Metadata!I267="",FALSE,TRUE),exact(Metadata!I267,"10090"))</f>
        <v>0</v>
      </c>
      <c r="AD267">
        <f>OR(AND(IF(Metadata!J267="",FALSE,TRUE),OR(exact(Metadata!J267,"not applicable"),exact(Metadata!J267,"missing: not collected"),exact(Metadata!J267,"missing: not provided"),exact(Metadata!J267,"missing: restricted access"))),AND(IF(Metadata!J267="",FALSE,ISNUMBER(VALUE(Metadata!J267))),Metadata!J267&gt;0))</f>
        <v>0</v>
      </c>
      <c r="AE267">
        <f>AND(IF(Metadata!K267="",FALSE,TRUE),exact(Metadata!K267,"g"))</f>
        <v>0</v>
      </c>
    </row>
    <row r="268" spans="1:31">
      <c r="A268" s="5">
        <f>IF(B268=" "," ",HYPERLINK(CONCATENATE("#metadata!",ADDRESS(INDEX($Q$2:$Q$1001,MATCH(ROWS($O$2:O268),$O$2:$O$1001,0),0),1)),INDEX($T$2:$T$1001,MATCH(ROWS($O$2:O268),$O$2:$O$1001,0),0)))</f>
        <v>0</v>
      </c>
      <c r="B268" s="4">
        <f>IF(OR(INDEX($P$2:$P$1001,MATCH(ROWS($O$2:O268),$O$2:$O$1001,0),1)&gt;=100000,INDEX($V$1005:$AE$1005,1,MATCH(COLUMNS($V$1006:V1006),$V$1006:$AE$1006,0))&gt;=100000), " ",IF(INDEX($V$2:$AE$1001,MATCH(ROWS($O$2:O268),$O$2:$O$1001,0),MATCH(COLUMNS($V$1006:V1006),$V$1006:$AE$1006,0)), HYPERLINK("#",""), HYPERLINK(CONCATENATE("#Metadata!", ADDRESS(INDEX($Q$2:$Q$1001,MATCH(ROWS($O$2:O268),$O$2:$O$1001,0),0), INDEX($V$1004:$AE$1004,1,MATCH(COLUMNS($V$1006:V1006),$V$1006:$AE$1006,0)))),"Fix")))</f>
        <v>0</v>
      </c>
      <c r="C268" s="4">
        <f>IF(OR(INDEX($P$2:$P$1001,MATCH(ROWS($O$2:O268),$O$2:$O$1001,0),1)&gt;=100000,INDEX($V$1005:$AE$1005,1,MATCH(COLUMNS($V$1006:W1006),$V$1006:$AE$1006,0))&gt;=100000), " ",IF(INDEX($V$2:$AE$1001,MATCH(ROWS($O$2:O268),$O$2:$O$1001,0),MATCH(COLUMNS($V$1006:W1006),$V$1006:$AE$1006,0)), HYPERLINK("#",""), HYPERLINK(CONCATENATE("#Metadata!", ADDRESS(INDEX($Q$2:$Q$1001,MATCH(ROWS($O$2:O268),$O$2:$O$1001,0),0), INDEX($V$1004:$AE$1004,1,MATCH(COLUMNS($V$1006:W1006),$V$1006:$AE$1006,0)))),"Fix")))</f>
        <v>0</v>
      </c>
      <c r="D268" s="4">
        <f>IF(OR(INDEX($P$2:$P$1001,MATCH(ROWS($O$2:O268),$O$2:$O$1001,0),1)&gt;=100000,INDEX($V$1005:$AE$1005,1,MATCH(COLUMNS($V$1006:X1006),$V$1006:$AE$1006,0))&gt;=100000), " ",IF(INDEX($V$2:$AE$1001,MATCH(ROWS($O$2:O268),$O$2:$O$1001,0),MATCH(COLUMNS($V$1006:X1006),$V$1006:$AE$1006,0)), HYPERLINK("#",""), HYPERLINK(CONCATENATE("#Metadata!", ADDRESS(INDEX($Q$2:$Q$1001,MATCH(ROWS($O$2:O268),$O$2:$O$1001,0),0), INDEX($V$1004:$AE$1004,1,MATCH(COLUMNS($V$1006:X1006),$V$1006:$AE$1006,0)))),"Fix")))</f>
        <v>0</v>
      </c>
      <c r="E268" s="4">
        <f>IF(OR(INDEX($P$2:$P$1001,MATCH(ROWS($O$2:O268),$O$2:$O$1001,0),1)&gt;=100000,INDEX($V$1005:$AE$1005,1,MATCH(COLUMNS($V$1006:Y1006),$V$1006:$AE$1006,0))&gt;=100000), " ",IF(INDEX($V$2:$AE$1001,MATCH(ROWS($O$2:O268),$O$2:$O$1001,0),MATCH(COLUMNS($V$1006:Y1006),$V$1006:$AE$1006,0)), HYPERLINK("#",""), HYPERLINK(CONCATENATE("#Metadata!", ADDRESS(INDEX($Q$2:$Q$1001,MATCH(ROWS($O$2:O268),$O$2:$O$1001,0),0), INDEX($V$1004:$AE$1004,1,MATCH(COLUMNS($V$1006:Y1006),$V$1006:$AE$1006,0)))),"Fix")))</f>
        <v>0</v>
      </c>
      <c r="F268" s="4">
        <f>IF(OR(INDEX($P$2:$P$1001,MATCH(ROWS($O$2:O268),$O$2:$O$1001,0),1)&gt;=100000,INDEX($V$1005:$AE$1005,1,MATCH(COLUMNS($V$1006:Z1006),$V$1006:$AE$1006,0))&gt;=100000), " ",IF(INDEX($V$2:$AE$1001,MATCH(ROWS($O$2:O268),$O$2:$O$1001,0),MATCH(COLUMNS($V$1006:Z1006),$V$1006:$AE$1006,0)), HYPERLINK("#",""), HYPERLINK(CONCATENATE("#Metadata!", ADDRESS(INDEX($Q$2:$Q$1001,MATCH(ROWS($O$2:O268),$O$2:$O$1001,0),0), INDEX($V$1004:$AE$1004,1,MATCH(COLUMNS($V$1006:Z1006),$V$1006:$AE$1006,0)))),"Fix")))</f>
        <v>0</v>
      </c>
      <c r="G268" s="4">
        <f>IF(OR(INDEX($P$2:$P$1001,MATCH(ROWS($O$2:O268),$O$2:$O$1001,0),1)&gt;=100000,INDEX($V$1005:$AE$1005,1,MATCH(COLUMNS($V$1006:AA1006),$V$1006:$AE$1006,0))&gt;=100000), " ",IF(INDEX($V$2:$AE$1001,MATCH(ROWS($O$2:O268),$O$2:$O$1001,0),MATCH(COLUMNS($V$1006:AA1006),$V$1006:$AE$1006,0)), HYPERLINK("#",""), HYPERLINK(CONCATENATE("#Metadata!", ADDRESS(INDEX($Q$2:$Q$1001,MATCH(ROWS($O$2:O268),$O$2:$O$1001,0),0), INDEX($V$1004:$AE$1004,1,MATCH(COLUMNS($V$1006:AA1006),$V$1006:$AE$1006,0)))),"Fix")))</f>
        <v>0</v>
      </c>
      <c r="H268" s="4">
        <f>IF(OR(INDEX($P$2:$P$1001,MATCH(ROWS($O$2:O268),$O$2:$O$1001,0),1)&gt;=100000,INDEX($V$1005:$AE$1005,1,MATCH(COLUMNS($V$1006:AB1006),$V$1006:$AE$1006,0))&gt;=100000), " ",IF(INDEX($V$2:$AE$1001,MATCH(ROWS($O$2:O268),$O$2:$O$1001,0),MATCH(COLUMNS($V$1006:AB1006),$V$1006:$AE$1006,0)), HYPERLINK("#",""), HYPERLINK(CONCATENATE("#Metadata!", ADDRESS(INDEX($Q$2:$Q$1001,MATCH(ROWS($O$2:O268),$O$2:$O$1001,0),0), INDEX($V$1004:$AE$1004,1,MATCH(COLUMNS($V$1006:AB1006),$V$1006:$AE$1006,0)))),"Fix")))</f>
        <v>0</v>
      </c>
      <c r="I268" s="4">
        <f>IF(OR(INDEX($P$2:$P$1001,MATCH(ROWS($O$2:O268),$O$2:$O$1001,0),1)&gt;=100000,INDEX($V$1005:$AE$1005,1,MATCH(COLUMNS($V$1006:AC1006),$V$1006:$AE$1006,0))&gt;=100000), " ",IF(INDEX($V$2:$AE$1001,MATCH(ROWS($O$2:O268),$O$2:$O$1001,0),MATCH(COLUMNS($V$1006:AC1006),$V$1006:$AE$1006,0)), HYPERLINK("#",""), HYPERLINK(CONCATENATE("#Metadata!", ADDRESS(INDEX($Q$2:$Q$1001,MATCH(ROWS($O$2:O268),$O$2:$O$1001,0),0), INDEX($V$1004:$AE$1004,1,MATCH(COLUMNS($V$1006:AC1006),$V$1006:$AE$1006,0)))),"Fix")))</f>
        <v>0</v>
      </c>
      <c r="J268" s="4">
        <f>IF(OR(INDEX($P$2:$P$1001,MATCH(ROWS($O$2:O268),$O$2:$O$1001,0),1)&gt;=100000,INDEX($V$1005:$AE$1005,1,MATCH(COLUMNS($V$1006:AD1006),$V$1006:$AE$1006,0))&gt;=100000), " ",IF(INDEX($V$2:$AE$1001,MATCH(ROWS($O$2:O268),$O$2:$O$1001,0),MATCH(COLUMNS($V$1006:AD1006),$V$1006:$AE$1006,0)), HYPERLINK("#",""), HYPERLINK(CONCATENATE("#Metadata!", ADDRESS(INDEX($Q$2:$Q$1001,MATCH(ROWS($O$2:O268),$O$2:$O$1001,0),0), INDEX($V$1004:$AE$1004,1,MATCH(COLUMNS($V$1006:AD1006),$V$1006:$AE$1006,0)))),"Fix")))</f>
        <v>0</v>
      </c>
      <c r="K268" s="4">
        <f>IF(OR(INDEX($P$2:$P$1001,MATCH(ROWS($O$2:O268),$O$2:$O$1001,0),1)&gt;=100000,INDEX($V$1005:$AE$1005,1,MATCH(COLUMNS($V$1006:AE1006),$V$1006:$AE$1006,0))&gt;=100000), " ",IF(INDEX($V$2:$AE$1001,MATCH(ROWS($O$2:O268),$O$2:$O$1001,0),MATCH(COLUMNS($V$1006:AE1006),$V$1006:$AE$1006,0)), HYPERLINK("#",""), HYPERLINK(CONCATENATE("#Metadata!", ADDRESS(INDEX($Q$2:$Q$1001,MATCH(ROWS($O$2:O268),$O$2:$O$1001,0),0), INDEX($V$1004:$AE$1004,1,MATCH(COLUMNS($V$1006:AE1006),$V$1006:$AE$1006,0)))),"Fix")))</f>
        <v>0</v>
      </c>
      <c r="O268">
        <v>0</v>
      </c>
      <c r="P268">
        <v>0</v>
      </c>
      <c r="Q268">
        <v>0</v>
      </c>
      <c r="R268">
        <f>IF(S268,TRUE,AND(V268:AE268))</f>
        <v>0</v>
      </c>
      <c r="S268">
        <f>COUNTBLANK(Metadata!B268:K268)=COLUMNS(Metadata!B268:K268)</f>
        <v>0</v>
      </c>
      <c r="T268">
        <v>0</v>
      </c>
      <c r="V268">
        <f>AND(IF(Metadata!B268="",FALSE,TRUE),COUNTIF(Metadata!B:B, Metadata!B268) = 1,NOT(ISERROR(SUMPRODUCT(SEARCH(MID(Metadata!B268,ROW(INDIRECT("1:"&amp;LEN(Metadata!B268))), 1),"0123456789abcdefghijklmnopqrstuvwxyzABCDEFGHIJKLMNOPQRSTUVWXYZ.")))))</f>
        <v>0</v>
      </c>
      <c r="W268">
        <f>AND(IF(Metadata!C268="",FALSE,TRUE),exact(Metadata!C268,"urban biome"))</f>
        <v>0</v>
      </c>
      <c r="X268">
        <f>AND(IF(Metadata!D268="",FALSE,TRUE),exact(Metadata!D268,"animal-associated habitat"))</f>
        <v>0</v>
      </c>
      <c r="Y268">
        <f>OR(AND(IF(Metadata!E268="",FALSE,TRUE),OR(exact(Metadata!E268,"not applicable"),exact(Metadata!E268,"missing: not collected"),exact(Metadata!E268,"missing: not provided"),exact(Metadata!E268,"missing: restricted access"))),AND(IF(Metadata!E268="",FALSE,ISNUMBER(VALUE(Metadata!E268))),Metadata!E268&gt;0))</f>
        <v>0</v>
      </c>
      <c r="Z268">
        <f>AND(IF(Metadata!F268="",FALSE,TRUE),exact(Metadata!F268,"weeks"))</f>
        <v>0</v>
      </c>
      <c r="AA268">
        <f>AND(IF(Metadata!G268="",FALSE,TRUE),exact(Metadata!G268,"mouse"))</f>
        <v>0</v>
      </c>
      <c r="AB268">
        <f>AND(IF(Metadata!H268="",FALSE,TRUE),exact(Metadata!H268,"Mus musculus"))</f>
        <v>0</v>
      </c>
      <c r="AC268">
        <f>AND(IF(Metadata!I268="",FALSE,TRUE),exact(Metadata!I268,"10090"))</f>
        <v>0</v>
      </c>
      <c r="AD268">
        <f>OR(AND(IF(Metadata!J268="",FALSE,TRUE),OR(exact(Metadata!J268,"not applicable"),exact(Metadata!J268,"missing: not collected"),exact(Metadata!J268,"missing: not provided"),exact(Metadata!J268,"missing: restricted access"))),AND(IF(Metadata!J268="",FALSE,ISNUMBER(VALUE(Metadata!J268))),Metadata!J268&gt;0))</f>
        <v>0</v>
      </c>
      <c r="AE268">
        <f>AND(IF(Metadata!K268="",FALSE,TRUE),exact(Metadata!K268,"g"))</f>
        <v>0</v>
      </c>
    </row>
    <row r="269" spans="1:31">
      <c r="A269" s="5">
        <f>IF(B269=" "," ",HYPERLINK(CONCATENATE("#metadata!",ADDRESS(INDEX($Q$2:$Q$1001,MATCH(ROWS($O$2:O269),$O$2:$O$1001,0),0),1)),INDEX($T$2:$T$1001,MATCH(ROWS($O$2:O269),$O$2:$O$1001,0),0)))</f>
        <v>0</v>
      </c>
      <c r="B269" s="4">
        <f>IF(OR(INDEX($P$2:$P$1001,MATCH(ROWS($O$2:O269),$O$2:$O$1001,0),1)&gt;=100000,INDEX($V$1005:$AE$1005,1,MATCH(COLUMNS($V$1006:V1006),$V$1006:$AE$1006,0))&gt;=100000), " ",IF(INDEX($V$2:$AE$1001,MATCH(ROWS($O$2:O269),$O$2:$O$1001,0),MATCH(COLUMNS($V$1006:V1006),$V$1006:$AE$1006,0)), HYPERLINK("#",""), HYPERLINK(CONCATENATE("#Metadata!", ADDRESS(INDEX($Q$2:$Q$1001,MATCH(ROWS($O$2:O269),$O$2:$O$1001,0),0), INDEX($V$1004:$AE$1004,1,MATCH(COLUMNS($V$1006:V1006),$V$1006:$AE$1006,0)))),"Fix")))</f>
        <v>0</v>
      </c>
      <c r="C269" s="4">
        <f>IF(OR(INDEX($P$2:$P$1001,MATCH(ROWS($O$2:O269),$O$2:$O$1001,0),1)&gt;=100000,INDEX($V$1005:$AE$1005,1,MATCH(COLUMNS($V$1006:W1006),$V$1006:$AE$1006,0))&gt;=100000), " ",IF(INDEX($V$2:$AE$1001,MATCH(ROWS($O$2:O269),$O$2:$O$1001,0),MATCH(COLUMNS($V$1006:W1006),$V$1006:$AE$1006,0)), HYPERLINK("#",""), HYPERLINK(CONCATENATE("#Metadata!", ADDRESS(INDEX($Q$2:$Q$1001,MATCH(ROWS($O$2:O269),$O$2:$O$1001,0),0), INDEX($V$1004:$AE$1004,1,MATCH(COLUMNS($V$1006:W1006),$V$1006:$AE$1006,0)))),"Fix")))</f>
        <v>0</v>
      </c>
      <c r="D269" s="4">
        <f>IF(OR(INDEX($P$2:$P$1001,MATCH(ROWS($O$2:O269),$O$2:$O$1001,0),1)&gt;=100000,INDEX($V$1005:$AE$1005,1,MATCH(COLUMNS($V$1006:X1006),$V$1006:$AE$1006,0))&gt;=100000), " ",IF(INDEX($V$2:$AE$1001,MATCH(ROWS($O$2:O269),$O$2:$O$1001,0),MATCH(COLUMNS($V$1006:X1006),$V$1006:$AE$1006,0)), HYPERLINK("#",""), HYPERLINK(CONCATENATE("#Metadata!", ADDRESS(INDEX($Q$2:$Q$1001,MATCH(ROWS($O$2:O269),$O$2:$O$1001,0),0), INDEX($V$1004:$AE$1004,1,MATCH(COLUMNS($V$1006:X1006),$V$1006:$AE$1006,0)))),"Fix")))</f>
        <v>0</v>
      </c>
      <c r="E269" s="4">
        <f>IF(OR(INDEX($P$2:$P$1001,MATCH(ROWS($O$2:O269),$O$2:$O$1001,0),1)&gt;=100000,INDEX($V$1005:$AE$1005,1,MATCH(COLUMNS($V$1006:Y1006),$V$1006:$AE$1006,0))&gt;=100000), " ",IF(INDEX($V$2:$AE$1001,MATCH(ROWS($O$2:O269),$O$2:$O$1001,0),MATCH(COLUMNS($V$1006:Y1006),$V$1006:$AE$1006,0)), HYPERLINK("#",""), HYPERLINK(CONCATENATE("#Metadata!", ADDRESS(INDEX($Q$2:$Q$1001,MATCH(ROWS($O$2:O269),$O$2:$O$1001,0),0), INDEX($V$1004:$AE$1004,1,MATCH(COLUMNS($V$1006:Y1006),$V$1006:$AE$1006,0)))),"Fix")))</f>
        <v>0</v>
      </c>
      <c r="F269" s="4">
        <f>IF(OR(INDEX($P$2:$P$1001,MATCH(ROWS($O$2:O269),$O$2:$O$1001,0),1)&gt;=100000,INDEX($V$1005:$AE$1005,1,MATCH(COLUMNS($V$1006:Z1006),$V$1006:$AE$1006,0))&gt;=100000), " ",IF(INDEX($V$2:$AE$1001,MATCH(ROWS($O$2:O269),$O$2:$O$1001,0),MATCH(COLUMNS($V$1006:Z1006),$V$1006:$AE$1006,0)), HYPERLINK("#",""), HYPERLINK(CONCATENATE("#Metadata!", ADDRESS(INDEX($Q$2:$Q$1001,MATCH(ROWS($O$2:O269),$O$2:$O$1001,0),0), INDEX($V$1004:$AE$1004,1,MATCH(COLUMNS($V$1006:Z1006),$V$1006:$AE$1006,0)))),"Fix")))</f>
        <v>0</v>
      </c>
      <c r="G269" s="4">
        <f>IF(OR(INDEX($P$2:$P$1001,MATCH(ROWS($O$2:O269),$O$2:$O$1001,0),1)&gt;=100000,INDEX($V$1005:$AE$1005,1,MATCH(COLUMNS($V$1006:AA1006),$V$1006:$AE$1006,0))&gt;=100000), " ",IF(INDEX($V$2:$AE$1001,MATCH(ROWS($O$2:O269),$O$2:$O$1001,0),MATCH(COLUMNS($V$1006:AA1006),$V$1006:$AE$1006,0)), HYPERLINK("#",""), HYPERLINK(CONCATENATE("#Metadata!", ADDRESS(INDEX($Q$2:$Q$1001,MATCH(ROWS($O$2:O269),$O$2:$O$1001,0),0), INDEX($V$1004:$AE$1004,1,MATCH(COLUMNS($V$1006:AA1006),$V$1006:$AE$1006,0)))),"Fix")))</f>
        <v>0</v>
      </c>
      <c r="H269" s="4">
        <f>IF(OR(INDEX($P$2:$P$1001,MATCH(ROWS($O$2:O269),$O$2:$O$1001,0),1)&gt;=100000,INDEX($V$1005:$AE$1005,1,MATCH(COLUMNS($V$1006:AB1006),$V$1006:$AE$1006,0))&gt;=100000), " ",IF(INDEX($V$2:$AE$1001,MATCH(ROWS($O$2:O269),$O$2:$O$1001,0),MATCH(COLUMNS($V$1006:AB1006),$V$1006:$AE$1006,0)), HYPERLINK("#",""), HYPERLINK(CONCATENATE("#Metadata!", ADDRESS(INDEX($Q$2:$Q$1001,MATCH(ROWS($O$2:O269),$O$2:$O$1001,0),0), INDEX($V$1004:$AE$1004,1,MATCH(COLUMNS($V$1006:AB1006),$V$1006:$AE$1006,0)))),"Fix")))</f>
        <v>0</v>
      </c>
      <c r="I269" s="4">
        <f>IF(OR(INDEX($P$2:$P$1001,MATCH(ROWS($O$2:O269),$O$2:$O$1001,0),1)&gt;=100000,INDEX($V$1005:$AE$1005,1,MATCH(COLUMNS($V$1006:AC1006),$V$1006:$AE$1006,0))&gt;=100000), " ",IF(INDEX($V$2:$AE$1001,MATCH(ROWS($O$2:O269),$O$2:$O$1001,0),MATCH(COLUMNS($V$1006:AC1006),$V$1006:$AE$1006,0)), HYPERLINK("#",""), HYPERLINK(CONCATENATE("#Metadata!", ADDRESS(INDEX($Q$2:$Q$1001,MATCH(ROWS($O$2:O269),$O$2:$O$1001,0),0), INDEX($V$1004:$AE$1004,1,MATCH(COLUMNS($V$1006:AC1006),$V$1006:$AE$1006,0)))),"Fix")))</f>
        <v>0</v>
      </c>
      <c r="J269" s="4">
        <f>IF(OR(INDEX($P$2:$P$1001,MATCH(ROWS($O$2:O269),$O$2:$O$1001,0),1)&gt;=100000,INDEX($V$1005:$AE$1005,1,MATCH(COLUMNS($V$1006:AD1006),$V$1006:$AE$1006,0))&gt;=100000), " ",IF(INDEX($V$2:$AE$1001,MATCH(ROWS($O$2:O269),$O$2:$O$1001,0),MATCH(COLUMNS($V$1006:AD1006),$V$1006:$AE$1006,0)), HYPERLINK("#",""), HYPERLINK(CONCATENATE("#Metadata!", ADDRESS(INDEX($Q$2:$Q$1001,MATCH(ROWS($O$2:O269),$O$2:$O$1001,0),0), INDEX($V$1004:$AE$1004,1,MATCH(COLUMNS($V$1006:AD1006),$V$1006:$AE$1006,0)))),"Fix")))</f>
        <v>0</v>
      </c>
      <c r="K269" s="4">
        <f>IF(OR(INDEX($P$2:$P$1001,MATCH(ROWS($O$2:O269),$O$2:$O$1001,0),1)&gt;=100000,INDEX($V$1005:$AE$1005,1,MATCH(COLUMNS($V$1006:AE1006),$V$1006:$AE$1006,0))&gt;=100000), " ",IF(INDEX($V$2:$AE$1001,MATCH(ROWS($O$2:O269),$O$2:$O$1001,0),MATCH(COLUMNS($V$1006:AE1006),$V$1006:$AE$1006,0)), HYPERLINK("#",""), HYPERLINK(CONCATENATE("#Metadata!", ADDRESS(INDEX($Q$2:$Q$1001,MATCH(ROWS($O$2:O269),$O$2:$O$1001,0),0), INDEX($V$1004:$AE$1004,1,MATCH(COLUMNS($V$1006:AE1006),$V$1006:$AE$1006,0)))),"Fix")))</f>
        <v>0</v>
      </c>
      <c r="O269">
        <v>0</v>
      </c>
      <c r="P269">
        <v>0</v>
      </c>
      <c r="Q269">
        <v>0</v>
      </c>
      <c r="R269">
        <f>IF(S269,TRUE,AND(V269:AE269))</f>
        <v>0</v>
      </c>
      <c r="S269">
        <f>COUNTBLANK(Metadata!B269:K269)=COLUMNS(Metadata!B269:K269)</f>
        <v>0</v>
      </c>
      <c r="T269">
        <v>0</v>
      </c>
      <c r="V269">
        <f>AND(IF(Metadata!B269="",FALSE,TRUE),COUNTIF(Metadata!B:B, Metadata!B269) = 1,NOT(ISERROR(SUMPRODUCT(SEARCH(MID(Metadata!B269,ROW(INDIRECT("1:"&amp;LEN(Metadata!B269))), 1),"0123456789abcdefghijklmnopqrstuvwxyzABCDEFGHIJKLMNOPQRSTUVWXYZ.")))))</f>
        <v>0</v>
      </c>
      <c r="W269">
        <f>AND(IF(Metadata!C269="",FALSE,TRUE),exact(Metadata!C269,"urban biome"))</f>
        <v>0</v>
      </c>
      <c r="X269">
        <f>AND(IF(Metadata!D269="",FALSE,TRUE),exact(Metadata!D269,"animal-associated habitat"))</f>
        <v>0</v>
      </c>
      <c r="Y269">
        <f>OR(AND(IF(Metadata!E269="",FALSE,TRUE),OR(exact(Metadata!E269,"not applicable"),exact(Metadata!E269,"missing: not collected"),exact(Metadata!E269,"missing: not provided"),exact(Metadata!E269,"missing: restricted access"))),AND(IF(Metadata!E269="",FALSE,ISNUMBER(VALUE(Metadata!E269))),Metadata!E269&gt;0))</f>
        <v>0</v>
      </c>
      <c r="Z269">
        <f>AND(IF(Metadata!F269="",FALSE,TRUE),exact(Metadata!F269,"weeks"))</f>
        <v>0</v>
      </c>
      <c r="AA269">
        <f>AND(IF(Metadata!G269="",FALSE,TRUE),exact(Metadata!G269,"mouse"))</f>
        <v>0</v>
      </c>
      <c r="AB269">
        <f>AND(IF(Metadata!H269="",FALSE,TRUE),exact(Metadata!H269,"Mus musculus"))</f>
        <v>0</v>
      </c>
      <c r="AC269">
        <f>AND(IF(Metadata!I269="",FALSE,TRUE),exact(Metadata!I269,"10090"))</f>
        <v>0</v>
      </c>
      <c r="AD269">
        <f>OR(AND(IF(Metadata!J269="",FALSE,TRUE),OR(exact(Metadata!J269,"not applicable"),exact(Metadata!J269,"missing: not collected"),exact(Metadata!J269,"missing: not provided"),exact(Metadata!J269,"missing: restricted access"))),AND(IF(Metadata!J269="",FALSE,ISNUMBER(VALUE(Metadata!J269))),Metadata!J269&gt;0))</f>
        <v>0</v>
      </c>
      <c r="AE269">
        <f>AND(IF(Metadata!K269="",FALSE,TRUE),exact(Metadata!K269,"g"))</f>
        <v>0</v>
      </c>
    </row>
    <row r="270" spans="1:31">
      <c r="A270" s="5">
        <f>IF(B270=" "," ",HYPERLINK(CONCATENATE("#metadata!",ADDRESS(INDEX($Q$2:$Q$1001,MATCH(ROWS($O$2:O270),$O$2:$O$1001,0),0),1)),INDEX($T$2:$T$1001,MATCH(ROWS($O$2:O270),$O$2:$O$1001,0),0)))</f>
        <v>0</v>
      </c>
      <c r="B270" s="4">
        <f>IF(OR(INDEX($P$2:$P$1001,MATCH(ROWS($O$2:O270),$O$2:$O$1001,0),1)&gt;=100000,INDEX($V$1005:$AE$1005,1,MATCH(COLUMNS($V$1006:V1006),$V$1006:$AE$1006,0))&gt;=100000), " ",IF(INDEX($V$2:$AE$1001,MATCH(ROWS($O$2:O270),$O$2:$O$1001,0),MATCH(COLUMNS($V$1006:V1006),$V$1006:$AE$1006,0)), HYPERLINK("#",""), HYPERLINK(CONCATENATE("#Metadata!", ADDRESS(INDEX($Q$2:$Q$1001,MATCH(ROWS($O$2:O270),$O$2:$O$1001,0),0), INDEX($V$1004:$AE$1004,1,MATCH(COLUMNS($V$1006:V1006),$V$1006:$AE$1006,0)))),"Fix")))</f>
        <v>0</v>
      </c>
      <c r="C270" s="4">
        <f>IF(OR(INDEX($P$2:$P$1001,MATCH(ROWS($O$2:O270),$O$2:$O$1001,0),1)&gt;=100000,INDEX($V$1005:$AE$1005,1,MATCH(COLUMNS($V$1006:W1006),$V$1006:$AE$1006,0))&gt;=100000), " ",IF(INDEX($V$2:$AE$1001,MATCH(ROWS($O$2:O270),$O$2:$O$1001,0),MATCH(COLUMNS($V$1006:W1006),$V$1006:$AE$1006,0)), HYPERLINK("#",""), HYPERLINK(CONCATENATE("#Metadata!", ADDRESS(INDEX($Q$2:$Q$1001,MATCH(ROWS($O$2:O270),$O$2:$O$1001,0),0), INDEX($V$1004:$AE$1004,1,MATCH(COLUMNS($V$1006:W1006),$V$1006:$AE$1006,0)))),"Fix")))</f>
        <v>0</v>
      </c>
      <c r="D270" s="4">
        <f>IF(OR(INDEX($P$2:$P$1001,MATCH(ROWS($O$2:O270),$O$2:$O$1001,0),1)&gt;=100000,INDEX($V$1005:$AE$1005,1,MATCH(COLUMNS($V$1006:X1006),$V$1006:$AE$1006,0))&gt;=100000), " ",IF(INDEX($V$2:$AE$1001,MATCH(ROWS($O$2:O270),$O$2:$O$1001,0),MATCH(COLUMNS($V$1006:X1006),$V$1006:$AE$1006,0)), HYPERLINK("#",""), HYPERLINK(CONCATENATE("#Metadata!", ADDRESS(INDEX($Q$2:$Q$1001,MATCH(ROWS($O$2:O270),$O$2:$O$1001,0),0), INDEX($V$1004:$AE$1004,1,MATCH(COLUMNS($V$1006:X1006),$V$1006:$AE$1006,0)))),"Fix")))</f>
        <v>0</v>
      </c>
      <c r="E270" s="4">
        <f>IF(OR(INDEX($P$2:$P$1001,MATCH(ROWS($O$2:O270),$O$2:$O$1001,0),1)&gt;=100000,INDEX($V$1005:$AE$1005,1,MATCH(COLUMNS($V$1006:Y1006),$V$1006:$AE$1006,0))&gt;=100000), " ",IF(INDEX($V$2:$AE$1001,MATCH(ROWS($O$2:O270),$O$2:$O$1001,0),MATCH(COLUMNS($V$1006:Y1006),$V$1006:$AE$1006,0)), HYPERLINK("#",""), HYPERLINK(CONCATENATE("#Metadata!", ADDRESS(INDEX($Q$2:$Q$1001,MATCH(ROWS($O$2:O270),$O$2:$O$1001,0),0), INDEX($V$1004:$AE$1004,1,MATCH(COLUMNS($V$1006:Y1006),$V$1006:$AE$1006,0)))),"Fix")))</f>
        <v>0</v>
      </c>
      <c r="F270" s="4">
        <f>IF(OR(INDEX($P$2:$P$1001,MATCH(ROWS($O$2:O270),$O$2:$O$1001,0),1)&gt;=100000,INDEX($V$1005:$AE$1005,1,MATCH(COLUMNS($V$1006:Z1006),$V$1006:$AE$1006,0))&gt;=100000), " ",IF(INDEX($V$2:$AE$1001,MATCH(ROWS($O$2:O270),$O$2:$O$1001,0),MATCH(COLUMNS($V$1006:Z1006),$V$1006:$AE$1006,0)), HYPERLINK("#",""), HYPERLINK(CONCATENATE("#Metadata!", ADDRESS(INDEX($Q$2:$Q$1001,MATCH(ROWS($O$2:O270),$O$2:$O$1001,0),0), INDEX($V$1004:$AE$1004,1,MATCH(COLUMNS($V$1006:Z1006),$V$1006:$AE$1006,0)))),"Fix")))</f>
        <v>0</v>
      </c>
      <c r="G270" s="4">
        <f>IF(OR(INDEX($P$2:$P$1001,MATCH(ROWS($O$2:O270),$O$2:$O$1001,0),1)&gt;=100000,INDEX($V$1005:$AE$1005,1,MATCH(COLUMNS($V$1006:AA1006),$V$1006:$AE$1006,0))&gt;=100000), " ",IF(INDEX($V$2:$AE$1001,MATCH(ROWS($O$2:O270),$O$2:$O$1001,0),MATCH(COLUMNS($V$1006:AA1006),$V$1006:$AE$1006,0)), HYPERLINK("#",""), HYPERLINK(CONCATENATE("#Metadata!", ADDRESS(INDEX($Q$2:$Q$1001,MATCH(ROWS($O$2:O270),$O$2:$O$1001,0),0), INDEX($V$1004:$AE$1004,1,MATCH(COLUMNS($V$1006:AA1006),$V$1006:$AE$1006,0)))),"Fix")))</f>
        <v>0</v>
      </c>
      <c r="H270" s="4">
        <f>IF(OR(INDEX($P$2:$P$1001,MATCH(ROWS($O$2:O270),$O$2:$O$1001,0),1)&gt;=100000,INDEX($V$1005:$AE$1005,1,MATCH(COLUMNS($V$1006:AB1006),$V$1006:$AE$1006,0))&gt;=100000), " ",IF(INDEX($V$2:$AE$1001,MATCH(ROWS($O$2:O270),$O$2:$O$1001,0),MATCH(COLUMNS($V$1006:AB1006),$V$1006:$AE$1006,0)), HYPERLINK("#",""), HYPERLINK(CONCATENATE("#Metadata!", ADDRESS(INDEX($Q$2:$Q$1001,MATCH(ROWS($O$2:O270),$O$2:$O$1001,0),0), INDEX($V$1004:$AE$1004,1,MATCH(COLUMNS($V$1006:AB1006),$V$1006:$AE$1006,0)))),"Fix")))</f>
        <v>0</v>
      </c>
      <c r="I270" s="4">
        <f>IF(OR(INDEX($P$2:$P$1001,MATCH(ROWS($O$2:O270),$O$2:$O$1001,0),1)&gt;=100000,INDEX($V$1005:$AE$1005,1,MATCH(COLUMNS($V$1006:AC1006),$V$1006:$AE$1006,0))&gt;=100000), " ",IF(INDEX($V$2:$AE$1001,MATCH(ROWS($O$2:O270),$O$2:$O$1001,0),MATCH(COLUMNS($V$1006:AC1006),$V$1006:$AE$1006,0)), HYPERLINK("#",""), HYPERLINK(CONCATENATE("#Metadata!", ADDRESS(INDEX($Q$2:$Q$1001,MATCH(ROWS($O$2:O270),$O$2:$O$1001,0),0), INDEX($V$1004:$AE$1004,1,MATCH(COLUMNS($V$1006:AC1006),$V$1006:$AE$1006,0)))),"Fix")))</f>
        <v>0</v>
      </c>
      <c r="J270" s="4">
        <f>IF(OR(INDEX($P$2:$P$1001,MATCH(ROWS($O$2:O270),$O$2:$O$1001,0),1)&gt;=100000,INDEX($V$1005:$AE$1005,1,MATCH(COLUMNS($V$1006:AD1006),$V$1006:$AE$1006,0))&gt;=100000), " ",IF(INDEX($V$2:$AE$1001,MATCH(ROWS($O$2:O270),$O$2:$O$1001,0),MATCH(COLUMNS($V$1006:AD1006),$V$1006:$AE$1006,0)), HYPERLINK("#",""), HYPERLINK(CONCATENATE("#Metadata!", ADDRESS(INDEX($Q$2:$Q$1001,MATCH(ROWS($O$2:O270),$O$2:$O$1001,0),0), INDEX($V$1004:$AE$1004,1,MATCH(COLUMNS($V$1006:AD1006),$V$1006:$AE$1006,0)))),"Fix")))</f>
        <v>0</v>
      </c>
      <c r="K270" s="4">
        <f>IF(OR(INDEX($P$2:$P$1001,MATCH(ROWS($O$2:O270),$O$2:$O$1001,0),1)&gt;=100000,INDEX($V$1005:$AE$1005,1,MATCH(COLUMNS($V$1006:AE1006),$V$1006:$AE$1006,0))&gt;=100000), " ",IF(INDEX($V$2:$AE$1001,MATCH(ROWS($O$2:O270),$O$2:$O$1001,0),MATCH(COLUMNS($V$1006:AE1006),$V$1006:$AE$1006,0)), HYPERLINK("#",""), HYPERLINK(CONCATENATE("#Metadata!", ADDRESS(INDEX($Q$2:$Q$1001,MATCH(ROWS($O$2:O270),$O$2:$O$1001,0),0), INDEX($V$1004:$AE$1004,1,MATCH(COLUMNS($V$1006:AE1006),$V$1006:$AE$1006,0)))),"Fix")))</f>
        <v>0</v>
      </c>
      <c r="O270">
        <v>0</v>
      </c>
      <c r="P270">
        <v>0</v>
      </c>
      <c r="Q270">
        <v>0</v>
      </c>
      <c r="R270">
        <f>IF(S270,TRUE,AND(V270:AE270))</f>
        <v>0</v>
      </c>
      <c r="S270">
        <f>COUNTBLANK(Metadata!B270:K270)=COLUMNS(Metadata!B270:K270)</f>
        <v>0</v>
      </c>
      <c r="T270">
        <v>0</v>
      </c>
      <c r="V270">
        <f>AND(IF(Metadata!B270="",FALSE,TRUE),COUNTIF(Metadata!B:B, Metadata!B270) = 1,NOT(ISERROR(SUMPRODUCT(SEARCH(MID(Metadata!B270,ROW(INDIRECT("1:"&amp;LEN(Metadata!B270))), 1),"0123456789abcdefghijklmnopqrstuvwxyzABCDEFGHIJKLMNOPQRSTUVWXYZ.")))))</f>
        <v>0</v>
      </c>
      <c r="W270">
        <f>AND(IF(Metadata!C270="",FALSE,TRUE),exact(Metadata!C270,"urban biome"))</f>
        <v>0</v>
      </c>
      <c r="X270">
        <f>AND(IF(Metadata!D270="",FALSE,TRUE),exact(Metadata!D270,"animal-associated habitat"))</f>
        <v>0</v>
      </c>
      <c r="Y270">
        <f>OR(AND(IF(Metadata!E270="",FALSE,TRUE),OR(exact(Metadata!E270,"not applicable"),exact(Metadata!E270,"missing: not collected"),exact(Metadata!E270,"missing: not provided"),exact(Metadata!E270,"missing: restricted access"))),AND(IF(Metadata!E270="",FALSE,ISNUMBER(VALUE(Metadata!E270))),Metadata!E270&gt;0))</f>
        <v>0</v>
      </c>
      <c r="Z270">
        <f>AND(IF(Metadata!F270="",FALSE,TRUE),exact(Metadata!F270,"weeks"))</f>
        <v>0</v>
      </c>
      <c r="AA270">
        <f>AND(IF(Metadata!G270="",FALSE,TRUE),exact(Metadata!G270,"mouse"))</f>
        <v>0</v>
      </c>
      <c r="AB270">
        <f>AND(IF(Metadata!H270="",FALSE,TRUE),exact(Metadata!H270,"Mus musculus"))</f>
        <v>0</v>
      </c>
      <c r="AC270">
        <f>AND(IF(Metadata!I270="",FALSE,TRUE),exact(Metadata!I270,"10090"))</f>
        <v>0</v>
      </c>
      <c r="AD270">
        <f>OR(AND(IF(Metadata!J270="",FALSE,TRUE),OR(exact(Metadata!J270,"not applicable"),exact(Metadata!J270,"missing: not collected"),exact(Metadata!J270,"missing: not provided"),exact(Metadata!J270,"missing: restricted access"))),AND(IF(Metadata!J270="",FALSE,ISNUMBER(VALUE(Metadata!J270))),Metadata!J270&gt;0))</f>
        <v>0</v>
      </c>
      <c r="AE270">
        <f>AND(IF(Metadata!K270="",FALSE,TRUE),exact(Metadata!K270,"g"))</f>
        <v>0</v>
      </c>
    </row>
    <row r="271" spans="1:31">
      <c r="A271" s="5">
        <f>IF(B271=" "," ",HYPERLINK(CONCATENATE("#metadata!",ADDRESS(INDEX($Q$2:$Q$1001,MATCH(ROWS($O$2:O271),$O$2:$O$1001,0),0),1)),INDEX($T$2:$T$1001,MATCH(ROWS($O$2:O271),$O$2:$O$1001,0),0)))</f>
        <v>0</v>
      </c>
      <c r="B271" s="4">
        <f>IF(OR(INDEX($P$2:$P$1001,MATCH(ROWS($O$2:O271),$O$2:$O$1001,0),1)&gt;=100000,INDEX($V$1005:$AE$1005,1,MATCH(COLUMNS($V$1006:V1006),$V$1006:$AE$1006,0))&gt;=100000), " ",IF(INDEX($V$2:$AE$1001,MATCH(ROWS($O$2:O271),$O$2:$O$1001,0),MATCH(COLUMNS($V$1006:V1006),$V$1006:$AE$1006,0)), HYPERLINK("#",""), HYPERLINK(CONCATENATE("#Metadata!", ADDRESS(INDEX($Q$2:$Q$1001,MATCH(ROWS($O$2:O271),$O$2:$O$1001,0),0), INDEX($V$1004:$AE$1004,1,MATCH(COLUMNS($V$1006:V1006),$V$1006:$AE$1006,0)))),"Fix")))</f>
        <v>0</v>
      </c>
      <c r="C271" s="4">
        <f>IF(OR(INDEX($P$2:$P$1001,MATCH(ROWS($O$2:O271),$O$2:$O$1001,0),1)&gt;=100000,INDEX($V$1005:$AE$1005,1,MATCH(COLUMNS($V$1006:W1006),$V$1006:$AE$1006,0))&gt;=100000), " ",IF(INDEX($V$2:$AE$1001,MATCH(ROWS($O$2:O271),$O$2:$O$1001,0),MATCH(COLUMNS($V$1006:W1006),$V$1006:$AE$1006,0)), HYPERLINK("#",""), HYPERLINK(CONCATENATE("#Metadata!", ADDRESS(INDEX($Q$2:$Q$1001,MATCH(ROWS($O$2:O271),$O$2:$O$1001,0),0), INDEX($V$1004:$AE$1004,1,MATCH(COLUMNS($V$1006:W1006),$V$1006:$AE$1006,0)))),"Fix")))</f>
        <v>0</v>
      </c>
      <c r="D271" s="4">
        <f>IF(OR(INDEX($P$2:$P$1001,MATCH(ROWS($O$2:O271),$O$2:$O$1001,0),1)&gt;=100000,INDEX($V$1005:$AE$1005,1,MATCH(COLUMNS($V$1006:X1006),$V$1006:$AE$1006,0))&gt;=100000), " ",IF(INDEX($V$2:$AE$1001,MATCH(ROWS($O$2:O271),$O$2:$O$1001,0),MATCH(COLUMNS($V$1006:X1006),$V$1006:$AE$1006,0)), HYPERLINK("#",""), HYPERLINK(CONCATENATE("#Metadata!", ADDRESS(INDEX($Q$2:$Q$1001,MATCH(ROWS($O$2:O271),$O$2:$O$1001,0),0), INDEX($V$1004:$AE$1004,1,MATCH(COLUMNS($V$1006:X1006),$V$1006:$AE$1006,0)))),"Fix")))</f>
        <v>0</v>
      </c>
      <c r="E271" s="4">
        <f>IF(OR(INDEX($P$2:$P$1001,MATCH(ROWS($O$2:O271),$O$2:$O$1001,0),1)&gt;=100000,INDEX($V$1005:$AE$1005,1,MATCH(COLUMNS($V$1006:Y1006),$V$1006:$AE$1006,0))&gt;=100000), " ",IF(INDEX($V$2:$AE$1001,MATCH(ROWS($O$2:O271),$O$2:$O$1001,0),MATCH(COLUMNS($V$1006:Y1006),$V$1006:$AE$1006,0)), HYPERLINK("#",""), HYPERLINK(CONCATENATE("#Metadata!", ADDRESS(INDEX($Q$2:$Q$1001,MATCH(ROWS($O$2:O271),$O$2:$O$1001,0),0), INDEX($V$1004:$AE$1004,1,MATCH(COLUMNS($V$1006:Y1006),$V$1006:$AE$1006,0)))),"Fix")))</f>
        <v>0</v>
      </c>
      <c r="F271" s="4">
        <f>IF(OR(INDEX($P$2:$P$1001,MATCH(ROWS($O$2:O271),$O$2:$O$1001,0),1)&gt;=100000,INDEX($V$1005:$AE$1005,1,MATCH(COLUMNS($V$1006:Z1006),$V$1006:$AE$1006,0))&gt;=100000), " ",IF(INDEX($V$2:$AE$1001,MATCH(ROWS($O$2:O271),$O$2:$O$1001,0),MATCH(COLUMNS($V$1006:Z1006),$V$1006:$AE$1006,0)), HYPERLINK("#",""), HYPERLINK(CONCATENATE("#Metadata!", ADDRESS(INDEX($Q$2:$Q$1001,MATCH(ROWS($O$2:O271),$O$2:$O$1001,0),0), INDEX($V$1004:$AE$1004,1,MATCH(COLUMNS($V$1006:Z1006),$V$1006:$AE$1006,0)))),"Fix")))</f>
        <v>0</v>
      </c>
      <c r="G271" s="4">
        <f>IF(OR(INDEX($P$2:$P$1001,MATCH(ROWS($O$2:O271),$O$2:$O$1001,0),1)&gt;=100000,INDEX($V$1005:$AE$1005,1,MATCH(COLUMNS($V$1006:AA1006),$V$1006:$AE$1006,0))&gt;=100000), " ",IF(INDEX($V$2:$AE$1001,MATCH(ROWS($O$2:O271),$O$2:$O$1001,0),MATCH(COLUMNS($V$1006:AA1006),$V$1006:$AE$1006,0)), HYPERLINK("#",""), HYPERLINK(CONCATENATE("#Metadata!", ADDRESS(INDEX($Q$2:$Q$1001,MATCH(ROWS($O$2:O271),$O$2:$O$1001,0),0), INDEX($V$1004:$AE$1004,1,MATCH(COLUMNS($V$1006:AA1006),$V$1006:$AE$1006,0)))),"Fix")))</f>
        <v>0</v>
      </c>
      <c r="H271" s="4">
        <f>IF(OR(INDEX($P$2:$P$1001,MATCH(ROWS($O$2:O271),$O$2:$O$1001,0),1)&gt;=100000,INDEX($V$1005:$AE$1005,1,MATCH(COLUMNS($V$1006:AB1006),$V$1006:$AE$1006,0))&gt;=100000), " ",IF(INDEX($V$2:$AE$1001,MATCH(ROWS($O$2:O271),$O$2:$O$1001,0),MATCH(COLUMNS($V$1006:AB1006),$V$1006:$AE$1006,0)), HYPERLINK("#",""), HYPERLINK(CONCATENATE("#Metadata!", ADDRESS(INDEX($Q$2:$Q$1001,MATCH(ROWS($O$2:O271),$O$2:$O$1001,0),0), INDEX($V$1004:$AE$1004,1,MATCH(COLUMNS($V$1006:AB1006),$V$1006:$AE$1006,0)))),"Fix")))</f>
        <v>0</v>
      </c>
      <c r="I271" s="4">
        <f>IF(OR(INDEX($P$2:$P$1001,MATCH(ROWS($O$2:O271),$O$2:$O$1001,0),1)&gt;=100000,INDEX($V$1005:$AE$1005,1,MATCH(COLUMNS($V$1006:AC1006),$V$1006:$AE$1006,0))&gt;=100000), " ",IF(INDEX($V$2:$AE$1001,MATCH(ROWS($O$2:O271),$O$2:$O$1001,0),MATCH(COLUMNS($V$1006:AC1006),$V$1006:$AE$1006,0)), HYPERLINK("#",""), HYPERLINK(CONCATENATE("#Metadata!", ADDRESS(INDEX($Q$2:$Q$1001,MATCH(ROWS($O$2:O271),$O$2:$O$1001,0),0), INDEX($V$1004:$AE$1004,1,MATCH(COLUMNS($V$1006:AC1006),$V$1006:$AE$1006,0)))),"Fix")))</f>
        <v>0</v>
      </c>
      <c r="J271" s="4">
        <f>IF(OR(INDEX($P$2:$P$1001,MATCH(ROWS($O$2:O271),$O$2:$O$1001,0),1)&gt;=100000,INDEX($V$1005:$AE$1005,1,MATCH(COLUMNS($V$1006:AD1006),$V$1006:$AE$1006,0))&gt;=100000), " ",IF(INDEX($V$2:$AE$1001,MATCH(ROWS($O$2:O271),$O$2:$O$1001,0),MATCH(COLUMNS($V$1006:AD1006),$V$1006:$AE$1006,0)), HYPERLINK("#",""), HYPERLINK(CONCATENATE("#Metadata!", ADDRESS(INDEX($Q$2:$Q$1001,MATCH(ROWS($O$2:O271),$O$2:$O$1001,0),0), INDEX($V$1004:$AE$1004,1,MATCH(COLUMNS($V$1006:AD1006),$V$1006:$AE$1006,0)))),"Fix")))</f>
        <v>0</v>
      </c>
      <c r="K271" s="4">
        <f>IF(OR(INDEX($P$2:$P$1001,MATCH(ROWS($O$2:O271),$O$2:$O$1001,0),1)&gt;=100000,INDEX($V$1005:$AE$1005,1,MATCH(COLUMNS($V$1006:AE1006),$V$1006:$AE$1006,0))&gt;=100000), " ",IF(INDEX($V$2:$AE$1001,MATCH(ROWS($O$2:O271),$O$2:$O$1001,0),MATCH(COLUMNS($V$1006:AE1006),$V$1006:$AE$1006,0)), HYPERLINK("#",""), HYPERLINK(CONCATENATE("#Metadata!", ADDRESS(INDEX($Q$2:$Q$1001,MATCH(ROWS($O$2:O271),$O$2:$O$1001,0),0), INDEX($V$1004:$AE$1004,1,MATCH(COLUMNS($V$1006:AE1006),$V$1006:$AE$1006,0)))),"Fix")))</f>
        <v>0</v>
      </c>
      <c r="O271">
        <v>0</v>
      </c>
      <c r="P271">
        <v>0</v>
      </c>
      <c r="Q271">
        <v>0</v>
      </c>
      <c r="R271">
        <f>IF(S271,TRUE,AND(V271:AE271))</f>
        <v>0</v>
      </c>
      <c r="S271">
        <f>COUNTBLANK(Metadata!B271:K271)=COLUMNS(Metadata!B271:K271)</f>
        <v>0</v>
      </c>
      <c r="T271">
        <v>0</v>
      </c>
      <c r="V271">
        <f>AND(IF(Metadata!B271="",FALSE,TRUE),COUNTIF(Metadata!B:B, Metadata!B271) = 1,NOT(ISERROR(SUMPRODUCT(SEARCH(MID(Metadata!B271,ROW(INDIRECT("1:"&amp;LEN(Metadata!B271))), 1),"0123456789abcdefghijklmnopqrstuvwxyzABCDEFGHIJKLMNOPQRSTUVWXYZ.")))))</f>
        <v>0</v>
      </c>
      <c r="W271">
        <f>AND(IF(Metadata!C271="",FALSE,TRUE),exact(Metadata!C271,"urban biome"))</f>
        <v>0</v>
      </c>
      <c r="X271">
        <f>AND(IF(Metadata!D271="",FALSE,TRUE),exact(Metadata!D271,"animal-associated habitat"))</f>
        <v>0</v>
      </c>
      <c r="Y271">
        <f>OR(AND(IF(Metadata!E271="",FALSE,TRUE),OR(exact(Metadata!E271,"not applicable"),exact(Metadata!E271,"missing: not collected"),exact(Metadata!E271,"missing: not provided"),exact(Metadata!E271,"missing: restricted access"))),AND(IF(Metadata!E271="",FALSE,ISNUMBER(VALUE(Metadata!E271))),Metadata!E271&gt;0))</f>
        <v>0</v>
      </c>
      <c r="Z271">
        <f>AND(IF(Metadata!F271="",FALSE,TRUE),exact(Metadata!F271,"weeks"))</f>
        <v>0</v>
      </c>
      <c r="AA271">
        <f>AND(IF(Metadata!G271="",FALSE,TRUE),exact(Metadata!G271,"mouse"))</f>
        <v>0</v>
      </c>
      <c r="AB271">
        <f>AND(IF(Metadata!H271="",FALSE,TRUE),exact(Metadata!H271,"Mus musculus"))</f>
        <v>0</v>
      </c>
      <c r="AC271">
        <f>AND(IF(Metadata!I271="",FALSE,TRUE),exact(Metadata!I271,"10090"))</f>
        <v>0</v>
      </c>
      <c r="AD271">
        <f>OR(AND(IF(Metadata!J271="",FALSE,TRUE),OR(exact(Metadata!J271,"not applicable"),exact(Metadata!J271,"missing: not collected"),exact(Metadata!J271,"missing: not provided"),exact(Metadata!J271,"missing: restricted access"))),AND(IF(Metadata!J271="",FALSE,ISNUMBER(VALUE(Metadata!J271))),Metadata!J271&gt;0))</f>
        <v>0</v>
      </c>
      <c r="AE271">
        <f>AND(IF(Metadata!K271="",FALSE,TRUE),exact(Metadata!K271,"g"))</f>
        <v>0</v>
      </c>
    </row>
    <row r="272" spans="1:31">
      <c r="A272" s="5">
        <f>IF(B272=" "," ",HYPERLINK(CONCATENATE("#metadata!",ADDRESS(INDEX($Q$2:$Q$1001,MATCH(ROWS($O$2:O272),$O$2:$O$1001,0),0),1)),INDEX($T$2:$T$1001,MATCH(ROWS($O$2:O272),$O$2:$O$1001,0),0)))</f>
        <v>0</v>
      </c>
      <c r="B272" s="4">
        <f>IF(OR(INDEX($P$2:$P$1001,MATCH(ROWS($O$2:O272),$O$2:$O$1001,0),1)&gt;=100000,INDEX($V$1005:$AE$1005,1,MATCH(COLUMNS($V$1006:V1006),$V$1006:$AE$1006,0))&gt;=100000), " ",IF(INDEX($V$2:$AE$1001,MATCH(ROWS($O$2:O272),$O$2:$O$1001,0),MATCH(COLUMNS($V$1006:V1006),$V$1006:$AE$1006,0)), HYPERLINK("#",""), HYPERLINK(CONCATENATE("#Metadata!", ADDRESS(INDEX($Q$2:$Q$1001,MATCH(ROWS($O$2:O272),$O$2:$O$1001,0),0), INDEX($V$1004:$AE$1004,1,MATCH(COLUMNS($V$1006:V1006),$V$1006:$AE$1006,0)))),"Fix")))</f>
        <v>0</v>
      </c>
      <c r="C272" s="4">
        <f>IF(OR(INDEX($P$2:$P$1001,MATCH(ROWS($O$2:O272),$O$2:$O$1001,0),1)&gt;=100000,INDEX($V$1005:$AE$1005,1,MATCH(COLUMNS($V$1006:W1006),$V$1006:$AE$1006,0))&gt;=100000), " ",IF(INDEX($V$2:$AE$1001,MATCH(ROWS($O$2:O272),$O$2:$O$1001,0),MATCH(COLUMNS($V$1006:W1006),$V$1006:$AE$1006,0)), HYPERLINK("#",""), HYPERLINK(CONCATENATE("#Metadata!", ADDRESS(INDEX($Q$2:$Q$1001,MATCH(ROWS($O$2:O272),$O$2:$O$1001,0),0), INDEX($V$1004:$AE$1004,1,MATCH(COLUMNS($V$1006:W1006),$V$1006:$AE$1006,0)))),"Fix")))</f>
        <v>0</v>
      </c>
      <c r="D272" s="4">
        <f>IF(OR(INDEX($P$2:$P$1001,MATCH(ROWS($O$2:O272),$O$2:$O$1001,0),1)&gt;=100000,INDEX($V$1005:$AE$1005,1,MATCH(COLUMNS($V$1006:X1006),$V$1006:$AE$1006,0))&gt;=100000), " ",IF(INDEX($V$2:$AE$1001,MATCH(ROWS($O$2:O272),$O$2:$O$1001,0),MATCH(COLUMNS($V$1006:X1006),$V$1006:$AE$1006,0)), HYPERLINK("#",""), HYPERLINK(CONCATENATE("#Metadata!", ADDRESS(INDEX($Q$2:$Q$1001,MATCH(ROWS($O$2:O272),$O$2:$O$1001,0),0), INDEX($V$1004:$AE$1004,1,MATCH(COLUMNS($V$1006:X1006),$V$1006:$AE$1006,0)))),"Fix")))</f>
        <v>0</v>
      </c>
      <c r="E272" s="4">
        <f>IF(OR(INDEX($P$2:$P$1001,MATCH(ROWS($O$2:O272),$O$2:$O$1001,0),1)&gt;=100000,INDEX($V$1005:$AE$1005,1,MATCH(COLUMNS($V$1006:Y1006),$V$1006:$AE$1006,0))&gt;=100000), " ",IF(INDEX($V$2:$AE$1001,MATCH(ROWS($O$2:O272),$O$2:$O$1001,0),MATCH(COLUMNS($V$1006:Y1006),$V$1006:$AE$1006,0)), HYPERLINK("#",""), HYPERLINK(CONCATENATE("#Metadata!", ADDRESS(INDEX($Q$2:$Q$1001,MATCH(ROWS($O$2:O272),$O$2:$O$1001,0),0), INDEX($V$1004:$AE$1004,1,MATCH(COLUMNS($V$1006:Y1006),$V$1006:$AE$1006,0)))),"Fix")))</f>
        <v>0</v>
      </c>
      <c r="F272" s="4">
        <f>IF(OR(INDEX($P$2:$P$1001,MATCH(ROWS($O$2:O272),$O$2:$O$1001,0),1)&gt;=100000,INDEX($V$1005:$AE$1005,1,MATCH(COLUMNS($V$1006:Z1006),$V$1006:$AE$1006,0))&gt;=100000), " ",IF(INDEX($V$2:$AE$1001,MATCH(ROWS($O$2:O272),$O$2:$O$1001,0),MATCH(COLUMNS($V$1006:Z1006),$V$1006:$AE$1006,0)), HYPERLINK("#",""), HYPERLINK(CONCATENATE("#Metadata!", ADDRESS(INDEX($Q$2:$Q$1001,MATCH(ROWS($O$2:O272),$O$2:$O$1001,0),0), INDEX($V$1004:$AE$1004,1,MATCH(COLUMNS($V$1006:Z1006),$V$1006:$AE$1006,0)))),"Fix")))</f>
        <v>0</v>
      </c>
      <c r="G272" s="4">
        <f>IF(OR(INDEX($P$2:$P$1001,MATCH(ROWS($O$2:O272),$O$2:$O$1001,0),1)&gt;=100000,INDEX($V$1005:$AE$1005,1,MATCH(COLUMNS($V$1006:AA1006),$V$1006:$AE$1006,0))&gt;=100000), " ",IF(INDEX($V$2:$AE$1001,MATCH(ROWS($O$2:O272),$O$2:$O$1001,0),MATCH(COLUMNS($V$1006:AA1006),$V$1006:$AE$1006,0)), HYPERLINK("#",""), HYPERLINK(CONCATENATE("#Metadata!", ADDRESS(INDEX($Q$2:$Q$1001,MATCH(ROWS($O$2:O272),$O$2:$O$1001,0),0), INDEX($V$1004:$AE$1004,1,MATCH(COLUMNS($V$1006:AA1006),$V$1006:$AE$1006,0)))),"Fix")))</f>
        <v>0</v>
      </c>
      <c r="H272" s="4">
        <f>IF(OR(INDEX($P$2:$P$1001,MATCH(ROWS($O$2:O272),$O$2:$O$1001,0),1)&gt;=100000,INDEX($V$1005:$AE$1005,1,MATCH(COLUMNS($V$1006:AB1006),$V$1006:$AE$1006,0))&gt;=100000), " ",IF(INDEX($V$2:$AE$1001,MATCH(ROWS($O$2:O272),$O$2:$O$1001,0),MATCH(COLUMNS($V$1006:AB1006),$V$1006:$AE$1006,0)), HYPERLINK("#",""), HYPERLINK(CONCATENATE("#Metadata!", ADDRESS(INDEX($Q$2:$Q$1001,MATCH(ROWS($O$2:O272),$O$2:$O$1001,0),0), INDEX($V$1004:$AE$1004,1,MATCH(COLUMNS($V$1006:AB1006),$V$1006:$AE$1006,0)))),"Fix")))</f>
        <v>0</v>
      </c>
      <c r="I272" s="4">
        <f>IF(OR(INDEX($P$2:$P$1001,MATCH(ROWS($O$2:O272),$O$2:$O$1001,0),1)&gt;=100000,INDEX($V$1005:$AE$1005,1,MATCH(COLUMNS($V$1006:AC1006),$V$1006:$AE$1006,0))&gt;=100000), " ",IF(INDEX($V$2:$AE$1001,MATCH(ROWS($O$2:O272),$O$2:$O$1001,0),MATCH(COLUMNS($V$1006:AC1006),$V$1006:$AE$1006,0)), HYPERLINK("#",""), HYPERLINK(CONCATENATE("#Metadata!", ADDRESS(INDEX($Q$2:$Q$1001,MATCH(ROWS($O$2:O272),$O$2:$O$1001,0),0), INDEX($V$1004:$AE$1004,1,MATCH(COLUMNS($V$1006:AC1006),$V$1006:$AE$1006,0)))),"Fix")))</f>
        <v>0</v>
      </c>
      <c r="J272" s="4">
        <f>IF(OR(INDEX($P$2:$P$1001,MATCH(ROWS($O$2:O272),$O$2:$O$1001,0),1)&gt;=100000,INDEX($V$1005:$AE$1005,1,MATCH(COLUMNS($V$1006:AD1006),$V$1006:$AE$1006,0))&gt;=100000), " ",IF(INDEX($V$2:$AE$1001,MATCH(ROWS($O$2:O272),$O$2:$O$1001,0),MATCH(COLUMNS($V$1006:AD1006),$V$1006:$AE$1006,0)), HYPERLINK("#",""), HYPERLINK(CONCATENATE("#Metadata!", ADDRESS(INDEX($Q$2:$Q$1001,MATCH(ROWS($O$2:O272),$O$2:$O$1001,0),0), INDEX($V$1004:$AE$1004,1,MATCH(COLUMNS($V$1006:AD1006),$V$1006:$AE$1006,0)))),"Fix")))</f>
        <v>0</v>
      </c>
      <c r="K272" s="4">
        <f>IF(OR(INDEX($P$2:$P$1001,MATCH(ROWS($O$2:O272),$O$2:$O$1001,0),1)&gt;=100000,INDEX($V$1005:$AE$1005,1,MATCH(COLUMNS($V$1006:AE1006),$V$1006:$AE$1006,0))&gt;=100000), " ",IF(INDEX($V$2:$AE$1001,MATCH(ROWS($O$2:O272),$O$2:$O$1001,0),MATCH(COLUMNS($V$1006:AE1006),$V$1006:$AE$1006,0)), HYPERLINK("#",""), HYPERLINK(CONCATENATE("#Metadata!", ADDRESS(INDEX($Q$2:$Q$1001,MATCH(ROWS($O$2:O272),$O$2:$O$1001,0),0), INDEX($V$1004:$AE$1004,1,MATCH(COLUMNS($V$1006:AE1006),$V$1006:$AE$1006,0)))),"Fix")))</f>
        <v>0</v>
      </c>
      <c r="O272">
        <v>0</v>
      </c>
      <c r="P272">
        <v>0</v>
      </c>
      <c r="Q272">
        <v>0</v>
      </c>
      <c r="R272">
        <f>IF(S272,TRUE,AND(V272:AE272))</f>
        <v>0</v>
      </c>
      <c r="S272">
        <f>COUNTBLANK(Metadata!B272:K272)=COLUMNS(Metadata!B272:K272)</f>
        <v>0</v>
      </c>
      <c r="T272">
        <v>0</v>
      </c>
      <c r="V272">
        <f>AND(IF(Metadata!B272="",FALSE,TRUE),COUNTIF(Metadata!B:B, Metadata!B272) = 1,NOT(ISERROR(SUMPRODUCT(SEARCH(MID(Metadata!B272,ROW(INDIRECT("1:"&amp;LEN(Metadata!B272))), 1),"0123456789abcdefghijklmnopqrstuvwxyzABCDEFGHIJKLMNOPQRSTUVWXYZ.")))))</f>
        <v>0</v>
      </c>
      <c r="W272">
        <f>AND(IF(Metadata!C272="",FALSE,TRUE),exact(Metadata!C272,"urban biome"))</f>
        <v>0</v>
      </c>
      <c r="X272">
        <f>AND(IF(Metadata!D272="",FALSE,TRUE),exact(Metadata!D272,"animal-associated habitat"))</f>
        <v>0</v>
      </c>
      <c r="Y272">
        <f>OR(AND(IF(Metadata!E272="",FALSE,TRUE),OR(exact(Metadata!E272,"not applicable"),exact(Metadata!E272,"missing: not collected"),exact(Metadata!E272,"missing: not provided"),exact(Metadata!E272,"missing: restricted access"))),AND(IF(Metadata!E272="",FALSE,ISNUMBER(VALUE(Metadata!E272))),Metadata!E272&gt;0))</f>
        <v>0</v>
      </c>
      <c r="Z272">
        <f>AND(IF(Metadata!F272="",FALSE,TRUE),exact(Metadata!F272,"weeks"))</f>
        <v>0</v>
      </c>
      <c r="AA272">
        <f>AND(IF(Metadata!G272="",FALSE,TRUE),exact(Metadata!G272,"mouse"))</f>
        <v>0</v>
      </c>
      <c r="AB272">
        <f>AND(IF(Metadata!H272="",FALSE,TRUE),exact(Metadata!H272,"Mus musculus"))</f>
        <v>0</v>
      </c>
      <c r="AC272">
        <f>AND(IF(Metadata!I272="",FALSE,TRUE),exact(Metadata!I272,"10090"))</f>
        <v>0</v>
      </c>
      <c r="AD272">
        <f>OR(AND(IF(Metadata!J272="",FALSE,TRUE),OR(exact(Metadata!J272,"not applicable"),exact(Metadata!J272,"missing: not collected"),exact(Metadata!J272,"missing: not provided"),exact(Metadata!J272,"missing: restricted access"))),AND(IF(Metadata!J272="",FALSE,ISNUMBER(VALUE(Metadata!J272))),Metadata!J272&gt;0))</f>
        <v>0</v>
      </c>
      <c r="AE272">
        <f>AND(IF(Metadata!K272="",FALSE,TRUE),exact(Metadata!K272,"g"))</f>
        <v>0</v>
      </c>
    </row>
    <row r="273" spans="1:31">
      <c r="A273" s="5">
        <f>IF(B273=" "," ",HYPERLINK(CONCATENATE("#metadata!",ADDRESS(INDEX($Q$2:$Q$1001,MATCH(ROWS($O$2:O273),$O$2:$O$1001,0),0),1)),INDEX($T$2:$T$1001,MATCH(ROWS($O$2:O273),$O$2:$O$1001,0),0)))</f>
        <v>0</v>
      </c>
      <c r="B273" s="4">
        <f>IF(OR(INDEX($P$2:$P$1001,MATCH(ROWS($O$2:O273),$O$2:$O$1001,0),1)&gt;=100000,INDEX($V$1005:$AE$1005,1,MATCH(COLUMNS($V$1006:V1006),$V$1006:$AE$1006,0))&gt;=100000), " ",IF(INDEX($V$2:$AE$1001,MATCH(ROWS($O$2:O273),$O$2:$O$1001,0),MATCH(COLUMNS($V$1006:V1006),$V$1006:$AE$1006,0)), HYPERLINK("#",""), HYPERLINK(CONCATENATE("#Metadata!", ADDRESS(INDEX($Q$2:$Q$1001,MATCH(ROWS($O$2:O273),$O$2:$O$1001,0),0), INDEX($V$1004:$AE$1004,1,MATCH(COLUMNS($V$1006:V1006),$V$1006:$AE$1006,0)))),"Fix")))</f>
        <v>0</v>
      </c>
      <c r="C273" s="4">
        <f>IF(OR(INDEX($P$2:$P$1001,MATCH(ROWS($O$2:O273),$O$2:$O$1001,0),1)&gt;=100000,INDEX($V$1005:$AE$1005,1,MATCH(COLUMNS($V$1006:W1006),$V$1006:$AE$1006,0))&gt;=100000), " ",IF(INDEX($V$2:$AE$1001,MATCH(ROWS($O$2:O273),$O$2:$O$1001,0),MATCH(COLUMNS($V$1006:W1006),$V$1006:$AE$1006,0)), HYPERLINK("#",""), HYPERLINK(CONCATENATE("#Metadata!", ADDRESS(INDEX($Q$2:$Q$1001,MATCH(ROWS($O$2:O273),$O$2:$O$1001,0),0), INDEX($V$1004:$AE$1004,1,MATCH(COLUMNS($V$1006:W1006),$V$1006:$AE$1006,0)))),"Fix")))</f>
        <v>0</v>
      </c>
      <c r="D273" s="4">
        <f>IF(OR(INDEX($P$2:$P$1001,MATCH(ROWS($O$2:O273),$O$2:$O$1001,0),1)&gt;=100000,INDEX($V$1005:$AE$1005,1,MATCH(COLUMNS($V$1006:X1006),$V$1006:$AE$1006,0))&gt;=100000), " ",IF(INDEX($V$2:$AE$1001,MATCH(ROWS($O$2:O273),$O$2:$O$1001,0),MATCH(COLUMNS($V$1006:X1006),$V$1006:$AE$1006,0)), HYPERLINK("#",""), HYPERLINK(CONCATENATE("#Metadata!", ADDRESS(INDEX($Q$2:$Q$1001,MATCH(ROWS($O$2:O273),$O$2:$O$1001,0),0), INDEX($V$1004:$AE$1004,1,MATCH(COLUMNS($V$1006:X1006),$V$1006:$AE$1006,0)))),"Fix")))</f>
        <v>0</v>
      </c>
      <c r="E273" s="4">
        <f>IF(OR(INDEX($P$2:$P$1001,MATCH(ROWS($O$2:O273),$O$2:$O$1001,0),1)&gt;=100000,INDEX($V$1005:$AE$1005,1,MATCH(COLUMNS($V$1006:Y1006),$V$1006:$AE$1006,0))&gt;=100000), " ",IF(INDEX($V$2:$AE$1001,MATCH(ROWS($O$2:O273),$O$2:$O$1001,0),MATCH(COLUMNS($V$1006:Y1006),$V$1006:$AE$1006,0)), HYPERLINK("#",""), HYPERLINK(CONCATENATE("#Metadata!", ADDRESS(INDEX($Q$2:$Q$1001,MATCH(ROWS($O$2:O273),$O$2:$O$1001,0),0), INDEX($V$1004:$AE$1004,1,MATCH(COLUMNS($V$1006:Y1006),$V$1006:$AE$1006,0)))),"Fix")))</f>
        <v>0</v>
      </c>
      <c r="F273" s="4">
        <f>IF(OR(INDEX($P$2:$P$1001,MATCH(ROWS($O$2:O273),$O$2:$O$1001,0),1)&gt;=100000,INDEX($V$1005:$AE$1005,1,MATCH(COLUMNS($V$1006:Z1006),$V$1006:$AE$1006,0))&gt;=100000), " ",IF(INDEX($V$2:$AE$1001,MATCH(ROWS($O$2:O273),$O$2:$O$1001,0),MATCH(COLUMNS($V$1006:Z1006),$V$1006:$AE$1006,0)), HYPERLINK("#",""), HYPERLINK(CONCATENATE("#Metadata!", ADDRESS(INDEX($Q$2:$Q$1001,MATCH(ROWS($O$2:O273),$O$2:$O$1001,0),0), INDEX($V$1004:$AE$1004,1,MATCH(COLUMNS($V$1006:Z1006),$V$1006:$AE$1006,0)))),"Fix")))</f>
        <v>0</v>
      </c>
      <c r="G273" s="4">
        <f>IF(OR(INDEX($P$2:$P$1001,MATCH(ROWS($O$2:O273),$O$2:$O$1001,0),1)&gt;=100000,INDEX($V$1005:$AE$1005,1,MATCH(COLUMNS($V$1006:AA1006),$V$1006:$AE$1006,0))&gt;=100000), " ",IF(INDEX($V$2:$AE$1001,MATCH(ROWS($O$2:O273),$O$2:$O$1001,0),MATCH(COLUMNS($V$1006:AA1006),$V$1006:$AE$1006,0)), HYPERLINK("#",""), HYPERLINK(CONCATENATE("#Metadata!", ADDRESS(INDEX($Q$2:$Q$1001,MATCH(ROWS($O$2:O273),$O$2:$O$1001,0),0), INDEX($V$1004:$AE$1004,1,MATCH(COLUMNS($V$1006:AA1006),$V$1006:$AE$1006,0)))),"Fix")))</f>
        <v>0</v>
      </c>
      <c r="H273" s="4">
        <f>IF(OR(INDEX($P$2:$P$1001,MATCH(ROWS($O$2:O273),$O$2:$O$1001,0),1)&gt;=100000,INDEX($V$1005:$AE$1005,1,MATCH(COLUMNS($V$1006:AB1006),$V$1006:$AE$1006,0))&gt;=100000), " ",IF(INDEX($V$2:$AE$1001,MATCH(ROWS($O$2:O273),$O$2:$O$1001,0),MATCH(COLUMNS($V$1006:AB1006),$V$1006:$AE$1006,0)), HYPERLINK("#",""), HYPERLINK(CONCATENATE("#Metadata!", ADDRESS(INDEX($Q$2:$Q$1001,MATCH(ROWS($O$2:O273),$O$2:$O$1001,0),0), INDEX($V$1004:$AE$1004,1,MATCH(COLUMNS($V$1006:AB1006),$V$1006:$AE$1006,0)))),"Fix")))</f>
        <v>0</v>
      </c>
      <c r="I273" s="4">
        <f>IF(OR(INDEX($P$2:$P$1001,MATCH(ROWS($O$2:O273),$O$2:$O$1001,0),1)&gt;=100000,INDEX($V$1005:$AE$1005,1,MATCH(COLUMNS($V$1006:AC1006),$V$1006:$AE$1006,0))&gt;=100000), " ",IF(INDEX($V$2:$AE$1001,MATCH(ROWS($O$2:O273),$O$2:$O$1001,0),MATCH(COLUMNS($V$1006:AC1006),$V$1006:$AE$1006,0)), HYPERLINK("#",""), HYPERLINK(CONCATENATE("#Metadata!", ADDRESS(INDEX($Q$2:$Q$1001,MATCH(ROWS($O$2:O273),$O$2:$O$1001,0),0), INDEX($V$1004:$AE$1004,1,MATCH(COLUMNS($V$1006:AC1006),$V$1006:$AE$1006,0)))),"Fix")))</f>
        <v>0</v>
      </c>
      <c r="J273" s="4">
        <f>IF(OR(INDEX($P$2:$P$1001,MATCH(ROWS($O$2:O273),$O$2:$O$1001,0),1)&gt;=100000,INDEX($V$1005:$AE$1005,1,MATCH(COLUMNS($V$1006:AD1006),$V$1006:$AE$1006,0))&gt;=100000), " ",IF(INDEX($V$2:$AE$1001,MATCH(ROWS($O$2:O273),$O$2:$O$1001,0),MATCH(COLUMNS($V$1006:AD1006),$V$1006:$AE$1006,0)), HYPERLINK("#",""), HYPERLINK(CONCATENATE("#Metadata!", ADDRESS(INDEX($Q$2:$Q$1001,MATCH(ROWS($O$2:O273),$O$2:$O$1001,0),0), INDEX($V$1004:$AE$1004,1,MATCH(COLUMNS($V$1006:AD1006),$V$1006:$AE$1006,0)))),"Fix")))</f>
        <v>0</v>
      </c>
      <c r="K273" s="4">
        <f>IF(OR(INDEX($P$2:$P$1001,MATCH(ROWS($O$2:O273),$O$2:$O$1001,0),1)&gt;=100000,INDEX($V$1005:$AE$1005,1,MATCH(COLUMNS($V$1006:AE1006),$V$1006:$AE$1006,0))&gt;=100000), " ",IF(INDEX($V$2:$AE$1001,MATCH(ROWS($O$2:O273),$O$2:$O$1001,0),MATCH(COLUMNS($V$1006:AE1006),$V$1006:$AE$1006,0)), HYPERLINK("#",""), HYPERLINK(CONCATENATE("#Metadata!", ADDRESS(INDEX($Q$2:$Q$1001,MATCH(ROWS($O$2:O273),$O$2:$O$1001,0),0), INDEX($V$1004:$AE$1004,1,MATCH(COLUMNS($V$1006:AE1006),$V$1006:$AE$1006,0)))),"Fix")))</f>
        <v>0</v>
      </c>
      <c r="O273">
        <v>0</v>
      </c>
      <c r="P273">
        <v>0</v>
      </c>
      <c r="Q273">
        <v>0</v>
      </c>
      <c r="R273">
        <f>IF(S273,TRUE,AND(V273:AE273))</f>
        <v>0</v>
      </c>
      <c r="S273">
        <f>COUNTBLANK(Metadata!B273:K273)=COLUMNS(Metadata!B273:K273)</f>
        <v>0</v>
      </c>
      <c r="T273">
        <v>0</v>
      </c>
      <c r="V273">
        <f>AND(IF(Metadata!B273="",FALSE,TRUE),COUNTIF(Metadata!B:B, Metadata!B273) = 1,NOT(ISERROR(SUMPRODUCT(SEARCH(MID(Metadata!B273,ROW(INDIRECT("1:"&amp;LEN(Metadata!B273))), 1),"0123456789abcdefghijklmnopqrstuvwxyzABCDEFGHIJKLMNOPQRSTUVWXYZ.")))))</f>
        <v>0</v>
      </c>
      <c r="W273">
        <f>AND(IF(Metadata!C273="",FALSE,TRUE),exact(Metadata!C273,"urban biome"))</f>
        <v>0</v>
      </c>
      <c r="X273">
        <f>AND(IF(Metadata!D273="",FALSE,TRUE),exact(Metadata!D273,"animal-associated habitat"))</f>
        <v>0</v>
      </c>
      <c r="Y273">
        <f>OR(AND(IF(Metadata!E273="",FALSE,TRUE),OR(exact(Metadata!E273,"not applicable"),exact(Metadata!E273,"missing: not collected"),exact(Metadata!E273,"missing: not provided"),exact(Metadata!E273,"missing: restricted access"))),AND(IF(Metadata!E273="",FALSE,ISNUMBER(VALUE(Metadata!E273))),Metadata!E273&gt;0))</f>
        <v>0</v>
      </c>
      <c r="Z273">
        <f>AND(IF(Metadata!F273="",FALSE,TRUE),exact(Metadata!F273,"weeks"))</f>
        <v>0</v>
      </c>
      <c r="AA273">
        <f>AND(IF(Metadata!G273="",FALSE,TRUE),exact(Metadata!G273,"mouse"))</f>
        <v>0</v>
      </c>
      <c r="AB273">
        <f>AND(IF(Metadata!H273="",FALSE,TRUE),exact(Metadata!H273,"Mus musculus"))</f>
        <v>0</v>
      </c>
      <c r="AC273">
        <f>AND(IF(Metadata!I273="",FALSE,TRUE),exact(Metadata!I273,"10090"))</f>
        <v>0</v>
      </c>
      <c r="AD273">
        <f>OR(AND(IF(Metadata!J273="",FALSE,TRUE),OR(exact(Metadata!J273,"not applicable"),exact(Metadata!J273,"missing: not collected"),exact(Metadata!J273,"missing: not provided"),exact(Metadata!J273,"missing: restricted access"))),AND(IF(Metadata!J273="",FALSE,ISNUMBER(VALUE(Metadata!J273))),Metadata!J273&gt;0))</f>
        <v>0</v>
      </c>
      <c r="AE273">
        <f>AND(IF(Metadata!K273="",FALSE,TRUE),exact(Metadata!K273,"g"))</f>
        <v>0</v>
      </c>
    </row>
    <row r="274" spans="1:31">
      <c r="A274" s="5">
        <f>IF(B274=" "," ",HYPERLINK(CONCATENATE("#metadata!",ADDRESS(INDEX($Q$2:$Q$1001,MATCH(ROWS($O$2:O274),$O$2:$O$1001,0),0),1)),INDEX($T$2:$T$1001,MATCH(ROWS($O$2:O274),$O$2:$O$1001,0),0)))</f>
        <v>0</v>
      </c>
      <c r="B274" s="4">
        <f>IF(OR(INDEX($P$2:$P$1001,MATCH(ROWS($O$2:O274),$O$2:$O$1001,0),1)&gt;=100000,INDEX($V$1005:$AE$1005,1,MATCH(COLUMNS($V$1006:V1006),$V$1006:$AE$1006,0))&gt;=100000), " ",IF(INDEX($V$2:$AE$1001,MATCH(ROWS($O$2:O274),$O$2:$O$1001,0),MATCH(COLUMNS($V$1006:V1006),$V$1006:$AE$1006,0)), HYPERLINK("#",""), HYPERLINK(CONCATENATE("#Metadata!", ADDRESS(INDEX($Q$2:$Q$1001,MATCH(ROWS($O$2:O274),$O$2:$O$1001,0),0), INDEX($V$1004:$AE$1004,1,MATCH(COLUMNS($V$1006:V1006),$V$1006:$AE$1006,0)))),"Fix")))</f>
        <v>0</v>
      </c>
      <c r="C274" s="4">
        <f>IF(OR(INDEX($P$2:$P$1001,MATCH(ROWS($O$2:O274),$O$2:$O$1001,0),1)&gt;=100000,INDEX($V$1005:$AE$1005,1,MATCH(COLUMNS($V$1006:W1006),$V$1006:$AE$1006,0))&gt;=100000), " ",IF(INDEX($V$2:$AE$1001,MATCH(ROWS($O$2:O274),$O$2:$O$1001,0),MATCH(COLUMNS($V$1006:W1006),$V$1006:$AE$1006,0)), HYPERLINK("#",""), HYPERLINK(CONCATENATE("#Metadata!", ADDRESS(INDEX($Q$2:$Q$1001,MATCH(ROWS($O$2:O274),$O$2:$O$1001,0),0), INDEX($V$1004:$AE$1004,1,MATCH(COLUMNS($V$1006:W1006),$V$1006:$AE$1006,0)))),"Fix")))</f>
        <v>0</v>
      </c>
      <c r="D274" s="4">
        <f>IF(OR(INDEX($P$2:$P$1001,MATCH(ROWS($O$2:O274),$O$2:$O$1001,0),1)&gt;=100000,INDEX($V$1005:$AE$1005,1,MATCH(COLUMNS($V$1006:X1006),$V$1006:$AE$1006,0))&gt;=100000), " ",IF(INDEX($V$2:$AE$1001,MATCH(ROWS($O$2:O274),$O$2:$O$1001,0),MATCH(COLUMNS($V$1006:X1006),$V$1006:$AE$1006,0)), HYPERLINK("#",""), HYPERLINK(CONCATENATE("#Metadata!", ADDRESS(INDEX($Q$2:$Q$1001,MATCH(ROWS($O$2:O274),$O$2:$O$1001,0),0), INDEX($V$1004:$AE$1004,1,MATCH(COLUMNS($V$1006:X1006),$V$1006:$AE$1006,0)))),"Fix")))</f>
        <v>0</v>
      </c>
      <c r="E274" s="4">
        <f>IF(OR(INDEX($P$2:$P$1001,MATCH(ROWS($O$2:O274),$O$2:$O$1001,0),1)&gt;=100000,INDEX($V$1005:$AE$1005,1,MATCH(COLUMNS($V$1006:Y1006),$V$1006:$AE$1006,0))&gt;=100000), " ",IF(INDEX($V$2:$AE$1001,MATCH(ROWS($O$2:O274),$O$2:$O$1001,0),MATCH(COLUMNS($V$1006:Y1006),$V$1006:$AE$1006,0)), HYPERLINK("#",""), HYPERLINK(CONCATENATE("#Metadata!", ADDRESS(INDEX($Q$2:$Q$1001,MATCH(ROWS($O$2:O274),$O$2:$O$1001,0),0), INDEX($V$1004:$AE$1004,1,MATCH(COLUMNS($V$1006:Y1006),$V$1006:$AE$1006,0)))),"Fix")))</f>
        <v>0</v>
      </c>
      <c r="F274" s="4">
        <f>IF(OR(INDEX($P$2:$P$1001,MATCH(ROWS($O$2:O274),$O$2:$O$1001,0),1)&gt;=100000,INDEX($V$1005:$AE$1005,1,MATCH(COLUMNS($V$1006:Z1006),$V$1006:$AE$1006,0))&gt;=100000), " ",IF(INDEX($V$2:$AE$1001,MATCH(ROWS($O$2:O274),$O$2:$O$1001,0),MATCH(COLUMNS($V$1006:Z1006),$V$1006:$AE$1006,0)), HYPERLINK("#",""), HYPERLINK(CONCATENATE("#Metadata!", ADDRESS(INDEX($Q$2:$Q$1001,MATCH(ROWS($O$2:O274),$O$2:$O$1001,0),0), INDEX($V$1004:$AE$1004,1,MATCH(COLUMNS($V$1006:Z1006),$V$1006:$AE$1006,0)))),"Fix")))</f>
        <v>0</v>
      </c>
      <c r="G274" s="4">
        <f>IF(OR(INDEX($P$2:$P$1001,MATCH(ROWS($O$2:O274),$O$2:$O$1001,0),1)&gt;=100000,INDEX($V$1005:$AE$1005,1,MATCH(COLUMNS($V$1006:AA1006),$V$1006:$AE$1006,0))&gt;=100000), " ",IF(INDEX($V$2:$AE$1001,MATCH(ROWS($O$2:O274),$O$2:$O$1001,0),MATCH(COLUMNS($V$1006:AA1006),$V$1006:$AE$1006,0)), HYPERLINK("#",""), HYPERLINK(CONCATENATE("#Metadata!", ADDRESS(INDEX($Q$2:$Q$1001,MATCH(ROWS($O$2:O274),$O$2:$O$1001,0),0), INDEX($V$1004:$AE$1004,1,MATCH(COLUMNS($V$1006:AA1006),$V$1006:$AE$1006,0)))),"Fix")))</f>
        <v>0</v>
      </c>
      <c r="H274" s="4">
        <f>IF(OR(INDEX($P$2:$P$1001,MATCH(ROWS($O$2:O274),$O$2:$O$1001,0),1)&gt;=100000,INDEX($V$1005:$AE$1005,1,MATCH(COLUMNS($V$1006:AB1006),$V$1006:$AE$1006,0))&gt;=100000), " ",IF(INDEX($V$2:$AE$1001,MATCH(ROWS($O$2:O274),$O$2:$O$1001,0),MATCH(COLUMNS($V$1006:AB1006),$V$1006:$AE$1006,0)), HYPERLINK("#",""), HYPERLINK(CONCATENATE("#Metadata!", ADDRESS(INDEX($Q$2:$Q$1001,MATCH(ROWS($O$2:O274),$O$2:$O$1001,0),0), INDEX($V$1004:$AE$1004,1,MATCH(COLUMNS($V$1006:AB1006),$V$1006:$AE$1006,0)))),"Fix")))</f>
        <v>0</v>
      </c>
      <c r="I274" s="4">
        <f>IF(OR(INDEX($P$2:$P$1001,MATCH(ROWS($O$2:O274),$O$2:$O$1001,0),1)&gt;=100000,INDEX($V$1005:$AE$1005,1,MATCH(COLUMNS($V$1006:AC1006),$V$1006:$AE$1006,0))&gt;=100000), " ",IF(INDEX($V$2:$AE$1001,MATCH(ROWS($O$2:O274),$O$2:$O$1001,0),MATCH(COLUMNS($V$1006:AC1006),$V$1006:$AE$1006,0)), HYPERLINK("#",""), HYPERLINK(CONCATENATE("#Metadata!", ADDRESS(INDEX($Q$2:$Q$1001,MATCH(ROWS($O$2:O274),$O$2:$O$1001,0),0), INDEX($V$1004:$AE$1004,1,MATCH(COLUMNS($V$1006:AC1006),$V$1006:$AE$1006,0)))),"Fix")))</f>
        <v>0</v>
      </c>
      <c r="J274" s="4">
        <f>IF(OR(INDEX($P$2:$P$1001,MATCH(ROWS($O$2:O274),$O$2:$O$1001,0),1)&gt;=100000,INDEX($V$1005:$AE$1005,1,MATCH(COLUMNS($V$1006:AD1006),$V$1006:$AE$1006,0))&gt;=100000), " ",IF(INDEX($V$2:$AE$1001,MATCH(ROWS($O$2:O274),$O$2:$O$1001,0),MATCH(COLUMNS($V$1006:AD1006),$V$1006:$AE$1006,0)), HYPERLINK("#",""), HYPERLINK(CONCATENATE("#Metadata!", ADDRESS(INDEX($Q$2:$Q$1001,MATCH(ROWS($O$2:O274),$O$2:$O$1001,0),0), INDEX($V$1004:$AE$1004,1,MATCH(COLUMNS($V$1006:AD1006),$V$1006:$AE$1006,0)))),"Fix")))</f>
        <v>0</v>
      </c>
      <c r="K274" s="4">
        <f>IF(OR(INDEX($P$2:$P$1001,MATCH(ROWS($O$2:O274),$O$2:$O$1001,0),1)&gt;=100000,INDEX($V$1005:$AE$1005,1,MATCH(COLUMNS($V$1006:AE1006),$V$1006:$AE$1006,0))&gt;=100000), " ",IF(INDEX($V$2:$AE$1001,MATCH(ROWS($O$2:O274),$O$2:$O$1001,0),MATCH(COLUMNS($V$1006:AE1006),$V$1006:$AE$1006,0)), HYPERLINK("#",""), HYPERLINK(CONCATENATE("#Metadata!", ADDRESS(INDEX($Q$2:$Q$1001,MATCH(ROWS($O$2:O274),$O$2:$O$1001,0),0), INDEX($V$1004:$AE$1004,1,MATCH(COLUMNS($V$1006:AE1006),$V$1006:$AE$1006,0)))),"Fix")))</f>
        <v>0</v>
      </c>
      <c r="O274">
        <v>0</v>
      </c>
      <c r="P274">
        <v>0</v>
      </c>
      <c r="Q274">
        <v>0</v>
      </c>
      <c r="R274">
        <f>IF(S274,TRUE,AND(V274:AE274))</f>
        <v>0</v>
      </c>
      <c r="S274">
        <f>COUNTBLANK(Metadata!B274:K274)=COLUMNS(Metadata!B274:K274)</f>
        <v>0</v>
      </c>
      <c r="T274">
        <v>0</v>
      </c>
      <c r="V274">
        <f>AND(IF(Metadata!B274="",FALSE,TRUE),COUNTIF(Metadata!B:B, Metadata!B274) = 1,NOT(ISERROR(SUMPRODUCT(SEARCH(MID(Metadata!B274,ROW(INDIRECT("1:"&amp;LEN(Metadata!B274))), 1),"0123456789abcdefghijklmnopqrstuvwxyzABCDEFGHIJKLMNOPQRSTUVWXYZ.")))))</f>
        <v>0</v>
      </c>
      <c r="W274">
        <f>AND(IF(Metadata!C274="",FALSE,TRUE),exact(Metadata!C274,"urban biome"))</f>
        <v>0</v>
      </c>
      <c r="X274">
        <f>AND(IF(Metadata!D274="",FALSE,TRUE),exact(Metadata!D274,"animal-associated habitat"))</f>
        <v>0</v>
      </c>
      <c r="Y274">
        <f>OR(AND(IF(Metadata!E274="",FALSE,TRUE),OR(exact(Metadata!E274,"not applicable"),exact(Metadata!E274,"missing: not collected"),exact(Metadata!E274,"missing: not provided"),exact(Metadata!E274,"missing: restricted access"))),AND(IF(Metadata!E274="",FALSE,ISNUMBER(VALUE(Metadata!E274))),Metadata!E274&gt;0))</f>
        <v>0</v>
      </c>
      <c r="Z274">
        <f>AND(IF(Metadata!F274="",FALSE,TRUE),exact(Metadata!F274,"weeks"))</f>
        <v>0</v>
      </c>
      <c r="AA274">
        <f>AND(IF(Metadata!G274="",FALSE,TRUE),exact(Metadata!G274,"mouse"))</f>
        <v>0</v>
      </c>
      <c r="AB274">
        <f>AND(IF(Metadata!H274="",FALSE,TRUE),exact(Metadata!H274,"Mus musculus"))</f>
        <v>0</v>
      </c>
      <c r="AC274">
        <f>AND(IF(Metadata!I274="",FALSE,TRUE),exact(Metadata!I274,"10090"))</f>
        <v>0</v>
      </c>
      <c r="AD274">
        <f>OR(AND(IF(Metadata!J274="",FALSE,TRUE),OR(exact(Metadata!J274,"not applicable"),exact(Metadata!J274,"missing: not collected"),exact(Metadata!J274,"missing: not provided"),exact(Metadata!J274,"missing: restricted access"))),AND(IF(Metadata!J274="",FALSE,ISNUMBER(VALUE(Metadata!J274))),Metadata!J274&gt;0))</f>
        <v>0</v>
      </c>
      <c r="AE274">
        <f>AND(IF(Metadata!K274="",FALSE,TRUE),exact(Metadata!K274,"g"))</f>
        <v>0</v>
      </c>
    </row>
    <row r="275" spans="1:31">
      <c r="A275" s="5">
        <f>IF(B275=" "," ",HYPERLINK(CONCATENATE("#metadata!",ADDRESS(INDEX($Q$2:$Q$1001,MATCH(ROWS($O$2:O275),$O$2:$O$1001,0),0),1)),INDEX($T$2:$T$1001,MATCH(ROWS($O$2:O275),$O$2:$O$1001,0),0)))</f>
        <v>0</v>
      </c>
      <c r="B275" s="4">
        <f>IF(OR(INDEX($P$2:$P$1001,MATCH(ROWS($O$2:O275),$O$2:$O$1001,0),1)&gt;=100000,INDEX($V$1005:$AE$1005,1,MATCH(COLUMNS($V$1006:V1006),$V$1006:$AE$1006,0))&gt;=100000), " ",IF(INDEX($V$2:$AE$1001,MATCH(ROWS($O$2:O275),$O$2:$O$1001,0),MATCH(COLUMNS($V$1006:V1006),$V$1006:$AE$1006,0)), HYPERLINK("#",""), HYPERLINK(CONCATENATE("#Metadata!", ADDRESS(INDEX($Q$2:$Q$1001,MATCH(ROWS($O$2:O275),$O$2:$O$1001,0),0), INDEX($V$1004:$AE$1004,1,MATCH(COLUMNS($V$1006:V1006),$V$1006:$AE$1006,0)))),"Fix")))</f>
        <v>0</v>
      </c>
      <c r="C275" s="4">
        <f>IF(OR(INDEX($P$2:$P$1001,MATCH(ROWS($O$2:O275),$O$2:$O$1001,0),1)&gt;=100000,INDEX($V$1005:$AE$1005,1,MATCH(COLUMNS($V$1006:W1006),$V$1006:$AE$1006,0))&gt;=100000), " ",IF(INDEX($V$2:$AE$1001,MATCH(ROWS($O$2:O275),$O$2:$O$1001,0),MATCH(COLUMNS($V$1006:W1006),$V$1006:$AE$1006,0)), HYPERLINK("#",""), HYPERLINK(CONCATENATE("#Metadata!", ADDRESS(INDEX($Q$2:$Q$1001,MATCH(ROWS($O$2:O275),$O$2:$O$1001,0),0), INDEX($V$1004:$AE$1004,1,MATCH(COLUMNS($V$1006:W1006),$V$1006:$AE$1006,0)))),"Fix")))</f>
        <v>0</v>
      </c>
      <c r="D275" s="4">
        <f>IF(OR(INDEX($P$2:$P$1001,MATCH(ROWS($O$2:O275),$O$2:$O$1001,0),1)&gt;=100000,INDEX($V$1005:$AE$1005,1,MATCH(COLUMNS($V$1006:X1006),$V$1006:$AE$1006,0))&gt;=100000), " ",IF(INDEX($V$2:$AE$1001,MATCH(ROWS($O$2:O275),$O$2:$O$1001,0),MATCH(COLUMNS($V$1006:X1006),$V$1006:$AE$1006,0)), HYPERLINK("#",""), HYPERLINK(CONCATENATE("#Metadata!", ADDRESS(INDEX($Q$2:$Q$1001,MATCH(ROWS($O$2:O275),$O$2:$O$1001,0),0), INDEX($V$1004:$AE$1004,1,MATCH(COLUMNS($V$1006:X1006),$V$1006:$AE$1006,0)))),"Fix")))</f>
        <v>0</v>
      </c>
      <c r="E275" s="4">
        <f>IF(OR(INDEX($P$2:$P$1001,MATCH(ROWS($O$2:O275),$O$2:$O$1001,0),1)&gt;=100000,INDEX($V$1005:$AE$1005,1,MATCH(COLUMNS($V$1006:Y1006),$V$1006:$AE$1006,0))&gt;=100000), " ",IF(INDEX($V$2:$AE$1001,MATCH(ROWS($O$2:O275),$O$2:$O$1001,0),MATCH(COLUMNS($V$1006:Y1006),$V$1006:$AE$1006,0)), HYPERLINK("#",""), HYPERLINK(CONCATENATE("#Metadata!", ADDRESS(INDEX($Q$2:$Q$1001,MATCH(ROWS($O$2:O275),$O$2:$O$1001,0),0), INDEX($V$1004:$AE$1004,1,MATCH(COLUMNS($V$1006:Y1006),$V$1006:$AE$1006,0)))),"Fix")))</f>
        <v>0</v>
      </c>
      <c r="F275" s="4">
        <f>IF(OR(INDEX($P$2:$P$1001,MATCH(ROWS($O$2:O275),$O$2:$O$1001,0),1)&gt;=100000,INDEX($V$1005:$AE$1005,1,MATCH(COLUMNS($V$1006:Z1006),$V$1006:$AE$1006,0))&gt;=100000), " ",IF(INDEX($V$2:$AE$1001,MATCH(ROWS($O$2:O275),$O$2:$O$1001,0),MATCH(COLUMNS($V$1006:Z1006),$V$1006:$AE$1006,0)), HYPERLINK("#",""), HYPERLINK(CONCATENATE("#Metadata!", ADDRESS(INDEX($Q$2:$Q$1001,MATCH(ROWS($O$2:O275),$O$2:$O$1001,0),0), INDEX($V$1004:$AE$1004,1,MATCH(COLUMNS($V$1006:Z1006),$V$1006:$AE$1006,0)))),"Fix")))</f>
        <v>0</v>
      </c>
      <c r="G275" s="4">
        <f>IF(OR(INDEX($P$2:$P$1001,MATCH(ROWS($O$2:O275),$O$2:$O$1001,0),1)&gt;=100000,INDEX($V$1005:$AE$1005,1,MATCH(COLUMNS($V$1006:AA1006),$V$1006:$AE$1006,0))&gt;=100000), " ",IF(INDEX($V$2:$AE$1001,MATCH(ROWS($O$2:O275),$O$2:$O$1001,0),MATCH(COLUMNS($V$1006:AA1006),$V$1006:$AE$1006,0)), HYPERLINK("#",""), HYPERLINK(CONCATENATE("#Metadata!", ADDRESS(INDEX($Q$2:$Q$1001,MATCH(ROWS($O$2:O275),$O$2:$O$1001,0),0), INDEX($V$1004:$AE$1004,1,MATCH(COLUMNS($V$1006:AA1006),$V$1006:$AE$1006,0)))),"Fix")))</f>
        <v>0</v>
      </c>
      <c r="H275" s="4">
        <f>IF(OR(INDEX($P$2:$P$1001,MATCH(ROWS($O$2:O275),$O$2:$O$1001,0),1)&gt;=100000,INDEX($V$1005:$AE$1005,1,MATCH(COLUMNS($V$1006:AB1006),$V$1006:$AE$1006,0))&gt;=100000), " ",IF(INDEX($V$2:$AE$1001,MATCH(ROWS($O$2:O275),$O$2:$O$1001,0),MATCH(COLUMNS($V$1006:AB1006),$V$1006:$AE$1006,0)), HYPERLINK("#",""), HYPERLINK(CONCATENATE("#Metadata!", ADDRESS(INDEX($Q$2:$Q$1001,MATCH(ROWS($O$2:O275),$O$2:$O$1001,0),0), INDEX($V$1004:$AE$1004,1,MATCH(COLUMNS($V$1006:AB1006),$V$1006:$AE$1006,0)))),"Fix")))</f>
        <v>0</v>
      </c>
      <c r="I275" s="4">
        <f>IF(OR(INDEX($P$2:$P$1001,MATCH(ROWS($O$2:O275),$O$2:$O$1001,0),1)&gt;=100000,INDEX($V$1005:$AE$1005,1,MATCH(COLUMNS($V$1006:AC1006),$V$1006:$AE$1006,0))&gt;=100000), " ",IF(INDEX($V$2:$AE$1001,MATCH(ROWS($O$2:O275),$O$2:$O$1001,0),MATCH(COLUMNS($V$1006:AC1006),$V$1006:$AE$1006,0)), HYPERLINK("#",""), HYPERLINK(CONCATENATE("#Metadata!", ADDRESS(INDEX($Q$2:$Q$1001,MATCH(ROWS($O$2:O275),$O$2:$O$1001,0),0), INDEX($V$1004:$AE$1004,1,MATCH(COLUMNS($V$1006:AC1006),$V$1006:$AE$1006,0)))),"Fix")))</f>
        <v>0</v>
      </c>
      <c r="J275" s="4">
        <f>IF(OR(INDEX($P$2:$P$1001,MATCH(ROWS($O$2:O275),$O$2:$O$1001,0),1)&gt;=100000,INDEX($V$1005:$AE$1005,1,MATCH(COLUMNS($V$1006:AD1006),$V$1006:$AE$1006,0))&gt;=100000), " ",IF(INDEX($V$2:$AE$1001,MATCH(ROWS($O$2:O275),$O$2:$O$1001,0),MATCH(COLUMNS($V$1006:AD1006),$V$1006:$AE$1006,0)), HYPERLINK("#",""), HYPERLINK(CONCATENATE("#Metadata!", ADDRESS(INDEX($Q$2:$Q$1001,MATCH(ROWS($O$2:O275),$O$2:$O$1001,0),0), INDEX($V$1004:$AE$1004,1,MATCH(COLUMNS($V$1006:AD1006),$V$1006:$AE$1006,0)))),"Fix")))</f>
        <v>0</v>
      </c>
      <c r="K275" s="4">
        <f>IF(OR(INDEX($P$2:$P$1001,MATCH(ROWS($O$2:O275),$O$2:$O$1001,0),1)&gt;=100000,INDEX($V$1005:$AE$1005,1,MATCH(COLUMNS($V$1006:AE1006),$V$1006:$AE$1006,0))&gt;=100000), " ",IF(INDEX($V$2:$AE$1001,MATCH(ROWS($O$2:O275),$O$2:$O$1001,0),MATCH(COLUMNS($V$1006:AE1006),$V$1006:$AE$1006,0)), HYPERLINK("#",""), HYPERLINK(CONCATENATE("#Metadata!", ADDRESS(INDEX($Q$2:$Q$1001,MATCH(ROWS($O$2:O275),$O$2:$O$1001,0),0), INDEX($V$1004:$AE$1004,1,MATCH(COLUMNS($V$1006:AE1006),$V$1006:$AE$1006,0)))),"Fix")))</f>
        <v>0</v>
      </c>
      <c r="O275">
        <v>0</v>
      </c>
      <c r="P275">
        <v>0</v>
      </c>
      <c r="Q275">
        <v>0</v>
      </c>
      <c r="R275">
        <f>IF(S275,TRUE,AND(V275:AE275))</f>
        <v>0</v>
      </c>
      <c r="S275">
        <f>COUNTBLANK(Metadata!B275:K275)=COLUMNS(Metadata!B275:K275)</f>
        <v>0</v>
      </c>
      <c r="T275">
        <v>0</v>
      </c>
      <c r="V275">
        <f>AND(IF(Metadata!B275="",FALSE,TRUE),COUNTIF(Metadata!B:B, Metadata!B275) = 1,NOT(ISERROR(SUMPRODUCT(SEARCH(MID(Metadata!B275,ROW(INDIRECT("1:"&amp;LEN(Metadata!B275))), 1),"0123456789abcdefghijklmnopqrstuvwxyzABCDEFGHIJKLMNOPQRSTUVWXYZ.")))))</f>
        <v>0</v>
      </c>
      <c r="W275">
        <f>AND(IF(Metadata!C275="",FALSE,TRUE),exact(Metadata!C275,"urban biome"))</f>
        <v>0</v>
      </c>
      <c r="X275">
        <f>AND(IF(Metadata!D275="",FALSE,TRUE),exact(Metadata!D275,"animal-associated habitat"))</f>
        <v>0</v>
      </c>
      <c r="Y275">
        <f>OR(AND(IF(Metadata!E275="",FALSE,TRUE),OR(exact(Metadata!E275,"not applicable"),exact(Metadata!E275,"missing: not collected"),exact(Metadata!E275,"missing: not provided"),exact(Metadata!E275,"missing: restricted access"))),AND(IF(Metadata!E275="",FALSE,ISNUMBER(VALUE(Metadata!E275))),Metadata!E275&gt;0))</f>
        <v>0</v>
      </c>
      <c r="Z275">
        <f>AND(IF(Metadata!F275="",FALSE,TRUE),exact(Metadata!F275,"weeks"))</f>
        <v>0</v>
      </c>
      <c r="AA275">
        <f>AND(IF(Metadata!G275="",FALSE,TRUE),exact(Metadata!G275,"mouse"))</f>
        <v>0</v>
      </c>
      <c r="AB275">
        <f>AND(IF(Metadata!H275="",FALSE,TRUE),exact(Metadata!H275,"Mus musculus"))</f>
        <v>0</v>
      </c>
      <c r="AC275">
        <f>AND(IF(Metadata!I275="",FALSE,TRUE),exact(Metadata!I275,"10090"))</f>
        <v>0</v>
      </c>
      <c r="AD275">
        <f>OR(AND(IF(Metadata!J275="",FALSE,TRUE),OR(exact(Metadata!J275,"not applicable"),exact(Metadata!J275,"missing: not collected"),exact(Metadata!J275,"missing: not provided"),exact(Metadata!J275,"missing: restricted access"))),AND(IF(Metadata!J275="",FALSE,ISNUMBER(VALUE(Metadata!J275))),Metadata!J275&gt;0))</f>
        <v>0</v>
      </c>
      <c r="AE275">
        <f>AND(IF(Metadata!K275="",FALSE,TRUE),exact(Metadata!K275,"g"))</f>
        <v>0</v>
      </c>
    </row>
    <row r="276" spans="1:31">
      <c r="A276" s="5">
        <f>IF(B276=" "," ",HYPERLINK(CONCATENATE("#metadata!",ADDRESS(INDEX($Q$2:$Q$1001,MATCH(ROWS($O$2:O276),$O$2:$O$1001,0),0),1)),INDEX($T$2:$T$1001,MATCH(ROWS($O$2:O276),$O$2:$O$1001,0),0)))</f>
        <v>0</v>
      </c>
      <c r="B276" s="4">
        <f>IF(OR(INDEX($P$2:$P$1001,MATCH(ROWS($O$2:O276),$O$2:$O$1001,0),1)&gt;=100000,INDEX($V$1005:$AE$1005,1,MATCH(COLUMNS($V$1006:V1006),$V$1006:$AE$1006,0))&gt;=100000), " ",IF(INDEX($V$2:$AE$1001,MATCH(ROWS($O$2:O276),$O$2:$O$1001,0),MATCH(COLUMNS($V$1006:V1006),$V$1006:$AE$1006,0)), HYPERLINK("#",""), HYPERLINK(CONCATENATE("#Metadata!", ADDRESS(INDEX($Q$2:$Q$1001,MATCH(ROWS($O$2:O276),$O$2:$O$1001,0),0), INDEX($V$1004:$AE$1004,1,MATCH(COLUMNS($V$1006:V1006),$V$1006:$AE$1006,0)))),"Fix")))</f>
        <v>0</v>
      </c>
      <c r="C276" s="4">
        <f>IF(OR(INDEX($P$2:$P$1001,MATCH(ROWS($O$2:O276),$O$2:$O$1001,0),1)&gt;=100000,INDEX($V$1005:$AE$1005,1,MATCH(COLUMNS($V$1006:W1006),$V$1006:$AE$1006,0))&gt;=100000), " ",IF(INDEX($V$2:$AE$1001,MATCH(ROWS($O$2:O276),$O$2:$O$1001,0),MATCH(COLUMNS($V$1006:W1006),$V$1006:$AE$1006,0)), HYPERLINK("#",""), HYPERLINK(CONCATENATE("#Metadata!", ADDRESS(INDEX($Q$2:$Q$1001,MATCH(ROWS($O$2:O276),$O$2:$O$1001,0),0), INDEX($V$1004:$AE$1004,1,MATCH(COLUMNS($V$1006:W1006),$V$1006:$AE$1006,0)))),"Fix")))</f>
        <v>0</v>
      </c>
      <c r="D276" s="4">
        <f>IF(OR(INDEX($P$2:$P$1001,MATCH(ROWS($O$2:O276),$O$2:$O$1001,0),1)&gt;=100000,INDEX($V$1005:$AE$1005,1,MATCH(COLUMNS($V$1006:X1006),$V$1006:$AE$1006,0))&gt;=100000), " ",IF(INDEX($V$2:$AE$1001,MATCH(ROWS($O$2:O276),$O$2:$O$1001,0),MATCH(COLUMNS($V$1006:X1006),$V$1006:$AE$1006,0)), HYPERLINK("#",""), HYPERLINK(CONCATENATE("#Metadata!", ADDRESS(INDEX($Q$2:$Q$1001,MATCH(ROWS($O$2:O276),$O$2:$O$1001,0),0), INDEX($V$1004:$AE$1004,1,MATCH(COLUMNS($V$1006:X1006),$V$1006:$AE$1006,0)))),"Fix")))</f>
        <v>0</v>
      </c>
      <c r="E276" s="4">
        <f>IF(OR(INDEX($P$2:$P$1001,MATCH(ROWS($O$2:O276),$O$2:$O$1001,0),1)&gt;=100000,INDEX($V$1005:$AE$1005,1,MATCH(COLUMNS($V$1006:Y1006),$V$1006:$AE$1006,0))&gt;=100000), " ",IF(INDEX($V$2:$AE$1001,MATCH(ROWS($O$2:O276),$O$2:$O$1001,0),MATCH(COLUMNS($V$1006:Y1006),$V$1006:$AE$1006,0)), HYPERLINK("#",""), HYPERLINK(CONCATENATE("#Metadata!", ADDRESS(INDEX($Q$2:$Q$1001,MATCH(ROWS($O$2:O276),$O$2:$O$1001,0),0), INDEX($V$1004:$AE$1004,1,MATCH(COLUMNS($V$1006:Y1006),$V$1006:$AE$1006,0)))),"Fix")))</f>
        <v>0</v>
      </c>
      <c r="F276" s="4">
        <f>IF(OR(INDEX($P$2:$P$1001,MATCH(ROWS($O$2:O276),$O$2:$O$1001,0),1)&gt;=100000,INDEX($V$1005:$AE$1005,1,MATCH(COLUMNS($V$1006:Z1006),$V$1006:$AE$1006,0))&gt;=100000), " ",IF(INDEX($V$2:$AE$1001,MATCH(ROWS($O$2:O276),$O$2:$O$1001,0),MATCH(COLUMNS($V$1006:Z1006),$V$1006:$AE$1006,0)), HYPERLINK("#",""), HYPERLINK(CONCATENATE("#Metadata!", ADDRESS(INDEX($Q$2:$Q$1001,MATCH(ROWS($O$2:O276),$O$2:$O$1001,0),0), INDEX($V$1004:$AE$1004,1,MATCH(COLUMNS($V$1006:Z1006),$V$1006:$AE$1006,0)))),"Fix")))</f>
        <v>0</v>
      </c>
      <c r="G276" s="4">
        <f>IF(OR(INDEX($P$2:$P$1001,MATCH(ROWS($O$2:O276),$O$2:$O$1001,0),1)&gt;=100000,INDEX($V$1005:$AE$1005,1,MATCH(COLUMNS($V$1006:AA1006),$V$1006:$AE$1006,0))&gt;=100000), " ",IF(INDEX($V$2:$AE$1001,MATCH(ROWS($O$2:O276),$O$2:$O$1001,0),MATCH(COLUMNS($V$1006:AA1006),$V$1006:$AE$1006,0)), HYPERLINK("#",""), HYPERLINK(CONCATENATE("#Metadata!", ADDRESS(INDEX($Q$2:$Q$1001,MATCH(ROWS($O$2:O276),$O$2:$O$1001,0),0), INDEX($V$1004:$AE$1004,1,MATCH(COLUMNS($V$1006:AA1006),$V$1006:$AE$1006,0)))),"Fix")))</f>
        <v>0</v>
      </c>
      <c r="H276" s="4">
        <f>IF(OR(INDEX($P$2:$P$1001,MATCH(ROWS($O$2:O276),$O$2:$O$1001,0),1)&gt;=100000,INDEX($V$1005:$AE$1005,1,MATCH(COLUMNS($V$1006:AB1006),$V$1006:$AE$1006,0))&gt;=100000), " ",IF(INDEX($V$2:$AE$1001,MATCH(ROWS($O$2:O276),$O$2:$O$1001,0),MATCH(COLUMNS($V$1006:AB1006),$V$1006:$AE$1006,0)), HYPERLINK("#",""), HYPERLINK(CONCATENATE("#Metadata!", ADDRESS(INDEX($Q$2:$Q$1001,MATCH(ROWS($O$2:O276),$O$2:$O$1001,0),0), INDEX($V$1004:$AE$1004,1,MATCH(COLUMNS($V$1006:AB1006),$V$1006:$AE$1006,0)))),"Fix")))</f>
        <v>0</v>
      </c>
      <c r="I276" s="4">
        <f>IF(OR(INDEX($P$2:$P$1001,MATCH(ROWS($O$2:O276),$O$2:$O$1001,0),1)&gt;=100000,INDEX($V$1005:$AE$1005,1,MATCH(COLUMNS($V$1006:AC1006),$V$1006:$AE$1006,0))&gt;=100000), " ",IF(INDEX($V$2:$AE$1001,MATCH(ROWS($O$2:O276),$O$2:$O$1001,0),MATCH(COLUMNS($V$1006:AC1006),$V$1006:$AE$1006,0)), HYPERLINK("#",""), HYPERLINK(CONCATENATE("#Metadata!", ADDRESS(INDEX($Q$2:$Q$1001,MATCH(ROWS($O$2:O276),$O$2:$O$1001,0),0), INDEX($V$1004:$AE$1004,1,MATCH(COLUMNS($V$1006:AC1006),$V$1006:$AE$1006,0)))),"Fix")))</f>
        <v>0</v>
      </c>
      <c r="J276" s="4">
        <f>IF(OR(INDEX($P$2:$P$1001,MATCH(ROWS($O$2:O276),$O$2:$O$1001,0),1)&gt;=100000,INDEX($V$1005:$AE$1005,1,MATCH(COLUMNS($V$1006:AD1006),$V$1006:$AE$1006,0))&gt;=100000), " ",IF(INDEX($V$2:$AE$1001,MATCH(ROWS($O$2:O276),$O$2:$O$1001,0),MATCH(COLUMNS($V$1006:AD1006),$V$1006:$AE$1006,0)), HYPERLINK("#",""), HYPERLINK(CONCATENATE("#Metadata!", ADDRESS(INDEX($Q$2:$Q$1001,MATCH(ROWS($O$2:O276),$O$2:$O$1001,0),0), INDEX($V$1004:$AE$1004,1,MATCH(COLUMNS($V$1006:AD1006),$V$1006:$AE$1006,0)))),"Fix")))</f>
        <v>0</v>
      </c>
      <c r="K276" s="4">
        <f>IF(OR(INDEX($P$2:$P$1001,MATCH(ROWS($O$2:O276),$O$2:$O$1001,0),1)&gt;=100000,INDEX($V$1005:$AE$1005,1,MATCH(COLUMNS($V$1006:AE1006),$V$1006:$AE$1006,0))&gt;=100000), " ",IF(INDEX($V$2:$AE$1001,MATCH(ROWS($O$2:O276),$O$2:$O$1001,0),MATCH(COLUMNS($V$1006:AE1006),$V$1006:$AE$1006,0)), HYPERLINK("#",""), HYPERLINK(CONCATENATE("#Metadata!", ADDRESS(INDEX($Q$2:$Q$1001,MATCH(ROWS($O$2:O276),$O$2:$O$1001,0),0), INDEX($V$1004:$AE$1004,1,MATCH(COLUMNS($V$1006:AE1006),$V$1006:$AE$1006,0)))),"Fix")))</f>
        <v>0</v>
      </c>
      <c r="O276">
        <v>0</v>
      </c>
      <c r="P276">
        <v>0</v>
      </c>
      <c r="Q276">
        <v>0</v>
      </c>
      <c r="R276">
        <f>IF(S276,TRUE,AND(V276:AE276))</f>
        <v>0</v>
      </c>
      <c r="S276">
        <f>COUNTBLANK(Metadata!B276:K276)=COLUMNS(Metadata!B276:K276)</f>
        <v>0</v>
      </c>
      <c r="T276">
        <v>0</v>
      </c>
      <c r="V276">
        <f>AND(IF(Metadata!B276="",FALSE,TRUE),COUNTIF(Metadata!B:B, Metadata!B276) = 1,NOT(ISERROR(SUMPRODUCT(SEARCH(MID(Metadata!B276,ROW(INDIRECT("1:"&amp;LEN(Metadata!B276))), 1),"0123456789abcdefghijklmnopqrstuvwxyzABCDEFGHIJKLMNOPQRSTUVWXYZ.")))))</f>
        <v>0</v>
      </c>
      <c r="W276">
        <f>AND(IF(Metadata!C276="",FALSE,TRUE),exact(Metadata!C276,"urban biome"))</f>
        <v>0</v>
      </c>
      <c r="X276">
        <f>AND(IF(Metadata!D276="",FALSE,TRUE),exact(Metadata!D276,"animal-associated habitat"))</f>
        <v>0</v>
      </c>
      <c r="Y276">
        <f>OR(AND(IF(Metadata!E276="",FALSE,TRUE),OR(exact(Metadata!E276,"not applicable"),exact(Metadata!E276,"missing: not collected"),exact(Metadata!E276,"missing: not provided"),exact(Metadata!E276,"missing: restricted access"))),AND(IF(Metadata!E276="",FALSE,ISNUMBER(VALUE(Metadata!E276))),Metadata!E276&gt;0))</f>
        <v>0</v>
      </c>
      <c r="Z276">
        <f>AND(IF(Metadata!F276="",FALSE,TRUE),exact(Metadata!F276,"weeks"))</f>
        <v>0</v>
      </c>
      <c r="AA276">
        <f>AND(IF(Metadata!G276="",FALSE,TRUE),exact(Metadata!G276,"mouse"))</f>
        <v>0</v>
      </c>
      <c r="AB276">
        <f>AND(IF(Metadata!H276="",FALSE,TRUE),exact(Metadata!H276,"Mus musculus"))</f>
        <v>0</v>
      </c>
      <c r="AC276">
        <f>AND(IF(Metadata!I276="",FALSE,TRUE),exact(Metadata!I276,"10090"))</f>
        <v>0</v>
      </c>
      <c r="AD276">
        <f>OR(AND(IF(Metadata!J276="",FALSE,TRUE),OR(exact(Metadata!J276,"not applicable"),exact(Metadata!J276,"missing: not collected"),exact(Metadata!J276,"missing: not provided"),exact(Metadata!J276,"missing: restricted access"))),AND(IF(Metadata!J276="",FALSE,ISNUMBER(VALUE(Metadata!J276))),Metadata!J276&gt;0))</f>
        <v>0</v>
      </c>
      <c r="AE276">
        <f>AND(IF(Metadata!K276="",FALSE,TRUE),exact(Metadata!K276,"g"))</f>
        <v>0</v>
      </c>
    </row>
    <row r="277" spans="1:31">
      <c r="A277" s="5">
        <f>IF(B277=" "," ",HYPERLINK(CONCATENATE("#metadata!",ADDRESS(INDEX($Q$2:$Q$1001,MATCH(ROWS($O$2:O277),$O$2:$O$1001,0),0),1)),INDEX($T$2:$T$1001,MATCH(ROWS($O$2:O277),$O$2:$O$1001,0),0)))</f>
        <v>0</v>
      </c>
      <c r="B277" s="4">
        <f>IF(OR(INDEX($P$2:$P$1001,MATCH(ROWS($O$2:O277),$O$2:$O$1001,0),1)&gt;=100000,INDEX($V$1005:$AE$1005,1,MATCH(COLUMNS($V$1006:V1006),$V$1006:$AE$1006,0))&gt;=100000), " ",IF(INDEX($V$2:$AE$1001,MATCH(ROWS($O$2:O277),$O$2:$O$1001,0),MATCH(COLUMNS($V$1006:V1006),$V$1006:$AE$1006,0)), HYPERLINK("#",""), HYPERLINK(CONCATENATE("#Metadata!", ADDRESS(INDEX($Q$2:$Q$1001,MATCH(ROWS($O$2:O277),$O$2:$O$1001,0),0), INDEX($V$1004:$AE$1004,1,MATCH(COLUMNS($V$1006:V1006),$V$1006:$AE$1006,0)))),"Fix")))</f>
        <v>0</v>
      </c>
      <c r="C277" s="4">
        <f>IF(OR(INDEX($P$2:$P$1001,MATCH(ROWS($O$2:O277),$O$2:$O$1001,0),1)&gt;=100000,INDEX($V$1005:$AE$1005,1,MATCH(COLUMNS($V$1006:W1006),$V$1006:$AE$1006,0))&gt;=100000), " ",IF(INDEX($V$2:$AE$1001,MATCH(ROWS($O$2:O277),$O$2:$O$1001,0),MATCH(COLUMNS($V$1006:W1006),$V$1006:$AE$1006,0)), HYPERLINK("#",""), HYPERLINK(CONCATENATE("#Metadata!", ADDRESS(INDEX($Q$2:$Q$1001,MATCH(ROWS($O$2:O277),$O$2:$O$1001,0),0), INDEX($V$1004:$AE$1004,1,MATCH(COLUMNS($V$1006:W1006),$V$1006:$AE$1006,0)))),"Fix")))</f>
        <v>0</v>
      </c>
      <c r="D277" s="4">
        <f>IF(OR(INDEX($P$2:$P$1001,MATCH(ROWS($O$2:O277),$O$2:$O$1001,0),1)&gt;=100000,INDEX($V$1005:$AE$1005,1,MATCH(COLUMNS($V$1006:X1006),$V$1006:$AE$1006,0))&gt;=100000), " ",IF(INDEX($V$2:$AE$1001,MATCH(ROWS($O$2:O277),$O$2:$O$1001,0),MATCH(COLUMNS($V$1006:X1006),$V$1006:$AE$1006,0)), HYPERLINK("#",""), HYPERLINK(CONCATENATE("#Metadata!", ADDRESS(INDEX($Q$2:$Q$1001,MATCH(ROWS($O$2:O277),$O$2:$O$1001,0),0), INDEX($V$1004:$AE$1004,1,MATCH(COLUMNS($V$1006:X1006),$V$1006:$AE$1006,0)))),"Fix")))</f>
        <v>0</v>
      </c>
      <c r="E277" s="4">
        <f>IF(OR(INDEX($P$2:$P$1001,MATCH(ROWS($O$2:O277),$O$2:$O$1001,0),1)&gt;=100000,INDEX($V$1005:$AE$1005,1,MATCH(COLUMNS($V$1006:Y1006),$V$1006:$AE$1006,0))&gt;=100000), " ",IF(INDEX($V$2:$AE$1001,MATCH(ROWS($O$2:O277),$O$2:$O$1001,0),MATCH(COLUMNS($V$1006:Y1006),$V$1006:$AE$1006,0)), HYPERLINK("#",""), HYPERLINK(CONCATENATE("#Metadata!", ADDRESS(INDEX($Q$2:$Q$1001,MATCH(ROWS($O$2:O277),$O$2:$O$1001,0),0), INDEX($V$1004:$AE$1004,1,MATCH(COLUMNS($V$1006:Y1006),$V$1006:$AE$1006,0)))),"Fix")))</f>
        <v>0</v>
      </c>
      <c r="F277" s="4">
        <f>IF(OR(INDEX($P$2:$P$1001,MATCH(ROWS($O$2:O277),$O$2:$O$1001,0),1)&gt;=100000,INDEX($V$1005:$AE$1005,1,MATCH(COLUMNS($V$1006:Z1006),$V$1006:$AE$1006,0))&gt;=100000), " ",IF(INDEX($V$2:$AE$1001,MATCH(ROWS($O$2:O277),$O$2:$O$1001,0),MATCH(COLUMNS($V$1006:Z1006),$V$1006:$AE$1006,0)), HYPERLINK("#",""), HYPERLINK(CONCATENATE("#Metadata!", ADDRESS(INDEX($Q$2:$Q$1001,MATCH(ROWS($O$2:O277),$O$2:$O$1001,0),0), INDEX($V$1004:$AE$1004,1,MATCH(COLUMNS($V$1006:Z1006),$V$1006:$AE$1006,0)))),"Fix")))</f>
        <v>0</v>
      </c>
      <c r="G277" s="4">
        <f>IF(OR(INDEX($P$2:$P$1001,MATCH(ROWS($O$2:O277),$O$2:$O$1001,0),1)&gt;=100000,INDEX($V$1005:$AE$1005,1,MATCH(COLUMNS($V$1006:AA1006),$V$1006:$AE$1006,0))&gt;=100000), " ",IF(INDEX($V$2:$AE$1001,MATCH(ROWS($O$2:O277),$O$2:$O$1001,0),MATCH(COLUMNS($V$1006:AA1006),$V$1006:$AE$1006,0)), HYPERLINK("#",""), HYPERLINK(CONCATENATE("#Metadata!", ADDRESS(INDEX($Q$2:$Q$1001,MATCH(ROWS($O$2:O277),$O$2:$O$1001,0),0), INDEX($V$1004:$AE$1004,1,MATCH(COLUMNS($V$1006:AA1006),$V$1006:$AE$1006,0)))),"Fix")))</f>
        <v>0</v>
      </c>
      <c r="H277" s="4">
        <f>IF(OR(INDEX($P$2:$P$1001,MATCH(ROWS($O$2:O277),$O$2:$O$1001,0),1)&gt;=100000,INDEX($V$1005:$AE$1005,1,MATCH(COLUMNS($V$1006:AB1006),$V$1006:$AE$1006,0))&gt;=100000), " ",IF(INDEX($V$2:$AE$1001,MATCH(ROWS($O$2:O277),$O$2:$O$1001,0),MATCH(COLUMNS($V$1006:AB1006),$V$1006:$AE$1006,0)), HYPERLINK("#",""), HYPERLINK(CONCATENATE("#Metadata!", ADDRESS(INDEX($Q$2:$Q$1001,MATCH(ROWS($O$2:O277),$O$2:$O$1001,0),0), INDEX($V$1004:$AE$1004,1,MATCH(COLUMNS($V$1006:AB1006),$V$1006:$AE$1006,0)))),"Fix")))</f>
        <v>0</v>
      </c>
      <c r="I277" s="4">
        <f>IF(OR(INDEX($P$2:$P$1001,MATCH(ROWS($O$2:O277),$O$2:$O$1001,0),1)&gt;=100000,INDEX($V$1005:$AE$1005,1,MATCH(COLUMNS($V$1006:AC1006),$V$1006:$AE$1006,0))&gt;=100000), " ",IF(INDEX($V$2:$AE$1001,MATCH(ROWS($O$2:O277),$O$2:$O$1001,0),MATCH(COLUMNS($V$1006:AC1006),$V$1006:$AE$1006,0)), HYPERLINK("#",""), HYPERLINK(CONCATENATE("#Metadata!", ADDRESS(INDEX($Q$2:$Q$1001,MATCH(ROWS($O$2:O277),$O$2:$O$1001,0),0), INDEX($V$1004:$AE$1004,1,MATCH(COLUMNS($V$1006:AC1006),$V$1006:$AE$1006,0)))),"Fix")))</f>
        <v>0</v>
      </c>
      <c r="J277" s="4">
        <f>IF(OR(INDEX($P$2:$P$1001,MATCH(ROWS($O$2:O277),$O$2:$O$1001,0),1)&gt;=100000,INDEX($V$1005:$AE$1005,1,MATCH(COLUMNS($V$1006:AD1006),$V$1006:$AE$1006,0))&gt;=100000), " ",IF(INDEX($V$2:$AE$1001,MATCH(ROWS($O$2:O277),$O$2:$O$1001,0),MATCH(COLUMNS($V$1006:AD1006),$V$1006:$AE$1006,0)), HYPERLINK("#",""), HYPERLINK(CONCATENATE("#Metadata!", ADDRESS(INDEX($Q$2:$Q$1001,MATCH(ROWS($O$2:O277),$O$2:$O$1001,0),0), INDEX($V$1004:$AE$1004,1,MATCH(COLUMNS($V$1006:AD1006),$V$1006:$AE$1006,0)))),"Fix")))</f>
        <v>0</v>
      </c>
      <c r="K277" s="4">
        <f>IF(OR(INDEX($P$2:$P$1001,MATCH(ROWS($O$2:O277),$O$2:$O$1001,0),1)&gt;=100000,INDEX($V$1005:$AE$1005,1,MATCH(COLUMNS($V$1006:AE1006),$V$1006:$AE$1006,0))&gt;=100000), " ",IF(INDEX($V$2:$AE$1001,MATCH(ROWS($O$2:O277),$O$2:$O$1001,0),MATCH(COLUMNS($V$1006:AE1006),$V$1006:$AE$1006,0)), HYPERLINK("#",""), HYPERLINK(CONCATENATE("#Metadata!", ADDRESS(INDEX($Q$2:$Q$1001,MATCH(ROWS($O$2:O277),$O$2:$O$1001,0),0), INDEX($V$1004:$AE$1004,1,MATCH(COLUMNS($V$1006:AE1006),$V$1006:$AE$1006,0)))),"Fix")))</f>
        <v>0</v>
      </c>
      <c r="O277">
        <v>0</v>
      </c>
      <c r="P277">
        <v>0</v>
      </c>
      <c r="Q277">
        <v>0</v>
      </c>
      <c r="R277">
        <f>IF(S277,TRUE,AND(V277:AE277))</f>
        <v>0</v>
      </c>
      <c r="S277">
        <f>COUNTBLANK(Metadata!B277:K277)=COLUMNS(Metadata!B277:K277)</f>
        <v>0</v>
      </c>
      <c r="T277">
        <v>0</v>
      </c>
      <c r="V277">
        <f>AND(IF(Metadata!B277="",FALSE,TRUE),COUNTIF(Metadata!B:B, Metadata!B277) = 1,NOT(ISERROR(SUMPRODUCT(SEARCH(MID(Metadata!B277,ROW(INDIRECT("1:"&amp;LEN(Metadata!B277))), 1),"0123456789abcdefghijklmnopqrstuvwxyzABCDEFGHIJKLMNOPQRSTUVWXYZ.")))))</f>
        <v>0</v>
      </c>
      <c r="W277">
        <f>AND(IF(Metadata!C277="",FALSE,TRUE),exact(Metadata!C277,"urban biome"))</f>
        <v>0</v>
      </c>
      <c r="X277">
        <f>AND(IF(Metadata!D277="",FALSE,TRUE),exact(Metadata!D277,"animal-associated habitat"))</f>
        <v>0</v>
      </c>
      <c r="Y277">
        <f>OR(AND(IF(Metadata!E277="",FALSE,TRUE),OR(exact(Metadata!E277,"not applicable"),exact(Metadata!E277,"missing: not collected"),exact(Metadata!E277,"missing: not provided"),exact(Metadata!E277,"missing: restricted access"))),AND(IF(Metadata!E277="",FALSE,ISNUMBER(VALUE(Metadata!E277))),Metadata!E277&gt;0))</f>
        <v>0</v>
      </c>
      <c r="Z277">
        <f>AND(IF(Metadata!F277="",FALSE,TRUE),exact(Metadata!F277,"weeks"))</f>
        <v>0</v>
      </c>
      <c r="AA277">
        <f>AND(IF(Metadata!G277="",FALSE,TRUE),exact(Metadata!G277,"mouse"))</f>
        <v>0</v>
      </c>
      <c r="AB277">
        <f>AND(IF(Metadata!H277="",FALSE,TRUE),exact(Metadata!H277,"Mus musculus"))</f>
        <v>0</v>
      </c>
      <c r="AC277">
        <f>AND(IF(Metadata!I277="",FALSE,TRUE),exact(Metadata!I277,"10090"))</f>
        <v>0</v>
      </c>
      <c r="AD277">
        <f>OR(AND(IF(Metadata!J277="",FALSE,TRUE),OR(exact(Metadata!J277,"not applicable"),exact(Metadata!J277,"missing: not collected"),exact(Metadata!J277,"missing: not provided"),exact(Metadata!J277,"missing: restricted access"))),AND(IF(Metadata!J277="",FALSE,ISNUMBER(VALUE(Metadata!J277))),Metadata!J277&gt;0))</f>
        <v>0</v>
      </c>
      <c r="AE277">
        <f>AND(IF(Metadata!K277="",FALSE,TRUE),exact(Metadata!K277,"g"))</f>
        <v>0</v>
      </c>
    </row>
    <row r="278" spans="1:31">
      <c r="A278" s="5">
        <f>IF(B278=" "," ",HYPERLINK(CONCATENATE("#metadata!",ADDRESS(INDEX($Q$2:$Q$1001,MATCH(ROWS($O$2:O278),$O$2:$O$1001,0),0),1)),INDEX($T$2:$T$1001,MATCH(ROWS($O$2:O278),$O$2:$O$1001,0),0)))</f>
        <v>0</v>
      </c>
      <c r="B278" s="4">
        <f>IF(OR(INDEX($P$2:$P$1001,MATCH(ROWS($O$2:O278),$O$2:$O$1001,0),1)&gt;=100000,INDEX($V$1005:$AE$1005,1,MATCH(COLUMNS($V$1006:V1006),$V$1006:$AE$1006,0))&gt;=100000), " ",IF(INDEX($V$2:$AE$1001,MATCH(ROWS($O$2:O278),$O$2:$O$1001,0),MATCH(COLUMNS($V$1006:V1006),$V$1006:$AE$1006,0)), HYPERLINK("#",""), HYPERLINK(CONCATENATE("#Metadata!", ADDRESS(INDEX($Q$2:$Q$1001,MATCH(ROWS($O$2:O278),$O$2:$O$1001,0),0), INDEX($V$1004:$AE$1004,1,MATCH(COLUMNS($V$1006:V1006),$V$1006:$AE$1006,0)))),"Fix")))</f>
        <v>0</v>
      </c>
      <c r="C278" s="4">
        <f>IF(OR(INDEX($P$2:$P$1001,MATCH(ROWS($O$2:O278),$O$2:$O$1001,0),1)&gt;=100000,INDEX($V$1005:$AE$1005,1,MATCH(COLUMNS($V$1006:W1006),$V$1006:$AE$1006,0))&gt;=100000), " ",IF(INDEX($V$2:$AE$1001,MATCH(ROWS($O$2:O278),$O$2:$O$1001,0),MATCH(COLUMNS($V$1006:W1006),$V$1006:$AE$1006,0)), HYPERLINK("#",""), HYPERLINK(CONCATENATE("#Metadata!", ADDRESS(INDEX($Q$2:$Q$1001,MATCH(ROWS($O$2:O278),$O$2:$O$1001,0),0), INDEX($V$1004:$AE$1004,1,MATCH(COLUMNS($V$1006:W1006),$V$1006:$AE$1006,0)))),"Fix")))</f>
        <v>0</v>
      </c>
      <c r="D278" s="4">
        <f>IF(OR(INDEX($P$2:$P$1001,MATCH(ROWS($O$2:O278),$O$2:$O$1001,0),1)&gt;=100000,INDEX($V$1005:$AE$1005,1,MATCH(COLUMNS($V$1006:X1006),$V$1006:$AE$1006,0))&gt;=100000), " ",IF(INDEX($V$2:$AE$1001,MATCH(ROWS($O$2:O278),$O$2:$O$1001,0),MATCH(COLUMNS($V$1006:X1006),$V$1006:$AE$1006,0)), HYPERLINK("#",""), HYPERLINK(CONCATENATE("#Metadata!", ADDRESS(INDEX($Q$2:$Q$1001,MATCH(ROWS($O$2:O278),$O$2:$O$1001,0),0), INDEX($V$1004:$AE$1004,1,MATCH(COLUMNS($V$1006:X1006),$V$1006:$AE$1006,0)))),"Fix")))</f>
        <v>0</v>
      </c>
      <c r="E278" s="4">
        <f>IF(OR(INDEX($P$2:$P$1001,MATCH(ROWS($O$2:O278),$O$2:$O$1001,0),1)&gt;=100000,INDEX($V$1005:$AE$1005,1,MATCH(COLUMNS($V$1006:Y1006),$V$1006:$AE$1006,0))&gt;=100000), " ",IF(INDEX($V$2:$AE$1001,MATCH(ROWS($O$2:O278),$O$2:$O$1001,0),MATCH(COLUMNS($V$1006:Y1006),$V$1006:$AE$1006,0)), HYPERLINK("#",""), HYPERLINK(CONCATENATE("#Metadata!", ADDRESS(INDEX($Q$2:$Q$1001,MATCH(ROWS($O$2:O278),$O$2:$O$1001,0),0), INDEX($V$1004:$AE$1004,1,MATCH(COLUMNS($V$1006:Y1006),$V$1006:$AE$1006,0)))),"Fix")))</f>
        <v>0</v>
      </c>
      <c r="F278" s="4">
        <f>IF(OR(INDEX($P$2:$P$1001,MATCH(ROWS($O$2:O278),$O$2:$O$1001,0),1)&gt;=100000,INDEX($V$1005:$AE$1005,1,MATCH(COLUMNS($V$1006:Z1006),$V$1006:$AE$1006,0))&gt;=100000), " ",IF(INDEX($V$2:$AE$1001,MATCH(ROWS($O$2:O278),$O$2:$O$1001,0),MATCH(COLUMNS($V$1006:Z1006),$V$1006:$AE$1006,0)), HYPERLINK("#",""), HYPERLINK(CONCATENATE("#Metadata!", ADDRESS(INDEX($Q$2:$Q$1001,MATCH(ROWS($O$2:O278),$O$2:$O$1001,0),0), INDEX($V$1004:$AE$1004,1,MATCH(COLUMNS($V$1006:Z1006),$V$1006:$AE$1006,0)))),"Fix")))</f>
        <v>0</v>
      </c>
      <c r="G278" s="4">
        <f>IF(OR(INDEX($P$2:$P$1001,MATCH(ROWS($O$2:O278),$O$2:$O$1001,0),1)&gt;=100000,INDEX($V$1005:$AE$1005,1,MATCH(COLUMNS($V$1006:AA1006),$V$1006:$AE$1006,0))&gt;=100000), " ",IF(INDEX($V$2:$AE$1001,MATCH(ROWS($O$2:O278),$O$2:$O$1001,0),MATCH(COLUMNS($V$1006:AA1006),$V$1006:$AE$1006,0)), HYPERLINK("#",""), HYPERLINK(CONCATENATE("#Metadata!", ADDRESS(INDEX($Q$2:$Q$1001,MATCH(ROWS($O$2:O278),$O$2:$O$1001,0),0), INDEX($V$1004:$AE$1004,1,MATCH(COLUMNS($V$1006:AA1006),$V$1006:$AE$1006,0)))),"Fix")))</f>
        <v>0</v>
      </c>
      <c r="H278" s="4">
        <f>IF(OR(INDEX($P$2:$P$1001,MATCH(ROWS($O$2:O278),$O$2:$O$1001,0),1)&gt;=100000,INDEX($V$1005:$AE$1005,1,MATCH(COLUMNS($V$1006:AB1006),$V$1006:$AE$1006,0))&gt;=100000), " ",IF(INDEX($V$2:$AE$1001,MATCH(ROWS($O$2:O278),$O$2:$O$1001,0),MATCH(COLUMNS($V$1006:AB1006),$V$1006:$AE$1006,0)), HYPERLINK("#",""), HYPERLINK(CONCATENATE("#Metadata!", ADDRESS(INDEX($Q$2:$Q$1001,MATCH(ROWS($O$2:O278),$O$2:$O$1001,0),0), INDEX($V$1004:$AE$1004,1,MATCH(COLUMNS($V$1006:AB1006),$V$1006:$AE$1006,0)))),"Fix")))</f>
        <v>0</v>
      </c>
      <c r="I278" s="4">
        <f>IF(OR(INDEX($P$2:$P$1001,MATCH(ROWS($O$2:O278),$O$2:$O$1001,0),1)&gt;=100000,INDEX($V$1005:$AE$1005,1,MATCH(COLUMNS($V$1006:AC1006),$V$1006:$AE$1006,0))&gt;=100000), " ",IF(INDEX($V$2:$AE$1001,MATCH(ROWS($O$2:O278),$O$2:$O$1001,0),MATCH(COLUMNS($V$1006:AC1006),$V$1006:$AE$1006,0)), HYPERLINK("#",""), HYPERLINK(CONCATENATE("#Metadata!", ADDRESS(INDEX($Q$2:$Q$1001,MATCH(ROWS($O$2:O278),$O$2:$O$1001,0),0), INDEX($V$1004:$AE$1004,1,MATCH(COLUMNS($V$1006:AC1006),$V$1006:$AE$1006,0)))),"Fix")))</f>
        <v>0</v>
      </c>
      <c r="J278" s="4">
        <f>IF(OR(INDEX($P$2:$P$1001,MATCH(ROWS($O$2:O278),$O$2:$O$1001,0),1)&gt;=100000,INDEX($V$1005:$AE$1005,1,MATCH(COLUMNS($V$1006:AD1006),$V$1006:$AE$1006,0))&gt;=100000), " ",IF(INDEX($V$2:$AE$1001,MATCH(ROWS($O$2:O278),$O$2:$O$1001,0),MATCH(COLUMNS($V$1006:AD1006),$V$1006:$AE$1006,0)), HYPERLINK("#",""), HYPERLINK(CONCATENATE("#Metadata!", ADDRESS(INDEX($Q$2:$Q$1001,MATCH(ROWS($O$2:O278),$O$2:$O$1001,0),0), INDEX($V$1004:$AE$1004,1,MATCH(COLUMNS($V$1006:AD1006),$V$1006:$AE$1006,0)))),"Fix")))</f>
        <v>0</v>
      </c>
      <c r="K278" s="4">
        <f>IF(OR(INDEX($P$2:$P$1001,MATCH(ROWS($O$2:O278),$O$2:$O$1001,0),1)&gt;=100000,INDEX($V$1005:$AE$1005,1,MATCH(COLUMNS($V$1006:AE1006),$V$1006:$AE$1006,0))&gt;=100000), " ",IF(INDEX($V$2:$AE$1001,MATCH(ROWS($O$2:O278),$O$2:$O$1001,0),MATCH(COLUMNS($V$1006:AE1006),$V$1006:$AE$1006,0)), HYPERLINK("#",""), HYPERLINK(CONCATENATE("#Metadata!", ADDRESS(INDEX($Q$2:$Q$1001,MATCH(ROWS($O$2:O278),$O$2:$O$1001,0),0), INDEX($V$1004:$AE$1004,1,MATCH(COLUMNS($V$1006:AE1006),$V$1006:$AE$1006,0)))),"Fix")))</f>
        <v>0</v>
      </c>
      <c r="O278">
        <v>0</v>
      </c>
      <c r="P278">
        <v>0</v>
      </c>
      <c r="Q278">
        <v>0</v>
      </c>
      <c r="R278">
        <f>IF(S278,TRUE,AND(V278:AE278))</f>
        <v>0</v>
      </c>
      <c r="S278">
        <f>COUNTBLANK(Metadata!B278:K278)=COLUMNS(Metadata!B278:K278)</f>
        <v>0</v>
      </c>
      <c r="T278">
        <v>0</v>
      </c>
      <c r="V278">
        <f>AND(IF(Metadata!B278="",FALSE,TRUE),COUNTIF(Metadata!B:B, Metadata!B278) = 1,NOT(ISERROR(SUMPRODUCT(SEARCH(MID(Metadata!B278,ROW(INDIRECT("1:"&amp;LEN(Metadata!B278))), 1),"0123456789abcdefghijklmnopqrstuvwxyzABCDEFGHIJKLMNOPQRSTUVWXYZ.")))))</f>
        <v>0</v>
      </c>
      <c r="W278">
        <f>AND(IF(Metadata!C278="",FALSE,TRUE),exact(Metadata!C278,"urban biome"))</f>
        <v>0</v>
      </c>
      <c r="X278">
        <f>AND(IF(Metadata!D278="",FALSE,TRUE),exact(Metadata!D278,"animal-associated habitat"))</f>
        <v>0</v>
      </c>
      <c r="Y278">
        <f>OR(AND(IF(Metadata!E278="",FALSE,TRUE),OR(exact(Metadata!E278,"not applicable"),exact(Metadata!E278,"missing: not collected"),exact(Metadata!E278,"missing: not provided"),exact(Metadata!E278,"missing: restricted access"))),AND(IF(Metadata!E278="",FALSE,ISNUMBER(VALUE(Metadata!E278))),Metadata!E278&gt;0))</f>
        <v>0</v>
      </c>
      <c r="Z278">
        <f>AND(IF(Metadata!F278="",FALSE,TRUE),exact(Metadata!F278,"weeks"))</f>
        <v>0</v>
      </c>
      <c r="AA278">
        <f>AND(IF(Metadata!G278="",FALSE,TRUE),exact(Metadata!G278,"mouse"))</f>
        <v>0</v>
      </c>
      <c r="AB278">
        <f>AND(IF(Metadata!H278="",FALSE,TRUE),exact(Metadata!H278,"Mus musculus"))</f>
        <v>0</v>
      </c>
      <c r="AC278">
        <f>AND(IF(Metadata!I278="",FALSE,TRUE),exact(Metadata!I278,"10090"))</f>
        <v>0</v>
      </c>
      <c r="AD278">
        <f>OR(AND(IF(Metadata!J278="",FALSE,TRUE),OR(exact(Metadata!J278,"not applicable"),exact(Metadata!J278,"missing: not collected"),exact(Metadata!J278,"missing: not provided"),exact(Metadata!J278,"missing: restricted access"))),AND(IF(Metadata!J278="",FALSE,ISNUMBER(VALUE(Metadata!J278))),Metadata!J278&gt;0))</f>
        <v>0</v>
      </c>
      <c r="AE278">
        <f>AND(IF(Metadata!K278="",FALSE,TRUE),exact(Metadata!K278,"g"))</f>
        <v>0</v>
      </c>
    </row>
    <row r="279" spans="1:31">
      <c r="A279" s="5">
        <f>IF(B279=" "," ",HYPERLINK(CONCATENATE("#metadata!",ADDRESS(INDEX($Q$2:$Q$1001,MATCH(ROWS($O$2:O279),$O$2:$O$1001,0),0),1)),INDEX($T$2:$T$1001,MATCH(ROWS($O$2:O279),$O$2:$O$1001,0),0)))</f>
        <v>0</v>
      </c>
      <c r="B279" s="4">
        <f>IF(OR(INDEX($P$2:$P$1001,MATCH(ROWS($O$2:O279),$O$2:$O$1001,0),1)&gt;=100000,INDEX($V$1005:$AE$1005,1,MATCH(COLUMNS($V$1006:V1006),$V$1006:$AE$1006,0))&gt;=100000), " ",IF(INDEX($V$2:$AE$1001,MATCH(ROWS($O$2:O279),$O$2:$O$1001,0),MATCH(COLUMNS($V$1006:V1006),$V$1006:$AE$1006,0)), HYPERLINK("#",""), HYPERLINK(CONCATENATE("#Metadata!", ADDRESS(INDEX($Q$2:$Q$1001,MATCH(ROWS($O$2:O279),$O$2:$O$1001,0),0), INDEX($V$1004:$AE$1004,1,MATCH(COLUMNS($V$1006:V1006),$V$1006:$AE$1006,0)))),"Fix")))</f>
        <v>0</v>
      </c>
      <c r="C279" s="4">
        <f>IF(OR(INDEX($P$2:$P$1001,MATCH(ROWS($O$2:O279),$O$2:$O$1001,0),1)&gt;=100000,INDEX($V$1005:$AE$1005,1,MATCH(COLUMNS($V$1006:W1006),$V$1006:$AE$1006,0))&gt;=100000), " ",IF(INDEX($V$2:$AE$1001,MATCH(ROWS($O$2:O279),$O$2:$O$1001,0),MATCH(COLUMNS($V$1006:W1006),$V$1006:$AE$1006,0)), HYPERLINK("#",""), HYPERLINK(CONCATENATE("#Metadata!", ADDRESS(INDEX($Q$2:$Q$1001,MATCH(ROWS($O$2:O279),$O$2:$O$1001,0),0), INDEX($V$1004:$AE$1004,1,MATCH(COLUMNS($V$1006:W1006),$V$1006:$AE$1006,0)))),"Fix")))</f>
        <v>0</v>
      </c>
      <c r="D279" s="4">
        <f>IF(OR(INDEX($P$2:$P$1001,MATCH(ROWS($O$2:O279),$O$2:$O$1001,0),1)&gt;=100000,INDEX($V$1005:$AE$1005,1,MATCH(COLUMNS($V$1006:X1006),$V$1006:$AE$1006,0))&gt;=100000), " ",IF(INDEX($V$2:$AE$1001,MATCH(ROWS($O$2:O279),$O$2:$O$1001,0),MATCH(COLUMNS($V$1006:X1006),$V$1006:$AE$1006,0)), HYPERLINK("#",""), HYPERLINK(CONCATENATE("#Metadata!", ADDRESS(INDEX($Q$2:$Q$1001,MATCH(ROWS($O$2:O279),$O$2:$O$1001,0),0), INDEX($V$1004:$AE$1004,1,MATCH(COLUMNS($V$1006:X1006),$V$1006:$AE$1006,0)))),"Fix")))</f>
        <v>0</v>
      </c>
      <c r="E279" s="4">
        <f>IF(OR(INDEX($P$2:$P$1001,MATCH(ROWS($O$2:O279),$O$2:$O$1001,0),1)&gt;=100000,INDEX($V$1005:$AE$1005,1,MATCH(COLUMNS($V$1006:Y1006),$V$1006:$AE$1006,0))&gt;=100000), " ",IF(INDEX($V$2:$AE$1001,MATCH(ROWS($O$2:O279),$O$2:$O$1001,0),MATCH(COLUMNS($V$1006:Y1006),$V$1006:$AE$1006,0)), HYPERLINK("#",""), HYPERLINK(CONCATENATE("#Metadata!", ADDRESS(INDEX($Q$2:$Q$1001,MATCH(ROWS($O$2:O279),$O$2:$O$1001,0),0), INDEX($V$1004:$AE$1004,1,MATCH(COLUMNS($V$1006:Y1006),$V$1006:$AE$1006,0)))),"Fix")))</f>
        <v>0</v>
      </c>
      <c r="F279" s="4">
        <f>IF(OR(INDEX($P$2:$P$1001,MATCH(ROWS($O$2:O279),$O$2:$O$1001,0),1)&gt;=100000,INDEX($V$1005:$AE$1005,1,MATCH(COLUMNS($V$1006:Z1006),$V$1006:$AE$1006,0))&gt;=100000), " ",IF(INDEX($V$2:$AE$1001,MATCH(ROWS($O$2:O279),$O$2:$O$1001,0),MATCH(COLUMNS($V$1006:Z1006),$V$1006:$AE$1006,0)), HYPERLINK("#",""), HYPERLINK(CONCATENATE("#Metadata!", ADDRESS(INDEX($Q$2:$Q$1001,MATCH(ROWS($O$2:O279),$O$2:$O$1001,0),0), INDEX($V$1004:$AE$1004,1,MATCH(COLUMNS($V$1006:Z1006),$V$1006:$AE$1006,0)))),"Fix")))</f>
        <v>0</v>
      </c>
      <c r="G279" s="4">
        <f>IF(OR(INDEX($P$2:$P$1001,MATCH(ROWS($O$2:O279),$O$2:$O$1001,0),1)&gt;=100000,INDEX($V$1005:$AE$1005,1,MATCH(COLUMNS($V$1006:AA1006),$V$1006:$AE$1006,0))&gt;=100000), " ",IF(INDEX($V$2:$AE$1001,MATCH(ROWS($O$2:O279),$O$2:$O$1001,0),MATCH(COLUMNS($V$1006:AA1006),$V$1006:$AE$1006,0)), HYPERLINK("#",""), HYPERLINK(CONCATENATE("#Metadata!", ADDRESS(INDEX($Q$2:$Q$1001,MATCH(ROWS($O$2:O279),$O$2:$O$1001,0),0), INDEX($V$1004:$AE$1004,1,MATCH(COLUMNS($V$1006:AA1006),$V$1006:$AE$1006,0)))),"Fix")))</f>
        <v>0</v>
      </c>
      <c r="H279" s="4">
        <f>IF(OR(INDEX($P$2:$P$1001,MATCH(ROWS($O$2:O279),$O$2:$O$1001,0),1)&gt;=100000,INDEX($V$1005:$AE$1005,1,MATCH(COLUMNS($V$1006:AB1006),$V$1006:$AE$1006,0))&gt;=100000), " ",IF(INDEX($V$2:$AE$1001,MATCH(ROWS($O$2:O279),$O$2:$O$1001,0),MATCH(COLUMNS($V$1006:AB1006),$V$1006:$AE$1006,0)), HYPERLINK("#",""), HYPERLINK(CONCATENATE("#Metadata!", ADDRESS(INDEX($Q$2:$Q$1001,MATCH(ROWS($O$2:O279),$O$2:$O$1001,0),0), INDEX($V$1004:$AE$1004,1,MATCH(COLUMNS($V$1006:AB1006),$V$1006:$AE$1006,0)))),"Fix")))</f>
        <v>0</v>
      </c>
      <c r="I279" s="4">
        <f>IF(OR(INDEX($P$2:$P$1001,MATCH(ROWS($O$2:O279),$O$2:$O$1001,0),1)&gt;=100000,INDEX($V$1005:$AE$1005,1,MATCH(COLUMNS($V$1006:AC1006),$V$1006:$AE$1006,0))&gt;=100000), " ",IF(INDEX($V$2:$AE$1001,MATCH(ROWS($O$2:O279),$O$2:$O$1001,0),MATCH(COLUMNS($V$1006:AC1006),$V$1006:$AE$1006,0)), HYPERLINK("#",""), HYPERLINK(CONCATENATE("#Metadata!", ADDRESS(INDEX($Q$2:$Q$1001,MATCH(ROWS($O$2:O279),$O$2:$O$1001,0),0), INDEX($V$1004:$AE$1004,1,MATCH(COLUMNS($V$1006:AC1006),$V$1006:$AE$1006,0)))),"Fix")))</f>
        <v>0</v>
      </c>
      <c r="J279" s="4">
        <f>IF(OR(INDEX($P$2:$P$1001,MATCH(ROWS($O$2:O279),$O$2:$O$1001,0),1)&gt;=100000,INDEX($V$1005:$AE$1005,1,MATCH(COLUMNS($V$1006:AD1006),$V$1006:$AE$1006,0))&gt;=100000), " ",IF(INDEX($V$2:$AE$1001,MATCH(ROWS($O$2:O279),$O$2:$O$1001,0),MATCH(COLUMNS($V$1006:AD1006),$V$1006:$AE$1006,0)), HYPERLINK("#",""), HYPERLINK(CONCATENATE("#Metadata!", ADDRESS(INDEX($Q$2:$Q$1001,MATCH(ROWS($O$2:O279),$O$2:$O$1001,0),0), INDEX($V$1004:$AE$1004,1,MATCH(COLUMNS($V$1006:AD1006),$V$1006:$AE$1006,0)))),"Fix")))</f>
        <v>0</v>
      </c>
      <c r="K279" s="4">
        <f>IF(OR(INDEX($P$2:$P$1001,MATCH(ROWS($O$2:O279),$O$2:$O$1001,0),1)&gt;=100000,INDEX($V$1005:$AE$1005,1,MATCH(COLUMNS($V$1006:AE1006),$V$1006:$AE$1006,0))&gt;=100000), " ",IF(INDEX($V$2:$AE$1001,MATCH(ROWS($O$2:O279),$O$2:$O$1001,0),MATCH(COLUMNS($V$1006:AE1006),$V$1006:$AE$1006,0)), HYPERLINK("#",""), HYPERLINK(CONCATENATE("#Metadata!", ADDRESS(INDEX($Q$2:$Q$1001,MATCH(ROWS($O$2:O279),$O$2:$O$1001,0),0), INDEX($V$1004:$AE$1004,1,MATCH(COLUMNS($V$1006:AE1006),$V$1006:$AE$1006,0)))),"Fix")))</f>
        <v>0</v>
      </c>
      <c r="O279">
        <v>0</v>
      </c>
      <c r="P279">
        <v>0</v>
      </c>
      <c r="Q279">
        <v>0</v>
      </c>
      <c r="R279">
        <f>IF(S279,TRUE,AND(V279:AE279))</f>
        <v>0</v>
      </c>
      <c r="S279">
        <f>COUNTBLANK(Metadata!B279:K279)=COLUMNS(Metadata!B279:K279)</f>
        <v>0</v>
      </c>
      <c r="T279">
        <v>0</v>
      </c>
      <c r="V279">
        <f>AND(IF(Metadata!B279="",FALSE,TRUE),COUNTIF(Metadata!B:B, Metadata!B279) = 1,NOT(ISERROR(SUMPRODUCT(SEARCH(MID(Metadata!B279,ROW(INDIRECT("1:"&amp;LEN(Metadata!B279))), 1),"0123456789abcdefghijklmnopqrstuvwxyzABCDEFGHIJKLMNOPQRSTUVWXYZ.")))))</f>
        <v>0</v>
      </c>
      <c r="W279">
        <f>AND(IF(Metadata!C279="",FALSE,TRUE),exact(Metadata!C279,"urban biome"))</f>
        <v>0</v>
      </c>
      <c r="X279">
        <f>AND(IF(Metadata!D279="",FALSE,TRUE),exact(Metadata!D279,"animal-associated habitat"))</f>
        <v>0</v>
      </c>
      <c r="Y279">
        <f>OR(AND(IF(Metadata!E279="",FALSE,TRUE),OR(exact(Metadata!E279,"not applicable"),exact(Metadata!E279,"missing: not collected"),exact(Metadata!E279,"missing: not provided"),exact(Metadata!E279,"missing: restricted access"))),AND(IF(Metadata!E279="",FALSE,ISNUMBER(VALUE(Metadata!E279))),Metadata!E279&gt;0))</f>
        <v>0</v>
      </c>
      <c r="Z279">
        <f>AND(IF(Metadata!F279="",FALSE,TRUE),exact(Metadata!F279,"weeks"))</f>
        <v>0</v>
      </c>
      <c r="AA279">
        <f>AND(IF(Metadata!G279="",FALSE,TRUE),exact(Metadata!G279,"mouse"))</f>
        <v>0</v>
      </c>
      <c r="AB279">
        <f>AND(IF(Metadata!H279="",FALSE,TRUE),exact(Metadata!H279,"Mus musculus"))</f>
        <v>0</v>
      </c>
      <c r="AC279">
        <f>AND(IF(Metadata!I279="",FALSE,TRUE),exact(Metadata!I279,"10090"))</f>
        <v>0</v>
      </c>
      <c r="AD279">
        <f>OR(AND(IF(Metadata!J279="",FALSE,TRUE),OR(exact(Metadata!J279,"not applicable"),exact(Metadata!J279,"missing: not collected"),exact(Metadata!J279,"missing: not provided"),exact(Metadata!J279,"missing: restricted access"))),AND(IF(Metadata!J279="",FALSE,ISNUMBER(VALUE(Metadata!J279))),Metadata!J279&gt;0))</f>
        <v>0</v>
      </c>
      <c r="AE279">
        <f>AND(IF(Metadata!K279="",FALSE,TRUE),exact(Metadata!K279,"g"))</f>
        <v>0</v>
      </c>
    </row>
    <row r="280" spans="1:31">
      <c r="A280" s="5">
        <f>IF(B280=" "," ",HYPERLINK(CONCATENATE("#metadata!",ADDRESS(INDEX($Q$2:$Q$1001,MATCH(ROWS($O$2:O280),$O$2:$O$1001,0),0),1)),INDEX($T$2:$T$1001,MATCH(ROWS($O$2:O280),$O$2:$O$1001,0),0)))</f>
        <v>0</v>
      </c>
      <c r="B280" s="4">
        <f>IF(OR(INDEX($P$2:$P$1001,MATCH(ROWS($O$2:O280),$O$2:$O$1001,0),1)&gt;=100000,INDEX($V$1005:$AE$1005,1,MATCH(COLUMNS($V$1006:V1006),$V$1006:$AE$1006,0))&gt;=100000), " ",IF(INDEX($V$2:$AE$1001,MATCH(ROWS($O$2:O280),$O$2:$O$1001,0),MATCH(COLUMNS($V$1006:V1006),$V$1006:$AE$1006,0)), HYPERLINK("#",""), HYPERLINK(CONCATENATE("#Metadata!", ADDRESS(INDEX($Q$2:$Q$1001,MATCH(ROWS($O$2:O280),$O$2:$O$1001,0),0), INDEX($V$1004:$AE$1004,1,MATCH(COLUMNS($V$1006:V1006),$V$1006:$AE$1006,0)))),"Fix")))</f>
        <v>0</v>
      </c>
      <c r="C280" s="4">
        <f>IF(OR(INDEX($P$2:$P$1001,MATCH(ROWS($O$2:O280),$O$2:$O$1001,0),1)&gt;=100000,INDEX($V$1005:$AE$1005,1,MATCH(COLUMNS($V$1006:W1006),$V$1006:$AE$1006,0))&gt;=100000), " ",IF(INDEX($V$2:$AE$1001,MATCH(ROWS($O$2:O280),$O$2:$O$1001,0),MATCH(COLUMNS($V$1006:W1006),$V$1006:$AE$1006,0)), HYPERLINK("#",""), HYPERLINK(CONCATENATE("#Metadata!", ADDRESS(INDEX($Q$2:$Q$1001,MATCH(ROWS($O$2:O280),$O$2:$O$1001,0),0), INDEX($V$1004:$AE$1004,1,MATCH(COLUMNS($V$1006:W1006),$V$1006:$AE$1006,0)))),"Fix")))</f>
        <v>0</v>
      </c>
      <c r="D280" s="4">
        <f>IF(OR(INDEX($P$2:$P$1001,MATCH(ROWS($O$2:O280),$O$2:$O$1001,0),1)&gt;=100000,INDEX($V$1005:$AE$1005,1,MATCH(COLUMNS($V$1006:X1006),$V$1006:$AE$1006,0))&gt;=100000), " ",IF(INDEX($V$2:$AE$1001,MATCH(ROWS($O$2:O280),$O$2:$O$1001,0),MATCH(COLUMNS($V$1006:X1006),$V$1006:$AE$1006,0)), HYPERLINK("#",""), HYPERLINK(CONCATENATE("#Metadata!", ADDRESS(INDEX($Q$2:$Q$1001,MATCH(ROWS($O$2:O280),$O$2:$O$1001,0),0), INDEX($V$1004:$AE$1004,1,MATCH(COLUMNS($V$1006:X1006),$V$1006:$AE$1006,0)))),"Fix")))</f>
        <v>0</v>
      </c>
      <c r="E280" s="4">
        <f>IF(OR(INDEX($P$2:$P$1001,MATCH(ROWS($O$2:O280),$O$2:$O$1001,0),1)&gt;=100000,INDEX($V$1005:$AE$1005,1,MATCH(COLUMNS($V$1006:Y1006),$V$1006:$AE$1006,0))&gt;=100000), " ",IF(INDEX($V$2:$AE$1001,MATCH(ROWS($O$2:O280),$O$2:$O$1001,0),MATCH(COLUMNS($V$1006:Y1006),$V$1006:$AE$1006,0)), HYPERLINK("#",""), HYPERLINK(CONCATENATE("#Metadata!", ADDRESS(INDEX($Q$2:$Q$1001,MATCH(ROWS($O$2:O280),$O$2:$O$1001,0),0), INDEX($V$1004:$AE$1004,1,MATCH(COLUMNS($V$1006:Y1006),$V$1006:$AE$1006,0)))),"Fix")))</f>
        <v>0</v>
      </c>
      <c r="F280" s="4">
        <f>IF(OR(INDEX($P$2:$P$1001,MATCH(ROWS($O$2:O280),$O$2:$O$1001,0),1)&gt;=100000,INDEX($V$1005:$AE$1005,1,MATCH(COLUMNS($V$1006:Z1006),$V$1006:$AE$1006,0))&gt;=100000), " ",IF(INDEX($V$2:$AE$1001,MATCH(ROWS($O$2:O280),$O$2:$O$1001,0),MATCH(COLUMNS($V$1006:Z1006),$V$1006:$AE$1006,0)), HYPERLINK("#",""), HYPERLINK(CONCATENATE("#Metadata!", ADDRESS(INDEX($Q$2:$Q$1001,MATCH(ROWS($O$2:O280),$O$2:$O$1001,0),0), INDEX($V$1004:$AE$1004,1,MATCH(COLUMNS($V$1006:Z1006),$V$1006:$AE$1006,0)))),"Fix")))</f>
        <v>0</v>
      </c>
      <c r="G280" s="4">
        <f>IF(OR(INDEX($P$2:$P$1001,MATCH(ROWS($O$2:O280),$O$2:$O$1001,0),1)&gt;=100000,INDEX($V$1005:$AE$1005,1,MATCH(COLUMNS($V$1006:AA1006),$V$1006:$AE$1006,0))&gt;=100000), " ",IF(INDEX($V$2:$AE$1001,MATCH(ROWS($O$2:O280),$O$2:$O$1001,0),MATCH(COLUMNS($V$1006:AA1006),$V$1006:$AE$1006,0)), HYPERLINK("#",""), HYPERLINK(CONCATENATE("#Metadata!", ADDRESS(INDEX($Q$2:$Q$1001,MATCH(ROWS($O$2:O280),$O$2:$O$1001,0),0), INDEX($V$1004:$AE$1004,1,MATCH(COLUMNS($V$1006:AA1006),$V$1006:$AE$1006,0)))),"Fix")))</f>
        <v>0</v>
      </c>
      <c r="H280" s="4">
        <f>IF(OR(INDEX($P$2:$P$1001,MATCH(ROWS($O$2:O280),$O$2:$O$1001,0),1)&gt;=100000,INDEX($V$1005:$AE$1005,1,MATCH(COLUMNS($V$1006:AB1006),$V$1006:$AE$1006,0))&gt;=100000), " ",IF(INDEX($V$2:$AE$1001,MATCH(ROWS($O$2:O280),$O$2:$O$1001,0),MATCH(COLUMNS($V$1006:AB1006),$V$1006:$AE$1006,0)), HYPERLINK("#",""), HYPERLINK(CONCATENATE("#Metadata!", ADDRESS(INDEX($Q$2:$Q$1001,MATCH(ROWS($O$2:O280),$O$2:$O$1001,0),0), INDEX($V$1004:$AE$1004,1,MATCH(COLUMNS($V$1006:AB1006),$V$1006:$AE$1006,0)))),"Fix")))</f>
        <v>0</v>
      </c>
      <c r="I280" s="4">
        <f>IF(OR(INDEX($P$2:$P$1001,MATCH(ROWS($O$2:O280),$O$2:$O$1001,0),1)&gt;=100000,INDEX($V$1005:$AE$1005,1,MATCH(COLUMNS($V$1006:AC1006),$V$1006:$AE$1006,0))&gt;=100000), " ",IF(INDEX($V$2:$AE$1001,MATCH(ROWS($O$2:O280),$O$2:$O$1001,0),MATCH(COLUMNS($V$1006:AC1006),$V$1006:$AE$1006,0)), HYPERLINK("#",""), HYPERLINK(CONCATENATE("#Metadata!", ADDRESS(INDEX($Q$2:$Q$1001,MATCH(ROWS($O$2:O280),$O$2:$O$1001,0),0), INDEX($V$1004:$AE$1004,1,MATCH(COLUMNS($V$1006:AC1006),$V$1006:$AE$1006,0)))),"Fix")))</f>
        <v>0</v>
      </c>
      <c r="J280" s="4">
        <f>IF(OR(INDEX($P$2:$P$1001,MATCH(ROWS($O$2:O280),$O$2:$O$1001,0),1)&gt;=100000,INDEX($V$1005:$AE$1005,1,MATCH(COLUMNS($V$1006:AD1006),$V$1006:$AE$1006,0))&gt;=100000), " ",IF(INDEX($V$2:$AE$1001,MATCH(ROWS($O$2:O280),$O$2:$O$1001,0),MATCH(COLUMNS($V$1006:AD1006),$V$1006:$AE$1006,0)), HYPERLINK("#",""), HYPERLINK(CONCATENATE("#Metadata!", ADDRESS(INDEX($Q$2:$Q$1001,MATCH(ROWS($O$2:O280),$O$2:$O$1001,0),0), INDEX($V$1004:$AE$1004,1,MATCH(COLUMNS($V$1006:AD1006),$V$1006:$AE$1006,0)))),"Fix")))</f>
        <v>0</v>
      </c>
      <c r="K280" s="4">
        <f>IF(OR(INDEX($P$2:$P$1001,MATCH(ROWS($O$2:O280),$O$2:$O$1001,0),1)&gt;=100000,INDEX($V$1005:$AE$1005,1,MATCH(COLUMNS($V$1006:AE1006),$V$1006:$AE$1006,0))&gt;=100000), " ",IF(INDEX($V$2:$AE$1001,MATCH(ROWS($O$2:O280),$O$2:$O$1001,0),MATCH(COLUMNS($V$1006:AE1006),$V$1006:$AE$1006,0)), HYPERLINK("#",""), HYPERLINK(CONCATENATE("#Metadata!", ADDRESS(INDEX($Q$2:$Q$1001,MATCH(ROWS($O$2:O280),$O$2:$O$1001,0),0), INDEX($V$1004:$AE$1004,1,MATCH(COLUMNS($V$1006:AE1006),$V$1006:$AE$1006,0)))),"Fix")))</f>
        <v>0</v>
      </c>
      <c r="O280">
        <v>0</v>
      </c>
      <c r="P280">
        <v>0</v>
      </c>
      <c r="Q280">
        <v>0</v>
      </c>
      <c r="R280">
        <f>IF(S280,TRUE,AND(V280:AE280))</f>
        <v>0</v>
      </c>
      <c r="S280">
        <f>COUNTBLANK(Metadata!B280:K280)=COLUMNS(Metadata!B280:K280)</f>
        <v>0</v>
      </c>
      <c r="T280">
        <v>0</v>
      </c>
      <c r="V280">
        <f>AND(IF(Metadata!B280="",FALSE,TRUE),COUNTIF(Metadata!B:B, Metadata!B280) = 1,NOT(ISERROR(SUMPRODUCT(SEARCH(MID(Metadata!B280,ROW(INDIRECT("1:"&amp;LEN(Metadata!B280))), 1),"0123456789abcdefghijklmnopqrstuvwxyzABCDEFGHIJKLMNOPQRSTUVWXYZ.")))))</f>
        <v>0</v>
      </c>
      <c r="W280">
        <f>AND(IF(Metadata!C280="",FALSE,TRUE),exact(Metadata!C280,"urban biome"))</f>
        <v>0</v>
      </c>
      <c r="X280">
        <f>AND(IF(Metadata!D280="",FALSE,TRUE),exact(Metadata!D280,"animal-associated habitat"))</f>
        <v>0</v>
      </c>
      <c r="Y280">
        <f>OR(AND(IF(Metadata!E280="",FALSE,TRUE),OR(exact(Metadata!E280,"not applicable"),exact(Metadata!E280,"missing: not collected"),exact(Metadata!E280,"missing: not provided"),exact(Metadata!E280,"missing: restricted access"))),AND(IF(Metadata!E280="",FALSE,ISNUMBER(VALUE(Metadata!E280))),Metadata!E280&gt;0))</f>
        <v>0</v>
      </c>
      <c r="Z280">
        <f>AND(IF(Metadata!F280="",FALSE,TRUE),exact(Metadata!F280,"weeks"))</f>
        <v>0</v>
      </c>
      <c r="AA280">
        <f>AND(IF(Metadata!G280="",FALSE,TRUE),exact(Metadata!G280,"mouse"))</f>
        <v>0</v>
      </c>
      <c r="AB280">
        <f>AND(IF(Metadata!H280="",FALSE,TRUE),exact(Metadata!H280,"Mus musculus"))</f>
        <v>0</v>
      </c>
      <c r="AC280">
        <f>AND(IF(Metadata!I280="",FALSE,TRUE),exact(Metadata!I280,"10090"))</f>
        <v>0</v>
      </c>
      <c r="AD280">
        <f>OR(AND(IF(Metadata!J280="",FALSE,TRUE),OR(exact(Metadata!J280,"not applicable"),exact(Metadata!J280,"missing: not collected"),exact(Metadata!J280,"missing: not provided"),exact(Metadata!J280,"missing: restricted access"))),AND(IF(Metadata!J280="",FALSE,ISNUMBER(VALUE(Metadata!J280))),Metadata!J280&gt;0))</f>
        <v>0</v>
      </c>
      <c r="AE280">
        <f>AND(IF(Metadata!K280="",FALSE,TRUE),exact(Metadata!K280,"g"))</f>
        <v>0</v>
      </c>
    </row>
    <row r="281" spans="1:31">
      <c r="A281" s="5">
        <f>IF(B281=" "," ",HYPERLINK(CONCATENATE("#metadata!",ADDRESS(INDEX($Q$2:$Q$1001,MATCH(ROWS($O$2:O281),$O$2:$O$1001,0),0),1)),INDEX($T$2:$T$1001,MATCH(ROWS($O$2:O281),$O$2:$O$1001,0),0)))</f>
        <v>0</v>
      </c>
      <c r="B281" s="4">
        <f>IF(OR(INDEX($P$2:$P$1001,MATCH(ROWS($O$2:O281),$O$2:$O$1001,0),1)&gt;=100000,INDEX($V$1005:$AE$1005,1,MATCH(COLUMNS($V$1006:V1006),$V$1006:$AE$1006,0))&gt;=100000), " ",IF(INDEX($V$2:$AE$1001,MATCH(ROWS($O$2:O281),$O$2:$O$1001,0),MATCH(COLUMNS($V$1006:V1006),$V$1006:$AE$1006,0)), HYPERLINK("#",""), HYPERLINK(CONCATENATE("#Metadata!", ADDRESS(INDEX($Q$2:$Q$1001,MATCH(ROWS($O$2:O281),$O$2:$O$1001,0),0), INDEX($V$1004:$AE$1004,1,MATCH(COLUMNS($V$1006:V1006),$V$1006:$AE$1006,0)))),"Fix")))</f>
        <v>0</v>
      </c>
      <c r="C281" s="4">
        <f>IF(OR(INDEX($P$2:$P$1001,MATCH(ROWS($O$2:O281),$O$2:$O$1001,0),1)&gt;=100000,INDEX($V$1005:$AE$1005,1,MATCH(COLUMNS($V$1006:W1006),$V$1006:$AE$1006,0))&gt;=100000), " ",IF(INDEX($V$2:$AE$1001,MATCH(ROWS($O$2:O281),$O$2:$O$1001,0),MATCH(COLUMNS($V$1006:W1006),$V$1006:$AE$1006,0)), HYPERLINK("#",""), HYPERLINK(CONCATENATE("#Metadata!", ADDRESS(INDEX($Q$2:$Q$1001,MATCH(ROWS($O$2:O281),$O$2:$O$1001,0),0), INDEX($V$1004:$AE$1004,1,MATCH(COLUMNS($V$1006:W1006),$V$1006:$AE$1006,0)))),"Fix")))</f>
        <v>0</v>
      </c>
      <c r="D281" s="4">
        <f>IF(OR(INDEX($P$2:$P$1001,MATCH(ROWS($O$2:O281),$O$2:$O$1001,0),1)&gt;=100000,INDEX($V$1005:$AE$1005,1,MATCH(COLUMNS($V$1006:X1006),$V$1006:$AE$1006,0))&gt;=100000), " ",IF(INDEX($V$2:$AE$1001,MATCH(ROWS($O$2:O281),$O$2:$O$1001,0),MATCH(COLUMNS($V$1006:X1006),$V$1006:$AE$1006,0)), HYPERLINK("#",""), HYPERLINK(CONCATENATE("#Metadata!", ADDRESS(INDEX($Q$2:$Q$1001,MATCH(ROWS($O$2:O281),$O$2:$O$1001,0),0), INDEX($V$1004:$AE$1004,1,MATCH(COLUMNS($V$1006:X1006),$V$1006:$AE$1006,0)))),"Fix")))</f>
        <v>0</v>
      </c>
      <c r="E281" s="4">
        <f>IF(OR(INDEX($P$2:$P$1001,MATCH(ROWS($O$2:O281),$O$2:$O$1001,0),1)&gt;=100000,INDEX($V$1005:$AE$1005,1,MATCH(COLUMNS($V$1006:Y1006),$V$1006:$AE$1006,0))&gt;=100000), " ",IF(INDEX($V$2:$AE$1001,MATCH(ROWS($O$2:O281),$O$2:$O$1001,0),MATCH(COLUMNS($V$1006:Y1006),$V$1006:$AE$1006,0)), HYPERLINK("#",""), HYPERLINK(CONCATENATE("#Metadata!", ADDRESS(INDEX($Q$2:$Q$1001,MATCH(ROWS($O$2:O281),$O$2:$O$1001,0),0), INDEX($V$1004:$AE$1004,1,MATCH(COLUMNS($V$1006:Y1006),$V$1006:$AE$1006,0)))),"Fix")))</f>
        <v>0</v>
      </c>
      <c r="F281" s="4">
        <f>IF(OR(INDEX($P$2:$P$1001,MATCH(ROWS($O$2:O281),$O$2:$O$1001,0),1)&gt;=100000,INDEX($V$1005:$AE$1005,1,MATCH(COLUMNS($V$1006:Z1006),$V$1006:$AE$1006,0))&gt;=100000), " ",IF(INDEX($V$2:$AE$1001,MATCH(ROWS($O$2:O281),$O$2:$O$1001,0),MATCH(COLUMNS($V$1006:Z1006),$V$1006:$AE$1006,0)), HYPERLINK("#",""), HYPERLINK(CONCATENATE("#Metadata!", ADDRESS(INDEX($Q$2:$Q$1001,MATCH(ROWS($O$2:O281),$O$2:$O$1001,0),0), INDEX($V$1004:$AE$1004,1,MATCH(COLUMNS($V$1006:Z1006),$V$1006:$AE$1006,0)))),"Fix")))</f>
        <v>0</v>
      </c>
      <c r="G281" s="4">
        <f>IF(OR(INDEX($P$2:$P$1001,MATCH(ROWS($O$2:O281),$O$2:$O$1001,0),1)&gt;=100000,INDEX($V$1005:$AE$1005,1,MATCH(COLUMNS($V$1006:AA1006),$V$1006:$AE$1006,0))&gt;=100000), " ",IF(INDEX($V$2:$AE$1001,MATCH(ROWS($O$2:O281),$O$2:$O$1001,0),MATCH(COLUMNS($V$1006:AA1006),$V$1006:$AE$1006,0)), HYPERLINK("#",""), HYPERLINK(CONCATENATE("#Metadata!", ADDRESS(INDEX($Q$2:$Q$1001,MATCH(ROWS($O$2:O281),$O$2:$O$1001,0),0), INDEX($V$1004:$AE$1004,1,MATCH(COLUMNS($V$1006:AA1006),$V$1006:$AE$1006,0)))),"Fix")))</f>
        <v>0</v>
      </c>
      <c r="H281" s="4">
        <f>IF(OR(INDEX($P$2:$P$1001,MATCH(ROWS($O$2:O281),$O$2:$O$1001,0),1)&gt;=100000,INDEX($V$1005:$AE$1005,1,MATCH(COLUMNS($V$1006:AB1006),$V$1006:$AE$1006,0))&gt;=100000), " ",IF(INDEX($V$2:$AE$1001,MATCH(ROWS($O$2:O281),$O$2:$O$1001,0),MATCH(COLUMNS($V$1006:AB1006),$V$1006:$AE$1006,0)), HYPERLINK("#",""), HYPERLINK(CONCATENATE("#Metadata!", ADDRESS(INDEX($Q$2:$Q$1001,MATCH(ROWS($O$2:O281),$O$2:$O$1001,0),0), INDEX($V$1004:$AE$1004,1,MATCH(COLUMNS($V$1006:AB1006),$V$1006:$AE$1006,0)))),"Fix")))</f>
        <v>0</v>
      </c>
      <c r="I281" s="4">
        <f>IF(OR(INDEX($P$2:$P$1001,MATCH(ROWS($O$2:O281),$O$2:$O$1001,0),1)&gt;=100000,INDEX($V$1005:$AE$1005,1,MATCH(COLUMNS($V$1006:AC1006),$V$1006:$AE$1006,0))&gt;=100000), " ",IF(INDEX($V$2:$AE$1001,MATCH(ROWS($O$2:O281),$O$2:$O$1001,0),MATCH(COLUMNS($V$1006:AC1006),$V$1006:$AE$1006,0)), HYPERLINK("#",""), HYPERLINK(CONCATENATE("#Metadata!", ADDRESS(INDEX($Q$2:$Q$1001,MATCH(ROWS($O$2:O281),$O$2:$O$1001,0),0), INDEX($V$1004:$AE$1004,1,MATCH(COLUMNS($V$1006:AC1006),$V$1006:$AE$1006,0)))),"Fix")))</f>
        <v>0</v>
      </c>
      <c r="J281" s="4">
        <f>IF(OR(INDEX($P$2:$P$1001,MATCH(ROWS($O$2:O281),$O$2:$O$1001,0),1)&gt;=100000,INDEX($V$1005:$AE$1005,1,MATCH(COLUMNS($V$1006:AD1006),$V$1006:$AE$1006,0))&gt;=100000), " ",IF(INDEX($V$2:$AE$1001,MATCH(ROWS($O$2:O281),$O$2:$O$1001,0),MATCH(COLUMNS($V$1006:AD1006),$V$1006:$AE$1006,0)), HYPERLINK("#",""), HYPERLINK(CONCATENATE("#Metadata!", ADDRESS(INDEX($Q$2:$Q$1001,MATCH(ROWS($O$2:O281),$O$2:$O$1001,0),0), INDEX($V$1004:$AE$1004,1,MATCH(COLUMNS($V$1006:AD1006),$V$1006:$AE$1006,0)))),"Fix")))</f>
        <v>0</v>
      </c>
      <c r="K281" s="4">
        <f>IF(OR(INDEX($P$2:$P$1001,MATCH(ROWS($O$2:O281),$O$2:$O$1001,0),1)&gt;=100000,INDEX($V$1005:$AE$1005,1,MATCH(COLUMNS($V$1006:AE1006),$V$1006:$AE$1006,0))&gt;=100000), " ",IF(INDEX($V$2:$AE$1001,MATCH(ROWS($O$2:O281),$O$2:$O$1001,0),MATCH(COLUMNS($V$1006:AE1006),$V$1006:$AE$1006,0)), HYPERLINK("#",""), HYPERLINK(CONCATENATE("#Metadata!", ADDRESS(INDEX($Q$2:$Q$1001,MATCH(ROWS($O$2:O281),$O$2:$O$1001,0),0), INDEX($V$1004:$AE$1004,1,MATCH(COLUMNS($V$1006:AE1006),$V$1006:$AE$1006,0)))),"Fix")))</f>
        <v>0</v>
      </c>
      <c r="O281">
        <v>0</v>
      </c>
      <c r="P281">
        <v>0</v>
      </c>
      <c r="Q281">
        <v>0</v>
      </c>
      <c r="R281">
        <f>IF(S281,TRUE,AND(V281:AE281))</f>
        <v>0</v>
      </c>
      <c r="S281">
        <f>COUNTBLANK(Metadata!B281:K281)=COLUMNS(Metadata!B281:K281)</f>
        <v>0</v>
      </c>
      <c r="T281">
        <v>0</v>
      </c>
      <c r="V281">
        <f>AND(IF(Metadata!B281="",FALSE,TRUE),COUNTIF(Metadata!B:B, Metadata!B281) = 1,NOT(ISERROR(SUMPRODUCT(SEARCH(MID(Metadata!B281,ROW(INDIRECT("1:"&amp;LEN(Metadata!B281))), 1),"0123456789abcdefghijklmnopqrstuvwxyzABCDEFGHIJKLMNOPQRSTUVWXYZ.")))))</f>
        <v>0</v>
      </c>
      <c r="W281">
        <f>AND(IF(Metadata!C281="",FALSE,TRUE),exact(Metadata!C281,"urban biome"))</f>
        <v>0</v>
      </c>
      <c r="X281">
        <f>AND(IF(Metadata!D281="",FALSE,TRUE),exact(Metadata!D281,"animal-associated habitat"))</f>
        <v>0</v>
      </c>
      <c r="Y281">
        <f>OR(AND(IF(Metadata!E281="",FALSE,TRUE),OR(exact(Metadata!E281,"not applicable"),exact(Metadata!E281,"missing: not collected"),exact(Metadata!E281,"missing: not provided"),exact(Metadata!E281,"missing: restricted access"))),AND(IF(Metadata!E281="",FALSE,ISNUMBER(VALUE(Metadata!E281))),Metadata!E281&gt;0))</f>
        <v>0</v>
      </c>
      <c r="Z281">
        <f>AND(IF(Metadata!F281="",FALSE,TRUE),exact(Metadata!F281,"weeks"))</f>
        <v>0</v>
      </c>
      <c r="AA281">
        <f>AND(IF(Metadata!G281="",FALSE,TRUE),exact(Metadata!G281,"mouse"))</f>
        <v>0</v>
      </c>
      <c r="AB281">
        <f>AND(IF(Metadata!H281="",FALSE,TRUE),exact(Metadata!H281,"Mus musculus"))</f>
        <v>0</v>
      </c>
      <c r="AC281">
        <f>AND(IF(Metadata!I281="",FALSE,TRUE),exact(Metadata!I281,"10090"))</f>
        <v>0</v>
      </c>
      <c r="AD281">
        <f>OR(AND(IF(Metadata!J281="",FALSE,TRUE),OR(exact(Metadata!J281,"not applicable"),exact(Metadata!J281,"missing: not collected"),exact(Metadata!J281,"missing: not provided"),exact(Metadata!J281,"missing: restricted access"))),AND(IF(Metadata!J281="",FALSE,ISNUMBER(VALUE(Metadata!J281))),Metadata!J281&gt;0))</f>
        <v>0</v>
      </c>
      <c r="AE281">
        <f>AND(IF(Metadata!K281="",FALSE,TRUE),exact(Metadata!K281,"g"))</f>
        <v>0</v>
      </c>
    </row>
    <row r="282" spans="1:31">
      <c r="A282" s="5">
        <f>IF(B282=" "," ",HYPERLINK(CONCATENATE("#metadata!",ADDRESS(INDEX($Q$2:$Q$1001,MATCH(ROWS($O$2:O282),$O$2:$O$1001,0),0),1)),INDEX($T$2:$T$1001,MATCH(ROWS($O$2:O282),$O$2:$O$1001,0),0)))</f>
        <v>0</v>
      </c>
      <c r="B282" s="4">
        <f>IF(OR(INDEX($P$2:$P$1001,MATCH(ROWS($O$2:O282),$O$2:$O$1001,0),1)&gt;=100000,INDEX($V$1005:$AE$1005,1,MATCH(COLUMNS($V$1006:V1006),$V$1006:$AE$1006,0))&gt;=100000), " ",IF(INDEX($V$2:$AE$1001,MATCH(ROWS($O$2:O282),$O$2:$O$1001,0),MATCH(COLUMNS($V$1006:V1006),$V$1006:$AE$1006,0)), HYPERLINK("#",""), HYPERLINK(CONCATENATE("#Metadata!", ADDRESS(INDEX($Q$2:$Q$1001,MATCH(ROWS($O$2:O282),$O$2:$O$1001,0),0), INDEX($V$1004:$AE$1004,1,MATCH(COLUMNS($V$1006:V1006),$V$1006:$AE$1006,0)))),"Fix")))</f>
        <v>0</v>
      </c>
      <c r="C282" s="4">
        <f>IF(OR(INDEX($P$2:$P$1001,MATCH(ROWS($O$2:O282),$O$2:$O$1001,0),1)&gt;=100000,INDEX($V$1005:$AE$1005,1,MATCH(COLUMNS($V$1006:W1006),$V$1006:$AE$1006,0))&gt;=100000), " ",IF(INDEX($V$2:$AE$1001,MATCH(ROWS($O$2:O282),$O$2:$O$1001,0),MATCH(COLUMNS($V$1006:W1006),$V$1006:$AE$1006,0)), HYPERLINK("#",""), HYPERLINK(CONCATENATE("#Metadata!", ADDRESS(INDEX($Q$2:$Q$1001,MATCH(ROWS($O$2:O282),$O$2:$O$1001,0),0), INDEX($V$1004:$AE$1004,1,MATCH(COLUMNS($V$1006:W1006),$V$1006:$AE$1006,0)))),"Fix")))</f>
        <v>0</v>
      </c>
      <c r="D282" s="4">
        <f>IF(OR(INDEX($P$2:$P$1001,MATCH(ROWS($O$2:O282),$O$2:$O$1001,0),1)&gt;=100000,INDEX($V$1005:$AE$1005,1,MATCH(COLUMNS($V$1006:X1006),$V$1006:$AE$1006,0))&gt;=100000), " ",IF(INDEX($V$2:$AE$1001,MATCH(ROWS($O$2:O282),$O$2:$O$1001,0),MATCH(COLUMNS($V$1006:X1006),$V$1006:$AE$1006,0)), HYPERLINK("#",""), HYPERLINK(CONCATENATE("#Metadata!", ADDRESS(INDEX($Q$2:$Q$1001,MATCH(ROWS($O$2:O282),$O$2:$O$1001,0),0), INDEX($V$1004:$AE$1004,1,MATCH(COLUMNS($V$1006:X1006),$V$1006:$AE$1006,0)))),"Fix")))</f>
        <v>0</v>
      </c>
      <c r="E282" s="4">
        <f>IF(OR(INDEX($P$2:$P$1001,MATCH(ROWS($O$2:O282),$O$2:$O$1001,0),1)&gt;=100000,INDEX($V$1005:$AE$1005,1,MATCH(COLUMNS($V$1006:Y1006),$V$1006:$AE$1006,0))&gt;=100000), " ",IF(INDEX($V$2:$AE$1001,MATCH(ROWS($O$2:O282),$O$2:$O$1001,0),MATCH(COLUMNS($V$1006:Y1006),$V$1006:$AE$1006,0)), HYPERLINK("#",""), HYPERLINK(CONCATENATE("#Metadata!", ADDRESS(INDEX($Q$2:$Q$1001,MATCH(ROWS($O$2:O282),$O$2:$O$1001,0),0), INDEX($V$1004:$AE$1004,1,MATCH(COLUMNS($V$1006:Y1006),$V$1006:$AE$1006,0)))),"Fix")))</f>
        <v>0</v>
      </c>
      <c r="F282" s="4">
        <f>IF(OR(INDEX($P$2:$P$1001,MATCH(ROWS($O$2:O282),$O$2:$O$1001,0),1)&gt;=100000,INDEX($V$1005:$AE$1005,1,MATCH(COLUMNS($V$1006:Z1006),$V$1006:$AE$1006,0))&gt;=100000), " ",IF(INDEX($V$2:$AE$1001,MATCH(ROWS($O$2:O282),$O$2:$O$1001,0),MATCH(COLUMNS($V$1006:Z1006),$V$1006:$AE$1006,0)), HYPERLINK("#",""), HYPERLINK(CONCATENATE("#Metadata!", ADDRESS(INDEX($Q$2:$Q$1001,MATCH(ROWS($O$2:O282),$O$2:$O$1001,0),0), INDEX($V$1004:$AE$1004,1,MATCH(COLUMNS($V$1006:Z1006),$V$1006:$AE$1006,0)))),"Fix")))</f>
        <v>0</v>
      </c>
      <c r="G282" s="4">
        <f>IF(OR(INDEX($P$2:$P$1001,MATCH(ROWS($O$2:O282),$O$2:$O$1001,0),1)&gt;=100000,INDEX($V$1005:$AE$1005,1,MATCH(COLUMNS($V$1006:AA1006),$V$1006:$AE$1006,0))&gt;=100000), " ",IF(INDEX($V$2:$AE$1001,MATCH(ROWS($O$2:O282),$O$2:$O$1001,0),MATCH(COLUMNS($V$1006:AA1006),$V$1006:$AE$1006,0)), HYPERLINK("#",""), HYPERLINK(CONCATENATE("#Metadata!", ADDRESS(INDEX($Q$2:$Q$1001,MATCH(ROWS($O$2:O282),$O$2:$O$1001,0),0), INDEX($V$1004:$AE$1004,1,MATCH(COLUMNS($V$1006:AA1006),$V$1006:$AE$1006,0)))),"Fix")))</f>
        <v>0</v>
      </c>
      <c r="H282" s="4">
        <f>IF(OR(INDEX($P$2:$P$1001,MATCH(ROWS($O$2:O282),$O$2:$O$1001,0),1)&gt;=100000,INDEX($V$1005:$AE$1005,1,MATCH(COLUMNS($V$1006:AB1006),$V$1006:$AE$1006,0))&gt;=100000), " ",IF(INDEX($V$2:$AE$1001,MATCH(ROWS($O$2:O282),$O$2:$O$1001,0),MATCH(COLUMNS($V$1006:AB1006),$V$1006:$AE$1006,0)), HYPERLINK("#",""), HYPERLINK(CONCATENATE("#Metadata!", ADDRESS(INDEX($Q$2:$Q$1001,MATCH(ROWS($O$2:O282),$O$2:$O$1001,0),0), INDEX($V$1004:$AE$1004,1,MATCH(COLUMNS($V$1006:AB1006),$V$1006:$AE$1006,0)))),"Fix")))</f>
        <v>0</v>
      </c>
      <c r="I282" s="4">
        <f>IF(OR(INDEX($P$2:$P$1001,MATCH(ROWS($O$2:O282),$O$2:$O$1001,0),1)&gt;=100000,INDEX($V$1005:$AE$1005,1,MATCH(COLUMNS($V$1006:AC1006),$V$1006:$AE$1006,0))&gt;=100000), " ",IF(INDEX($V$2:$AE$1001,MATCH(ROWS($O$2:O282),$O$2:$O$1001,0),MATCH(COLUMNS($V$1006:AC1006),$V$1006:$AE$1006,0)), HYPERLINK("#",""), HYPERLINK(CONCATENATE("#Metadata!", ADDRESS(INDEX($Q$2:$Q$1001,MATCH(ROWS($O$2:O282),$O$2:$O$1001,0),0), INDEX($V$1004:$AE$1004,1,MATCH(COLUMNS($V$1006:AC1006),$V$1006:$AE$1006,0)))),"Fix")))</f>
        <v>0</v>
      </c>
      <c r="J282" s="4">
        <f>IF(OR(INDEX($P$2:$P$1001,MATCH(ROWS($O$2:O282),$O$2:$O$1001,0),1)&gt;=100000,INDEX($V$1005:$AE$1005,1,MATCH(COLUMNS($V$1006:AD1006),$V$1006:$AE$1006,0))&gt;=100000), " ",IF(INDEX($V$2:$AE$1001,MATCH(ROWS($O$2:O282),$O$2:$O$1001,0),MATCH(COLUMNS($V$1006:AD1006),$V$1006:$AE$1006,0)), HYPERLINK("#",""), HYPERLINK(CONCATENATE("#Metadata!", ADDRESS(INDEX($Q$2:$Q$1001,MATCH(ROWS($O$2:O282),$O$2:$O$1001,0),0), INDEX($V$1004:$AE$1004,1,MATCH(COLUMNS($V$1006:AD1006),$V$1006:$AE$1006,0)))),"Fix")))</f>
        <v>0</v>
      </c>
      <c r="K282" s="4">
        <f>IF(OR(INDEX($P$2:$P$1001,MATCH(ROWS($O$2:O282),$O$2:$O$1001,0),1)&gt;=100000,INDEX($V$1005:$AE$1005,1,MATCH(COLUMNS($V$1006:AE1006),$V$1006:$AE$1006,0))&gt;=100000), " ",IF(INDEX($V$2:$AE$1001,MATCH(ROWS($O$2:O282),$O$2:$O$1001,0),MATCH(COLUMNS($V$1006:AE1006),$V$1006:$AE$1006,0)), HYPERLINK("#",""), HYPERLINK(CONCATENATE("#Metadata!", ADDRESS(INDEX($Q$2:$Q$1001,MATCH(ROWS($O$2:O282),$O$2:$O$1001,0),0), INDEX($V$1004:$AE$1004,1,MATCH(COLUMNS($V$1006:AE1006),$V$1006:$AE$1006,0)))),"Fix")))</f>
        <v>0</v>
      </c>
      <c r="O282">
        <v>0</v>
      </c>
      <c r="P282">
        <v>0</v>
      </c>
      <c r="Q282">
        <v>0</v>
      </c>
      <c r="R282">
        <f>IF(S282,TRUE,AND(V282:AE282))</f>
        <v>0</v>
      </c>
      <c r="S282">
        <f>COUNTBLANK(Metadata!B282:K282)=COLUMNS(Metadata!B282:K282)</f>
        <v>0</v>
      </c>
      <c r="T282">
        <v>0</v>
      </c>
      <c r="V282">
        <f>AND(IF(Metadata!B282="",FALSE,TRUE),COUNTIF(Metadata!B:B, Metadata!B282) = 1,NOT(ISERROR(SUMPRODUCT(SEARCH(MID(Metadata!B282,ROW(INDIRECT("1:"&amp;LEN(Metadata!B282))), 1),"0123456789abcdefghijklmnopqrstuvwxyzABCDEFGHIJKLMNOPQRSTUVWXYZ.")))))</f>
        <v>0</v>
      </c>
      <c r="W282">
        <f>AND(IF(Metadata!C282="",FALSE,TRUE),exact(Metadata!C282,"urban biome"))</f>
        <v>0</v>
      </c>
      <c r="X282">
        <f>AND(IF(Metadata!D282="",FALSE,TRUE),exact(Metadata!D282,"animal-associated habitat"))</f>
        <v>0</v>
      </c>
      <c r="Y282">
        <f>OR(AND(IF(Metadata!E282="",FALSE,TRUE),OR(exact(Metadata!E282,"not applicable"),exact(Metadata!E282,"missing: not collected"),exact(Metadata!E282,"missing: not provided"),exact(Metadata!E282,"missing: restricted access"))),AND(IF(Metadata!E282="",FALSE,ISNUMBER(VALUE(Metadata!E282))),Metadata!E282&gt;0))</f>
        <v>0</v>
      </c>
      <c r="Z282">
        <f>AND(IF(Metadata!F282="",FALSE,TRUE),exact(Metadata!F282,"weeks"))</f>
        <v>0</v>
      </c>
      <c r="AA282">
        <f>AND(IF(Metadata!G282="",FALSE,TRUE),exact(Metadata!G282,"mouse"))</f>
        <v>0</v>
      </c>
      <c r="AB282">
        <f>AND(IF(Metadata!H282="",FALSE,TRUE),exact(Metadata!H282,"Mus musculus"))</f>
        <v>0</v>
      </c>
      <c r="AC282">
        <f>AND(IF(Metadata!I282="",FALSE,TRUE),exact(Metadata!I282,"10090"))</f>
        <v>0</v>
      </c>
      <c r="AD282">
        <f>OR(AND(IF(Metadata!J282="",FALSE,TRUE),OR(exact(Metadata!J282,"not applicable"),exact(Metadata!J282,"missing: not collected"),exact(Metadata!J282,"missing: not provided"),exact(Metadata!J282,"missing: restricted access"))),AND(IF(Metadata!J282="",FALSE,ISNUMBER(VALUE(Metadata!J282))),Metadata!J282&gt;0))</f>
        <v>0</v>
      </c>
      <c r="AE282">
        <f>AND(IF(Metadata!K282="",FALSE,TRUE),exact(Metadata!K282,"g"))</f>
        <v>0</v>
      </c>
    </row>
    <row r="283" spans="1:31">
      <c r="A283" s="5">
        <f>IF(B283=" "," ",HYPERLINK(CONCATENATE("#metadata!",ADDRESS(INDEX($Q$2:$Q$1001,MATCH(ROWS($O$2:O283),$O$2:$O$1001,0),0),1)),INDEX($T$2:$T$1001,MATCH(ROWS($O$2:O283),$O$2:$O$1001,0),0)))</f>
        <v>0</v>
      </c>
      <c r="B283" s="4">
        <f>IF(OR(INDEX($P$2:$P$1001,MATCH(ROWS($O$2:O283),$O$2:$O$1001,0),1)&gt;=100000,INDEX($V$1005:$AE$1005,1,MATCH(COLUMNS($V$1006:V1006),$V$1006:$AE$1006,0))&gt;=100000), " ",IF(INDEX($V$2:$AE$1001,MATCH(ROWS($O$2:O283),$O$2:$O$1001,0),MATCH(COLUMNS($V$1006:V1006),$V$1006:$AE$1006,0)), HYPERLINK("#",""), HYPERLINK(CONCATENATE("#Metadata!", ADDRESS(INDEX($Q$2:$Q$1001,MATCH(ROWS($O$2:O283),$O$2:$O$1001,0),0), INDEX($V$1004:$AE$1004,1,MATCH(COLUMNS($V$1006:V1006),$V$1006:$AE$1006,0)))),"Fix")))</f>
        <v>0</v>
      </c>
      <c r="C283" s="4">
        <f>IF(OR(INDEX($P$2:$P$1001,MATCH(ROWS($O$2:O283),$O$2:$O$1001,0),1)&gt;=100000,INDEX($V$1005:$AE$1005,1,MATCH(COLUMNS($V$1006:W1006),$V$1006:$AE$1006,0))&gt;=100000), " ",IF(INDEX($V$2:$AE$1001,MATCH(ROWS($O$2:O283),$O$2:$O$1001,0),MATCH(COLUMNS($V$1006:W1006),$V$1006:$AE$1006,0)), HYPERLINK("#",""), HYPERLINK(CONCATENATE("#Metadata!", ADDRESS(INDEX($Q$2:$Q$1001,MATCH(ROWS($O$2:O283),$O$2:$O$1001,0),0), INDEX($V$1004:$AE$1004,1,MATCH(COLUMNS($V$1006:W1006),$V$1006:$AE$1006,0)))),"Fix")))</f>
        <v>0</v>
      </c>
      <c r="D283" s="4">
        <f>IF(OR(INDEX($P$2:$P$1001,MATCH(ROWS($O$2:O283),$O$2:$O$1001,0),1)&gt;=100000,INDEX($V$1005:$AE$1005,1,MATCH(COLUMNS($V$1006:X1006),$V$1006:$AE$1006,0))&gt;=100000), " ",IF(INDEX($V$2:$AE$1001,MATCH(ROWS($O$2:O283),$O$2:$O$1001,0),MATCH(COLUMNS($V$1006:X1006),$V$1006:$AE$1006,0)), HYPERLINK("#",""), HYPERLINK(CONCATENATE("#Metadata!", ADDRESS(INDEX($Q$2:$Q$1001,MATCH(ROWS($O$2:O283),$O$2:$O$1001,0),0), INDEX($V$1004:$AE$1004,1,MATCH(COLUMNS($V$1006:X1006),$V$1006:$AE$1006,0)))),"Fix")))</f>
        <v>0</v>
      </c>
      <c r="E283" s="4">
        <f>IF(OR(INDEX($P$2:$P$1001,MATCH(ROWS($O$2:O283),$O$2:$O$1001,0),1)&gt;=100000,INDEX($V$1005:$AE$1005,1,MATCH(COLUMNS($V$1006:Y1006),$V$1006:$AE$1006,0))&gt;=100000), " ",IF(INDEX($V$2:$AE$1001,MATCH(ROWS($O$2:O283),$O$2:$O$1001,0),MATCH(COLUMNS($V$1006:Y1006),$V$1006:$AE$1006,0)), HYPERLINK("#",""), HYPERLINK(CONCATENATE("#Metadata!", ADDRESS(INDEX($Q$2:$Q$1001,MATCH(ROWS($O$2:O283),$O$2:$O$1001,0),0), INDEX($V$1004:$AE$1004,1,MATCH(COLUMNS($V$1006:Y1006),$V$1006:$AE$1006,0)))),"Fix")))</f>
        <v>0</v>
      </c>
      <c r="F283" s="4">
        <f>IF(OR(INDEX($P$2:$P$1001,MATCH(ROWS($O$2:O283),$O$2:$O$1001,0),1)&gt;=100000,INDEX($V$1005:$AE$1005,1,MATCH(COLUMNS($V$1006:Z1006),$V$1006:$AE$1006,0))&gt;=100000), " ",IF(INDEX($V$2:$AE$1001,MATCH(ROWS($O$2:O283),$O$2:$O$1001,0),MATCH(COLUMNS($V$1006:Z1006),$V$1006:$AE$1006,0)), HYPERLINK("#",""), HYPERLINK(CONCATENATE("#Metadata!", ADDRESS(INDEX($Q$2:$Q$1001,MATCH(ROWS($O$2:O283),$O$2:$O$1001,0),0), INDEX($V$1004:$AE$1004,1,MATCH(COLUMNS($V$1006:Z1006),$V$1006:$AE$1006,0)))),"Fix")))</f>
        <v>0</v>
      </c>
      <c r="G283" s="4">
        <f>IF(OR(INDEX($P$2:$P$1001,MATCH(ROWS($O$2:O283),$O$2:$O$1001,0),1)&gt;=100000,INDEX($V$1005:$AE$1005,1,MATCH(COLUMNS($V$1006:AA1006),$V$1006:$AE$1006,0))&gt;=100000), " ",IF(INDEX($V$2:$AE$1001,MATCH(ROWS($O$2:O283),$O$2:$O$1001,0),MATCH(COLUMNS($V$1006:AA1006),$V$1006:$AE$1006,0)), HYPERLINK("#",""), HYPERLINK(CONCATENATE("#Metadata!", ADDRESS(INDEX($Q$2:$Q$1001,MATCH(ROWS($O$2:O283),$O$2:$O$1001,0),0), INDEX($V$1004:$AE$1004,1,MATCH(COLUMNS($V$1006:AA1006),$V$1006:$AE$1006,0)))),"Fix")))</f>
        <v>0</v>
      </c>
      <c r="H283" s="4">
        <f>IF(OR(INDEX($P$2:$P$1001,MATCH(ROWS($O$2:O283),$O$2:$O$1001,0),1)&gt;=100000,INDEX($V$1005:$AE$1005,1,MATCH(COLUMNS($V$1006:AB1006),$V$1006:$AE$1006,0))&gt;=100000), " ",IF(INDEX($V$2:$AE$1001,MATCH(ROWS($O$2:O283),$O$2:$O$1001,0),MATCH(COLUMNS($V$1006:AB1006),$V$1006:$AE$1006,0)), HYPERLINK("#",""), HYPERLINK(CONCATENATE("#Metadata!", ADDRESS(INDEX($Q$2:$Q$1001,MATCH(ROWS($O$2:O283),$O$2:$O$1001,0),0), INDEX($V$1004:$AE$1004,1,MATCH(COLUMNS($V$1006:AB1006),$V$1006:$AE$1006,0)))),"Fix")))</f>
        <v>0</v>
      </c>
      <c r="I283" s="4">
        <f>IF(OR(INDEX($P$2:$P$1001,MATCH(ROWS($O$2:O283),$O$2:$O$1001,0),1)&gt;=100000,INDEX($V$1005:$AE$1005,1,MATCH(COLUMNS($V$1006:AC1006),$V$1006:$AE$1006,0))&gt;=100000), " ",IF(INDEX($V$2:$AE$1001,MATCH(ROWS($O$2:O283),$O$2:$O$1001,0),MATCH(COLUMNS($V$1006:AC1006),$V$1006:$AE$1006,0)), HYPERLINK("#",""), HYPERLINK(CONCATENATE("#Metadata!", ADDRESS(INDEX($Q$2:$Q$1001,MATCH(ROWS($O$2:O283),$O$2:$O$1001,0),0), INDEX($V$1004:$AE$1004,1,MATCH(COLUMNS($V$1006:AC1006),$V$1006:$AE$1006,0)))),"Fix")))</f>
        <v>0</v>
      </c>
      <c r="J283" s="4">
        <f>IF(OR(INDEX($P$2:$P$1001,MATCH(ROWS($O$2:O283),$O$2:$O$1001,0),1)&gt;=100000,INDEX($V$1005:$AE$1005,1,MATCH(COLUMNS($V$1006:AD1006),$V$1006:$AE$1006,0))&gt;=100000), " ",IF(INDEX($V$2:$AE$1001,MATCH(ROWS($O$2:O283),$O$2:$O$1001,0),MATCH(COLUMNS($V$1006:AD1006),$V$1006:$AE$1006,0)), HYPERLINK("#",""), HYPERLINK(CONCATENATE("#Metadata!", ADDRESS(INDEX($Q$2:$Q$1001,MATCH(ROWS($O$2:O283),$O$2:$O$1001,0),0), INDEX($V$1004:$AE$1004,1,MATCH(COLUMNS($V$1006:AD1006),$V$1006:$AE$1006,0)))),"Fix")))</f>
        <v>0</v>
      </c>
      <c r="K283" s="4">
        <f>IF(OR(INDEX($P$2:$P$1001,MATCH(ROWS($O$2:O283),$O$2:$O$1001,0),1)&gt;=100000,INDEX($V$1005:$AE$1005,1,MATCH(COLUMNS($V$1006:AE1006),$V$1006:$AE$1006,0))&gt;=100000), " ",IF(INDEX($V$2:$AE$1001,MATCH(ROWS($O$2:O283),$O$2:$O$1001,0),MATCH(COLUMNS($V$1006:AE1006),$V$1006:$AE$1006,0)), HYPERLINK("#",""), HYPERLINK(CONCATENATE("#Metadata!", ADDRESS(INDEX($Q$2:$Q$1001,MATCH(ROWS($O$2:O283),$O$2:$O$1001,0),0), INDEX($V$1004:$AE$1004,1,MATCH(COLUMNS($V$1006:AE1006),$V$1006:$AE$1006,0)))),"Fix")))</f>
        <v>0</v>
      </c>
      <c r="O283">
        <v>0</v>
      </c>
      <c r="P283">
        <v>0</v>
      </c>
      <c r="Q283">
        <v>0</v>
      </c>
      <c r="R283">
        <f>IF(S283,TRUE,AND(V283:AE283))</f>
        <v>0</v>
      </c>
      <c r="S283">
        <f>COUNTBLANK(Metadata!B283:K283)=COLUMNS(Metadata!B283:K283)</f>
        <v>0</v>
      </c>
      <c r="T283">
        <v>0</v>
      </c>
      <c r="V283">
        <f>AND(IF(Metadata!B283="",FALSE,TRUE),COUNTIF(Metadata!B:B, Metadata!B283) = 1,NOT(ISERROR(SUMPRODUCT(SEARCH(MID(Metadata!B283,ROW(INDIRECT("1:"&amp;LEN(Metadata!B283))), 1),"0123456789abcdefghijklmnopqrstuvwxyzABCDEFGHIJKLMNOPQRSTUVWXYZ.")))))</f>
        <v>0</v>
      </c>
      <c r="W283">
        <f>AND(IF(Metadata!C283="",FALSE,TRUE),exact(Metadata!C283,"urban biome"))</f>
        <v>0</v>
      </c>
      <c r="X283">
        <f>AND(IF(Metadata!D283="",FALSE,TRUE),exact(Metadata!D283,"animal-associated habitat"))</f>
        <v>0</v>
      </c>
      <c r="Y283">
        <f>OR(AND(IF(Metadata!E283="",FALSE,TRUE),OR(exact(Metadata!E283,"not applicable"),exact(Metadata!E283,"missing: not collected"),exact(Metadata!E283,"missing: not provided"),exact(Metadata!E283,"missing: restricted access"))),AND(IF(Metadata!E283="",FALSE,ISNUMBER(VALUE(Metadata!E283))),Metadata!E283&gt;0))</f>
        <v>0</v>
      </c>
      <c r="Z283">
        <f>AND(IF(Metadata!F283="",FALSE,TRUE),exact(Metadata!F283,"weeks"))</f>
        <v>0</v>
      </c>
      <c r="AA283">
        <f>AND(IF(Metadata!G283="",FALSE,TRUE),exact(Metadata!G283,"mouse"))</f>
        <v>0</v>
      </c>
      <c r="AB283">
        <f>AND(IF(Metadata!H283="",FALSE,TRUE),exact(Metadata!H283,"Mus musculus"))</f>
        <v>0</v>
      </c>
      <c r="AC283">
        <f>AND(IF(Metadata!I283="",FALSE,TRUE),exact(Metadata!I283,"10090"))</f>
        <v>0</v>
      </c>
      <c r="AD283">
        <f>OR(AND(IF(Metadata!J283="",FALSE,TRUE),OR(exact(Metadata!J283,"not applicable"),exact(Metadata!J283,"missing: not collected"),exact(Metadata!J283,"missing: not provided"),exact(Metadata!J283,"missing: restricted access"))),AND(IF(Metadata!J283="",FALSE,ISNUMBER(VALUE(Metadata!J283))),Metadata!J283&gt;0))</f>
        <v>0</v>
      </c>
      <c r="AE283">
        <f>AND(IF(Metadata!K283="",FALSE,TRUE),exact(Metadata!K283,"g"))</f>
        <v>0</v>
      </c>
    </row>
    <row r="284" spans="1:31">
      <c r="A284" s="5">
        <f>IF(B284=" "," ",HYPERLINK(CONCATENATE("#metadata!",ADDRESS(INDEX($Q$2:$Q$1001,MATCH(ROWS($O$2:O284),$O$2:$O$1001,0),0),1)),INDEX($T$2:$T$1001,MATCH(ROWS($O$2:O284),$O$2:$O$1001,0),0)))</f>
        <v>0</v>
      </c>
      <c r="B284" s="4">
        <f>IF(OR(INDEX($P$2:$P$1001,MATCH(ROWS($O$2:O284),$O$2:$O$1001,0),1)&gt;=100000,INDEX($V$1005:$AE$1005,1,MATCH(COLUMNS($V$1006:V1006),$V$1006:$AE$1006,0))&gt;=100000), " ",IF(INDEX($V$2:$AE$1001,MATCH(ROWS($O$2:O284),$O$2:$O$1001,0),MATCH(COLUMNS($V$1006:V1006),$V$1006:$AE$1006,0)), HYPERLINK("#",""), HYPERLINK(CONCATENATE("#Metadata!", ADDRESS(INDEX($Q$2:$Q$1001,MATCH(ROWS($O$2:O284),$O$2:$O$1001,0),0), INDEX($V$1004:$AE$1004,1,MATCH(COLUMNS($V$1006:V1006),$V$1006:$AE$1006,0)))),"Fix")))</f>
        <v>0</v>
      </c>
      <c r="C284" s="4">
        <f>IF(OR(INDEX($P$2:$P$1001,MATCH(ROWS($O$2:O284),$O$2:$O$1001,0),1)&gt;=100000,INDEX($V$1005:$AE$1005,1,MATCH(COLUMNS($V$1006:W1006),$V$1006:$AE$1006,0))&gt;=100000), " ",IF(INDEX($V$2:$AE$1001,MATCH(ROWS($O$2:O284),$O$2:$O$1001,0),MATCH(COLUMNS($V$1006:W1006),$V$1006:$AE$1006,0)), HYPERLINK("#",""), HYPERLINK(CONCATENATE("#Metadata!", ADDRESS(INDEX($Q$2:$Q$1001,MATCH(ROWS($O$2:O284),$O$2:$O$1001,0),0), INDEX($V$1004:$AE$1004,1,MATCH(COLUMNS($V$1006:W1006),$V$1006:$AE$1006,0)))),"Fix")))</f>
        <v>0</v>
      </c>
      <c r="D284" s="4">
        <f>IF(OR(INDEX($P$2:$P$1001,MATCH(ROWS($O$2:O284),$O$2:$O$1001,0),1)&gt;=100000,INDEX($V$1005:$AE$1005,1,MATCH(COLUMNS($V$1006:X1006),$V$1006:$AE$1006,0))&gt;=100000), " ",IF(INDEX($V$2:$AE$1001,MATCH(ROWS($O$2:O284),$O$2:$O$1001,0),MATCH(COLUMNS($V$1006:X1006),$V$1006:$AE$1006,0)), HYPERLINK("#",""), HYPERLINK(CONCATENATE("#Metadata!", ADDRESS(INDEX($Q$2:$Q$1001,MATCH(ROWS($O$2:O284),$O$2:$O$1001,0),0), INDEX($V$1004:$AE$1004,1,MATCH(COLUMNS($V$1006:X1006),$V$1006:$AE$1006,0)))),"Fix")))</f>
        <v>0</v>
      </c>
      <c r="E284" s="4">
        <f>IF(OR(INDEX($P$2:$P$1001,MATCH(ROWS($O$2:O284),$O$2:$O$1001,0),1)&gt;=100000,INDEX($V$1005:$AE$1005,1,MATCH(COLUMNS($V$1006:Y1006),$V$1006:$AE$1006,0))&gt;=100000), " ",IF(INDEX($V$2:$AE$1001,MATCH(ROWS($O$2:O284),$O$2:$O$1001,0),MATCH(COLUMNS($V$1006:Y1006),$V$1006:$AE$1006,0)), HYPERLINK("#",""), HYPERLINK(CONCATENATE("#Metadata!", ADDRESS(INDEX($Q$2:$Q$1001,MATCH(ROWS($O$2:O284),$O$2:$O$1001,0),0), INDEX($V$1004:$AE$1004,1,MATCH(COLUMNS($V$1006:Y1006),$V$1006:$AE$1006,0)))),"Fix")))</f>
        <v>0</v>
      </c>
      <c r="F284" s="4">
        <f>IF(OR(INDEX($P$2:$P$1001,MATCH(ROWS($O$2:O284),$O$2:$O$1001,0),1)&gt;=100000,INDEX($V$1005:$AE$1005,1,MATCH(COLUMNS($V$1006:Z1006),$V$1006:$AE$1006,0))&gt;=100000), " ",IF(INDEX($V$2:$AE$1001,MATCH(ROWS($O$2:O284),$O$2:$O$1001,0),MATCH(COLUMNS($V$1006:Z1006),$V$1006:$AE$1006,0)), HYPERLINK("#",""), HYPERLINK(CONCATENATE("#Metadata!", ADDRESS(INDEX($Q$2:$Q$1001,MATCH(ROWS($O$2:O284),$O$2:$O$1001,0),0), INDEX($V$1004:$AE$1004,1,MATCH(COLUMNS($V$1006:Z1006),$V$1006:$AE$1006,0)))),"Fix")))</f>
        <v>0</v>
      </c>
      <c r="G284" s="4">
        <f>IF(OR(INDEX($P$2:$P$1001,MATCH(ROWS($O$2:O284),$O$2:$O$1001,0),1)&gt;=100000,INDEX($V$1005:$AE$1005,1,MATCH(COLUMNS($V$1006:AA1006),$V$1006:$AE$1006,0))&gt;=100000), " ",IF(INDEX($V$2:$AE$1001,MATCH(ROWS($O$2:O284),$O$2:$O$1001,0),MATCH(COLUMNS($V$1006:AA1006),$V$1006:$AE$1006,0)), HYPERLINK("#",""), HYPERLINK(CONCATENATE("#Metadata!", ADDRESS(INDEX($Q$2:$Q$1001,MATCH(ROWS($O$2:O284),$O$2:$O$1001,0),0), INDEX($V$1004:$AE$1004,1,MATCH(COLUMNS($V$1006:AA1006),$V$1006:$AE$1006,0)))),"Fix")))</f>
        <v>0</v>
      </c>
      <c r="H284" s="4">
        <f>IF(OR(INDEX($P$2:$P$1001,MATCH(ROWS($O$2:O284),$O$2:$O$1001,0),1)&gt;=100000,INDEX($V$1005:$AE$1005,1,MATCH(COLUMNS($V$1006:AB1006),$V$1006:$AE$1006,0))&gt;=100000), " ",IF(INDEX($V$2:$AE$1001,MATCH(ROWS($O$2:O284),$O$2:$O$1001,0),MATCH(COLUMNS($V$1006:AB1006),$V$1006:$AE$1006,0)), HYPERLINK("#",""), HYPERLINK(CONCATENATE("#Metadata!", ADDRESS(INDEX($Q$2:$Q$1001,MATCH(ROWS($O$2:O284),$O$2:$O$1001,0),0), INDEX($V$1004:$AE$1004,1,MATCH(COLUMNS($V$1006:AB1006),$V$1006:$AE$1006,0)))),"Fix")))</f>
        <v>0</v>
      </c>
      <c r="I284" s="4">
        <f>IF(OR(INDEX($P$2:$P$1001,MATCH(ROWS($O$2:O284),$O$2:$O$1001,0),1)&gt;=100000,INDEX($V$1005:$AE$1005,1,MATCH(COLUMNS($V$1006:AC1006),$V$1006:$AE$1006,0))&gt;=100000), " ",IF(INDEX($V$2:$AE$1001,MATCH(ROWS($O$2:O284),$O$2:$O$1001,0),MATCH(COLUMNS($V$1006:AC1006),$V$1006:$AE$1006,0)), HYPERLINK("#",""), HYPERLINK(CONCATENATE("#Metadata!", ADDRESS(INDEX($Q$2:$Q$1001,MATCH(ROWS($O$2:O284),$O$2:$O$1001,0),0), INDEX($V$1004:$AE$1004,1,MATCH(COLUMNS($V$1006:AC1006),$V$1006:$AE$1006,0)))),"Fix")))</f>
        <v>0</v>
      </c>
      <c r="J284" s="4">
        <f>IF(OR(INDEX($P$2:$P$1001,MATCH(ROWS($O$2:O284),$O$2:$O$1001,0),1)&gt;=100000,INDEX($V$1005:$AE$1005,1,MATCH(COLUMNS($V$1006:AD1006),$V$1006:$AE$1006,0))&gt;=100000), " ",IF(INDEX($V$2:$AE$1001,MATCH(ROWS($O$2:O284),$O$2:$O$1001,0),MATCH(COLUMNS($V$1006:AD1006),$V$1006:$AE$1006,0)), HYPERLINK("#",""), HYPERLINK(CONCATENATE("#Metadata!", ADDRESS(INDEX($Q$2:$Q$1001,MATCH(ROWS($O$2:O284),$O$2:$O$1001,0),0), INDEX($V$1004:$AE$1004,1,MATCH(COLUMNS($V$1006:AD1006),$V$1006:$AE$1006,0)))),"Fix")))</f>
        <v>0</v>
      </c>
      <c r="K284" s="4">
        <f>IF(OR(INDEX($P$2:$P$1001,MATCH(ROWS($O$2:O284),$O$2:$O$1001,0),1)&gt;=100000,INDEX($V$1005:$AE$1005,1,MATCH(COLUMNS($V$1006:AE1006),$V$1006:$AE$1006,0))&gt;=100000), " ",IF(INDEX($V$2:$AE$1001,MATCH(ROWS($O$2:O284),$O$2:$O$1001,0),MATCH(COLUMNS($V$1006:AE1006),$V$1006:$AE$1006,0)), HYPERLINK("#",""), HYPERLINK(CONCATENATE("#Metadata!", ADDRESS(INDEX($Q$2:$Q$1001,MATCH(ROWS($O$2:O284),$O$2:$O$1001,0),0), INDEX($V$1004:$AE$1004,1,MATCH(COLUMNS($V$1006:AE1006),$V$1006:$AE$1006,0)))),"Fix")))</f>
        <v>0</v>
      </c>
      <c r="O284">
        <v>0</v>
      </c>
      <c r="P284">
        <v>0</v>
      </c>
      <c r="Q284">
        <v>0</v>
      </c>
      <c r="R284">
        <f>IF(S284,TRUE,AND(V284:AE284))</f>
        <v>0</v>
      </c>
      <c r="S284">
        <f>COUNTBLANK(Metadata!B284:K284)=COLUMNS(Metadata!B284:K284)</f>
        <v>0</v>
      </c>
      <c r="T284">
        <v>0</v>
      </c>
      <c r="V284">
        <f>AND(IF(Metadata!B284="",FALSE,TRUE),COUNTIF(Metadata!B:B, Metadata!B284) = 1,NOT(ISERROR(SUMPRODUCT(SEARCH(MID(Metadata!B284,ROW(INDIRECT("1:"&amp;LEN(Metadata!B284))), 1),"0123456789abcdefghijklmnopqrstuvwxyzABCDEFGHIJKLMNOPQRSTUVWXYZ.")))))</f>
        <v>0</v>
      </c>
      <c r="W284">
        <f>AND(IF(Metadata!C284="",FALSE,TRUE),exact(Metadata!C284,"urban biome"))</f>
        <v>0</v>
      </c>
      <c r="X284">
        <f>AND(IF(Metadata!D284="",FALSE,TRUE),exact(Metadata!D284,"animal-associated habitat"))</f>
        <v>0</v>
      </c>
      <c r="Y284">
        <f>OR(AND(IF(Metadata!E284="",FALSE,TRUE),OR(exact(Metadata!E284,"not applicable"),exact(Metadata!E284,"missing: not collected"),exact(Metadata!E284,"missing: not provided"),exact(Metadata!E284,"missing: restricted access"))),AND(IF(Metadata!E284="",FALSE,ISNUMBER(VALUE(Metadata!E284))),Metadata!E284&gt;0))</f>
        <v>0</v>
      </c>
      <c r="Z284">
        <f>AND(IF(Metadata!F284="",FALSE,TRUE),exact(Metadata!F284,"weeks"))</f>
        <v>0</v>
      </c>
      <c r="AA284">
        <f>AND(IF(Metadata!G284="",FALSE,TRUE),exact(Metadata!G284,"mouse"))</f>
        <v>0</v>
      </c>
      <c r="AB284">
        <f>AND(IF(Metadata!H284="",FALSE,TRUE),exact(Metadata!H284,"Mus musculus"))</f>
        <v>0</v>
      </c>
      <c r="AC284">
        <f>AND(IF(Metadata!I284="",FALSE,TRUE),exact(Metadata!I284,"10090"))</f>
        <v>0</v>
      </c>
      <c r="AD284">
        <f>OR(AND(IF(Metadata!J284="",FALSE,TRUE),OR(exact(Metadata!J284,"not applicable"),exact(Metadata!J284,"missing: not collected"),exact(Metadata!J284,"missing: not provided"),exact(Metadata!J284,"missing: restricted access"))),AND(IF(Metadata!J284="",FALSE,ISNUMBER(VALUE(Metadata!J284))),Metadata!J284&gt;0))</f>
        <v>0</v>
      </c>
      <c r="AE284">
        <f>AND(IF(Metadata!K284="",FALSE,TRUE),exact(Metadata!K284,"g"))</f>
        <v>0</v>
      </c>
    </row>
    <row r="285" spans="1:31">
      <c r="A285" s="5">
        <f>IF(B285=" "," ",HYPERLINK(CONCATENATE("#metadata!",ADDRESS(INDEX($Q$2:$Q$1001,MATCH(ROWS($O$2:O285),$O$2:$O$1001,0),0),1)),INDEX($T$2:$T$1001,MATCH(ROWS($O$2:O285),$O$2:$O$1001,0),0)))</f>
        <v>0</v>
      </c>
      <c r="B285" s="4">
        <f>IF(OR(INDEX($P$2:$P$1001,MATCH(ROWS($O$2:O285),$O$2:$O$1001,0),1)&gt;=100000,INDEX($V$1005:$AE$1005,1,MATCH(COLUMNS($V$1006:V1006),$V$1006:$AE$1006,0))&gt;=100000), " ",IF(INDEX($V$2:$AE$1001,MATCH(ROWS($O$2:O285),$O$2:$O$1001,0),MATCH(COLUMNS($V$1006:V1006),$V$1006:$AE$1006,0)), HYPERLINK("#",""), HYPERLINK(CONCATENATE("#Metadata!", ADDRESS(INDEX($Q$2:$Q$1001,MATCH(ROWS($O$2:O285),$O$2:$O$1001,0),0), INDEX($V$1004:$AE$1004,1,MATCH(COLUMNS($V$1006:V1006),$V$1006:$AE$1006,0)))),"Fix")))</f>
        <v>0</v>
      </c>
      <c r="C285" s="4">
        <f>IF(OR(INDEX($P$2:$P$1001,MATCH(ROWS($O$2:O285),$O$2:$O$1001,0),1)&gt;=100000,INDEX($V$1005:$AE$1005,1,MATCH(COLUMNS($V$1006:W1006),$V$1006:$AE$1006,0))&gt;=100000), " ",IF(INDEX($V$2:$AE$1001,MATCH(ROWS($O$2:O285),$O$2:$O$1001,0),MATCH(COLUMNS($V$1006:W1006),$V$1006:$AE$1006,0)), HYPERLINK("#",""), HYPERLINK(CONCATENATE("#Metadata!", ADDRESS(INDEX($Q$2:$Q$1001,MATCH(ROWS($O$2:O285),$O$2:$O$1001,0),0), INDEX($V$1004:$AE$1004,1,MATCH(COLUMNS($V$1006:W1006),$V$1006:$AE$1006,0)))),"Fix")))</f>
        <v>0</v>
      </c>
      <c r="D285" s="4">
        <f>IF(OR(INDEX($P$2:$P$1001,MATCH(ROWS($O$2:O285),$O$2:$O$1001,0),1)&gt;=100000,INDEX($V$1005:$AE$1005,1,MATCH(COLUMNS($V$1006:X1006),$V$1006:$AE$1006,0))&gt;=100000), " ",IF(INDEX($V$2:$AE$1001,MATCH(ROWS($O$2:O285),$O$2:$O$1001,0),MATCH(COLUMNS($V$1006:X1006),$V$1006:$AE$1006,0)), HYPERLINK("#",""), HYPERLINK(CONCATENATE("#Metadata!", ADDRESS(INDEX($Q$2:$Q$1001,MATCH(ROWS($O$2:O285),$O$2:$O$1001,0),0), INDEX($V$1004:$AE$1004,1,MATCH(COLUMNS($V$1006:X1006),$V$1006:$AE$1006,0)))),"Fix")))</f>
        <v>0</v>
      </c>
      <c r="E285" s="4">
        <f>IF(OR(INDEX($P$2:$P$1001,MATCH(ROWS($O$2:O285),$O$2:$O$1001,0),1)&gt;=100000,INDEX($V$1005:$AE$1005,1,MATCH(COLUMNS($V$1006:Y1006),$V$1006:$AE$1006,0))&gt;=100000), " ",IF(INDEX($V$2:$AE$1001,MATCH(ROWS($O$2:O285),$O$2:$O$1001,0),MATCH(COLUMNS($V$1006:Y1006),$V$1006:$AE$1006,0)), HYPERLINK("#",""), HYPERLINK(CONCATENATE("#Metadata!", ADDRESS(INDEX($Q$2:$Q$1001,MATCH(ROWS($O$2:O285),$O$2:$O$1001,0),0), INDEX($V$1004:$AE$1004,1,MATCH(COLUMNS($V$1006:Y1006),$V$1006:$AE$1006,0)))),"Fix")))</f>
        <v>0</v>
      </c>
      <c r="F285" s="4">
        <f>IF(OR(INDEX($P$2:$P$1001,MATCH(ROWS($O$2:O285),$O$2:$O$1001,0),1)&gt;=100000,INDEX($V$1005:$AE$1005,1,MATCH(COLUMNS($V$1006:Z1006),$V$1006:$AE$1006,0))&gt;=100000), " ",IF(INDEX($V$2:$AE$1001,MATCH(ROWS($O$2:O285),$O$2:$O$1001,0),MATCH(COLUMNS($V$1006:Z1006),$V$1006:$AE$1006,0)), HYPERLINK("#",""), HYPERLINK(CONCATENATE("#Metadata!", ADDRESS(INDEX($Q$2:$Q$1001,MATCH(ROWS($O$2:O285),$O$2:$O$1001,0),0), INDEX($V$1004:$AE$1004,1,MATCH(COLUMNS($V$1006:Z1006),$V$1006:$AE$1006,0)))),"Fix")))</f>
        <v>0</v>
      </c>
      <c r="G285" s="4">
        <f>IF(OR(INDEX($P$2:$P$1001,MATCH(ROWS($O$2:O285),$O$2:$O$1001,0),1)&gt;=100000,INDEX($V$1005:$AE$1005,1,MATCH(COLUMNS($V$1006:AA1006),$V$1006:$AE$1006,0))&gt;=100000), " ",IF(INDEX($V$2:$AE$1001,MATCH(ROWS($O$2:O285),$O$2:$O$1001,0),MATCH(COLUMNS($V$1006:AA1006),$V$1006:$AE$1006,0)), HYPERLINK("#",""), HYPERLINK(CONCATENATE("#Metadata!", ADDRESS(INDEX($Q$2:$Q$1001,MATCH(ROWS($O$2:O285),$O$2:$O$1001,0),0), INDEX($V$1004:$AE$1004,1,MATCH(COLUMNS($V$1006:AA1006),$V$1006:$AE$1006,0)))),"Fix")))</f>
        <v>0</v>
      </c>
      <c r="H285" s="4">
        <f>IF(OR(INDEX($P$2:$P$1001,MATCH(ROWS($O$2:O285),$O$2:$O$1001,0),1)&gt;=100000,INDEX($V$1005:$AE$1005,1,MATCH(COLUMNS($V$1006:AB1006),$V$1006:$AE$1006,0))&gt;=100000), " ",IF(INDEX($V$2:$AE$1001,MATCH(ROWS($O$2:O285),$O$2:$O$1001,0),MATCH(COLUMNS($V$1006:AB1006),$V$1006:$AE$1006,0)), HYPERLINK("#",""), HYPERLINK(CONCATENATE("#Metadata!", ADDRESS(INDEX($Q$2:$Q$1001,MATCH(ROWS($O$2:O285),$O$2:$O$1001,0),0), INDEX($V$1004:$AE$1004,1,MATCH(COLUMNS($V$1006:AB1006),$V$1006:$AE$1006,0)))),"Fix")))</f>
        <v>0</v>
      </c>
      <c r="I285" s="4">
        <f>IF(OR(INDEX($P$2:$P$1001,MATCH(ROWS($O$2:O285),$O$2:$O$1001,0),1)&gt;=100000,INDEX($V$1005:$AE$1005,1,MATCH(COLUMNS($V$1006:AC1006),$V$1006:$AE$1006,0))&gt;=100000), " ",IF(INDEX($V$2:$AE$1001,MATCH(ROWS($O$2:O285),$O$2:$O$1001,0),MATCH(COLUMNS($V$1006:AC1006),$V$1006:$AE$1006,0)), HYPERLINK("#",""), HYPERLINK(CONCATENATE("#Metadata!", ADDRESS(INDEX($Q$2:$Q$1001,MATCH(ROWS($O$2:O285),$O$2:$O$1001,0),0), INDEX($V$1004:$AE$1004,1,MATCH(COLUMNS($V$1006:AC1006),$V$1006:$AE$1006,0)))),"Fix")))</f>
        <v>0</v>
      </c>
      <c r="J285" s="4">
        <f>IF(OR(INDEX($P$2:$P$1001,MATCH(ROWS($O$2:O285),$O$2:$O$1001,0),1)&gt;=100000,INDEX($V$1005:$AE$1005,1,MATCH(COLUMNS($V$1006:AD1006),$V$1006:$AE$1006,0))&gt;=100000), " ",IF(INDEX($V$2:$AE$1001,MATCH(ROWS($O$2:O285),$O$2:$O$1001,0),MATCH(COLUMNS($V$1006:AD1006),$V$1006:$AE$1006,0)), HYPERLINK("#",""), HYPERLINK(CONCATENATE("#Metadata!", ADDRESS(INDEX($Q$2:$Q$1001,MATCH(ROWS($O$2:O285),$O$2:$O$1001,0),0), INDEX($V$1004:$AE$1004,1,MATCH(COLUMNS($V$1006:AD1006),$V$1006:$AE$1006,0)))),"Fix")))</f>
        <v>0</v>
      </c>
      <c r="K285" s="4">
        <f>IF(OR(INDEX($P$2:$P$1001,MATCH(ROWS($O$2:O285),$O$2:$O$1001,0),1)&gt;=100000,INDEX($V$1005:$AE$1005,1,MATCH(COLUMNS($V$1006:AE1006),$V$1006:$AE$1006,0))&gt;=100000), " ",IF(INDEX($V$2:$AE$1001,MATCH(ROWS($O$2:O285),$O$2:$O$1001,0),MATCH(COLUMNS($V$1006:AE1006),$V$1006:$AE$1006,0)), HYPERLINK("#",""), HYPERLINK(CONCATENATE("#Metadata!", ADDRESS(INDEX($Q$2:$Q$1001,MATCH(ROWS($O$2:O285),$O$2:$O$1001,0),0), INDEX($V$1004:$AE$1004,1,MATCH(COLUMNS($V$1006:AE1006),$V$1006:$AE$1006,0)))),"Fix")))</f>
        <v>0</v>
      </c>
      <c r="O285">
        <v>0</v>
      </c>
      <c r="P285">
        <v>0</v>
      </c>
      <c r="Q285">
        <v>0</v>
      </c>
      <c r="R285">
        <f>IF(S285,TRUE,AND(V285:AE285))</f>
        <v>0</v>
      </c>
      <c r="S285">
        <f>COUNTBLANK(Metadata!B285:K285)=COLUMNS(Metadata!B285:K285)</f>
        <v>0</v>
      </c>
      <c r="T285">
        <v>0</v>
      </c>
      <c r="V285">
        <f>AND(IF(Metadata!B285="",FALSE,TRUE),COUNTIF(Metadata!B:B, Metadata!B285) = 1,NOT(ISERROR(SUMPRODUCT(SEARCH(MID(Metadata!B285,ROW(INDIRECT("1:"&amp;LEN(Metadata!B285))), 1),"0123456789abcdefghijklmnopqrstuvwxyzABCDEFGHIJKLMNOPQRSTUVWXYZ.")))))</f>
        <v>0</v>
      </c>
      <c r="W285">
        <f>AND(IF(Metadata!C285="",FALSE,TRUE),exact(Metadata!C285,"urban biome"))</f>
        <v>0</v>
      </c>
      <c r="X285">
        <f>AND(IF(Metadata!D285="",FALSE,TRUE),exact(Metadata!D285,"animal-associated habitat"))</f>
        <v>0</v>
      </c>
      <c r="Y285">
        <f>OR(AND(IF(Metadata!E285="",FALSE,TRUE),OR(exact(Metadata!E285,"not applicable"),exact(Metadata!E285,"missing: not collected"),exact(Metadata!E285,"missing: not provided"),exact(Metadata!E285,"missing: restricted access"))),AND(IF(Metadata!E285="",FALSE,ISNUMBER(VALUE(Metadata!E285))),Metadata!E285&gt;0))</f>
        <v>0</v>
      </c>
      <c r="Z285">
        <f>AND(IF(Metadata!F285="",FALSE,TRUE),exact(Metadata!F285,"weeks"))</f>
        <v>0</v>
      </c>
      <c r="AA285">
        <f>AND(IF(Metadata!G285="",FALSE,TRUE),exact(Metadata!G285,"mouse"))</f>
        <v>0</v>
      </c>
      <c r="AB285">
        <f>AND(IF(Metadata!H285="",FALSE,TRUE),exact(Metadata!H285,"Mus musculus"))</f>
        <v>0</v>
      </c>
      <c r="AC285">
        <f>AND(IF(Metadata!I285="",FALSE,TRUE),exact(Metadata!I285,"10090"))</f>
        <v>0</v>
      </c>
      <c r="AD285">
        <f>OR(AND(IF(Metadata!J285="",FALSE,TRUE),OR(exact(Metadata!J285,"not applicable"),exact(Metadata!J285,"missing: not collected"),exact(Metadata!J285,"missing: not provided"),exact(Metadata!J285,"missing: restricted access"))),AND(IF(Metadata!J285="",FALSE,ISNUMBER(VALUE(Metadata!J285))),Metadata!J285&gt;0))</f>
        <v>0</v>
      </c>
      <c r="AE285">
        <f>AND(IF(Metadata!K285="",FALSE,TRUE),exact(Metadata!K285,"g"))</f>
        <v>0</v>
      </c>
    </row>
    <row r="286" spans="1:31">
      <c r="A286" s="5">
        <f>IF(B286=" "," ",HYPERLINK(CONCATENATE("#metadata!",ADDRESS(INDEX($Q$2:$Q$1001,MATCH(ROWS($O$2:O286),$O$2:$O$1001,0),0),1)),INDEX($T$2:$T$1001,MATCH(ROWS($O$2:O286),$O$2:$O$1001,0),0)))</f>
        <v>0</v>
      </c>
      <c r="B286" s="4">
        <f>IF(OR(INDEX($P$2:$P$1001,MATCH(ROWS($O$2:O286),$O$2:$O$1001,0),1)&gt;=100000,INDEX($V$1005:$AE$1005,1,MATCH(COLUMNS($V$1006:V1006),$V$1006:$AE$1006,0))&gt;=100000), " ",IF(INDEX($V$2:$AE$1001,MATCH(ROWS($O$2:O286),$O$2:$O$1001,0),MATCH(COLUMNS($V$1006:V1006),$V$1006:$AE$1006,0)), HYPERLINK("#",""), HYPERLINK(CONCATENATE("#Metadata!", ADDRESS(INDEX($Q$2:$Q$1001,MATCH(ROWS($O$2:O286),$O$2:$O$1001,0),0), INDEX($V$1004:$AE$1004,1,MATCH(COLUMNS($V$1006:V1006),$V$1006:$AE$1006,0)))),"Fix")))</f>
        <v>0</v>
      </c>
      <c r="C286" s="4">
        <f>IF(OR(INDEX($P$2:$P$1001,MATCH(ROWS($O$2:O286),$O$2:$O$1001,0),1)&gt;=100000,INDEX($V$1005:$AE$1005,1,MATCH(COLUMNS($V$1006:W1006),$V$1006:$AE$1006,0))&gt;=100000), " ",IF(INDEX($V$2:$AE$1001,MATCH(ROWS($O$2:O286),$O$2:$O$1001,0),MATCH(COLUMNS($V$1006:W1006),$V$1006:$AE$1006,0)), HYPERLINK("#",""), HYPERLINK(CONCATENATE("#Metadata!", ADDRESS(INDEX($Q$2:$Q$1001,MATCH(ROWS($O$2:O286),$O$2:$O$1001,0),0), INDEX($V$1004:$AE$1004,1,MATCH(COLUMNS($V$1006:W1006),$V$1006:$AE$1006,0)))),"Fix")))</f>
        <v>0</v>
      </c>
      <c r="D286" s="4">
        <f>IF(OR(INDEX($P$2:$P$1001,MATCH(ROWS($O$2:O286),$O$2:$O$1001,0),1)&gt;=100000,INDEX($V$1005:$AE$1005,1,MATCH(COLUMNS($V$1006:X1006),$V$1006:$AE$1006,0))&gt;=100000), " ",IF(INDEX($V$2:$AE$1001,MATCH(ROWS($O$2:O286),$O$2:$O$1001,0),MATCH(COLUMNS($V$1006:X1006),$V$1006:$AE$1006,0)), HYPERLINK("#",""), HYPERLINK(CONCATENATE("#Metadata!", ADDRESS(INDEX($Q$2:$Q$1001,MATCH(ROWS($O$2:O286),$O$2:$O$1001,0),0), INDEX($V$1004:$AE$1004,1,MATCH(COLUMNS($V$1006:X1006),$V$1006:$AE$1006,0)))),"Fix")))</f>
        <v>0</v>
      </c>
      <c r="E286" s="4">
        <f>IF(OR(INDEX($P$2:$P$1001,MATCH(ROWS($O$2:O286),$O$2:$O$1001,0),1)&gt;=100000,INDEX($V$1005:$AE$1005,1,MATCH(COLUMNS($V$1006:Y1006),$V$1006:$AE$1006,0))&gt;=100000), " ",IF(INDEX($V$2:$AE$1001,MATCH(ROWS($O$2:O286),$O$2:$O$1001,0),MATCH(COLUMNS($V$1006:Y1006),$V$1006:$AE$1006,0)), HYPERLINK("#",""), HYPERLINK(CONCATENATE("#Metadata!", ADDRESS(INDEX($Q$2:$Q$1001,MATCH(ROWS($O$2:O286),$O$2:$O$1001,0),0), INDEX($V$1004:$AE$1004,1,MATCH(COLUMNS($V$1006:Y1006),$V$1006:$AE$1006,0)))),"Fix")))</f>
        <v>0</v>
      </c>
      <c r="F286" s="4">
        <f>IF(OR(INDEX($P$2:$P$1001,MATCH(ROWS($O$2:O286),$O$2:$O$1001,0),1)&gt;=100000,INDEX($V$1005:$AE$1005,1,MATCH(COLUMNS($V$1006:Z1006),$V$1006:$AE$1006,0))&gt;=100000), " ",IF(INDEX($V$2:$AE$1001,MATCH(ROWS($O$2:O286),$O$2:$O$1001,0),MATCH(COLUMNS($V$1006:Z1006),$V$1006:$AE$1006,0)), HYPERLINK("#",""), HYPERLINK(CONCATENATE("#Metadata!", ADDRESS(INDEX($Q$2:$Q$1001,MATCH(ROWS($O$2:O286),$O$2:$O$1001,0),0), INDEX($V$1004:$AE$1004,1,MATCH(COLUMNS($V$1006:Z1006),$V$1006:$AE$1006,0)))),"Fix")))</f>
        <v>0</v>
      </c>
      <c r="G286" s="4">
        <f>IF(OR(INDEX($P$2:$P$1001,MATCH(ROWS($O$2:O286),$O$2:$O$1001,0),1)&gt;=100000,INDEX($V$1005:$AE$1005,1,MATCH(COLUMNS($V$1006:AA1006),$V$1006:$AE$1006,0))&gt;=100000), " ",IF(INDEX($V$2:$AE$1001,MATCH(ROWS($O$2:O286),$O$2:$O$1001,0),MATCH(COLUMNS($V$1006:AA1006),$V$1006:$AE$1006,0)), HYPERLINK("#",""), HYPERLINK(CONCATENATE("#Metadata!", ADDRESS(INDEX($Q$2:$Q$1001,MATCH(ROWS($O$2:O286),$O$2:$O$1001,0),0), INDEX($V$1004:$AE$1004,1,MATCH(COLUMNS($V$1006:AA1006),$V$1006:$AE$1006,0)))),"Fix")))</f>
        <v>0</v>
      </c>
      <c r="H286" s="4">
        <f>IF(OR(INDEX($P$2:$P$1001,MATCH(ROWS($O$2:O286),$O$2:$O$1001,0),1)&gt;=100000,INDEX($V$1005:$AE$1005,1,MATCH(COLUMNS($V$1006:AB1006),$V$1006:$AE$1006,0))&gt;=100000), " ",IF(INDEX($V$2:$AE$1001,MATCH(ROWS($O$2:O286),$O$2:$O$1001,0),MATCH(COLUMNS($V$1006:AB1006),$V$1006:$AE$1006,0)), HYPERLINK("#",""), HYPERLINK(CONCATENATE("#Metadata!", ADDRESS(INDEX($Q$2:$Q$1001,MATCH(ROWS($O$2:O286),$O$2:$O$1001,0),0), INDEX($V$1004:$AE$1004,1,MATCH(COLUMNS($V$1006:AB1006),$V$1006:$AE$1006,0)))),"Fix")))</f>
        <v>0</v>
      </c>
      <c r="I286" s="4">
        <f>IF(OR(INDEX($P$2:$P$1001,MATCH(ROWS($O$2:O286),$O$2:$O$1001,0),1)&gt;=100000,INDEX($V$1005:$AE$1005,1,MATCH(COLUMNS($V$1006:AC1006),$V$1006:$AE$1006,0))&gt;=100000), " ",IF(INDEX($V$2:$AE$1001,MATCH(ROWS($O$2:O286),$O$2:$O$1001,0),MATCH(COLUMNS($V$1006:AC1006),$V$1006:$AE$1006,0)), HYPERLINK("#",""), HYPERLINK(CONCATENATE("#Metadata!", ADDRESS(INDEX($Q$2:$Q$1001,MATCH(ROWS($O$2:O286),$O$2:$O$1001,0),0), INDEX($V$1004:$AE$1004,1,MATCH(COLUMNS($V$1006:AC1006),$V$1006:$AE$1006,0)))),"Fix")))</f>
        <v>0</v>
      </c>
      <c r="J286" s="4">
        <f>IF(OR(INDEX($P$2:$P$1001,MATCH(ROWS($O$2:O286),$O$2:$O$1001,0),1)&gt;=100000,INDEX($V$1005:$AE$1005,1,MATCH(COLUMNS($V$1006:AD1006),$V$1006:$AE$1006,0))&gt;=100000), " ",IF(INDEX($V$2:$AE$1001,MATCH(ROWS($O$2:O286),$O$2:$O$1001,0),MATCH(COLUMNS($V$1006:AD1006),$V$1006:$AE$1006,0)), HYPERLINK("#",""), HYPERLINK(CONCATENATE("#Metadata!", ADDRESS(INDEX($Q$2:$Q$1001,MATCH(ROWS($O$2:O286),$O$2:$O$1001,0),0), INDEX($V$1004:$AE$1004,1,MATCH(COLUMNS($V$1006:AD1006),$V$1006:$AE$1006,0)))),"Fix")))</f>
        <v>0</v>
      </c>
      <c r="K286" s="4">
        <f>IF(OR(INDEX($P$2:$P$1001,MATCH(ROWS($O$2:O286),$O$2:$O$1001,0),1)&gt;=100000,INDEX($V$1005:$AE$1005,1,MATCH(COLUMNS($V$1006:AE1006),$V$1006:$AE$1006,0))&gt;=100000), " ",IF(INDEX($V$2:$AE$1001,MATCH(ROWS($O$2:O286),$O$2:$O$1001,0),MATCH(COLUMNS($V$1006:AE1006),$V$1006:$AE$1006,0)), HYPERLINK("#",""), HYPERLINK(CONCATENATE("#Metadata!", ADDRESS(INDEX($Q$2:$Q$1001,MATCH(ROWS($O$2:O286),$O$2:$O$1001,0),0), INDEX($V$1004:$AE$1004,1,MATCH(COLUMNS($V$1006:AE1006),$V$1006:$AE$1006,0)))),"Fix")))</f>
        <v>0</v>
      </c>
      <c r="O286">
        <v>0</v>
      </c>
      <c r="P286">
        <v>0</v>
      </c>
      <c r="Q286">
        <v>0</v>
      </c>
      <c r="R286">
        <f>IF(S286,TRUE,AND(V286:AE286))</f>
        <v>0</v>
      </c>
      <c r="S286">
        <f>COUNTBLANK(Metadata!B286:K286)=COLUMNS(Metadata!B286:K286)</f>
        <v>0</v>
      </c>
      <c r="T286">
        <v>0</v>
      </c>
      <c r="V286">
        <f>AND(IF(Metadata!B286="",FALSE,TRUE),COUNTIF(Metadata!B:B, Metadata!B286) = 1,NOT(ISERROR(SUMPRODUCT(SEARCH(MID(Metadata!B286,ROW(INDIRECT("1:"&amp;LEN(Metadata!B286))), 1),"0123456789abcdefghijklmnopqrstuvwxyzABCDEFGHIJKLMNOPQRSTUVWXYZ.")))))</f>
        <v>0</v>
      </c>
      <c r="W286">
        <f>AND(IF(Metadata!C286="",FALSE,TRUE),exact(Metadata!C286,"urban biome"))</f>
        <v>0</v>
      </c>
      <c r="X286">
        <f>AND(IF(Metadata!D286="",FALSE,TRUE),exact(Metadata!D286,"animal-associated habitat"))</f>
        <v>0</v>
      </c>
      <c r="Y286">
        <f>OR(AND(IF(Metadata!E286="",FALSE,TRUE),OR(exact(Metadata!E286,"not applicable"),exact(Metadata!E286,"missing: not collected"),exact(Metadata!E286,"missing: not provided"),exact(Metadata!E286,"missing: restricted access"))),AND(IF(Metadata!E286="",FALSE,ISNUMBER(VALUE(Metadata!E286))),Metadata!E286&gt;0))</f>
        <v>0</v>
      </c>
      <c r="Z286">
        <f>AND(IF(Metadata!F286="",FALSE,TRUE),exact(Metadata!F286,"weeks"))</f>
        <v>0</v>
      </c>
      <c r="AA286">
        <f>AND(IF(Metadata!G286="",FALSE,TRUE),exact(Metadata!G286,"mouse"))</f>
        <v>0</v>
      </c>
      <c r="AB286">
        <f>AND(IF(Metadata!H286="",FALSE,TRUE),exact(Metadata!H286,"Mus musculus"))</f>
        <v>0</v>
      </c>
      <c r="AC286">
        <f>AND(IF(Metadata!I286="",FALSE,TRUE),exact(Metadata!I286,"10090"))</f>
        <v>0</v>
      </c>
      <c r="AD286">
        <f>OR(AND(IF(Metadata!J286="",FALSE,TRUE),OR(exact(Metadata!J286,"not applicable"),exact(Metadata!J286,"missing: not collected"),exact(Metadata!J286,"missing: not provided"),exact(Metadata!J286,"missing: restricted access"))),AND(IF(Metadata!J286="",FALSE,ISNUMBER(VALUE(Metadata!J286))),Metadata!J286&gt;0))</f>
        <v>0</v>
      </c>
      <c r="AE286">
        <f>AND(IF(Metadata!K286="",FALSE,TRUE),exact(Metadata!K286,"g"))</f>
        <v>0</v>
      </c>
    </row>
    <row r="287" spans="1:31">
      <c r="A287" s="5">
        <f>IF(B287=" "," ",HYPERLINK(CONCATENATE("#metadata!",ADDRESS(INDEX($Q$2:$Q$1001,MATCH(ROWS($O$2:O287),$O$2:$O$1001,0),0),1)),INDEX($T$2:$T$1001,MATCH(ROWS($O$2:O287),$O$2:$O$1001,0),0)))</f>
        <v>0</v>
      </c>
      <c r="B287" s="4">
        <f>IF(OR(INDEX($P$2:$P$1001,MATCH(ROWS($O$2:O287),$O$2:$O$1001,0),1)&gt;=100000,INDEX($V$1005:$AE$1005,1,MATCH(COLUMNS($V$1006:V1006),$V$1006:$AE$1006,0))&gt;=100000), " ",IF(INDEX($V$2:$AE$1001,MATCH(ROWS($O$2:O287),$O$2:$O$1001,0),MATCH(COLUMNS($V$1006:V1006),$V$1006:$AE$1006,0)), HYPERLINK("#",""), HYPERLINK(CONCATENATE("#Metadata!", ADDRESS(INDEX($Q$2:$Q$1001,MATCH(ROWS($O$2:O287),$O$2:$O$1001,0),0), INDEX($V$1004:$AE$1004,1,MATCH(COLUMNS($V$1006:V1006),$V$1006:$AE$1006,0)))),"Fix")))</f>
        <v>0</v>
      </c>
      <c r="C287" s="4">
        <f>IF(OR(INDEX($P$2:$P$1001,MATCH(ROWS($O$2:O287),$O$2:$O$1001,0),1)&gt;=100000,INDEX($V$1005:$AE$1005,1,MATCH(COLUMNS($V$1006:W1006),$V$1006:$AE$1006,0))&gt;=100000), " ",IF(INDEX($V$2:$AE$1001,MATCH(ROWS($O$2:O287),$O$2:$O$1001,0),MATCH(COLUMNS($V$1006:W1006),$V$1006:$AE$1006,0)), HYPERLINK("#",""), HYPERLINK(CONCATENATE("#Metadata!", ADDRESS(INDEX($Q$2:$Q$1001,MATCH(ROWS($O$2:O287),$O$2:$O$1001,0),0), INDEX($V$1004:$AE$1004,1,MATCH(COLUMNS($V$1006:W1006),$V$1006:$AE$1006,0)))),"Fix")))</f>
        <v>0</v>
      </c>
      <c r="D287" s="4">
        <f>IF(OR(INDEX($P$2:$P$1001,MATCH(ROWS($O$2:O287),$O$2:$O$1001,0),1)&gt;=100000,INDEX($V$1005:$AE$1005,1,MATCH(COLUMNS($V$1006:X1006),$V$1006:$AE$1006,0))&gt;=100000), " ",IF(INDEX($V$2:$AE$1001,MATCH(ROWS($O$2:O287),$O$2:$O$1001,0),MATCH(COLUMNS($V$1006:X1006),$V$1006:$AE$1006,0)), HYPERLINK("#",""), HYPERLINK(CONCATENATE("#Metadata!", ADDRESS(INDEX($Q$2:$Q$1001,MATCH(ROWS($O$2:O287),$O$2:$O$1001,0),0), INDEX($V$1004:$AE$1004,1,MATCH(COLUMNS($V$1006:X1006),$V$1006:$AE$1006,0)))),"Fix")))</f>
        <v>0</v>
      </c>
      <c r="E287" s="4">
        <f>IF(OR(INDEX($P$2:$P$1001,MATCH(ROWS($O$2:O287),$O$2:$O$1001,0),1)&gt;=100000,INDEX($V$1005:$AE$1005,1,MATCH(COLUMNS($V$1006:Y1006),$V$1006:$AE$1006,0))&gt;=100000), " ",IF(INDEX($V$2:$AE$1001,MATCH(ROWS($O$2:O287),$O$2:$O$1001,0),MATCH(COLUMNS($V$1006:Y1006),$V$1006:$AE$1006,0)), HYPERLINK("#",""), HYPERLINK(CONCATENATE("#Metadata!", ADDRESS(INDEX($Q$2:$Q$1001,MATCH(ROWS($O$2:O287),$O$2:$O$1001,0),0), INDEX($V$1004:$AE$1004,1,MATCH(COLUMNS($V$1006:Y1006),$V$1006:$AE$1006,0)))),"Fix")))</f>
        <v>0</v>
      </c>
      <c r="F287" s="4">
        <f>IF(OR(INDEX($P$2:$P$1001,MATCH(ROWS($O$2:O287),$O$2:$O$1001,0),1)&gt;=100000,INDEX($V$1005:$AE$1005,1,MATCH(COLUMNS($V$1006:Z1006),$V$1006:$AE$1006,0))&gt;=100000), " ",IF(INDEX($V$2:$AE$1001,MATCH(ROWS($O$2:O287),$O$2:$O$1001,0),MATCH(COLUMNS($V$1006:Z1006),$V$1006:$AE$1006,0)), HYPERLINK("#",""), HYPERLINK(CONCATENATE("#Metadata!", ADDRESS(INDEX($Q$2:$Q$1001,MATCH(ROWS($O$2:O287),$O$2:$O$1001,0),0), INDEX($V$1004:$AE$1004,1,MATCH(COLUMNS($V$1006:Z1006),$V$1006:$AE$1006,0)))),"Fix")))</f>
        <v>0</v>
      </c>
      <c r="G287" s="4">
        <f>IF(OR(INDEX($P$2:$P$1001,MATCH(ROWS($O$2:O287),$O$2:$O$1001,0),1)&gt;=100000,INDEX($V$1005:$AE$1005,1,MATCH(COLUMNS($V$1006:AA1006),$V$1006:$AE$1006,0))&gt;=100000), " ",IF(INDEX($V$2:$AE$1001,MATCH(ROWS($O$2:O287),$O$2:$O$1001,0),MATCH(COLUMNS($V$1006:AA1006),$V$1006:$AE$1006,0)), HYPERLINK("#",""), HYPERLINK(CONCATENATE("#Metadata!", ADDRESS(INDEX($Q$2:$Q$1001,MATCH(ROWS($O$2:O287),$O$2:$O$1001,0),0), INDEX($V$1004:$AE$1004,1,MATCH(COLUMNS($V$1006:AA1006),$V$1006:$AE$1006,0)))),"Fix")))</f>
        <v>0</v>
      </c>
      <c r="H287" s="4">
        <f>IF(OR(INDEX($P$2:$P$1001,MATCH(ROWS($O$2:O287),$O$2:$O$1001,0),1)&gt;=100000,INDEX($V$1005:$AE$1005,1,MATCH(COLUMNS($V$1006:AB1006),$V$1006:$AE$1006,0))&gt;=100000), " ",IF(INDEX($V$2:$AE$1001,MATCH(ROWS($O$2:O287),$O$2:$O$1001,0),MATCH(COLUMNS($V$1006:AB1006),$V$1006:$AE$1006,0)), HYPERLINK("#",""), HYPERLINK(CONCATENATE("#Metadata!", ADDRESS(INDEX($Q$2:$Q$1001,MATCH(ROWS($O$2:O287),$O$2:$O$1001,0),0), INDEX($V$1004:$AE$1004,1,MATCH(COLUMNS($V$1006:AB1006),$V$1006:$AE$1006,0)))),"Fix")))</f>
        <v>0</v>
      </c>
      <c r="I287" s="4">
        <f>IF(OR(INDEX($P$2:$P$1001,MATCH(ROWS($O$2:O287),$O$2:$O$1001,0),1)&gt;=100000,INDEX($V$1005:$AE$1005,1,MATCH(COLUMNS($V$1006:AC1006),$V$1006:$AE$1006,0))&gt;=100000), " ",IF(INDEX($V$2:$AE$1001,MATCH(ROWS($O$2:O287),$O$2:$O$1001,0),MATCH(COLUMNS($V$1006:AC1006),$V$1006:$AE$1006,0)), HYPERLINK("#",""), HYPERLINK(CONCATENATE("#Metadata!", ADDRESS(INDEX($Q$2:$Q$1001,MATCH(ROWS($O$2:O287),$O$2:$O$1001,0),0), INDEX($V$1004:$AE$1004,1,MATCH(COLUMNS($V$1006:AC1006),$V$1006:$AE$1006,0)))),"Fix")))</f>
        <v>0</v>
      </c>
      <c r="J287" s="4">
        <f>IF(OR(INDEX($P$2:$P$1001,MATCH(ROWS($O$2:O287),$O$2:$O$1001,0),1)&gt;=100000,INDEX($V$1005:$AE$1005,1,MATCH(COLUMNS($V$1006:AD1006),$V$1006:$AE$1006,0))&gt;=100000), " ",IF(INDEX($V$2:$AE$1001,MATCH(ROWS($O$2:O287),$O$2:$O$1001,0),MATCH(COLUMNS($V$1006:AD1006),$V$1006:$AE$1006,0)), HYPERLINK("#",""), HYPERLINK(CONCATENATE("#Metadata!", ADDRESS(INDEX($Q$2:$Q$1001,MATCH(ROWS($O$2:O287),$O$2:$O$1001,0),0), INDEX($V$1004:$AE$1004,1,MATCH(COLUMNS($V$1006:AD1006),$V$1006:$AE$1006,0)))),"Fix")))</f>
        <v>0</v>
      </c>
      <c r="K287" s="4">
        <f>IF(OR(INDEX($P$2:$P$1001,MATCH(ROWS($O$2:O287),$O$2:$O$1001,0),1)&gt;=100000,INDEX($V$1005:$AE$1005,1,MATCH(COLUMNS($V$1006:AE1006),$V$1006:$AE$1006,0))&gt;=100000), " ",IF(INDEX($V$2:$AE$1001,MATCH(ROWS($O$2:O287),$O$2:$O$1001,0),MATCH(COLUMNS($V$1006:AE1006),$V$1006:$AE$1006,0)), HYPERLINK("#",""), HYPERLINK(CONCATENATE("#Metadata!", ADDRESS(INDEX($Q$2:$Q$1001,MATCH(ROWS($O$2:O287),$O$2:$O$1001,0),0), INDEX($V$1004:$AE$1004,1,MATCH(COLUMNS($V$1006:AE1006),$V$1006:$AE$1006,0)))),"Fix")))</f>
        <v>0</v>
      </c>
      <c r="O287">
        <v>0</v>
      </c>
      <c r="P287">
        <v>0</v>
      </c>
      <c r="Q287">
        <v>0</v>
      </c>
      <c r="R287">
        <f>IF(S287,TRUE,AND(V287:AE287))</f>
        <v>0</v>
      </c>
      <c r="S287">
        <f>COUNTBLANK(Metadata!B287:K287)=COLUMNS(Metadata!B287:K287)</f>
        <v>0</v>
      </c>
      <c r="T287">
        <v>0</v>
      </c>
      <c r="V287">
        <f>AND(IF(Metadata!B287="",FALSE,TRUE),COUNTIF(Metadata!B:B, Metadata!B287) = 1,NOT(ISERROR(SUMPRODUCT(SEARCH(MID(Metadata!B287,ROW(INDIRECT("1:"&amp;LEN(Metadata!B287))), 1),"0123456789abcdefghijklmnopqrstuvwxyzABCDEFGHIJKLMNOPQRSTUVWXYZ.")))))</f>
        <v>0</v>
      </c>
      <c r="W287">
        <f>AND(IF(Metadata!C287="",FALSE,TRUE),exact(Metadata!C287,"urban biome"))</f>
        <v>0</v>
      </c>
      <c r="X287">
        <f>AND(IF(Metadata!D287="",FALSE,TRUE),exact(Metadata!D287,"animal-associated habitat"))</f>
        <v>0</v>
      </c>
      <c r="Y287">
        <f>OR(AND(IF(Metadata!E287="",FALSE,TRUE),OR(exact(Metadata!E287,"not applicable"),exact(Metadata!E287,"missing: not collected"),exact(Metadata!E287,"missing: not provided"),exact(Metadata!E287,"missing: restricted access"))),AND(IF(Metadata!E287="",FALSE,ISNUMBER(VALUE(Metadata!E287))),Metadata!E287&gt;0))</f>
        <v>0</v>
      </c>
      <c r="Z287">
        <f>AND(IF(Metadata!F287="",FALSE,TRUE),exact(Metadata!F287,"weeks"))</f>
        <v>0</v>
      </c>
      <c r="AA287">
        <f>AND(IF(Metadata!G287="",FALSE,TRUE),exact(Metadata!G287,"mouse"))</f>
        <v>0</v>
      </c>
      <c r="AB287">
        <f>AND(IF(Metadata!H287="",FALSE,TRUE),exact(Metadata!H287,"Mus musculus"))</f>
        <v>0</v>
      </c>
      <c r="AC287">
        <f>AND(IF(Metadata!I287="",FALSE,TRUE),exact(Metadata!I287,"10090"))</f>
        <v>0</v>
      </c>
      <c r="AD287">
        <f>OR(AND(IF(Metadata!J287="",FALSE,TRUE),OR(exact(Metadata!J287,"not applicable"),exact(Metadata!J287,"missing: not collected"),exact(Metadata!J287,"missing: not provided"),exact(Metadata!J287,"missing: restricted access"))),AND(IF(Metadata!J287="",FALSE,ISNUMBER(VALUE(Metadata!J287))),Metadata!J287&gt;0))</f>
        <v>0</v>
      </c>
      <c r="AE287">
        <f>AND(IF(Metadata!K287="",FALSE,TRUE),exact(Metadata!K287,"g"))</f>
        <v>0</v>
      </c>
    </row>
    <row r="288" spans="1:31">
      <c r="A288" s="5">
        <f>IF(B288=" "," ",HYPERLINK(CONCATENATE("#metadata!",ADDRESS(INDEX($Q$2:$Q$1001,MATCH(ROWS($O$2:O288),$O$2:$O$1001,0),0),1)),INDEX($T$2:$T$1001,MATCH(ROWS($O$2:O288),$O$2:$O$1001,0),0)))</f>
        <v>0</v>
      </c>
      <c r="B288" s="4">
        <f>IF(OR(INDEX($P$2:$P$1001,MATCH(ROWS($O$2:O288),$O$2:$O$1001,0),1)&gt;=100000,INDEX($V$1005:$AE$1005,1,MATCH(COLUMNS($V$1006:V1006),$V$1006:$AE$1006,0))&gt;=100000), " ",IF(INDEX($V$2:$AE$1001,MATCH(ROWS($O$2:O288),$O$2:$O$1001,0),MATCH(COLUMNS($V$1006:V1006),$V$1006:$AE$1006,0)), HYPERLINK("#",""), HYPERLINK(CONCATENATE("#Metadata!", ADDRESS(INDEX($Q$2:$Q$1001,MATCH(ROWS($O$2:O288),$O$2:$O$1001,0),0), INDEX($V$1004:$AE$1004,1,MATCH(COLUMNS($V$1006:V1006),$V$1006:$AE$1006,0)))),"Fix")))</f>
        <v>0</v>
      </c>
      <c r="C288" s="4">
        <f>IF(OR(INDEX($P$2:$P$1001,MATCH(ROWS($O$2:O288),$O$2:$O$1001,0),1)&gt;=100000,INDEX($V$1005:$AE$1005,1,MATCH(COLUMNS($V$1006:W1006),$V$1006:$AE$1006,0))&gt;=100000), " ",IF(INDEX($V$2:$AE$1001,MATCH(ROWS($O$2:O288),$O$2:$O$1001,0),MATCH(COLUMNS($V$1006:W1006),$V$1006:$AE$1006,0)), HYPERLINK("#",""), HYPERLINK(CONCATENATE("#Metadata!", ADDRESS(INDEX($Q$2:$Q$1001,MATCH(ROWS($O$2:O288),$O$2:$O$1001,0),0), INDEX($V$1004:$AE$1004,1,MATCH(COLUMNS($V$1006:W1006),$V$1006:$AE$1006,0)))),"Fix")))</f>
        <v>0</v>
      </c>
      <c r="D288" s="4">
        <f>IF(OR(INDEX($P$2:$P$1001,MATCH(ROWS($O$2:O288),$O$2:$O$1001,0),1)&gt;=100000,INDEX($V$1005:$AE$1005,1,MATCH(COLUMNS($V$1006:X1006),$V$1006:$AE$1006,0))&gt;=100000), " ",IF(INDEX($V$2:$AE$1001,MATCH(ROWS($O$2:O288),$O$2:$O$1001,0),MATCH(COLUMNS($V$1006:X1006),$V$1006:$AE$1006,0)), HYPERLINK("#",""), HYPERLINK(CONCATENATE("#Metadata!", ADDRESS(INDEX($Q$2:$Q$1001,MATCH(ROWS($O$2:O288),$O$2:$O$1001,0),0), INDEX($V$1004:$AE$1004,1,MATCH(COLUMNS($V$1006:X1006),$V$1006:$AE$1006,0)))),"Fix")))</f>
        <v>0</v>
      </c>
      <c r="E288" s="4">
        <f>IF(OR(INDEX($P$2:$P$1001,MATCH(ROWS($O$2:O288),$O$2:$O$1001,0),1)&gt;=100000,INDEX($V$1005:$AE$1005,1,MATCH(COLUMNS($V$1006:Y1006),$V$1006:$AE$1006,0))&gt;=100000), " ",IF(INDEX($V$2:$AE$1001,MATCH(ROWS($O$2:O288),$O$2:$O$1001,0),MATCH(COLUMNS($V$1006:Y1006),$V$1006:$AE$1006,0)), HYPERLINK("#",""), HYPERLINK(CONCATENATE("#Metadata!", ADDRESS(INDEX($Q$2:$Q$1001,MATCH(ROWS($O$2:O288),$O$2:$O$1001,0),0), INDEX($V$1004:$AE$1004,1,MATCH(COLUMNS($V$1006:Y1006),$V$1006:$AE$1006,0)))),"Fix")))</f>
        <v>0</v>
      </c>
      <c r="F288" s="4">
        <f>IF(OR(INDEX($P$2:$P$1001,MATCH(ROWS($O$2:O288),$O$2:$O$1001,0),1)&gt;=100000,INDEX($V$1005:$AE$1005,1,MATCH(COLUMNS($V$1006:Z1006),$V$1006:$AE$1006,0))&gt;=100000), " ",IF(INDEX($V$2:$AE$1001,MATCH(ROWS($O$2:O288),$O$2:$O$1001,0),MATCH(COLUMNS($V$1006:Z1006),$V$1006:$AE$1006,0)), HYPERLINK("#",""), HYPERLINK(CONCATENATE("#Metadata!", ADDRESS(INDEX($Q$2:$Q$1001,MATCH(ROWS($O$2:O288),$O$2:$O$1001,0),0), INDEX($V$1004:$AE$1004,1,MATCH(COLUMNS($V$1006:Z1006),$V$1006:$AE$1006,0)))),"Fix")))</f>
        <v>0</v>
      </c>
      <c r="G288" s="4">
        <f>IF(OR(INDEX($P$2:$P$1001,MATCH(ROWS($O$2:O288),$O$2:$O$1001,0),1)&gt;=100000,INDEX($V$1005:$AE$1005,1,MATCH(COLUMNS($V$1006:AA1006),$V$1006:$AE$1006,0))&gt;=100000), " ",IF(INDEX($V$2:$AE$1001,MATCH(ROWS($O$2:O288),$O$2:$O$1001,0),MATCH(COLUMNS($V$1006:AA1006),$V$1006:$AE$1006,0)), HYPERLINK("#",""), HYPERLINK(CONCATENATE("#Metadata!", ADDRESS(INDEX($Q$2:$Q$1001,MATCH(ROWS($O$2:O288),$O$2:$O$1001,0),0), INDEX($V$1004:$AE$1004,1,MATCH(COLUMNS($V$1006:AA1006),$V$1006:$AE$1006,0)))),"Fix")))</f>
        <v>0</v>
      </c>
      <c r="H288" s="4">
        <f>IF(OR(INDEX($P$2:$P$1001,MATCH(ROWS($O$2:O288),$O$2:$O$1001,0),1)&gt;=100000,INDEX($V$1005:$AE$1005,1,MATCH(COLUMNS($V$1006:AB1006),$V$1006:$AE$1006,0))&gt;=100000), " ",IF(INDEX($V$2:$AE$1001,MATCH(ROWS($O$2:O288),$O$2:$O$1001,0),MATCH(COLUMNS($V$1006:AB1006),$V$1006:$AE$1006,0)), HYPERLINK("#",""), HYPERLINK(CONCATENATE("#Metadata!", ADDRESS(INDEX($Q$2:$Q$1001,MATCH(ROWS($O$2:O288),$O$2:$O$1001,0),0), INDEX($V$1004:$AE$1004,1,MATCH(COLUMNS($V$1006:AB1006),$V$1006:$AE$1006,0)))),"Fix")))</f>
        <v>0</v>
      </c>
      <c r="I288" s="4">
        <f>IF(OR(INDEX($P$2:$P$1001,MATCH(ROWS($O$2:O288),$O$2:$O$1001,0),1)&gt;=100000,INDEX($V$1005:$AE$1005,1,MATCH(COLUMNS($V$1006:AC1006),$V$1006:$AE$1006,0))&gt;=100000), " ",IF(INDEX($V$2:$AE$1001,MATCH(ROWS($O$2:O288),$O$2:$O$1001,0),MATCH(COLUMNS($V$1006:AC1006),$V$1006:$AE$1006,0)), HYPERLINK("#",""), HYPERLINK(CONCATENATE("#Metadata!", ADDRESS(INDEX($Q$2:$Q$1001,MATCH(ROWS($O$2:O288),$O$2:$O$1001,0),0), INDEX($V$1004:$AE$1004,1,MATCH(COLUMNS($V$1006:AC1006),$V$1006:$AE$1006,0)))),"Fix")))</f>
        <v>0</v>
      </c>
      <c r="J288" s="4">
        <f>IF(OR(INDEX($P$2:$P$1001,MATCH(ROWS($O$2:O288),$O$2:$O$1001,0),1)&gt;=100000,INDEX($V$1005:$AE$1005,1,MATCH(COLUMNS($V$1006:AD1006),$V$1006:$AE$1006,0))&gt;=100000), " ",IF(INDEX($V$2:$AE$1001,MATCH(ROWS($O$2:O288),$O$2:$O$1001,0),MATCH(COLUMNS($V$1006:AD1006),$V$1006:$AE$1006,0)), HYPERLINK("#",""), HYPERLINK(CONCATENATE("#Metadata!", ADDRESS(INDEX($Q$2:$Q$1001,MATCH(ROWS($O$2:O288),$O$2:$O$1001,0),0), INDEX($V$1004:$AE$1004,1,MATCH(COLUMNS($V$1006:AD1006),$V$1006:$AE$1006,0)))),"Fix")))</f>
        <v>0</v>
      </c>
      <c r="K288" s="4">
        <f>IF(OR(INDEX($P$2:$P$1001,MATCH(ROWS($O$2:O288),$O$2:$O$1001,0),1)&gt;=100000,INDEX($V$1005:$AE$1005,1,MATCH(COLUMNS($V$1006:AE1006),$V$1006:$AE$1006,0))&gt;=100000), " ",IF(INDEX($V$2:$AE$1001,MATCH(ROWS($O$2:O288),$O$2:$O$1001,0),MATCH(COLUMNS($V$1006:AE1006),$V$1006:$AE$1006,0)), HYPERLINK("#",""), HYPERLINK(CONCATENATE("#Metadata!", ADDRESS(INDEX($Q$2:$Q$1001,MATCH(ROWS($O$2:O288),$O$2:$O$1001,0),0), INDEX($V$1004:$AE$1004,1,MATCH(COLUMNS($V$1006:AE1006),$V$1006:$AE$1006,0)))),"Fix")))</f>
        <v>0</v>
      </c>
      <c r="O288">
        <v>0</v>
      </c>
      <c r="P288">
        <v>0</v>
      </c>
      <c r="Q288">
        <v>0</v>
      </c>
      <c r="R288">
        <f>IF(S288,TRUE,AND(V288:AE288))</f>
        <v>0</v>
      </c>
      <c r="S288">
        <f>COUNTBLANK(Metadata!B288:K288)=COLUMNS(Metadata!B288:K288)</f>
        <v>0</v>
      </c>
      <c r="T288">
        <v>0</v>
      </c>
      <c r="V288">
        <f>AND(IF(Metadata!B288="",FALSE,TRUE),COUNTIF(Metadata!B:B, Metadata!B288) = 1,NOT(ISERROR(SUMPRODUCT(SEARCH(MID(Metadata!B288,ROW(INDIRECT("1:"&amp;LEN(Metadata!B288))), 1),"0123456789abcdefghijklmnopqrstuvwxyzABCDEFGHIJKLMNOPQRSTUVWXYZ.")))))</f>
        <v>0</v>
      </c>
      <c r="W288">
        <f>AND(IF(Metadata!C288="",FALSE,TRUE),exact(Metadata!C288,"urban biome"))</f>
        <v>0</v>
      </c>
      <c r="X288">
        <f>AND(IF(Metadata!D288="",FALSE,TRUE),exact(Metadata!D288,"animal-associated habitat"))</f>
        <v>0</v>
      </c>
      <c r="Y288">
        <f>OR(AND(IF(Metadata!E288="",FALSE,TRUE),OR(exact(Metadata!E288,"not applicable"),exact(Metadata!E288,"missing: not collected"),exact(Metadata!E288,"missing: not provided"),exact(Metadata!E288,"missing: restricted access"))),AND(IF(Metadata!E288="",FALSE,ISNUMBER(VALUE(Metadata!E288))),Metadata!E288&gt;0))</f>
        <v>0</v>
      </c>
      <c r="Z288">
        <f>AND(IF(Metadata!F288="",FALSE,TRUE),exact(Metadata!F288,"weeks"))</f>
        <v>0</v>
      </c>
      <c r="AA288">
        <f>AND(IF(Metadata!G288="",FALSE,TRUE),exact(Metadata!G288,"mouse"))</f>
        <v>0</v>
      </c>
      <c r="AB288">
        <f>AND(IF(Metadata!H288="",FALSE,TRUE),exact(Metadata!H288,"Mus musculus"))</f>
        <v>0</v>
      </c>
      <c r="AC288">
        <f>AND(IF(Metadata!I288="",FALSE,TRUE),exact(Metadata!I288,"10090"))</f>
        <v>0</v>
      </c>
      <c r="AD288">
        <f>OR(AND(IF(Metadata!J288="",FALSE,TRUE),OR(exact(Metadata!J288,"not applicable"),exact(Metadata!J288,"missing: not collected"),exact(Metadata!J288,"missing: not provided"),exact(Metadata!J288,"missing: restricted access"))),AND(IF(Metadata!J288="",FALSE,ISNUMBER(VALUE(Metadata!J288))),Metadata!J288&gt;0))</f>
        <v>0</v>
      </c>
      <c r="AE288">
        <f>AND(IF(Metadata!K288="",FALSE,TRUE),exact(Metadata!K288,"g"))</f>
        <v>0</v>
      </c>
    </row>
    <row r="289" spans="1:31">
      <c r="A289" s="5">
        <f>IF(B289=" "," ",HYPERLINK(CONCATENATE("#metadata!",ADDRESS(INDEX($Q$2:$Q$1001,MATCH(ROWS($O$2:O289),$O$2:$O$1001,0),0),1)),INDEX($T$2:$T$1001,MATCH(ROWS($O$2:O289),$O$2:$O$1001,0),0)))</f>
        <v>0</v>
      </c>
      <c r="B289" s="4">
        <f>IF(OR(INDEX($P$2:$P$1001,MATCH(ROWS($O$2:O289),$O$2:$O$1001,0),1)&gt;=100000,INDEX($V$1005:$AE$1005,1,MATCH(COLUMNS($V$1006:V1006),$V$1006:$AE$1006,0))&gt;=100000), " ",IF(INDEX($V$2:$AE$1001,MATCH(ROWS($O$2:O289),$O$2:$O$1001,0),MATCH(COLUMNS($V$1006:V1006),$V$1006:$AE$1006,0)), HYPERLINK("#",""), HYPERLINK(CONCATENATE("#Metadata!", ADDRESS(INDEX($Q$2:$Q$1001,MATCH(ROWS($O$2:O289),$O$2:$O$1001,0),0), INDEX($V$1004:$AE$1004,1,MATCH(COLUMNS($V$1006:V1006),$V$1006:$AE$1006,0)))),"Fix")))</f>
        <v>0</v>
      </c>
      <c r="C289" s="4">
        <f>IF(OR(INDEX($P$2:$P$1001,MATCH(ROWS($O$2:O289),$O$2:$O$1001,0),1)&gt;=100000,INDEX($V$1005:$AE$1005,1,MATCH(COLUMNS($V$1006:W1006),$V$1006:$AE$1006,0))&gt;=100000), " ",IF(INDEX($V$2:$AE$1001,MATCH(ROWS($O$2:O289),$O$2:$O$1001,0),MATCH(COLUMNS($V$1006:W1006),$V$1006:$AE$1006,0)), HYPERLINK("#",""), HYPERLINK(CONCATENATE("#Metadata!", ADDRESS(INDEX($Q$2:$Q$1001,MATCH(ROWS($O$2:O289),$O$2:$O$1001,0),0), INDEX($V$1004:$AE$1004,1,MATCH(COLUMNS($V$1006:W1006),$V$1006:$AE$1006,0)))),"Fix")))</f>
        <v>0</v>
      </c>
      <c r="D289" s="4">
        <f>IF(OR(INDEX($P$2:$P$1001,MATCH(ROWS($O$2:O289),$O$2:$O$1001,0),1)&gt;=100000,INDEX($V$1005:$AE$1005,1,MATCH(COLUMNS($V$1006:X1006),$V$1006:$AE$1006,0))&gt;=100000), " ",IF(INDEX($V$2:$AE$1001,MATCH(ROWS($O$2:O289),$O$2:$O$1001,0),MATCH(COLUMNS($V$1006:X1006),$V$1006:$AE$1006,0)), HYPERLINK("#",""), HYPERLINK(CONCATENATE("#Metadata!", ADDRESS(INDEX($Q$2:$Q$1001,MATCH(ROWS($O$2:O289),$O$2:$O$1001,0),0), INDEX($V$1004:$AE$1004,1,MATCH(COLUMNS($V$1006:X1006),$V$1006:$AE$1006,0)))),"Fix")))</f>
        <v>0</v>
      </c>
      <c r="E289" s="4">
        <f>IF(OR(INDEX($P$2:$P$1001,MATCH(ROWS($O$2:O289),$O$2:$O$1001,0),1)&gt;=100000,INDEX($V$1005:$AE$1005,1,MATCH(COLUMNS($V$1006:Y1006),$V$1006:$AE$1006,0))&gt;=100000), " ",IF(INDEX($V$2:$AE$1001,MATCH(ROWS($O$2:O289),$O$2:$O$1001,0),MATCH(COLUMNS($V$1006:Y1006),$V$1006:$AE$1006,0)), HYPERLINK("#",""), HYPERLINK(CONCATENATE("#Metadata!", ADDRESS(INDEX($Q$2:$Q$1001,MATCH(ROWS($O$2:O289),$O$2:$O$1001,0),0), INDEX($V$1004:$AE$1004,1,MATCH(COLUMNS($V$1006:Y1006),$V$1006:$AE$1006,0)))),"Fix")))</f>
        <v>0</v>
      </c>
      <c r="F289" s="4">
        <f>IF(OR(INDEX($P$2:$P$1001,MATCH(ROWS($O$2:O289),$O$2:$O$1001,0),1)&gt;=100000,INDEX($V$1005:$AE$1005,1,MATCH(COLUMNS($V$1006:Z1006),$V$1006:$AE$1006,0))&gt;=100000), " ",IF(INDEX($V$2:$AE$1001,MATCH(ROWS($O$2:O289),$O$2:$O$1001,0),MATCH(COLUMNS($V$1006:Z1006),$V$1006:$AE$1006,0)), HYPERLINK("#",""), HYPERLINK(CONCATENATE("#Metadata!", ADDRESS(INDEX($Q$2:$Q$1001,MATCH(ROWS($O$2:O289),$O$2:$O$1001,0),0), INDEX($V$1004:$AE$1004,1,MATCH(COLUMNS($V$1006:Z1006),$V$1006:$AE$1006,0)))),"Fix")))</f>
        <v>0</v>
      </c>
      <c r="G289" s="4">
        <f>IF(OR(INDEX($P$2:$P$1001,MATCH(ROWS($O$2:O289),$O$2:$O$1001,0),1)&gt;=100000,INDEX($V$1005:$AE$1005,1,MATCH(COLUMNS($V$1006:AA1006),$V$1006:$AE$1006,0))&gt;=100000), " ",IF(INDEX($V$2:$AE$1001,MATCH(ROWS($O$2:O289),$O$2:$O$1001,0),MATCH(COLUMNS($V$1006:AA1006),$V$1006:$AE$1006,0)), HYPERLINK("#",""), HYPERLINK(CONCATENATE("#Metadata!", ADDRESS(INDEX($Q$2:$Q$1001,MATCH(ROWS($O$2:O289),$O$2:$O$1001,0),0), INDEX($V$1004:$AE$1004,1,MATCH(COLUMNS($V$1006:AA1006),$V$1006:$AE$1006,0)))),"Fix")))</f>
        <v>0</v>
      </c>
      <c r="H289" s="4">
        <f>IF(OR(INDEX($P$2:$P$1001,MATCH(ROWS($O$2:O289),$O$2:$O$1001,0),1)&gt;=100000,INDEX($V$1005:$AE$1005,1,MATCH(COLUMNS($V$1006:AB1006),$V$1006:$AE$1006,0))&gt;=100000), " ",IF(INDEX($V$2:$AE$1001,MATCH(ROWS($O$2:O289),$O$2:$O$1001,0),MATCH(COLUMNS($V$1006:AB1006),$V$1006:$AE$1006,0)), HYPERLINK("#",""), HYPERLINK(CONCATENATE("#Metadata!", ADDRESS(INDEX($Q$2:$Q$1001,MATCH(ROWS($O$2:O289),$O$2:$O$1001,0),0), INDEX($V$1004:$AE$1004,1,MATCH(COLUMNS($V$1006:AB1006),$V$1006:$AE$1006,0)))),"Fix")))</f>
        <v>0</v>
      </c>
      <c r="I289" s="4">
        <f>IF(OR(INDEX($P$2:$P$1001,MATCH(ROWS($O$2:O289),$O$2:$O$1001,0),1)&gt;=100000,INDEX($V$1005:$AE$1005,1,MATCH(COLUMNS($V$1006:AC1006),$V$1006:$AE$1006,0))&gt;=100000), " ",IF(INDEX($V$2:$AE$1001,MATCH(ROWS($O$2:O289),$O$2:$O$1001,0),MATCH(COLUMNS($V$1006:AC1006),$V$1006:$AE$1006,0)), HYPERLINK("#",""), HYPERLINK(CONCATENATE("#Metadata!", ADDRESS(INDEX($Q$2:$Q$1001,MATCH(ROWS($O$2:O289),$O$2:$O$1001,0),0), INDEX($V$1004:$AE$1004,1,MATCH(COLUMNS($V$1006:AC1006),$V$1006:$AE$1006,0)))),"Fix")))</f>
        <v>0</v>
      </c>
      <c r="J289" s="4">
        <f>IF(OR(INDEX($P$2:$P$1001,MATCH(ROWS($O$2:O289),$O$2:$O$1001,0),1)&gt;=100000,INDEX($V$1005:$AE$1005,1,MATCH(COLUMNS($V$1006:AD1006),$V$1006:$AE$1006,0))&gt;=100000), " ",IF(INDEX($V$2:$AE$1001,MATCH(ROWS($O$2:O289),$O$2:$O$1001,0),MATCH(COLUMNS($V$1006:AD1006),$V$1006:$AE$1006,0)), HYPERLINK("#",""), HYPERLINK(CONCATENATE("#Metadata!", ADDRESS(INDEX($Q$2:$Q$1001,MATCH(ROWS($O$2:O289),$O$2:$O$1001,0),0), INDEX($V$1004:$AE$1004,1,MATCH(COLUMNS($V$1006:AD1006),$V$1006:$AE$1006,0)))),"Fix")))</f>
        <v>0</v>
      </c>
      <c r="K289" s="4">
        <f>IF(OR(INDEX($P$2:$P$1001,MATCH(ROWS($O$2:O289),$O$2:$O$1001,0),1)&gt;=100000,INDEX($V$1005:$AE$1005,1,MATCH(COLUMNS($V$1006:AE1006),$V$1006:$AE$1006,0))&gt;=100000), " ",IF(INDEX($V$2:$AE$1001,MATCH(ROWS($O$2:O289),$O$2:$O$1001,0),MATCH(COLUMNS($V$1006:AE1006),$V$1006:$AE$1006,0)), HYPERLINK("#",""), HYPERLINK(CONCATENATE("#Metadata!", ADDRESS(INDEX($Q$2:$Q$1001,MATCH(ROWS($O$2:O289),$O$2:$O$1001,0),0), INDEX($V$1004:$AE$1004,1,MATCH(COLUMNS($V$1006:AE1006),$V$1006:$AE$1006,0)))),"Fix")))</f>
        <v>0</v>
      </c>
      <c r="O289">
        <v>0</v>
      </c>
      <c r="P289">
        <v>0</v>
      </c>
      <c r="Q289">
        <v>0</v>
      </c>
      <c r="R289">
        <f>IF(S289,TRUE,AND(V289:AE289))</f>
        <v>0</v>
      </c>
      <c r="S289">
        <f>COUNTBLANK(Metadata!B289:K289)=COLUMNS(Metadata!B289:K289)</f>
        <v>0</v>
      </c>
      <c r="T289">
        <v>0</v>
      </c>
      <c r="V289">
        <f>AND(IF(Metadata!B289="",FALSE,TRUE),COUNTIF(Metadata!B:B, Metadata!B289) = 1,NOT(ISERROR(SUMPRODUCT(SEARCH(MID(Metadata!B289,ROW(INDIRECT("1:"&amp;LEN(Metadata!B289))), 1),"0123456789abcdefghijklmnopqrstuvwxyzABCDEFGHIJKLMNOPQRSTUVWXYZ.")))))</f>
        <v>0</v>
      </c>
      <c r="W289">
        <f>AND(IF(Metadata!C289="",FALSE,TRUE),exact(Metadata!C289,"urban biome"))</f>
        <v>0</v>
      </c>
      <c r="X289">
        <f>AND(IF(Metadata!D289="",FALSE,TRUE),exact(Metadata!D289,"animal-associated habitat"))</f>
        <v>0</v>
      </c>
      <c r="Y289">
        <f>OR(AND(IF(Metadata!E289="",FALSE,TRUE),OR(exact(Metadata!E289,"not applicable"),exact(Metadata!E289,"missing: not collected"),exact(Metadata!E289,"missing: not provided"),exact(Metadata!E289,"missing: restricted access"))),AND(IF(Metadata!E289="",FALSE,ISNUMBER(VALUE(Metadata!E289))),Metadata!E289&gt;0))</f>
        <v>0</v>
      </c>
      <c r="Z289">
        <f>AND(IF(Metadata!F289="",FALSE,TRUE),exact(Metadata!F289,"weeks"))</f>
        <v>0</v>
      </c>
      <c r="AA289">
        <f>AND(IF(Metadata!G289="",FALSE,TRUE),exact(Metadata!G289,"mouse"))</f>
        <v>0</v>
      </c>
      <c r="AB289">
        <f>AND(IF(Metadata!H289="",FALSE,TRUE),exact(Metadata!H289,"Mus musculus"))</f>
        <v>0</v>
      </c>
      <c r="AC289">
        <f>AND(IF(Metadata!I289="",FALSE,TRUE),exact(Metadata!I289,"10090"))</f>
        <v>0</v>
      </c>
      <c r="AD289">
        <f>OR(AND(IF(Metadata!J289="",FALSE,TRUE),OR(exact(Metadata!J289,"not applicable"),exact(Metadata!J289,"missing: not collected"),exact(Metadata!J289,"missing: not provided"),exact(Metadata!J289,"missing: restricted access"))),AND(IF(Metadata!J289="",FALSE,ISNUMBER(VALUE(Metadata!J289))),Metadata!J289&gt;0))</f>
        <v>0</v>
      </c>
      <c r="AE289">
        <f>AND(IF(Metadata!K289="",FALSE,TRUE),exact(Metadata!K289,"g"))</f>
        <v>0</v>
      </c>
    </row>
    <row r="290" spans="1:31">
      <c r="A290" s="5">
        <f>IF(B290=" "," ",HYPERLINK(CONCATENATE("#metadata!",ADDRESS(INDEX($Q$2:$Q$1001,MATCH(ROWS($O$2:O290),$O$2:$O$1001,0),0),1)),INDEX($T$2:$T$1001,MATCH(ROWS($O$2:O290),$O$2:$O$1001,0),0)))</f>
        <v>0</v>
      </c>
      <c r="B290" s="4">
        <f>IF(OR(INDEX($P$2:$P$1001,MATCH(ROWS($O$2:O290),$O$2:$O$1001,0),1)&gt;=100000,INDEX($V$1005:$AE$1005,1,MATCH(COLUMNS($V$1006:V1006),$V$1006:$AE$1006,0))&gt;=100000), " ",IF(INDEX($V$2:$AE$1001,MATCH(ROWS($O$2:O290),$O$2:$O$1001,0),MATCH(COLUMNS($V$1006:V1006),$V$1006:$AE$1006,0)), HYPERLINK("#",""), HYPERLINK(CONCATENATE("#Metadata!", ADDRESS(INDEX($Q$2:$Q$1001,MATCH(ROWS($O$2:O290),$O$2:$O$1001,0),0), INDEX($V$1004:$AE$1004,1,MATCH(COLUMNS($V$1006:V1006),$V$1006:$AE$1006,0)))),"Fix")))</f>
        <v>0</v>
      </c>
      <c r="C290" s="4">
        <f>IF(OR(INDEX($P$2:$P$1001,MATCH(ROWS($O$2:O290),$O$2:$O$1001,0),1)&gt;=100000,INDEX($V$1005:$AE$1005,1,MATCH(COLUMNS($V$1006:W1006),$V$1006:$AE$1006,0))&gt;=100000), " ",IF(INDEX($V$2:$AE$1001,MATCH(ROWS($O$2:O290),$O$2:$O$1001,0),MATCH(COLUMNS($V$1006:W1006),$V$1006:$AE$1006,0)), HYPERLINK("#",""), HYPERLINK(CONCATENATE("#Metadata!", ADDRESS(INDEX($Q$2:$Q$1001,MATCH(ROWS($O$2:O290),$O$2:$O$1001,0),0), INDEX($V$1004:$AE$1004,1,MATCH(COLUMNS($V$1006:W1006),$V$1006:$AE$1006,0)))),"Fix")))</f>
        <v>0</v>
      </c>
      <c r="D290" s="4">
        <f>IF(OR(INDEX($P$2:$P$1001,MATCH(ROWS($O$2:O290),$O$2:$O$1001,0),1)&gt;=100000,INDEX($V$1005:$AE$1005,1,MATCH(COLUMNS($V$1006:X1006),$V$1006:$AE$1006,0))&gt;=100000), " ",IF(INDEX($V$2:$AE$1001,MATCH(ROWS($O$2:O290),$O$2:$O$1001,0),MATCH(COLUMNS($V$1006:X1006),$V$1006:$AE$1006,0)), HYPERLINK("#",""), HYPERLINK(CONCATENATE("#Metadata!", ADDRESS(INDEX($Q$2:$Q$1001,MATCH(ROWS($O$2:O290),$O$2:$O$1001,0),0), INDEX($V$1004:$AE$1004,1,MATCH(COLUMNS($V$1006:X1006),$V$1006:$AE$1006,0)))),"Fix")))</f>
        <v>0</v>
      </c>
      <c r="E290" s="4">
        <f>IF(OR(INDEX($P$2:$P$1001,MATCH(ROWS($O$2:O290),$O$2:$O$1001,0),1)&gt;=100000,INDEX($V$1005:$AE$1005,1,MATCH(COLUMNS($V$1006:Y1006),$V$1006:$AE$1006,0))&gt;=100000), " ",IF(INDEX($V$2:$AE$1001,MATCH(ROWS($O$2:O290),$O$2:$O$1001,0),MATCH(COLUMNS($V$1006:Y1006),$V$1006:$AE$1006,0)), HYPERLINK("#",""), HYPERLINK(CONCATENATE("#Metadata!", ADDRESS(INDEX($Q$2:$Q$1001,MATCH(ROWS($O$2:O290),$O$2:$O$1001,0),0), INDEX($V$1004:$AE$1004,1,MATCH(COLUMNS($V$1006:Y1006),$V$1006:$AE$1006,0)))),"Fix")))</f>
        <v>0</v>
      </c>
      <c r="F290" s="4">
        <f>IF(OR(INDEX($P$2:$P$1001,MATCH(ROWS($O$2:O290),$O$2:$O$1001,0),1)&gt;=100000,INDEX($V$1005:$AE$1005,1,MATCH(COLUMNS($V$1006:Z1006),$V$1006:$AE$1006,0))&gt;=100000), " ",IF(INDEX($V$2:$AE$1001,MATCH(ROWS($O$2:O290),$O$2:$O$1001,0),MATCH(COLUMNS($V$1006:Z1006),$V$1006:$AE$1006,0)), HYPERLINK("#",""), HYPERLINK(CONCATENATE("#Metadata!", ADDRESS(INDEX($Q$2:$Q$1001,MATCH(ROWS($O$2:O290),$O$2:$O$1001,0),0), INDEX($V$1004:$AE$1004,1,MATCH(COLUMNS($V$1006:Z1006),$V$1006:$AE$1006,0)))),"Fix")))</f>
        <v>0</v>
      </c>
      <c r="G290" s="4">
        <f>IF(OR(INDEX($P$2:$P$1001,MATCH(ROWS($O$2:O290),$O$2:$O$1001,0),1)&gt;=100000,INDEX($V$1005:$AE$1005,1,MATCH(COLUMNS($V$1006:AA1006),$V$1006:$AE$1006,0))&gt;=100000), " ",IF(INDEX($V$2:$AE$1001,MATCH(ROWS($O$2:O290),$O$2:$O$1001,0),MATCH(COLUMNS($V$1006:AA1006),$V$1006:$AE$1006,0)), HYPERLINK("#",""), HYPERLINK(CONCATENATE("#Metadata!", ADDRESS(INDEX($Q$2:$Q$1001,MATCH(ROWS($O$2:O290),$O$2:$O$1001,0),0), INDEX($V$1004:$AE$1004,1,MATCH(COLUMNS($V$1006:AA1006),$V$1006:$AE$1006,0)))),"Fix")))</f>
        <v>0</v>
      </c>
      <c r="H290" s="4">
        <f>IF(OR(INDEX($P$2:$P$1001,MATCH(ROWS($O$2:O290),$O$2:$O$1001,0),1)&gt;=100000,INDEX($V$1005:$AE$1005,1,MATCH(COLUMNS($V$1006:AB1006),$V$1006:$AE$1006,0))&gt;=100000), " ",IF(INDEX($V$2:$AE$1001,MATCH(ROWS($O$2:O290),$O$2:$O$1001,0),MATCH(COLUMNS($V$1006:AB1006),$V$1006:$AE$1006,0)), HYPERLINK("#",""), HYPERLINK(CONCATENATE("#Metadata!", ADDRESS(INDEX($Q$2:$Q$1001,MATCH(ROWS($O$2:O290),$O$2:$O$1001,0),0), INDEX($V$1004:$AE$1004,1,MATCH(COLUMNS($V$1006:AB1006),$V$1006:$AE$1006,0)))),"Fix")))</f>
        <v>0</v>
      </c>
      <c r="I290" s="4">
        <f>IF(OR(INDEX($P$2:$P$1001,MATCH(ROWS($O$2:O290),$O$2:$O$1001,0),1)&gt;=100000,INDEX($V$1005:$AE$1005,1,MATCH(COLUMNS($V$1006:AC1006),$V$1006:$AE$1006,0))&gt;=100000), " ",IF(INDEX($V$2:$AE$1001,MATCH(ROWS($O$2:O290),$O$2:$O$1001,0),MATCH(COLUMNS($V$1006:AC1006),$V$1006:$AE$1006,0)), HYPERLINK("#",""), HYPERLINK(CONCATENATE("#Metadata!", ADDRESS(INDEX($Q$2:$Q$1001,MATCH(ROWS($O$2:O290),$O$2:$O$1001,0),0), INDEX($V$1004:$AE$1004,1,MATCH(COLUMNS($V$1006:AC1006),$V$1006:$AE$1006,0)))),"Fix")))</f>
        <v>0</v>
      </c>
      <c r="J290" s="4">
        <f>IF(OR(INDEX($P$2:$P$1001,MATCH(ROWS($O$2:O290),$O$2:$O$1001,0),1)&gt;=100000,INDEX($V$1005:$AE$1005,1,MATCH(COLUMNS($V$1006:AD1006),$V$1006:$AE$1006,0))&gt;=100000), " ",IF(INDEX($V$2:$AE$1001,MATCH(ROWS($O$2:O290),$O$2:$O$1001,0),MATCH(COLUMNS($V$1006:AD1006),$V$1006:$AE$1006,0)), HYPERLINK("#",""), HYPERLINK(CONCATENATE("#Metadata!", ADDRESS(INDEX($Q$2:$Q$1001,MATCH(ROWS($O$2:O290),$O$2:$O$1001,0),0), INDEX($V$1004:$AE$1004,1,MATCH(COLUMNS($V$1006:AD1006),$V$1006:$AE$1006,0)))),"Fix")))</f>
        <v>0</v>
      </c>
      <c r="K290" s="4">
        <f>IF(OR(INDEX($P$2:$P$1001,MATCH(ROWS($O$2:O290),$O$2:$O$1001,0),1)&gt;=100000,INDEX($V$1005:$AE$1005,1,MATCH(COLUMNS($V$1006:AE1006),$V$1006:$AE$1006,0))&gt;=100000), " ",IF(INDEX($V$2:$AE$1001,MATCH(ROWS($O$2:O290),$O$2:$O$1001,0),MATCH(COLUMNS($V$1006:AE1006),$V$1006:$AE$1006,0)), HYPERLINK("#",""), HYPERLINK(CONCATENATE("#Metadata!", ADDRESS(INDEX($Q$2:$Q$1001,MATCH(ROWS($O$2:O290),$O$2:$O$1001,0),0), INDEX($V$1004:$AE$1004,1,MATCH(COLUMNS($V$1006:AE1006),$V$1006:$AE$1006,0)))),"Fix")))</f>
        <v>0</v>
      </c>
      <c r="O290">
        <v>0</v>
      </c>
      <c r="P290">
        <v>0</v>
      </c>
      <c r="Q290">
        <v>0</v>
      </c>
      <c r="R290">
        <f>IF(S290,TRUE,AND(V290:AE290))</f>
        <v>0</v>
      </c>
      <c r="S290">
        <f>COUNTBLANK(Metadata!B290:K290)=COLUMNS(Metadata!B290:K290)</f>
        <v>0</v>
      </c>
      <c r="T290">
        <v>0</v>
      </c>
      <c r="V290">
        <f>AND(IF(Metadata!B290="",FALSE,TRUE),COUNTIF(Metadata!B:B, Metadata!B290) = 1,NOT(ISERROR(SUMPRODUCT(SEARCH(MID(Metadata!B290,ROW(INDIRECT("1:"&amp;LEN(Metadata!B290))), 1),"0123456789abcdefghijklmnopqrstuvwxyzABCDEFGHIJKLMNOPQRSTUVWXYZ.")))))</f>
        <v>0</v>
      </c>
      <c r="W290">
        <f>AND(IF(Metadata!C290="",FALSE,TRUE),exact(Metadata!C290,"urban biome"))</f>
        <v>0</v>
      </c>
      <c r="X290">
        <f>AND(IF(Metadata!D290="",FALSE,TRUE),exact(Metadata!D290,"animal-associated habitat"))</f>
        <v>0</v>
      </c>
      <c r="Y290">
        <f>OR(AND(IF(Metadata!E290="",FALSE,TRUE),OR(exact(Metadata!E290,"not applicable"),exact(Metadata!E290,"missing: not collected"),exact(Metadata!E290,"missing: not provided"),exact(Metadata!E290,"missing: restricted access"))),AND(IF(Metadata!E290="",FALSE,ISNUMBER(VALUE(Metadata!E290))),Metadata!E290&gt;0))</f>
        <v>0</v>
      </c>
      <c r="Z290">
        <f>AND(IF(Metadata!F290="",FALSE,TRUE),exact(Metadata!F290,"weeks"))</f>
        <v>0</v>
      </c>
      <c r="AA290">
        <f>AND(IF(Metadata!G290="",FALSE,TRUE),exact(Metadata!G290,"mouse"))</f>
        <v>0</v>
      </c>
      <c r="AB290">
        <f>AND(IF(Metadata!H290="",FALSE,TRUE),exact(Metadata!H290,"Mus musculus"))</f>
        <v>0</v>
      </c>
      <c r="AC290">
        <f>AND(IF(Metadata!I290="",FALSE,TRUE),exact(Metadata!I290,"10090"))</f>
        <v>0</v>
      </c>
      <c r="AD290">
        <f>OR(AND(IF(Metadata!J290="",FALSE,TRUE),OR(exact(Metadata!J290,"not applicable"),exact(Metadata!J290,"missing: not collected"),exact(Metadata!J290,"missing: not provided"),exact(Metadata!J290,"missing: restricted access"))),AND(IF(Metadata!J290="",FALSE,ISNUMBER(VALUE(Metadata!J290))),Metadata!J290&gt;0))</f>
        <v>0</v>
      </c>
      <c r="AE290">
        <f>AND(IF(Metadata!K290="",FALSE,TRUE),exact(Metadata!K290,"g"))</f>
        <v>0</v>
      </c>
    </row>
    <row r="291" spans="1:31">
      <c r="A291" s="5">
        <f>IF(B291=" "," ",HYPERLINK(CONCATENATE("#metadata!",ADDRESS(INDEX($Q$2:$Q$1001,MATCH(ROWS($O$2:O291),$O$2:$O$1001,0),0),1)),INDEX($T$2:$T$1001,MATCH(ROWS($O$2:O291),$O$2:$O$1001,0),0)))</f>
        <v>0</v>
      </c>
      <c r="B291" s="4">
        <f>IF(OR(INDEX($P$2:$P$1001,MATCH(ROWS($O$2:O291),$O$2:$O$1001,0),1)&gt;=100000,INDEX($V$1005:$AE$1005,1,MATCH(COLUMNS($V$1006:V1006),$V$1006:$AE$1006,0))&gt;=100000), " ",IF(INDEX($V$2:$AE$1001,MATCH(ROWS($O$2:O291),$O$2:$O$1001,0),MATCH(COLUMNS($V$1006:V1006),$V$1006:$AE$1006,0)), HYPERLINK("#",""), HYPERLINK(CONCATENATE("#Metadata!", ADDRESS(INDEX($Q$2:$Q$1001,MATCH(ROWS($O$2:O291),$O$2:$O$1001,0),0), INDEX($V$1004:$AE$1004,1,MATCH(COLUMNS($V$1006:V1006),$V$1006:$AE$1006,0)))),"Fix")))</f>
        <v>0</v>
      </c>
      <c r="C291" s="4">
        <f>IF(OR(INDEX($P$2:$P$1001,MATCH(ROWS($O$2:O291),$O$2:$O$1001,0),1)&gt;=100000,INDEX($V$1005:$AE$1005,1,MATCH(COLUMNS($V$1006:W1006),$V$1006:$AE$1006,0))&gt;=100000), " ",IF(INDEX($V$2:$AE$1001,MATCH(ROWS($O$2:O291),$O$2:$O$1001,0),MATCH(COLUMNS($V$1006:W1006),$V$1006:$AE$1006,0)), HYPERLINK("#",""), HYPERLINK(CONCATENATE("#Metadata!", ADDRESS(INDEX($Q$2:$Q$1001,MATCH(ROWS($O$2:O291),$O$2:$O$1001,0),0), INDEX($V$1004:$AE$1004,1,MATCH(COLUMNS($V$1006:W1006),$V$1006:$AE$1006,0)))),"Fix")))</f>
        <v>0</v>
      </c>
      <c r="D291" s="4">
        <f>IF(OR(INDEX($P$2:$P$1001,MATCH(ROWS($O$2:O291),$O$2:$O$1001,0),1)&gt;=100000,INDEX($V$1005:$AE$1005,1,MATCH(COLUMNS($V$1006:X1006),$V$1006:$AE$1006,0))&gt;=100000), " ",IF(INDEX($V$2:$AE$1001,MATCH(ROWS($O$2:O291),$O$2:$O$1001,0),MATCH(COLUMNS($V$1006:X1006),$V$1006:$AE$1006,0)), HYPERLINK("#",""), HYPERLINK(CONCATENATE("#Metadata!", ADDRESS(INDEX($Q$2:$Q$1001,MATCH(ROWS($O$2:O291),$O$2:$O$1001,0),0), INDEX($V$1004:$AE$1004,1,MATCH(COLUMNS($V$1006:X1006),$V$1006:$AE$1006,0)))),"Fix")))</f>
        <v>0</v>
      </c>
      <c r="E291" s="4">
        <f>IF(OR(INDEX($P$2:$P$1001,MATCH(ROWS($O$2:O291),$O$2:$O$1001,0),1)&gt;=100000,INDEX($V$1005:$AE$1005,1,MATCH(COLUMNS($V$1006:Y1006),$V$1006:$AE$1006,0))&gt;=100000), " ",IF(INDEX($V$2:$AE$1001,MATCH(ROWS($O$2:O291),$O$2:$O$1001,0),MATCH(COLUMNS($V$1006:Y1006),$V$1006:$AE$1006,0)), HYPERLINK("#",""), HYPERLINK(CONCATENATE("#Metadata!", ADDRESS(INDEX($Q$2:$Q$1001,MATCH(ROWS($O$2:O291),$O$2:$O$1001,0),0), INDEX($V$1004:$AE$1004,1,MATCH(COLUMNS($V$1006:Y1006),$V$1006:$AE$1006,0)))),"Fix")))</f>
        <v>0</v>
      </c>
      <c r="F291" s="4">
        <f>IF(OR(INDEX($P$2:$P$1001,MATCH(ROWS($O$2:O291),$O$2:$O$1001,0),1)&gt;=100000,INDEX($V$1005:$AE$1005,1,MATCH(COLUMNS($V$1006:Z1006),$V$1006:$AE$1006,0))&gt;=100000), " ",IF(INDEX($V$2:$AE$1001,MATCH(ROWS($O$2:O291),$O$2:$O$1001,0),MATCH(COLUMNS($V$1006:Z1006),$V$1006:$AE$1006,0)), HYPERLINK("#",""), HYPERLINK(CONCATENATE("#Metadata!", ADDRESS(INDEX($Q$2:$Q$1001,MATCH(ROWS($O$2:O291),$O$2:$O$1001,0),0), INDEX($V$1004:$AE$1004,1,MATCH(COLUMNS($V$1006:Z1006),$V$1006:$AE$1006,0)))),"Fix")))</f>
        <v>0</v>
      </c>
      <c r="G291" s="4">
        <f>IF(OR(INDEX($P$2:$P$1001,MATCH(ROWS($O$2:O291),$O$2:$O$1001,0),1)&gt;=100000,INDEX($V$1005:$AE$1005,1,MATCH(COLUMNS($V$1006:AA1006),$V$1006:$AE$1006,0))&gt;=100000), " ",IF(INDEX($V$2:$AE$1001,MATCH(ROWS($O$2:O291),$O$2:$O$1001,0),MATCH(COLUMNS($V$1006:AA1006),$V$1006:$AE$1006,0)), HYPERLINK("#",""), HYPERLINK(CONCATENATE("#Metadata!", ADDRESS(INDEX($Q$2:$Q$1001,MATCH(ROWS($O$2:O291),$O$2:$O$1001,0),0), INDEX($V$1004:$AE$1004,1,MATCH(COLUMNS($V$1006:AA1006),$V$1006:$AE$1006,0)))),"Fix")))</f>
        <v>0</v>
      </c>
      <c r="H291" s="4">
        <f>IF(OR(INDEX($P$2:$P$1001,MATCH(ROWS($O$2:O291),$O$2:$O$1001,0),1)&gt;=100000,INDEX($V$1005:$AE$1005,1,MATCH(COLUMNS($V$1006:AB1006),$V$1006:$AE$1006,0))&gt;=100000), " ",IF(INDEX($V$2:$AE$1001,MATCH(ROWS($O$2:O291),$O$2:$O$1001,0),MATCH(COLUMNS($V$1006:AB1006),$V$1006:$AE$1006,0)), HYPERLINK("#",""), HYPERLINK(CONCATENATE("#Metadata!", ADDRESS(INDEX($Q$2:$Q$1001,MATCH(ROWS($O$2:O291),$O$2:$O$1001,0),0), INDEX($V$1004:$AE$1004,1,MATCH(COLUMNS($V$1006:AB1006),$V$1006:$AE$1006,0)))),"Fix")))</f>
        <v>0</v>
      </c>
      <c r="I291" s="4">
        <f>IF(OR(INDEX($P$2:$P$1001,MATCH(ROWS($O$2:O291),$O$2:$O$1001,0),1)&gt;=100000,INDEX($V$1005:$AE$1005,1,MATCH(COLUMNS($V$1006:AC1006),$V$1006:$AE$1006,0))&gt;=100000), " ",IF(INDEX($V$2:$AE$1001,MATCH(ROWS($O$2:O291),$O$2:$O$1001,0),MATCH(COLUMNS($V$1006:AC1006),$V$1006:$AE$1006,0)), HYPERLINK("#",""), HYPERLINK(CONCATENATE("#Metadata!", ADDRESS(INDEX($Q$2:$Q$1001,MATCH(ROWS($O$2:O291),$O$2:$O$1001,0),0), INDEX($V$1004:$AE$1004,1,MATCH(COLUMNS($V$1006:AC1006),$V$1006:$AE$1006,0)))),"Fix")))</f>
        <v>0</v>
      </c>
      <c r="J291" s="4">
        <f>IF(OR(INDEX($P$2:$P$1001,MATCH(ROWS($O$2:O291),$O$2:$O$1001,0),1)&gt;=100000,INDEX($V$1005:$AE$1005,1,MATCH(COLUMNS($V$1006:AD1006),$V$1006:$AE$1006,0))&gt;=100000), " ",IF(INDEX($V$2:$AE$1001,MATCH(ROWS($O$2:O291),$O$2:$O$1001,0),MATCH(COLUMNS($V$1006:AD1006),$V$1006:$AE$1006,0)), HYPERLINK("#",""), HYPERLINK(CONCATENATE("#Metadata!", ADDRESS(INDEX($Q$2:$Q$1001,MATCH(ROWS($O$2:O291),$O$2:$O$1001,0),0), INDEX($V$1004:$AE$1004,1,MATCH(COLUMNS($V$1006:AD1006),$V$1006:$AE$1006,0)))),"Fix")))</f>
        <v>0</v>
      </c>
      <c r="K291" s="4">
        <f>IF(OR(INDEX($P$2:$P$1001,MATCH(ROWS($O$2:O291),$O$2:$O$1001,0),1)&gt;=100000,INDEX($V$1005:$AE$1005,1,MATCH(COLUMNS($V$1006:AE1006),$V$1006:$AE$1006,0))&gt;=100000), " ",IF(INDEX($V$2:$AE$1001,MATCH(ROWS($O$2:O291),$O$2:$O$1001,0),MATCH(COLUMNS($V$1006:AE1006),$V$1006:$AE$1006,0)), HYPERLINK("#",""), HYPERLINK(CONCATENATE("#Metadata!", ADDRESS(INDEX($Q$2:$Q$1001,MATCH(ROWS($O$2:O291),$O$2:$O$1001,0),0), INDEX($V$1004:$AE$1004,1,MATCH(COLUMNS($V$1006:AE1006),$V$1006:$AE$1006,0)))),"Fix")))</f>
        <v>0</v>
      </c>
      <c r="O291">
        <v>0</v>
      </c>
      <c r="P291">
        <v>0</v>
      </c>
      <c r="Q291">
        <v>0</v>
      </c>
      <c r="R291">
        <f>IF(S291,TRUE,AND(V291:AE291))</f>
        <v>0</v>
      </c>
      <c r="S291">
        <f>COUNTBLANK(Metadata!B291:K291)=COLUMNS(Metadata!B291:K291)</f>
        <v>0</v>
      </c>
      <c r="T291">
        <v>0</v>
      </c>
      <c r="V291">
        <f>AND(IF(Metadata!B291="",FALSE,TRUE),COUNTIF(Metadata!B:B, Metadata!B291) = 1,NOT(ISERROR(SUMPRODUCT(SEARCH(MID(Metadata!B291,ROW(INDIRECT("1:"&amp;LEN(Metadata!B291))), 1),"0123456789abcdefghijklmnopqrstuvwxyzABCDEFGHIJKLMNOPQRSTUVWXYZ.")))))</f>
        <v>0</v>
      </c>
      <c r="W291">
        <f>AND(IF(Metadata!C291="",FALSE,TRUE),exact(Metadata!C291,"urban biome"))</f>
        <v>0</v>
      </c>
      <c r="X291">
        <f>AND(IF(Metadata!D291="",FALSE,TRUE),exact(Metadata!D291,"animal-associated habitat"))</f>
        <v>0</v>
      </c>
      <c r="Y291">
        <f>OR(AND(IF(Metadata!E291="",FALSE,TRUE),OR(exact(Metadata!E291,"not applicable"),exact(Metadata!E291,"missing: not collected"),exact(Metadata!E291,"missing: not provided"),exact(Metadata!E291,"missing: restricted access"))),AND(IF(Metadata!E291="",FALSE,ISNUMBER(VALUE(Metadata!E291))),Metadata!E291&gt;0))</f>
        <v>0</v>
      </c>
      <c r="Z291">
        <f>AND(IF(Metadata!F291="",FALSE,TRUE),exact(Metadata!F291,"weeks"))</f>
        <v>0</v>
      </c>
      <c r="AA291">
        <f>AND(IF(Metadata!G291="",FALSE,TRUE),exact(Metadata!G291,"mouse"))</f>
        <v>0</v>
      </c>
      <c r="AB291">
        <f>AND(IF(Metadata!H291="",FALSE,TRUE),exact(Metadata!H291,"Mus musculus"))</f>
        <v>0</v>
      </c>
      <c r="AC291">
        <f>AND(IF(Metadata!I291="",FALSE,TRUE),exact(Metadata!I291,"10090"))</f>
        <v>0</v>
      </c>
      <c r="AD291">
        <f>OR(AND(IF(Metadata!J291="",FALSE,TRUE),OR(exact(Metadata!J291,"not applicable"),exact(Metadata!J291,"missing: not collected"),exact(Metadata!J291,"missing: not provided"),exact(Metadata!J291,"missing: restricted access"))),AND(IF(Metadata!J291="",FALSE,ISNUMBER(VALUE(Metadata!J291))),Metadata!J291&gt;0))</f>
        <v>0</v>
      </c>
      <c r="AE291">
        <f>AND(IF(Metadata!K291="",FALSE,TRUE),exact(Metadata!K291,"g"))</f>
        <v>0</v>
      </c>
    </row>
    <row r="292" spans="1:31">
      <c r="A292" s="5">
        <f>IF(B292=" "," ",HYPERLINK(CONCATENATE("#metadata!",ADDRESS(INDEX($Q$2:$Q$1001,MATCH(ROWS($O$2:O292),$O$2:$O$1001,0),0),1)),INDEX($T$2:$T$1001,MATCH(ROWS($O$2:O292),$O$2:$O$1001,0),0)))</f>
        <v>0</v>
      </c>
      <c r="B292" s="4">
        <f>IF(OR(INDEX($P$2:$P$1001,MATCH(ROWS($O$2:O292),$O$2:$O$1001,0),1)&gt;=100000,INDEX($V$1005:$AE$1005,1,MATCH(COLUMNS($V$1006:V1006),$V$1006:$AE$1006,0))&gt;=100000), " ",IF(INDEX($V$2:$AE$1001,MATCH(ROWS($O$2:O292),$O$2:$O$1001,0),MATCH(COLUMNS($V$1006:V1006),$V$1006:$AE$1006,0)), HYPERLINK("#",""), HYPERLINK(CONCATENATE("#Metadata!", ADDRESS(INDEX($Q$2:$Q$1001,MATCH(ROWS($O$2:O292),$O$2:$O$1001,0),0), INDEX($V$1004:$AE$1004,1,MATCH(COLUMNS($V$1006:V1006),$V$1006:$AE$1006,0)))),"Fix")))</f>
        <v>0</v>
      </c>
      <c r="C292" s="4">
        <f>IF(OR(INDEX($P$2:$P$1001,MATCH(ROWS($O$2:O292),$O$2:$O$1001,0),1)&gt;=100000,INDEX($V$1005:$AE$1005,1,MATCH(COLUMNS($V$1006:W1006),$V$1006:$AE$1006,0))&gt;=100000), " ",IF(INDEX($V$2:$AE$1001,MATCH(ROWS($O$2:O292),$O$2:$O$1001,0),MATCH(COLUMNS($V$1006:W1006),$V$1006:$AE$1006,0)), HYPERLINK("#",""), HYPERLINK(CONCATENATE("#Metadata!", ADDRESS(INDEX($Q$2:$Q$1001,MATCH(ROWS($O$2:O292),$O$2:$O$1001,0),0), INDEX($V$1004:$AE$1004,1,MATCH(COLUMNS($V$1006:W1006),$V$1006:$AE$1006,0)))),"Fix")))</f>
        <v>0</v>
      </c>
      <c r="D292" s="4">
        <f>IF(OR(INDEX($P$2:$P$1001,MATCH(ROWS($O$2:O292),$O$2:$O$1001,0),1)&gt;=100000,INDEX($V$1005:$AE$1005,1,MATCH(COLUMNS($V$1006:X1006),$V$1006:$AE$1006,0))&gt;=100000), " ",IF(INDEX($V$2:$AE$1001,MATCH(ROWS($O$2:O292),$O$2:$O$1001,0),MATCH(COLUMNS($V$1006:X1006),$V$1006:$AE$1006,0)), HYPERLINK("#",""), HYPERLINK(CONCATENATE("#Metadata!", ADDRESS(INDEX($Q$2:$Q$1001,MATCH(ROWS($O$2:O292),$O$2:$O$1001,0),0), INDEX($V$1004:$AE$1004,1,MATCH(COLUMNS($V$1006:X1006),$V$1006:$AE$1006,0)))),"Fix")))</f>
        <v>0</v>
      </c>
      <c r="E292" s="4">
        <f>IF(OR(INDEX($P$2:$P$1001,MATCH(ROWS($O$2:O292),$O$2:$O$1001,0),1)&gt;=100000,INDEX($V$1005:$AE$1005,1,MATCH(COLUMNS($V$1006:Y1006),$V$1006:$AE$1006,0))&gt;=100000), " ",IF(INDEX($V$2:$AE$1001,MATCH(ROWS($O$2:O292),$O$2:$O$1001,0),MATCH(COLUMNS($V$1006:Y1006),$V$1006:$AE$1006,0)), HYPERLINK("#",""), HYPERLINK(CONCATENATE("#Metadata!", ADDRESS(INDEX($Q$2:$Q$1001,MATCH(ROWS($O$2:O292),$O$2:$O$1001,0),0), INDEX($V$1004:$AE$1004,1,MATCH(COLUMNS($V$1006:Y1006),$V$1006:$AE$1006,0)))),"Fix")))</f>
        <v>0</v>
      </c>
      <c r="F292" s="4">
        <f>IF(OR(INDEX($P$2:$P$1001,MATCH(ROWS($O$2:O292),$O$2:$O$1001,0),1)&gt;=100000,INDEX($V$1005:$AE$1005,1,MATCH(COLUMNS($V$1006:Z1006),$V$1006:$AE$1006,0))&gt;=100000), " ",IF(INDEX($V$2:$AE$1001,MATCH(ROWS($O$2:O292),$O$2:$O$1001,0),MATCH(COLUMNS($V$1006:Z1006),$V$1006:$AE$1006,0)), HYPERLINK("#",""), HYPERLINK(CONCATENATE("#Metadata!", ADDRESS(INDEX($Q$2:$Q$1001,MATCH(ROWS($O$2:O292),$O$2:$O$1001,0),0), INDEX($V$1004:$AE$1004,1,MATCH(COLUMNS($V$1006:Z1006),$V$1006:$AE$1006,0)))),"Fix")))</f>
        <v>0</v>
      </c>
      <c r="G292" s="4">
        <f>IF(OR(INDEX($P$2:$P$1001,MATCH(ROWS($O$2:O292),$O$2:$O$1001,0),1)&gt;=100000,INDEX($V$1005:$AE$1005,1,MATCH(COLUMNS($V$1006:AA1006),$V$1006:$AE$1006,0))&gt;=100000), " ",IF(INDEX($V$2:$AE$1001,MATCH(ROWS($O$2:O292),$O$2:$O$1001,0),MATCH(COLUMNS($V$1006:AA1006),$V$1006:$AE$1006,0)), HYPERLINK("#",""), HYPERLINK(CONCATENATE("#Metadata!", ADDRESS(INDEX($Q$2:$Q$1001,MATCH(ROWS($O$2:O292),$O$2:$O$1001,0),0), INDEX($V$1004:$AE$1004,1,MATCH(COLUMNS($V$1006:AA1006),$V$1006:$AE$1006,0)))),"Fix")))</f>
        <v>0</v>
      </c>
      <c r="H292" s="4">
        <f>IF(OR(INDEX($P$2:$P$1001,MATCH(ROWS($O$2:O292),$O$2:$O$1001,0),1)&gt;=100000,INDEX($V$1005:$AE$1005,1,MATCH(COLUMNS($V$1006:AB1006),$V$1006:$AE$1006,0))&gt;=100000), " ",IF(INDEX($V$2:$AE$1001,MATCH(ROWS($O$2:O292),$O$2:$O$1001,0),MATCH(COLUMNS($V$1006:AB1006),$V$1006:$AE$1006,0)), HYPERLINK("#",""), HYPERLINK(CONCATENATE("#Metadata!", ADDRESS(INDEX($Q$2:$Q$1001,MATCH(ROWS($O$2:O292),$O$2:$O$1001,0),0), INDEX($V$1004:$AE$1004,1,MATCH(COLUMNS($V$1006:AB1006),$V$1006:$AE$1006,0)))),"Fix")))</f>
        <v>0</v>
      </c>
      <c r="I292" s="4">
        <f>IF(OR(INDEX($P$2:$P$1001,MATCH(ROWS($O$2:O292),$O$2:$O$1001,0),1)&gt;=100000,INDEX($V$1005:$AE$1005,1,MATCH(COLUMNS($V$1006:AC1006),$V$1006:$AE$1006,0))&gt;=100000), " ",IF(INDEX($V$2:$AE$1001,MATCH(ROWS($O$2:O292),$O$2:$O$1001,0),MATCH(COLUMNS($V$1006:AC1006),$V$1006:$AE$1006,0)), HYPERLINK("#",""), HYPERLINK(CONCATENATE("#Metadata!", ADDRESS(INDEX($Q$2:$Q$1001,MATCH(ROWS($O$2:O292),$O$2:$O$1001,0),0), INDEX($V$1004:$AE$1004,1,MATCH(COLUMNS($V$1006:AC1006),$V$1006:$AE$1006,0)))),"Fix")))</f>
        <v>0</v>
      </c>
      <c r="J292" s="4">
        <f>IF(OR(INDEX($P$2:$P$1001,MATCH(ROWS($O$2:O292),$O$2:$O$1001,0),1)&gt;=100000,INDEX($V$1005:$AE$1005,1,MATCH(COLUMNS($V$1006:AD1006),$V$1006:$AE$1006,0))&gt;=100000), " ",IF(INDEX($V$2:$AE$1001,MATCH(ROWS($O$2:O292),$O$2:$O$1001,0),MATCH(COLUMNS($V$1006:AD1006),$V$1006:$AE$1006,0)), HYPERLINK("#",""), HYPERLINK(CONCATENATE("#Metadata!", ADDRESS(INDEX($Q$2:$Q$1001,MATCH(ROWS($O$2:O292),$O$2:$O$1001,0),0), INDEX($V$1004:$AE$1004,1,MATCH(COLUMNS($V$1006:AD1006),$V$1006:$AE$1006,0)))),"Fix")))</f>
        <v>0</v>
      </c>
      <c r="K292" s="4">
        <f>IF(OR(INDEX($P$2:$P$1001,MATCH(ROWS($O$2:O292),$O$2:$O$1001,0),1)&gt;=100000,INDEX($V$1005:$AE$1005,1,MATCH(COLUMNS($V$1006:AE1006),$V$1006:$AE$1006,0))&gt;=100000), " ",IF(INDEX($V$2:$AE$1001,MATCH(ROWS($O$2:O292),$O$2:$O$1001,0),MATCH(COLUMNS($V$1006:AE1006),$V$1006:$AE$1006,0)), HYPERLINK("#",""), HYPERLINK(CONCATENATE("#Metadata!", ADDRESS(INDEX($Q$2:$Q$1001,MATCH(ROWS($O$2:O292),$O$2:$O$1001,0),0), INDEX($V$1004:$AE$1004,1,MATCH(COLUMNS($V$1006:AE1006),$V$1006:$AE$1006,0)))),"Fix")))</f>
        <v>0</v>
      </c>
      <c r="O292">
        <v>0</v>
      </c>
      <c r="P292">
        <v>0</v>
      </c>
      <c r="Q292">
        <v>0</v>
      </c>
      <c r="R292">
        <f>IF(S292,TRUE,AND(V292:AE292))</f>
        <v>0</v>
      </c>
      <c r="S292">
        <f>COUNTBLANK(Metadata!B292:K292)=COLUMNS(Metadata!B292:K292)</f>
        <v>0</v>
      </c>
      <c r="T292">
        <v>0</v>
      </c>
      <c r="V292">
        <f>AND(IF(Metadata!B292="",FALSE,TRUE),COUNTIF(Metadata!B:B, Metadata!B292) = 1,NOT(ISERROR(SUMPRODUCT(SEARCH(MID(Metadata!B292,ROW(INDIRECT("1:"&amp;LEN(Metadata!B292))), 1),"0123456789abcdefghijklmnopqrstuvwxyzABCDEFGHIJKLMNOPQRSTUVWXYZ.")))))</f>
        <v>0</v>
      </c>
      <c r="W292">
        <f>AND(IF(Metadata!C292="",FALSE,TRUE),exact(Metadata!C292,"urban biome"))</f>
        <v>0</v>
      </c>
      <c r="X292">
        <f>AND(IF(Metadata!D292="",FALSE,TRUE),exact(Metadata!D292,"animal-associated habitat"))</f>
        <v>0</v>
      </c>
      <c r="Y292">
        <f>OR(AND(IF(Metadata!E292="",FALSE,TRUE),OR(exact(Metadata!E292,"not applicable"),exact(Metadata!E292,"missing: not collected"),exact(Metadata!E292,"missing: not provided"),exact(Metadata!E292,"missing: restricted access"))),AND(IF(Metadata!E292="",FALSE,ISNUMBER(VALUE(Metadata!E292))),Metadata!E292&gt;0))</f>
        <v>0</v>
      </c>
      <c r="Z292">
        <f>AND(IF(Metadata!F292="",FALSE,TRUE),exact(Metadata!F292,"weeks"))</f>
        <v>0</v>
      </c>
      <c r="AA292">
        <f>AND(IF(Metadata!G292="",FALSE,TRUE),exact(Metadata!G292,"mouse"))</f>
        <v>0</v>
      </c>
      <c r="AB292">
        <f>AND(IF(Metadata!H292="",FALSE,TRUE),exact(Metadata!H292,"Mus musculus"))</f>
        <v>0</v>
      </c>
      <c r="AC292">
        <f>AND(IF(Metadata!I292="",FALSE,TRUE),exact(Metadata!I292,"10090"))</f>
        <v>0</v>
      </c>
      <c r="AD292">
        <f>OR(AND(IF(Metadata!J292="",FALSE,TRUE),OR(exact(Metadata!J292,"not applicable"),exact(Metadata!J292,"missing: not collected"),exact(Metadata!J292,"missing: not provided"),exact(Metadata!J292,"missing: restricted access"))),AND(IF(Metadata!J292="",FALSE,ISNUMBER(VALUE(Metadata!J292))),Metadata!J292&gt;0))</f>
        <v>0</v>
      </c>
      <c r="AE292">
        <f>AND(IF(Metadata!K292="",FALSE,TRUE),exact(Metadata!K292,"g"))</f>
        <v>0</v>
      </c>
    </row>
    <row r="293" spans="1:31">
      <c r="A293" s="5">
        <f>IF(B293=" "," ",HYPERLINK(CONCATENATE("#metadata!",ADDRESS(INDEX($Q$2:$Q$1001,MATCH(ROWS($O$2:O293),$O$2:$O$1001,0),0),1)),INDEX($T$2:$T$1001,MATCH(ROWS($O$2:O293),$O$2:$O$1001,0),0)))</f>
        <v>0</v>
      </c>
      <c r="B293" s="4">
        <f>IF(OR(INDEX($P$2:$P$1001,MATCH(ROWS($O$2:O293),$O$2:$O$1001,0),1)&gt;=100000,INDEX($V$1005:$AE$1005,1,MATCH(COLUMNS($V$1006:V1006),$V$1006:$AE$1006,0))&gt;=100000), " ",IF(INDEX($V$2:$AE$1001,MATCH(ROWS($O$2:O293),$O$2:$O$1001,0),MATCH(COLUMNS($V$1006:V1006),$V$1006:$AE$1006,0)), HYPERLINK("#",""), HYPERLINK(CONCATENATE("#Metadata!", ADDRESS(INDEX($Q$2:$Q$1001,MATCH(ROWS($O$2:O293),$O$2:$O$1001,0),0), INDEX($V$1004:$AE$1004,1,MATCH(COLUMNS($V$1006:V1006),$V$1006:$AE$1006,0)))),"Fix")))</f>
        <v>0</v>
      </c>
      <c r="C293" s="4">
        <f>IF(OR(INDEX($P$2:$P$1001,MATCH(ROWS($O$2:O293),$O$2:$O$1001,0),1)&gt;=100000,INDEX($V$1005:$AE$1005,1,MATCH(COLUMNS($V$1006:W1006),$V$1006:$AE$1006,0))&gt;=100000), " ",IF(INDEX($V$2:$AE$1001,MATCH(ROWS($O$2:O293),$O$2:$O$1001,0),MATCH(COLUMNS($V$1006:W1006),$V$1006:$AE$1006,0)), HYPERLINK("#",""), HYPERLINK(CONCATENATE("#Metadata!", ADDRESS(INDEX($Q$2:$Q$1001,MATCH(ROWS($O$2:O293),$O$2:$O$1001,0),0), INDEX($V$1004:$AE$1004,1,MATCH(COLUMNS($V$1006:W1006),$V$1006:$AE$1006,0)))),"Fix")))</f>
        <v>0</v>
      </c>
      <c r="D293" s="4">
        <f>IF(OR(INDEX($P$2:$P$1001,MATCH(ROWS($O$2:O293),$O$2:$O$1001,0),1)&gt;=100000,INDEX($V$1005:$AE$1005,1,MATCH(COLUMNS($V$1006:X1006),$V$1006:$AE$1006,0))&gt;=100000), " ",IF(INDEX($V$2:$AE$1001,MATCH(ROWS($O$2:O293),$O$2:$O$1001,0),MATCH(COLUMNS($V$1006:X1006),$V$1006:$AE$1006,0)), HYPERLINK("#",""), HYPERLINK(CONCATENATE("#Metadata!", ADDRESS(INDEX($Q$2:$Q$1001,MATCH(ROWS($O$2:O293),$O$2:$O$1001,0),0), INDEX($V$1004:$AE$1004,1,MATCH(COLUMNS($V$1006:X1006),$V$1006:$AE$1006,0)))),"Fix")))</f>
        <v>0</v>
      </c>
      <c r="E293" s="4">
        <f>IF(OR(INDEX($P$2:$P$1001,MATCH(ROWS($O$2:O293),$O$2:$O$1001,0),1)&gt;=100000,INDEX($V$1005:$AE$1005,1,MATCH(COLUMNS($V$1006:Y1006),$V$1006:$AE$1006,0))&gt;=100000), " ",IF(INDEX($V$2:$AE$1001,MATCH(ROWS($O$2:O293),$O$2:$O$1001,0),MATCH(COLUMNS($V$1006:Y1006),$V$1006:$AE$1006,0)), HYPERLINK("#",""), HYPERLINK(CONCATENATE("#Metadata!", ADDRESS(INDEX($Q$2:$Q$1001,MATCH(ROWS($O$2:O293),$O$2:$O$1001,0),0), INDEX($V$1004:$AE$1004,1,MATCH(COLUMNS($V$1006:Y1006),$V$1006:$AE$1006,0)))),"Fix")))</f>
        <v>0</v>
      </c>
      <c r="F293" s="4">
        <f>IF(OR(INDEX($P$2:$P$1001,MATCH(ROWS($O$2:O293),$O$2:$O$1001,0),1)&gt;=100000,INDEX($V$1005:$AE$1005,1,MATCH(COLUMNS($V$1006:Z1006),$V$1006:$AE$1006,0))&gt;=100000), " ",IF(INDEX($V$2:$AE$1001,MATCH(ROWS($O$2:O293),$O$2:$O$1001,0),MATCH(COLUMNS($V$1006:Z1006),$V$1006:$AE$1006,0)), HYPERLINK("#",""), HYPERLINK(CONCATENATE("#Metadata!", ADDRESS(INDEX($Q$2:$Q$1001,MATCH(ROWS($O$2:O293),$O$2:$O$1001,0),0), INDEX($V$1004:$AE$1004,1,MATCH(COLUMNS($V$1006:Z1006),$V$1006:$AE$1006,0)))),"Fix")))</f>
        <v>0</v>
      </c>
      <c r="G293" s="4">
        <f>IF(OR(INDEX($P$2:$P$1001,MATCH(ROWS($O$2:O293),$O$2:$O$1001,0),1)&gt;=100000,INDEX($V$1005:$AE$1005,1,MATCH(COLUMNS($V$1006:AA1006),$V$1006:$AE$1006,0))&gt;=100000), " ",IF(INDEX($V$2:$AE$1001,MATCH(ROWS($O$2:O293),$O$2:$O$1001,0),MATCH(COLUMNS($V$1006:AA1006),$V$1006:$AE$1006,0)), HYPERLINK("#",""), HYPERLINK(CONCATENATE("#Metadata!", ADDRESS(INDEX($Q$2:$Q$1001,MATCH(ROWS($O$2:O293),$O$2:$O$1001,0),0), INDEX($V$1004:$AE$1004,1,MATCH(COLUMNS($V$1006:AA1006),$V$1006:$AE$1006,0)))),"Fix")))</f>
        <v>0</v>
      </c>
      <c r="H293" s="4">
        <f>IF(OR(INDEX($P$2:$P$1001,MATCH(ROWS($O$2:O293),$O$2:$O$1001,0),1)&gt;=100000,INDEX($V$1005:$AE$1005,1,MATCH(COLUMNS($V$1006:AB1006),$V$1006:$AE$1006,0))&gt;=100000), " ",IF(INDEX($V$2:$AE$1001,MATCH(ROWS($O$2:O293),$O$2:$O$1001,0),MATCH(COLUMNS($V$1006:AB1006),$V$1006:$AE$1006,0)), HYPERLINK("#",""), HYPERLINK(CONCATENATE("#Metadata!", ADDRESS(INDEX($Q$2:$Q$1001,MATCH(ROWS($O$2:O293),$O$2:$O$1001,0),0), INDEX($V$1004:$AE$1004,1,MATCH(COLUMNS($V$1006:AB1006),$V$1006:$AE$1006,0)))),"Fix")))</f>
        <v>0</v>
      </c>
      <c r="I293" s="4">
        <f>IF(OR(INDEX($P$2:$P$1001,MATCH(ROWS($O$2:O293),$O$2:$O$1001,0),1)&gt;=100000,INDEX($V$1005:$AE$1005,1,MATCH(COLUMNS($V$1006:AC1006),$V$1006:$AE$1006,0))&gt;=100000), " ",IF(INDEX($V$2:$AE$1001,MATCH(ROWS($O$2:O293),$O$2:$O$1001,0),MATCH(COLUMNS($V$1006:AC1006),$V$1006:$AE$1006,0)), HYPERLINK("#",""), HYPERLINK(CONCATENATE("#Metadata!", ADDRESS(INDEX($Q$2:$Q$1001,MATCH(ROWS($O$2:O293),$O$2:$O$1001,0),0), INDEX($V$1004:$AE$1004,1,MATCH(COLUMNS($V$1006:AC1006),$V$1006:$AE$1006,0)))),"Fix")))</f>
        <v>0</v>
      </c>
      <c r="J293" s="4">
        <f>IF(OR(INDEX($P$2:$P$1001,MATCH(ROWS($O$2:O293),$O$2:$O$1001,0),1)&gt;=100000,INDEX($V$1005:$AE$1005,1,MATCH(COLUMNS($V$1006:AD1006),$V$1006:$AE$1006,0))&gt;=100000), " ",IF(INDEX($V$2:$AE$1001,MATCH(ROWS($O$2:O293),$O$2:$O$1001,0),MATCH(COLUMNS($V$1006:AD1006),$V$1006:$AE$1006,0)), HYPERLINK("#",""), HYPERLINK(CONCATENATE("#Metadata!", ADDRESS(INDEX($Q$2:$Q$1001,MATCH(ROWS($O$2:O293),$O$2:$O$1001,0),0), INDEX($V$1004:$AE$1004,1,MATCH(COLUMNS($V$1006:AD1006),$V$1006:$AE$1006,0)))),"Fix")))</f>
        <v>0</v>
      </c>
      <c r="K293" s="4">
        <f>IF(OR(INDEX($P$2:$P$1001,MATCH(ROWS($O$2:O293),$O$2:$O$1001,0),1)&gt;=100000,INDEX($V$1005:$AE$1005,1,MATCH(COLUMNS($V$1006:AE1006),$V$1006:$AE$1006,0))&gt;=100000), " ",IF(INDEX($V$2:$AE$1001,MATCH(ROWS($O$2:O293),$O$2:$O$1001,0),MATCH(COLUMNS($V$1006:AE1006),$V$1006:$AE$1006,0)), HYPERLINK("#",""), HYPERLINK(CONCATENATE("#Metadata!", ADDRESS(INDEX($Q$2:$Q$1001,MATCH(ROWS($O$2:O293),$O$2:$O$1001,0),0), INDEX($V$1004:$AE$1004,1,MATCH(COLUMNS($V$1006:AE1006),$V$1006:$AE$1006,0)))),"Fix")))</f>
        <v>0</v>
      </c>
      <c r="O293">
        <v>0</v>
      </c>
      <c r="P293">
        <v>0</v>
      </c>
      <c r="Q293">
        <v>0</v>
      </c>
      <c r="R293">
        <f>IF(S293,TRUE,AND(V293:AE293))</f>
        <v>0</v>
      </c>
      <c r="S293">
        <f>COUNTBLANK(Metadata!B293:K293)=COLUMNS(Metadata!B293:K293)</f>
        <v>0</v>
      </c>
      <c r="T293">
        <v>0</v>
      </c>
      <c r="V293">
        <f>AND(IF(Metadata!B293="",FALSE,TRUE),COUNTIF(Metadata!B:B, Metadata!B293) = 1,NOT(ISERROR(SUMPRODUCT(SEARCH(MID(Metadata!B293,ROW(INDIRECT("1:"&amp;LEN(Metadata!B293))), 1),"0123456789abcdefghijklmnopqrstuvwxyzABCDEFGHIJKLMNOPQRSTUVWXYZ.")))))</f>
        <v>0</v>
      </c>
      <c r="W293">
        <f>AND(IF(Metadata!C293="",FALSE,TRUE),exact(Metadata!C293,"urban biome"))</f>
        <v>0</v>
      </c>
      <c r="X293">
        <f>AND(IF(Metadata!D293="",FALSE,TRUE),exact(Metadata!D293,"animal-associated habitat"))</f>
        <v>0</v>
      </c>
      <c r="Y293">
        <f>OR(AND(IF(Metadata!E293="",FALSE,TRUE),OR(exact(Metadata!E293,"not applicable"),exact(Metadata!E293,"missing: not collected"),exact(Metadata!E293,"missing: not provided"),exact(Metadata!E293,"missing: restricted access"))),AND(IF(Metadata!E293="",FALSE,ISNUMBER(VALUE(Metadata!E293))),Metadata!E293&gt;0))</f>
        <v>0</v>
      </c>
      <c r="Z293">
        <f>AND(IF(Metadata!F293="",FALSE,TRUE),exact(Metadata!F293,"weeks"))</f>
        <v>0</v>
      </c>
      <c r="AA293">
        <f>AND(IF(Metadata!G293="",FALSE,TRUE),exact(Metadata!G293,"mouse"))</f>
        <v>0</v>
      </c>
      <c r="AB293">
        <f>AND(IF(Metadata!H293="",FALSE,TRUE),exact(Metadata!H293,"Mus musculus"))</f>
        <v>0</v>
      </c>
      <c r="AC293">
        <f>AND(IF(Metadata!I293="",FALSE,TRUE),exact(Metadata!I293,"10090"))</f>
        <v>0</v>
      </c>
      <c r="AD293">
        <f>OR(AND(IF(Metadata!J293="",FALSE,TRUE),OR(exact(Metadata!J293,"not applicable"),exact(Metadata!J293,"missing: not collected"),exact(Metadata!J293,"missing: not provided"),exact(Metadata!J293,"missing: restricted access"))),AND(IF(Metadata!J293="",FALSE,ISNUMBER(VALUE(Metadata!J293))),Metadata!J293&gt;0))</f>
        <v>0</v>
      </c>
      <c r="AE293">
        <f>AND(IF(Metadata!K293="",FALSE,TRUE),exact(Metadata!K293,"g"))</f>
        <v>0</v>
      </c>
    </row>
    <row r="294" spans="1:31">
      <c r="A294" s="5">
        <f>IF(B294=" "," ",HYPERLINK(CONCATENATE("#metadata!",ADDRESS(INDEX($Q$2:$Q$1001,MATCH(ROWS($O$2:O294),$O$2:$O$1001,0),0),1)),INDEX($T$2:$T$1001,MATCH(ROWS($O$2:O294),$O$2:$O$1001,0),0)))</f>
        <v>0</v>
      </c>
      <c r="B294" s="4">
        <f>IF(OR(INDEX($P$2:$P$1001,MATCH(ROWS($O$2:O294),$O$2:$O$1001,0),1)&gt;=100000,INDEX($V$1005:$AE$1005,1,MATCH(COLUMNS($V$1006:V1006),$V$1006:$AE$1006,0))&gt;=100000), " ",IF(INDEX($V$2:$AE$1001,MATCH(ROWS($O$2:O294),$O$2:$O$1001,0),MATCH(COLUMNS($V$1006:V1006),$V$1006:$AE$1006,0)), HYPERLINK("#",""), HYPERLINK(CONCATENATE("#Metadata!", ADDRESS(INDEX($Q$2:$Q$1001,MATCH(ROWS($O$2:O294),$O$2:$O$1001,0),0), INDEX($V$1004:$AE$1004,1,MATCH(COLUMNS($V$1006:V1006),$V$1006:$AE$1006,0)))),"Fix")))</f>
        <v>0</v>
      </c>
      <c r="C294" s="4">
        <f>IF(OR(INDEX($P$2:$P$1001,MATCH(ROWS($O$2:O294),$O$2:$O$1001,0),1)&gt;=100000,INDEX($V$1005:$AE$1005,1,MATCH(COLUMNS($V$1006:W1006),$V$1006:$AE$1006,0))&gt;=100000), " ",IF(INDEX($V$2:$AE$1001,MATCH(ROWS($O$2:O294),$O$2:$O$1001,0),MATCH(COLUMNS($V$1006:W1006),$V$1006:$AE$1006,0)), HYPERLINK("#",""), HYPERLINK(CONCATENATE("#Metadata!", ADDRESS(INDEX($Q$2:$Q$1001,MATCH(ROWS($O$2:O294),$O$2:$O$1001,0),0), INDEX($V$1004:$AE$1004,1,MATCH(COLUMNS($V$1006:W1006),$V$1006:$AE$1006,0)))),"Fix")))</f>
        <v>0</v>
      </c>
      <c r="D294" s="4">
        <f>IF(OR(INDEX($P$2:$P$1001,MATCH(ROWS($O$2:O294),$O$2:$O$1001,0),1)&gt;=100000,INDEX($V$1005:$AE$1005,1,MATCH(COLUMNS($V$1006:X1006),$V$1006:$AE$1006,0))&gt;=100000), " ",IF(INDEX($V$2:$AE$1001,MATCH(ROWS($O$2:O294),$O$2:$O$1001,0),MATCH(COLUMNS($V$1006:X1006),$V$1006:$AE$1006,0)), HYPERLINK("#",""), HYPERLINK(CONCATENATE("#Metadata!", ADDRESS(INDEX($Q$2:$Q$1001,MATCH(ROWS($O$2:O294),$O$2:$O$1001,0),0), INDEX($V$1004:$AE$1004,1,MATCH(COLUMNS($V$1006:X1006),$V$1006:$AE$1006,0)))),"Fix")))</f>
        <v>0</v>
      </c>
      <c r="E294" s="4">
        <f>IF(OR(INDEX($P$2:$P$1001,MATCH(ROWS($O$2:O294),$O$2:$O$1001,0),1)&gt;=100000,INDEX($V$1005:$AE$1005,1,MATCH(COLUMNS($V$1006:Y1006),$V$1006:$AE$1006,0))&gt;=100000), " ",IF(INDEX($V$2:$AE$1001,MATCH(ROWS($O$2:O294),$O$2:$O$1001,0),MATCH(COLUMNS($V$1006:Y1006),$V$1006:$AE$1006,0)), HYPERLINK("#",""), HYPERLINK(CONCATENATE("#Metadata!", ADDRESS(INDEX($Q$2:$Q$1001,MATCH(ROWS($O$2:O294),$O$2:$O$1001,0),0), INDEX($V$1004:$AE$1004,1,MATCH(COLUMNS($V$1006:Y1006),$V$1006:$AE$1006,0)))),"Fix")))</f>
        <v>0</v>
      </c>
      <c r="F294" s="4">
        <f>IF(OR(INDEX($P$2:$P$1001,MATCH(ROWS($O$2:O294),$O$2:$O$1001,0),1)&gt;=100000,INDEX($V$1005:$AE$1005,1,MATCH(COLUMNS($V$1006:Z1006),$V$1006:$AE$1006,0))&gt;=100000), " ",IF(INDEX($V$2:$AE$1001,MATCH(ROWS($O$2:O294),$O$2:$O$1001,0),MATCH(COLUMNS($V$1006:Z1006),$V$1006:$AE$1006,0)), HYPERLINK("#",""), HYPERLINK(CONCATENATE("#Metadata!", ADDRESS(INDEX($Q$2:$Q$1001,MATCH(ROWS($O$2:O294),$O$2:$O$1001,0),0), INDEX($V$1004:$AE$1004,1,MATCH(COLUMNS($V$1006:Z1006),$V$1006:$AE$1006,0)))),"Fix")))</f>
        <v>0</v>
      </c>
      <c r="G294" s="4">
        <f>IF(OR(INDEX($P$2:$P$1001,MATCH(ROWS($O$2:O294),$O$2:$O$1001,0),1)&gt;=100000,INDEX($V$1005:$AE$1005,1,MATCH(COLUMNS($V$1006:AA1006),$V$1006:$AE$1006,0))&gt;=100000), " ",IF(INDEX($V$2:$AE$1001,MATCH(ROWS($O$2:O294),$O$2:$O$1001,0),MATCH(COLUMNS($V$1006:AA1006),$V$1006:$AE$1006,0)), HYPERLINK("#",""), HYPERLINK(CONCATENATE("#Metadata!", ADDRESS(INDEX($Q$2:$Q$1001,MATCH(ROWS($O$2:O294),$O$2:$O$1001,0),0), INDEX($V$1004:$AE$1004,1,MATCH(COLUMNS($V$1006:AA1006),$V$1006:$AE$1006,0)))),"Fix")))</f>
        <v>0</v>
      </c>
      <c r="H294" s="4">
        <f>IF(OR(INDEX($P$2:$P$1001,MATCH(ROWS($O$2:O294),$O$2:$O$1001,0),1)&gt;=100000,INDEX($V$1005:$AE$1005,1,MATCH(COLUMNS($V$1006:AB1006),$V$1006:$AE$1006,0))&gt;=100000), " ",IF(INDEX($V$2:$AE$1001,MATCH(ROWS($O$2:O294),$O$2:$O$1001,0),MATCH(COLUMNS($V$1006:AB1006),$V$1006:$AE$1006,0)), HYPERLINK("#",""), HYPERLINK(CONCATENATE("#Metadata!", ADDRESS(INDEX($Q$2:$Q$1001,MATCH(ROWS($O$2:O294),$O$2:$O$1001,0),0), INDEX($V$1004:$AE$1004,1,MATCH(COLUMNS($V$1006:AB1006),$V$1006:$AE$1006,0)))),"Fix")))</f>
        <v>0</v>
      </c>
      <c r="I294" s="4">
        <f>IF(OR(INDEX($P$2:$P$1001,MATCH(ROWS($O$2:O294),$O$2:$O$1001,0),1)&gt;=100000,INDEX($V$1005:$AE$1005,1,MATCH(COLUMNS($V$1006:AC1006),$V$1006:$AE$1006,0))&gt;=100000), " ",IF(INDEX($V$2:$AE$1001,MATCH(ROWS($O$2:O294),$O$2:$O$1001,0),MATCH(COLUMNS($V$1006:AC1006),$V$1006:$AE$1006,0)), HYPERLINK("#",""), HYPERLINK(CONCATENATE("#Metadata!", ADDRESS(INDEX($Q$2:$Q$1001,MATCH(ROWS($O$2:O294),$O$2:$O$1001,0),0), INDEX($V$1004:$AE$1004,1,MATCH(COLUMNS($V$1006:AC1006),$V$1006:$AE$1006,0)))),"Fix")))</f>
        <v>0</v>
      </c>
      <c r="J294" s="4">
        <f>IF(OR(INDEX($P$2:$P$1001,MATCH(ROWS($O$2:O294),$O$2:$O$1001,0),1)&gt;=100000,INDEX($V$1005:$AE$1005,1,MATCH(COLUMNS($V$1006:AD1006),$V$1006:$AE$1006,0))&gt;=100000), " ",IF(INDEX($V$2:$AE$1001,MATCH(ROWS($O$2:O294),$O$2:$O$1001,0),MATCH(COLUMNS($V$1006:AD1006),$V$1006:$AE$1006,0)), HYPERLINK("#",""), HYPERLINK(CONCATENATE("#Metadata!", ADDRESS(INDEX($Q$2:$Q$1001,MATCH(ROWS($O$2:O294),$O$2:$O$1001,0),0), INDEX($V$1004:$AE$1004,1,MATCH(COLUMNS($V$1006:AD1006),$V$1006:$AE$1006,0)))),"Fix")))</f>
        <v>0</v>
      </c>
      <c r="K294" s="4">
        <f>IF(OR(INDEX($P$2:$P$1001,MATCH(ROWS($O$2:O294),$O$2:$O$1001,0),1)&gt;=100000,INDEX($V$1005:$AE$1005,1,MATCH(COLUMNS($V$1006:AE1006),$V$1006:$AE$1006,0))&gt;=100000), " ",IF(INDEX($V$2:$AE$1001,MATCH(ROWS($O$2:O294),$O$2:$O$1001,0),MATCH(COLUMNS($V$1006:AE1006),$V$1006:$AE$1006,0)), HYPERLINK("#",""), HYPERLINK(CONCATENATE("#Metadata!", ADDRESS(INDEX($Q$2:$Q$1001,MATCH(ROWS($O$2:O294),$O$2:$O$1001,0),0), INDEX($V$1004:$AE$1004,1,MATCH(COLUMNS($V$1006:AE1006),$V$1006:$AE$1006,0)))),"Fix")))</f>
        <v>0</v>
      </c>
      <c r="O294">
        <v>0</v>
      </c>
      <c r="P294">
        <v>0</v>
      </c>
      <c r="Q294">
        <v>0</v>
      </c>
      <c r="R294">
        <f>IF(S294,TRUE,AND(V294:AE294))</f>
        <v>0</v>
      </c>
      <c r="S294">
        <f>COUNTBLANK(Metadata!B294:K294)=COLUMNS(Metadata!B294:K294)</f>
        <v>0</v>
      </c>
      <c r="T294">
        <v>0</v>
      </c>
      <c r="V294">
        <f>AND(IF(Metadata!B294="",FALSE,TRUE),COUNTIF(Metadata!B:B, Metadata!B294) = 1,NOT(ISERROR(SUMPRODUCT(SEARCH(MID(Metadata!B294,ROW(INDIRECT("1:"&amp;LEN(Metadata!B294))), 1),"0123456789abcdefghijklmnopqrstuvwxyzABCDEFGHIJKLMNOPQRSTUVWXYZ.")))))</f>
        <v>0</v>
      </c>
      <c r="W294">
        <f>AND(IF(Metadata!C294="",FALSE,TRUE),exact(Metadata!C294,"urban biome"))</f>
        <v>0</v>
      </c>
      <c r="X294">
        <f>AND(IF(Metadata!D294="",FALSE,TRUE),exact(Metadata!D294,"animal-associated habitat"))</f>
        <v>0</v>
      </c>
      <c r="Y294">
        <f>OR(AND(IF(Metadata!E294="",FALSE,TRUE),OR(exact(Metadata!E294,"not applicable"),exact(Metadata!E294,"missing: not collected"),exact(Metadata!E294,"missing: not provided"),exact(Metadata!E294,"missing: restricted access"))),AND(IF(Metadata!E294="",FALSE,ISNUMBER(VALUE(Metadata!E294))),Metadata!E294&gt;0))</f>
        <v>0</v>
      </c>
      <c r="Z294">
        <f>AND(IF(Metadata!F294="",FALSE,TRUE),exact(Metadata!F294,"weeks"))</f>
        <v>0</v>
      </c>
      <c r="AA294">
        <f>AND(IF(Metadata!G294="",FALSE,TRUE),exact(Metadata!G294,"mouse"))</f>
        <v>0</v>
      </c>
      <c r="AB294">
        <f>AND(IF(Metadata!H294="",FALSE,TRUE),exact(Metadata!H294,"Mus musculus"))</f>
        <v>0</v>
      </c>
      <c r="AC294">
        <f>AND(IF(Metadata!I294="",FALSE,TRUE),exact(Metadata!I294,"10090"))</f>
        <v>0</v>
      </c>
      <c r="AD294">
        <f>OR(AND(IF(Metadata!J294="",FALSE,TRUE),OR(exact(Metadata!J294,"not applicable"),exact(Metadata!J294,"missing: not collected"),exact(Metadata!J294,"missing: not provided"),exact(Metadata!J294,"missing: restricted access"))),AND(IF(Metadata!J294="",FALSE,ISNUMBER(VALUE(Metadata!J294))),Metadata!J294&gt;0))</f>
        <v>0</v>
      </c>
      <c r="AE294">
        <f>AND(IF(Metadata!K294="",FALSE,TRUE),exact(Metadata!K294,"g"))</f>
        <v>0</v>
      </c>
    </row>
    <row r="295" spans="1:31">
      <c r="A295" s="5">
        <f>IF(B295=" "," ",HYPERLINK(CONCATENATE("#metadata!",ADDRESS(INDEX($Q$2:$Q$1001,MATCH(ROWS($O$2:O295),$O$2:$O$1001,0),0),1)),INDEX($T$2:$T$1001,MATCH(ROWS($O$2:O295),$O$2:$O$1001,0),0)))</f>
        <v>0</v>
      </c>
      <c r="B295" s="4">
        <f>IF(OR(INDEX($P$2:$P$1001,MATCH(ROWS($O$2:O295),$O$2:$O$1001,0),1)&gt;=100000,INDEX($V$1005:$AE$1005,1,MATCH(COLUMNS($V$1006:V1006),$V$1006:$AE$1006,0))&gt;=100000), " ",IF(INDEX($V$2:$AE$1001,MATCH(ROWS($O$2:O295),$O$2:$O$1001,0),MATCH(COLUMNS($V$1006:V1006),$V$1006:$AE$1006,0)), HYPERLINK("#",""), HYPERLINK(CONCATENATE("#Metadata!", ADDRESS(INDEX($Q$2:$Q$1001,MATCH(ROWS($O$2:O295),$O$2:$O$1001,0),0), INDEX($V$1004:$AE$1004,1,MATCH(COLUMNS($V$1006:V1006),$V$1006:$AE$1006,0)))),"Fix")))</f>
        <v>0</v>
      </c>
      <c r="C295" s="4">
        <f>IF(OR(INDEX($P$2:$P$1001,MATCH(ROWS($O$2:O295),$O$2:$O$1001,0),1)&gt;=100000,INDEX($V$1005:$AE$1005,1,MATCH(COLUMNS($V$1006:W1006),$V$1006:$AE$1006,0))&gt;=100000), " ",IF(INDEX($V$2:$AE$1001,MATCH(ROWS($O$2:O295),$O$2:$O$1001,0),MATCH(COLUMNS($V$1006:W1006),$V$1006:$AE$1006,0)), HYPERLINK("#",""), HYPERLINK(CONCATENATE("#Metadata!", ADDRESS(INDEX($Q$2:$Q$1001,MATCH(ROWS($O$2:O295),$O$2:$O$1001,0),0), INDEX($V$1004:$AE$1004,1,MATCH(COLUMNS($V$1006:W1006),$V$1006:$AE$1006,0)))),"Fix")))</f>
        <v>0</v>
      </c>
      <c r="D295" s="4">
        <f>IF(OR(INDEX($P$2:$P$1001,MATCH(ROWS($O$2:O295),$O$2:$O$1001,0),1)&gt;=100000,INDEX($V$1005:$AE$1005,1,MATCH(COLUMNS($V$1006:X1006),$V$1006:$AE$1006,0))&gt;=100000), " ",IF(INDEX($V$2:$AE$1001,MATCH(ROWS($O$2:O295),$O$2:$O$1001,0),MATCH(COLUMNS($V$1006:X1006),$V$1006:$AE$1006,0)), HYPERLINK("#",""), HYPERLINK(CONCATENATE("#Metadata!", ADDRESS(INDEX($Q$2:$Q$1001,MATCH(ROWS($O$2:O295),$O$2:$O$1001,0),0), INDEX($V$1004:$AE$1004,1,MATCH(COLUMNS($V$1006:X1006),$V$1006:$AE$1006,0)))),"Fix")))</f>
        <v>0</v>
      </c>
      <c r="E295" s="4">
        <f>IF(OR(INDEX($P$2:$P$1001,MATCH(ROWS($O$2:O295),$O$2:$O$1001,0),1)&gt;=100000,INDEX($V$1005:$AE$1005,1,MATCH(COLUMNS($V$1006:Y1006),$V$1006:$AE$1006,0))&gt;=100000), " ",IF(INDEX($V$2:$AE$1001,MATCH(ROWS($O$2:O295),$O$2:$O$1001,0),MATCH(COLUMNS($V$1006:Y1006),$V$1006:$AE$1006,0)), HYPERLINK("#",""), HYPERLINK(CONCATENATE("#Metadata!", ADDRESS(INDEX($Q$2:$Q$1001,MATCH(ROWS($O$2:O295),$O$2:$O$1001,0),0), INDEX($V$1004:$AE$1004,1,MATCH(COLUMNS($V$1006:Y1006),$V$1006:$AE$1006,0)))),"Fix")))</f>
        <v>0</v>
      </c>
      <c r="F295" s="4">
        <f>IF(OR(INDEX($P$2:$P$1001,MATCH(ROWS($O$2:O295),$O$2:$O$1001,0),1)&gt;=100000,INDEX($V$1005:$AE$1005,1,MATCH(COLUMNS($V$1006:Z1006),$V$1006:$AE$1006,0))&gt;=100000), " ",IF(INDEX($V$2:$AE$1001,MATCH(ROWS($O$2:O295),$O$2:$O$1001,0),MATCH(COLUMNS($V$1006:Z1006),$V$1006:$AE$1006,0)), HYPERLINK("#",""), HYPERLINK(CONCATENATE("#Metadata!", ADDRESS(INDEX($Q$2:$Q$1001,MATCH(ROWS($O$2:O295),$O$2:$O$1001,0),0), INDEX($V$1004:$AE$1004,1,MATCH(COLUMNS($V$1006:Z1006),$V$1006:$AE$1006,0)))),"Fix")))</f>
        <v>0</v>
      </c>
      <c r="G295" s="4">
        <f>IF(OR(INDEX($P$2:$P$1001,MATCH(ROWS($O$2:O295),$O$2:$O$1001,0),1)&gt;=100000,INDEX($V$1005:$AE$1005,1,MATCH(COLUMNS($V$1006:AA1006),$V$1006:$AE$1006,0))&gt;=100000), " ",IF(INDEX($V$2:$AE$1001,MATCH(ROWS($O$2:O295),$O$2:$O$1001,0),MATCH(COLUMNS($V$1006:AA1006),$V$1006:$AE$1006,0)), HYPERLINK("#",""), HYPERLINK(CONCATENATE("#Metadata!", ADDRESS(INDEX($Q$2:$Q$1001,MATCH(ROWS($O$2:O295),$O$2:$O$1001,0),0), INDEX($V$1004:$AE$1004,1,MATCH(COLUMNS($V$1006:AA1006),$V$1006:$AE$1006,0)))),"Fix")))</f>
        <v>0</v>
      </c>
      <c r="H295" s="4">
        <f>IF(OR(INDEX($P$2:$P$1001,MATCH(ROWS($O$2:O295),$O$2:$O$1001,0),1)&gt;=100000,INDEX($V$1005:$AE$1005,1,MATCH(COLUMNS($V$1006:AB1006),$V$1006:$AE$1006,0))&gt;=100000), " ",IF(INDEX($V$2:$AE$1001,MATCH(ROWS($O$2:O295),$O$2:$O$1001,0),MATCH(COLUMNS($V$1006:AB1006),$V$1006:$AE$1006,0)), HYPERLINK("#",""), HYPERLINK(CONCATENATE("#Metadata!", ADDRESS(INDEX($Q$2:$Q$1001,MATCH(ROWS($O$2:O295),$O$2:$O$1001,0),0), INDEX($V$1004:$AE$1004,1,MATCH(COLUMNS($V$1006:AB1006),$V$1006:$AE$1006,0)))),"Fix")))</f>
        <v>0</v>
      </c>
      <c r="I295" s="4">
        <f>IF(OR(INDEX($P$2:$P$1001,MATCH(ROWS($O$2:O295),$O$2:$O$1001,0),1)&gt;=100000,INDEX($V$1005:$AE$1005,1,MATCH(COLUMNS($V$1006:AC1006),$V$1006:$AE$1006,0))&gt;=100000), " ",IF(INDEX($V$2:$AE$1001,MATCH(ROWS($O$2:O295),$O$2:$O$1001,0),MATCH(COLUMNS($V$1006:AC1006),$V$1006:$AE$1006,0)), HYPERLINK("#",""), HYPERLINK(CONCATENATE("#Metadata!", ADDRESS(INDEX($Q$2:$Q$1001,MATCH(ROWS($O$2:O295),$O$2:$O$1001,0),0), INDEX($V$1004:$AE$1004,1,MATCH(COLUMNS($V$1006:AC1006),$V$1006:$AE$1006,0)))),"Fix")))</f>
        <v>0</v>
      </c>
      <c r="J295" s="4">
        <f>IF(OR(INDEX($P$2:$P$1001,MATCH(ROWS($O$2:O295),$O$2:$O$1001,0),1)&gt;=100000,INDEX($V$1005:$AE$1005,1,MATCH(COLUMNS($V$1006:AD1006),$V$1006:$AE$1006,0))&gt;=100000), " ",IF(INDEX($V$2:$AE$1001,MATCH(ROWS($O$2:O295),$O$2:$O$1001,0),MATCH(COLUMNS($V$1006:AD1006),$V$1006:$AE$1006,0)), HYPERLINK("#",""), HYPERLINK(CONCATENATE("#Metadata!", ADDRESS(INDEX($Q$2:$Q$1001,MATCH(ROWS($O$2:O295),$O$2:$O$1001,0),0), INDEX($V$1004:$AE$1004,1,MATCH(COLUMNS($V$1006:AD1006),$V$1006:$AE$1006,0)))),"Fix")))</f>
        <v>0</v>
      </c>
      <c r="K295" s="4">
        <f>IF(OR(INDEX($P$2:$P$1001,MATCH(ROWS($O$2:O295),$O$2:$O$1001,0),1)&gt;=100000,INDEX($V$1005:$AE$1005,1,MATCH(COLUMNS($V$1006:AE1006),$V$1006:$AE$1006,0))&gt;=100000), " ",IF(INDEX($V$2:$AE$1001,MATCH(ROWS($O$2:O295),$O$2:$O$1001,0),MATCH(COLUMNS($V$1006:AE1006),$V$1006:$AE$1006,0)), HYPERLINK("#",""), HYPERLINK(CONCATENATE("#Metadata!", ADDRESS(INDEX($Q$2:$Q$1001,MATCH(ROWS($O$2:O295),$O$2:$O$1001,0),0), INDEX($V$1004:$AE$1004,1,MATCH(COLUMNS($V$1006:AE1006),$V$1006:$AE$1006,0)))),"Fix")))</f>
        <v>0</v>
      </c>
      <c r="O295">
        <v>0</v>
      </c>
      <c r="P295">
        <v>0</v>
      </c>
      <c r="Q295">
        <v>0</v>
      </c>
      <c r="R295">
        <f>IF(S295,TRUE,AND(V295:AE295))</f>
        <v>0</v>
      </c>
      <c r="S295">
        <f>COUNTBLANK(Metadata!B295:K295)=COLUMNS(Metadata!B295:K295)</f>
        <v>0</v>
      </c>
      <c r="T295">
        <v>0</v>
      </c>
      <c r="V295">
        <f>AND(IF(Metadata!B295="",FALSE,TRUE),COUNTIF(Metadata!B:B, Metadata!B295) = 1,NOT(ISERROR(SUMPRODUCT(SEARCH(MID(Metadata!B295,ROW(INDIRECT("1:"&amp;LEN(Metadata!B295))), 1),"0123456789abcdefghijklmnopqrstuvwxyzABCDEFGHIJKLMNOPQRSTUVWXYZ.")))))</f>
        <v>0</v>
      </c>
      <c r="W295">
        <f>AND(IF(Metadata!C295="",FALSE,TRUE),exact(Metadata!C295,"urban biome"))</f>
        <v>0</v>
      </c>
      <c r="X295">
        <f>AND(IF(Metadata!D295="",FALSE,TRUE),exact(Metadata!D295,"animal-associated habitat"))</f>
        <v>0</v>
      </c>
      <c r="Y295">
        <f>OR(AND(IF(Metadata!E295="",FALSE,TRUE),OR(exact(Metadata!E295,"not applicable"),exact(Metadata!E295,"missing: not collected"),exact(Metadata!E295,"missing: not provided"),exact(Metadata!E295,"missing: restricted access"))),AND(IF(Metadata!E295="",FALSE,ISNUMBER(VALUE(Metadata!E295))),Metadata!E295&gt;0))</f>
        <v>0</v>
      </c>
      <c r="Z295">
        <f>AND(IF(Metadata!F295="",FALSE,TRUE),exact(Metadata!F295,"weeks"))</f>
        <v>0</v>
      </c>
      <c r="AA295">
        <f>AND(IF(Metadata!G295="",FALSE,TRUE),exact(Metadata!G295,"mouse"))</f>
        <v>0</v>
      </c>
      <c r="AB295">
        <f>AND(IF(Metadata!H295="",FALSE,TRUE),exact(Metadata!H295,"Mus musculus"))</f>
        <v>0</v>
      </c>
      <c r="AC295">
        <f>AND(IF(Metadata!I295="",FALSE,TRUE),exact(Metadata!I295,"10090"))</f>
        <v>0</v>
      </c>
      <c r="AD295">
        <f>OR(AND(IF(Metadata!J295="",FALSE,TRUE),OR(exact(Metadata!J295,"not applicable"),exact(Metadata!J295,"missing: not collected"),exact(Metadata!J295,"missing: not provided"),exact(Metadata!J295,"missing: restricted access"))),AND(IF(Metadata!J295="",FALSE,ISNUMBER(VALUE(Metadata!J295))),Metadata!J295&gt;0))</f>
        <v>0</v>
      </c>
      <c r="AE295">
        <f>AND(IF(Metadata!K295="",FALSE,TRUE),exact(Metadata!K295,"g"))</f>
        <v>0</v>
      </c>
    </row>
    <row r="296" spans="1:31">
      <c r="A296" s="5">
        <f>IF(B296=" "," ",HYPERLINK(CONCATENATE("#metadata!",ADDRESS(INDEX($Q$2:$Q$1001,MATCH(ROWS($O$2:O296),$O$2:$O$1001,0),0),1)),INDEX($T$2:$T$1001,MATCH(ROWS($O$2:O296),$O$2:$O$1001,0),0)))</f>
        <v>0</v>
      </c>
      <c r="B296" s="4">
        <f>IF(OR(INDEX($P$2:$P$1001,MATCH(ROWS($O$2:O296),$O$2:$O$1001,0),1)&gt;=100000,INDEX($V$1005:$AE$1005,1,MATCH(COLUMNS($V$1006:V1006),$V$1006:$AE$1006,0))&gt;=100000), " ",IF(INDEX($V$2:$AE$1001,MATCH(ROWS($O$2:O296),$O$2:$O$1001,0),MATCH(COLUMNS($V$1006:V1006),$V$1006:$AE$1006,0)), HYPERLINK("#",""), HYPERLINK(CONCATENATE("#Metadata!", ADDRESS(INDEX($Q$2:$Q$1001,MATCH(ROWS($O$2:O296),$O$2:$O$1001,0),0), INDEX($V$1004:$AE$1004,1,MATCH(COLUMNS($V$1006:V1006),$V$1006:$AE$1006,0)))),"Fix")))</f>
        <v>0</v>
      </c>
      <c r="C296" s="4">
        <f>IF(OR(INDEX($P$2:$P$1001,MATCH(ROWS($O$2:O296),$O$2:$O$1001,0),1)&gt;=100000,INDEX($V$1005:$AE$1005,1,MATCH(COLUMNS($V$1006:W1006),$V$1006:$AE$1006,0))&gt;=100000), " ",IF(INDEX($V$2:$AE$1001,MATCH(ROWS($O$2:O296),$O$2:$O$1001,0),MATCH(COLUMNS($V$1006:W1006),$V$1006:$AE$1006,0)), HYPERLINK("#",""), HYPERLINK(CONCATENATE("#Metadata!", ADDRESS(INDEX($Q$2:$Q$1001,MATCH(ROWS($O$2:O296),$O$2:$O$1001,0),0), INDEX($V$1004:$AE$1004,1,MATCH(COLUMNS($V$1006:W1006),$V$1006:$AE$1006,0)))),"Fix")))</f>
        <v>0</v>
      </c>
      <c r="D296" s="4">
        <f>IF(OR(INDEX($P$2:$P$1001,MATCH(ROWS($O$2:O296),$O$2:$O$1001,0),1)&gt;=100000,INDEX($V$1005:$AE$1005,1,MATCH(COLUMNS($V$1006:X1006),$V$1006:$AE$1006,0))&gt;=100000), " ",IF(INDEX($V$2:$AE$1001,MATCH(ROWS($O$2:O296),$O$2:$O$1001,0),MATCH(COLUMNS($V$1006:X1006),$V$1006:$AE$1006,0)), HYPERLINK("#",""), HYPERLINK(CONCATENATE("#Metadata!", ADDRESS(INDEX($Q$2:$Q$1001,MATCH(ROWS($O$2:O296),$O$2:$O$1001,0),0), INDEX($V$1004:$AE$1004,1,MATCH(COLUMNS($V$1006:X1006),$V$1006:$AE$1006,0)))),"Fix")))</f>
        <v>0</v>
      </c>
      <c r="E296" s="4">
        <f>IF(OR(INDEX($P$2:$P$1001,MATCH(ROWS($O$2:O296),$O$2:$O$1001,0),1)&gt;=100000,INDEX($V$1005:$AE$1005,1,MATCH(COLUMNS($V$1006:Y1006),$V$1006:$AE$1006,0))&gt;=100000), " ",IF(INDEX($V$2:$AE$1001,MATCH(ROWS($O$2:O296),$O$2:$O$1001,0),MATCH(COLUMNS($V$1006:Y1006),$V$1006:$AE$1006,0)), HYPERLINK("#",""), HYPERLINK(CONCATENATE("#Metadata!", ADDRESS(INDEX($Q$2:$Q$1001,MATCH(ROWS($O$2:O296),$O$2:$O$1001,0),0), INDEX($V$1004:$AE$1004,1,MATCH(COLUMNS($V$1006:Y1006),$V$1006:$AE$1006,0)))),"Fix")))</f>
        <v>0</v>
      </c>
      <c r="F296" s="4">
        <f>IF(OR(INDEX($P$2:$P$1001,MATCH(ROWS($O$2:O296),$O$2:$O$1001,0),1)&gt;=100000,INDEX($V$1005:$AE$1005,1,MATCH(COLUMNS($V$1006:Z1006),$V$1006:$AE$1006,0))&gt;=100000), " ",IF(INDEX($V$2:$AE$1001,MATCH(ROWS($O$2:O296),$O$2:$O$1001,0),MATCH(COLUMNS($V$1006:Z1006),$V$1006:$AE$1006,0)), HYPERLINK("#",""), HYPERLINK(CONCATENATE("#Metadata!", ADDRESS(INDEX($Q$2:$Q$1001,MATCH(ROWS($O$2:O296),$O$2:$O$1001,0),0), INDEX($V$1004:$AE$1004,1,MATCH(COLUMNS($V$1006:Z1006),$V$1006:$AE$1006,0)))),"Fix")))</f>
        <v>0</v>
      </c>
      <c r="G296" s="4">
        <f>IF(OR(INDEX($P$2:$P$1001,MATCH(ROWS($O$2:O296),$O$2:$O$1001,0),1)&gt;=100000,INDEX($V$1005:$AE$1005,1,MATCH(COLUMNS($V$1006:AA1006),$V$1006:$AE$1006,0))&gt;=100000), " ",IF(INDEX($V$2:$AE$1001,MATCH(ROWS($O$2:O296),$O$2:$O$1001,0),MATCH(COLUMNS($V$1006:AA1006),$V$1006:$AE$1006,0)), HYPERLINK("#",""), HYPERLINK(CONCATENATE("#Metadata!", ADDRESS(INDEX($Q$2:$Q$1001,MATCH(ROWS($O$2:O296),$O$2:$O$1001,0),0), INDEX($V$1004:$AE$1004,1,MATCH(COLUMNS($V$1006:AA1006),$V$1006:$AE$1006,0)))),"Fix")))</f>
        <v>0</v>
      </c>
      <c r="H296" s="4">
        <f>IF(OR(INDEX($P$2:$P$1001,MATCH(ROWS($O$2:O296),$O$2:$O$1001,0),1)&gt;=100000,INDEX($V$1005:$AE$1005,1,MATCH(COLUMNS($V$1006:AB1006),$V$1006:$AE$1006,0))&gt;=100000), " ",IF(INDEX($V$2:$AE$1001,MATCH(ROWS($O$2:O296),$O$2:$O$1001,0),MATCH(COLUMNS($V$1006:AB1006),$V$1006:$AE$1006,0)), HYPERLINK("#",""), HYPERLINK(CONCATENATE("#Metadata!", ADDRESS(INDEX($Q$2:$Q$1001,MATCH(ROWS($O$2:O296),$O$2:$O$1001,0),0), INDEX($V$1004:$AE$1004,1,MATCH(COLUMNS($V$1006:AB1006),$V$1006:$AE$1006,0)))),"Fix")))</f>
        <v>0</v>
      </c>
      <c r="I296" s="4">
        <f>IF(OR(INDEX($P$2:$P$1001,MATCH(ROWS($O$2:O296),$O$2:$O$1001,0),1)&gt;=100000,INDEX($V$1005:$AE$1005,1,MATCH(COLUMNS($V$1006:AC1006),$V$1006:$AE$1006,0))&gt;=100000), " ",IF(INDEX($V$2:$AE$1001,MATCH(ROWS($O$2:O296),$O$2:$O$1001,0),MATCH(COLUMNS($V$1006:AC1006),$V$1006:$AE$1006,0)), HYPERLINK("#",""), HYPERLINK(CONCATENATE("#Metadata!", ADDRESS(INDEX($Q$2:$Q$1001,MATCH(ROWS($O$2:O296),$O$2:$O$1001,0),0), INDEX($V$1004:$AE$1004,1,MATCH(COLUMNS($V$1006:AC1006),$V$1006:$AE$1006,0)))),"Fix")))</f>
        <v>0</v>
      </c>
      <c r="J296" s="4">
        <f>IF(OR(INDEX($P$2:$P$1001,MATCH(ROWS($O$2:O296),$O$2:$O$1001,0),1)&gt;=100000,INDEX($V$1005:$AE$1005,1,MATCH(COLUMNS($V$1006:AD1006),$V$1006:$AE$1006,0))&gt;=100000), " ",IF(INDEX($V$2:$AE$1001,MATCH(ROWS($O$2:O296),$O$2:$O$1001,0),MATCH(COLUMNS($V$1006:AD1006),$V$1006:$AE$1006,0)), HYPERLINK("#",""), HYPERLINK(CONCATENATE("#Metadata!", ADDRESS(INDEX($Q$2:$Q$1001,MATCH(ROWS($O$2:O296),$O$2:$O$1001,0),0), INDEX($V$1004:$AE$1004,1,MATCH(COLUMNS($V$1006:AD1006),$V$1006:$AE$1006,0)))),"Fix")))</f>
        <v>0</v>
      </c>
      <c r="K296" s="4">
        <f>IF(OR(INDEX($P$2:$P$1001,MATCH(ROWS($O$2:O296),$O$2:$O$1001,0),1)&gt;=100000,INDEX($V$1005:$AE$1005,1,MATCH(COLUMNS($V$1006:AE1006),$V$1006:$AE$1006,0))&gt;=100000), " ",IF(INDEX($V$2:$AE$1001,MATCH(ROWS($O$2:O296),$O$2:$O$1001,0),MATCH(COLUMNS($V$1006:AE1006),$V$1006:$AE$1006,0)), HYPERLINK("#",""), HYPERLINK(CONCATENATE("#Metadata!", ADDRESS(INDEX($Q$2:$Q$1001,MATCH(ROWS($O$2:O296),$O$2:$O$1001,0),0), INDEX($V$1004:$AE$1004,1,MATCH(COLUMNS($V$1006:AE1006),$V$1006:$AE$1006,0)))),"Fix")))</f>
        <v>0</v>
      </c>
      <c r="O296">
        <v>0</v>
      </c>
      <c r="P296">
        <v>0</v>
      </c>
      <c r="Q296">
        <v>0</v>
      </c>
      <c r="R296">
        <f>IF(S296,TRUE,AND(V296:AE296))</f>
        <v>0</v>
      </c>
      <c r="S296">
        <f>COUNTBLANK(Metadata!B296:K296)=COLUMNS(Metadata!B296:K296)</f>
        <v>0</v>
      </c>
      <c r="T296">
        <v>0</v>
      </c>
      <c r="V296">
        <f>AND(IF(Metadata!B296="",FALSE,TRUE),COUNTIF(Metadata!B:B, Metadata!B296) = 1,NOT(ISERROR(SUMPRODUCT(SEARCH(MID(Metadata!B296,ROW(INDIRECT("1:"&amp;LEN(Metadata!B296))), 1),"0123456789abcdefghijklmnopqrstuvwxyzABCDEFGHIJKLMNOPQRSTUVWXYZ.")))))</f>
        <v>0</v>
      </c>
      <c r="W296">
        <f>AND(IF(Metadata!C296="",FALSE,TRUE),exact(Metadata!C296,"urban biome"))</f>
        <v>0</v>
      </c>
      <c r="X296">
        <f>AND(IF(Metadata!D296="",FALSE,TRUE),exact(Metadata!D296,"animal-associated habitat"))</f>
        <v>0</v>
      </c>
      <c r="Y296">
        <f>OR(AND(IF(Metadata!E296="",FALSE,TRUE),OR(exact(Metadata!E296,"not applicable"),exact(Metadata!E296,"missing: not collected"),exact(Metadata!E296,"missing: not provided"),exact(Metadata!E296,"missing: restricted access"))),AND(IF(Metadata!E296="",FALSE,ISNUMBER(VALUE(Metadata!E296))),Metadata!E296&gt;0))</f>
        <v>0</v>
      </c>
      <c r="Z296">
        <f>AND(IF(Metadata!F296="",FALSE,TRUE),exact(Metadata!F296,"weeks"))</f>
        <v>0</v>
      </c>
      <c r="AA296">
        <f>AND(IF(Metadata!G296="",FALSE,TRUE),exact(Metadata!G296,"mouse"))</f>
        <v>0</v>
      </c>
      <c r="AB296">
        <f>AND(IF(Metadata!H296="",FALSE,TRUE),exact(Metadata!H296,"Mus musculus"))</f>
        <v>0</v>
      </c>
      <c r="AC296">
        <f>AND(IF(Metadata!I296="",FALSE,TRUE),exact(Metadata!I296,"10090"))</f>
        <v>0</v>
      </c>
      <c r="AD296">
        <f>OR(AND(IF(Metadata!J296="",FALSE,TRUE),OR(exact(Metadata!J296,"not applicable"),exact(Metadata!J296,"missing: not collected"),exact(Metadata!J296,"missing: not provided"),exact(Metadata!J296,"missing: restricted access"))),AND(IF(Metadata!J296="",FALSE,ISNUMBER(VALUE(Metadata!J296))),Metadata!J296&gt;0))</f>
        <v>0</v>
      </c>
      <c r="AE296">
        <f>AND(IF(Metadata!K296="",FALSE,TRUE),exact(Metadata!K296,"g"))</f>
        <v>0</v>
      </c>
    </row>
    <row r="297" spans="1:31">
      <c r="A297" s="5">
        <f>IF(B297=" "," ",HYPERLINK(CONCATENATE("#metadata!",ADDRESS(INDEX($Q$2:$Q$1001,MATCH(ROWS($O$2:O297),$O$2:$O$1001,0),0),1)),INDEX($T$2:$T$1001,MATCH(ROWS($O$2:O297),$O$2:$O$1001,0),0)))</f>
        <v>0</v>
      </c>
      <c r="B297" s="4">
        <f>IF(OR(INDEX($P$2:$P$1001,MATCH(ROWS($O$2:O297),$O$2:$O$1001,0),1)&gt;=100000,INDEX($V$1005:$AE$1005,1,MATCH(COLUMNS($V$1006:V1006),$V$1006:$AE$1006,0))&gt;=100000), " ",IF(INDEX($V$2:$AE$1001,MATCH(ROWS($O$2:O297),$O$2:$O$1001,0),MATCH(COLUMNS($V$1006:V1006),$V$1006:$AE$1006,0)), HYPERLINK("#",""), HYPERLINK(CONCATENATE("#Metadata!", ADDRESS(INDEX($Q$2:$Q$1001,MATCH(ROWS($O$2:O297),$O$2:$O$1001,0),0), INDEX($V$1004:$AE$1004,1,MATCH(COLUMNS($V$1006:V1006),$V$1006:$AE$1006,0)))),"Fix")))</f>
        <v>0</v>
      </c>
      <c r="C297" s="4">
        <f>IF(OR(INDEX($P$2:$P$1001,MATCH(ROWS($O$2:O297),$O$2:$O$1001,0),1)&gt;=100000,INDEX($V$1005:$AE$1005,1,MATCH(COLUMNS($V$1006:W1006),$V$1006:$AE$1006,0))&gt;=100000), " ",IF(INDEX($V$2:$AE$1001,MATCH(ROWS($O$2:O297),$O$2:$O$1001,0),MATCH(COLUMNS($V$1006:W1006),$V$1006:$AE$1006,0)), HYPERLINK("#",""), HYPERLINK(CONCATENATE("#Metadata!", ADDRESS(INDEX($Q$2:$Q$1001,MATCH(ROWS($O$2:O297),$O$2:$O$1001,0),0), INDEX($V$1004:$AE$1004,1,MATCH(COLUMNS($V$1006:W1006),$V$1006:$AE$1006,0)))),"Fix")))</f>
        <v>0</v>
      </c>
      <c r="D297" s="4">
        <f>IF(OR(INDEX($P$2:$P$1001,MATCH(ROWS($O$2:O297),$O$2:$O$1001,0),1)&gt;=100000,INDEX($V$1005:$AE$1005,1,MATCH(COLUMNS($V$1006:X1006),$V$1006:$AE$1006,0))&gt;=100000), " ",IF(INDEX($V$2:$AE$1001,MATCH(ROWS($O$2:O297),$O$2:$O$1001,0),MATCH(COLUMNS($V$1006:X1006),$V$1006:$AE$1006,0)), HYPERLINK("#",""), HYPERLINK(CONCATENATE("#Metadata!", ADDRESS(INDEX($Q$2:$Q$1001,MATCH(ROWS($O$2:O297),$O$2:$O$1001,0),0), INDEX($V$1004:$AE$1004,1,MATCH(COLUMNS($V$1006:X1006),$V$1006:$AE$1006,0)))),"Fix")))</f>
        <v>0</v>
      </c>
      <c r="E297" s="4">
        <f>IF(OR(INDEX($P$2:$P$1001,MATCH(ROWS($O$2:O297),$O$2:$O$1001,0),1)&gt;=100000,INDEX($V$1005:$AE$1005,1,MATCH(COLUMNS($V$1006:Y1006),$V$1006:$AE$1006,0))&gt;=100000), " ",IF(INDEX($V$2:$AE$1001,MATCH(ROWS($O$2:O297),$O$2:$O$1001,0),MATCH(COLUMNS($V$1006:Y1006),$V$1006:$AE$1006,0)), HYPERLINK("#",""), HYPERLINK(CONCATENATE("#Metadata!", ADDRESS(INDEX($Q$2:$Q$1001,MATCH(ROWS($O$2:O297),$O$2:$O$1001,0),0), INDEX($V$1004:$AE$1004,1,MATCH(COLUMNS($V$1006:Y1006),$V$1006:$AE$1006,0)))),"Fix")))</f>
        <v>0</v>
      </c>
      <c r="F297" s="4">
        <f>IF(OR(INDEX($P$2:$P$1001,MATCH(ROWS($O$2:O297),$O$2:$O$1001,0),1)&gt;=100000,INDEX($V$1005:$AE$1005,1,MATCH(COLUMNS($V$1006:Z1006),$V$1006:$AE$1006,0))&gt;=100000), " ",IF(INDEX($V$2:$AE$1001,MATCH(ROWS($O$2:O297),$O$2:$O$1001,0),MATCH(COLUMNS($V$1006:Z1006),$V$1006:$AE$1006,0)), HYPERLINK("#",""), HYPERLINK(CONCATENATE("#Metadata!", ADDRESS(INDEX($Q$2:$Q$1001,MATCH(ROWS($O$2:O297),$O$2:$O$1001,0),0), INDEX($V$1004:$AE$1004,1,MATCH(COLUMNS($V$1006:Z1006),$V$1006:$AE$1006,0)))),"Fix")))</f>
        <v>0</v>
      </c>
      <c r="G297" s="4">
        <f>IF(OR(INDEX($P$2:$P$1001,MATCH(ROWS($O$2:O297),$O$2:$O$1001,0),1)&gt;=100000,INDEX($V$1005:$AE$1005,1,MATCH(COLUMNS($V$1006:AA1006),$V$1006:$AE$1006,0))&gt;=100000), " ",IF(INDEX($V$2:$AE$1001,MATCH(ROWS($O$2:O297),$O$2:$O$1001,0),MATCH(COLUMNS($V$1006:AA1006),$V$1006:$AE$1006,0)), HYPERLINK("#",""), HYPERLINK(CONCATENATE("#Metadata!", ADDRESS(INDEX($Q$2:$Q$1001,MATCH(ROWS($O$2:O297),$O$2:$O$1001,0),0), INDEX($V$1004:$AE$1004,1,MATCH(COLUMNS($V$1006:AA1006),$V$1006:$AE$1006,0)))),"Fix")))</f>
        <v>0</v>
      </c>
      <c r="H297" s="4">
        <f>IF(OR(INDEX($P$2:$P$1001,MATCH(ROWS($O$2:O297),$O$2:$O$1001,0),1)&gt;=100000,INDEX($V$1005:$AE$1005,1,MATCH(COLUMNS($V$1006:AB1006),$V$1006:$AE$1006,0))&gt;=100000), " ",IF(INDEX($V$2:$AE$1001,MATCH(ROWS($O$2:O297),$O$2:$O$1001,0),MATCH(COLUMNS($V$1006:AB1006),$V$1006:$AE$1006,0)), HYPERLINK("#",""), HYPERLINK(CONCATENATE("#Metadata!", ADDRESS(INDEX($Q$2:$Q$1001,MATCH(ROWS($O$2:O297),$O$2:$O$1001,0),0), INDEX($V$1004:$AE$1004,1,MATCH(COLUMNS($V$1006:AB1006),$V$1006:$AE$1006,0)))),"Fix")))</f>
        <v>0</v>
      </c>
      <c r="I297" s="4">
        <f>IF(OR(INDEX($P$2:$P$1001,MATCH(ROWS($O$2:O297),$O$2:$O$1001,0),1)&gt;=100000,INDEX($V$1005:$AE$1005,1,MATCH(COLUMNS($V$1006:AC1006),$V$1006:$AE$1006,0))&gt;=100000), " ",IF(INDEX($V$2:$AE$1001,MATCH(ROWS($O$2:O297),$O$2:$O$1001,0),MATCH(COLUMNS($V$1006:AC1006),$V$1006:$AE$1006,0)), HYPERLINK("#",""), HYPERLINK(CONCATENATE("#Metadata!", ADDRESS(INDEX($Q$2:$Q$1001,MATCH(ROWS($O$2:O297),$O$2:$O$1001,0),0), INDEX($V$1004:$AE$1004,1,MATCH(COLUMNS($V$1006:AC1006),$V$1006:$AE$1006,0)))),"Fix")))</f>
        <v>0</v>
      </c>
      <c r="J297" s="4">
        <f>IF(OR(INDEX($P$2:$P$1001,MATCH(ROWS($O$2:O297),$O$2:$O$1001,0),1)&gt;=100000,INDEX($V$1005:$AE$1005,1,MATCH(COLUMNS($V$1006:AD1006),$V$1006:$AE$1006,0))&gt;=100000), " ",IF(INDEX($V$2:$AE$1001,MATCH(ROWS($O$2:O297),$O$2:$O$1001,0),MATCH(COLUMNS($V$1006:AD1006),$V$1006:$AE$1006,0)), HYPERLINK("#",""), HYPERLINK(CONCATENATE("#Metadata!", ADDRESS(INDEX($Q$2:$Q$1001,MATCH(ROWS($O$2:O297),$O$2:$O$1001,0),0), INDEX($V$1004:$AE$1004,1,MATCH(COLUMNS($V$1006:AD1006),$V$1006:$AE$1006,0)))),"Fix")))</f>
        <v>0</v>
      </c>
      <c r="K297" s="4">
        <f>IF(OR(INDEX($P$2:$P$1001,MATCH(ROWS($O$2:O297),$O$2:$O$1001,0),1)&gt;=100000,INDEX($V$1005:$AE$1005,1,MATCH(COLUMNS($V$1006:AE1006),$V$1006:$AE$1006,0))&gt;=100000), " ",IF(INDEX($V$2:$AE$1001,MATCH(ROWS($O$2:O297),$O$2:$O$1001,0),MATCH(COLUMNS($V$1006:AE1006),$V$1006:$AE$1006,0)), HYPERLINK("#",""), HYPERLINK(CONCATENATE("#Metadata!", ADDRESS(INDEX($Q$2:$Q$1001,MATCH(ROWS($O$2:O297),$O$2:$O$1001,0),0), INDEX($V$1004:$AE$1004,1,MATCH(COLUMNS($V$1006:AE1006),$V$1006:$AE$1006,0)))),"Fix")))</f>
        <v>0</v>
      </c>
      <c r="O297">
        <v>0</v>
      </c>
      <c r="P297">
        <v>0</v>
      </c>
      <c r="Q297">
        <v>0</v>
      </c>
      <c r="R297">
        <f>IF(S297,TRUE,AND(V297:AE297))</f>
        <v>0</v>
      </c>
      <c r="S297">
        <f>COUNTBLANK(Metadata!B297:K297)=COLUMNS(Metadata!B297:K297)</f>
        <v>0</v>
      </c>
      <c r="T297">
        <v>0</v>
      </c>
      <c r="V297">
        <f>AND(IF(Metadata!B297="",FALSE,TRUE),COUNTIF(Metadata!B:B, Metadata!B297) = 1,NOT(ISERROR(SUMPRODUCT(SEARCH(MID(Metadata!B297,ROW(INDIRECT("1:"&amp;LEN(Metadata!B297))), 1),"0123456789abcdefghijklmnopqrstuvwxyzABCDEFGHIJKLMNOPQRSTUVWXYZ.")))))</f>
        <v>0</v>
      </c>
      <c r="W297">
        <f>AND(IF(Metadata!C297="",FALSE,TRUE),exact(Metadata!C297,"urban biome"))</f>
        <v>0</v>
      </c>
      <c r="X297">
        <f>AND(IF(Metadata!D297="",FALSE,TRUE),exact(Metadata!D297,"animal-associated habitat"))</f>
        <v>0</v>
      </c>
      <c r="Y297">
        <f>OR(AND(IF(Metadata!E297="",FALSE,TRUE),OR(exact(Metadata!E297,"not applicable"),exact(Metadata!E297,"missing: not collected"),exact(Metadata!E297,"missing: not provided"),exact(Metadata!E297,"missing: restricted access"))),AND(IF(Metadata!E297="",FALSE,ISNUMBER(VALUE(Metadata!E297))),Metadata!E297&gt;0))</f>
        <v>0</v>
      </c>
      <c r="Z297">
        <f>AND(IF(Metadata!F297="",FALSE,TRUE),exact(Metadata!F297,"weeks"))</f>
        <v>0</v>
      </c>
      <c r="AA297">
        <f>AND(IF(Metadata!G297="",FALSE,TRUE),exact(Metadata!G297,"mouse"))</f>
        <v>0</v>
      </c>
      <c r="AB297">
        <f>AND(IF(Metadata!H297="",FALSE,TRUE),exact(Metadata!H297,"Mus musculus"))</f>
        <v>0</v>
      </c>
      <c r="AC297">
        <f>AND(IF(Metadata!I297="",FALSE,TRUE),exact(Metadata!I297,"10090"))</f>
        <v>0</v>
      </c>
      <c r="AD297">
        <f>OR(AND(IF(Metadata!J297="",FALSE,TRUE),OR(exact(Metadata!J297,"not applicable"),exact(Metadata!J297,"missing: not collected"),exact(Metadata!J297,"missing: not provided"),exact(Metadata!J297,"missing: restricted access"))),AND(IF(Metadata!J297="",FALSE,ISNUMBER(VALUE(Metadata!J297))),Metadata!J297&gt;0))</f>
        <v>0</v>
      </c>
      <c r="AE297">
        <f>AND(IF(Metadata!K297="",FALSE,TRUE),exact(Metadata!K297,"g"))</f>
        <v>0</v>
      </c>
    </row>
    <row r="298" spans="1:31">
      <c r="A298" s="5">
        <f>IF(B298=" "," ",HYPERLINK(CONCATENATE("#metadata!",ADDRESS(INDEX($Q$2:$Q$1001,MATCH(ROWS($O$2:O298),$O$2:$O$1001,0),0),1)),INDEX($T$2:$T$1001,MATCH(ROWS($O$2:O298),$O$2:$O$1001,0),0)))</f>
        <v>0</v>
      </c>
      <c r="B298" s="4">
        <f>IF(OR(INDEX($P$2:$P$1001,MATCH(ROWS($O$2:O298),$O$2:$O$1001,0),1)&gt;=100000,INDEX($V$1005:$AE$1005,1,MATCH(COLUMNS($V$1006:V1006),$V$1006:$AE$1006,0))&gt;=100000), " ",IF(INDEX($V$2:$AE$1001,MATCH(ROWS($O$2:O298),$O$2:$O$1001,0),MATCH(COLUMNS($V$1006:V1006),$V$1006:$AE$1006,0)), HYPERLINK("#",""), HYPERLINK(CONCATENATE("#Metadata!", ADDRESS(INDEX($Q$2:$Q$1001,MATCH(ROWS($O$2:O298),$O$2:$O$1001,0),0), INDEX($V$1004:$AE$1004,1,MATCH(COLUMNS($V$1006:V1006),$V$1006:$AE$1006,0)))),"Fix")))</f>
        <v>0</v>
      </c>
      <c r="C298" s="4">
        <f>IF(OR(INDEX($P$2:$P$1001,MATCH(ROWS($O$2:O298),$O$2:$O$1001,0),1)&gt;=100000,INDEX($V$1005:$AE$1005,1,MATCH(COLUMNS($V$1006:W1006),$V$1006:$AE$1006,0))&gt;=100000), " ",IF(INDEX($V$2:$AE$1001,MATCH(ROWS($O$2:O298),$O$2:$O$1001,0),MATCH(COLUMNS($V$1006:W1006),$V$1006:$AE$1006,0)), HYPERLINK("#",""), HYPERLINK(CONCATENATE("#Metadata!", ADDRESS(INDEX($Q$2:$Q$1001,MATCH(ROWS($O$2:O298),$O$2:$O$1001,0),0), INDEX($V$1004:$AE$1004,1,MATCH(COLUMNS($V$1006:W1006),$V$1006:$AE$1006,0)))),"Fix")))</f>
        <v>0</v>
      </c>
      <c r="D298" s="4">
        <f>IF(OR(INDEX($P$2:$P$1001,MATCH(ROWS($O$2:O298),$O$2:$O$1001,0),1)&gt;=100000,INDEX($V$1005:$AE$1005,1,MATCH(COLUMNS($V$1006:X1006),$V$1006:$AE$1006,0))&gt;=100000), " ",IF(INDEX($V$2:$AE$1001,MATCH(ROWS($O$2:O298),$O$2:$O$1001,0),MATCH(COLUMNS($V$1006:X1006),$V$1006:$AE$1006,0)), HYPERLINK("#",""), HYPERLINK(CONCATENATE("#Metadata!", ADDRESS(INDEX($Q$2:$Q$1001,MATCH(ROWS($O$2:O298),$O$2:$O$1001,0),0), INDEX($V$1004:$AE$1004,1,MATCH(COLUMNS($V$1006:X1006),$V$1006:$AE$1006,0)))),"Fix")))</f>
        <v>0</v>
      </c>
      <c r="E298" s="4">
        <f>IF(OR(INDEX($P$2:$P$1001,MATCH(ROWS($O$2:O298),$O$2:$O$1001,0),1)&gt;=100000,INDEX($V$1005:$AE$1005,1,MATCH(COLUMNS($V$1006:Y1006),$V$1006:$AE$1006,0))&gt;=100000), " ",IF(INDEX($V$2:$AE$1001,MATCH(ROWS($O$2:O298),$O$2:$O$1001,0),MATCH(COLUMNS($V$1006:Y1006),$V$1006:$AE$1006,0)), HYPERLINK("#",""), HYPERLINK(CONCATENATE("#Metadata!", ADDRESS(INDEX($Q$2:$Q$1001,MATCH(ROWS($O$2:O298),$O$2:$O$1001,0),0), INDEX($V$1004:$AE$1004,1,MATCH(COLUMNS($V$1006:Y1006),$V$1006:$AE$1006,0)))),"Fix")))</f>
        <v>0</v>
      </c>
      <c r="F298" s="4">
        <f>IF(OR(INDEX($P$2:$P$1001,MATCH(ROWS($O$2:O298),$O$2:$O$1001,0),1)&gt;=100000,INDEX($V$1005:$AE$1005,1,MATCH(COLUMNS($V$1006:Z1006),$V$1006:$AE$1006,0))&gt;=100000), " ",IF(INDEX($V$2:$AE$1001,MATCH(ROWS($O$2:O298),$O$2:$O$1001,0),MATCH(COLUMNS($V$1006:Z1006),$V$1006:$AE$1006,0)), HYPERLINK("#",""), HYPERLINK(CONCATENATE("#Metadata!", ADDRESS(INDEX($Q$2:$Q$1001,MATCH(ROWS($O$2:O298),$O$2:$O$1001,0),0), INDEX($V$1004:$AE$1004,1,MATCH(COLUMNS($V$1006:Z1006),$V$1006:$AE$1006,0)))),"Fix")))</f>
        <v>0</v>
      </c>
      <c r="G298" s="4">
        <f>IF(OR(INDEX($P$2:$P$1001,MATCH(ROWS($O$2:O298),$O$2:$O$1001,0),1)&gt;=100000,INDEX($V$1005:$AE$1005,1,MATCH(COLUMNS($V$1006:AA1006),$V$1006:$AE$1006,0))&gt;=100000), " ",IF(INDEX($V$2:$AE$1001,MATCH(ROWS($O$2:O298),$O$2:$O$1001,0),MATCH(COLUMNS($V$1006:AA1006),$V$1006:$AE$1006,0)), HYPERLINK("#",""), HYPERLINK(CONCATENATE("#Metadata!", ADDRESS(INDEX($Q$2:$Q$1001,MATCH(ROWS($O$2:O298),$O$2:$O$1001,0),0), INDEX($V$1004:$AE$1004,1,MATCH(COLUMNS($V$1006:AA1006),$V$1006:$AE$1006,0)))),"Fix")))</f>
        <v>0</v>
      </c>
      <c r="H298" s="4">
        <f>IF(OR(INDEX($P$2:$P$1001,MATCH(ROWS($O$2:O298),$O$2:$O$1001,0),1)&gt;=100000,INDEX($V$1005:$AE$1005,1,MATCH(COLUMNS($V$1006:AB1006),$V$1006:$AE$1006,0))&gt;=100000), " ",IF(INDEX($V$2:$AE$1001,MATCH(ROWS($O$2:O298),$O$2:$O$1001,0),MATCH(COLUMNS($V$1006:AB1006),$V$1006:$AE$1006,0)), HYPERLINK("#",""), HYPERLINK(CONCATENATE("#Metadata!", ADDRESS(INDEX($Q$2:$Q$1001,MATCH(ROWS($O$2:O298),$O$2:$O$1001,0),0), INDEX($V$1004:$AE$1004,1,MATCH(COLUMNS($V$1006:AB1006),$V$1006:$AE$1006,0)))),"Fix")))</f>
        <v>0</v>
      </c>
      <c r="I298" s="4">
        <f>IF(OR(INDEX($P$2:$P$1001,MATCH(ROWS($O$2:O298),$O$2:$O$1001,0),1)&gt;=100000,INDEX($V$1005:$AE$1005,1,MATCH(COLUMNS($V$1006:AC1006),$V$1006:$AE$1006,0))&gt;=100000), " ",IF(INDEX($V$2:$AE$1001,MATCH(ROWS($O$2:O298),$O$2:$O$1001,0),MATCH(COLUMNS($V$1006:AC1006),$V$1006:$AE$1006,0)), HYPERLINK("#",""), HYPERLINK(CONCATENATE("#Metadata!", ADDRESS(INDEX($Q$2:$Q$1001,MATCH(ROWS($O$2:O298),$O$2:$O$1001,0),0), INDEX($V$1004:$AE$1004,1,MATCH(COLUMNS($V$1006:AC1006),$V$1006:$AE$1006,0)))),"Fix")))</f>
        <v>0</v>
      </c>
      <c r="J298" s="4">
        <f>IF(OR(INDEX($P$2:$P$1001,MATCH(ROWS($O$2:O298),$O$2:$O$1001,0),1)&gt;=100000,INDEX($V$1005:$AE$1005,1,MATCH(COLUMNS($V$1006:AD1006),$V$1006:$AE$1006,0))&gt;=100000), " ",IF(INDEX($V$2:$AE$1001,MATCH(ROWS($O$2:O298),$O$2:$O$1001,0),MATCH(COLUMNS($V$1006:AD1006),$V$1006:$AE$1006,0)), HYPERLINK("#",""), HYPERLINK(CONCATENATE("#Metadata!", ADDRESS(INDEX($Q$2:$Q$1001,MATCH(ROWS($O$2:O298),$O$2:$O$1001,0),0), INDEX($V$1004:$AE$1004,1,MATCH(COLUMNS($V$1006:AD1006),$V$1006:$AE$1006,0)))),"Fix")))</f>
        <v>0</v>
      </c>
      <c r="K298" s="4">
        <f>IF(OR(INDEX($P$2:$P$1001,MATCH(ROWS($O$2:O298),$O$2:$O$1001,0),1)&gt;=100000,INDEX($V$1005:$AE$1005,1,MATCH(COLUMNS($V$1006:AE1006),$V$1006:$AE$1006,0))&gt;=100000), " ",IF(INDEX($V$2:$AE$1001,MATCH(ROWS($O$2:O298),$O$2:$O$1001,0),MATCH(COLUMNS($V$1006:AE1006),$V$1006:$AE$1006,0)), HYPERLINK("#",""), HYPERLINK(CONCATENATE("#Metadata!", ADDRESS(INDEX($Q$2:$Q$1001,MATCH(ROWS($O$2:O298),$O$2:$O$1001,0),0), INDEX($V$1004:$AE$1004,1,MATCH(COLUMNS($V$1006:AE1006),$V$1006:$AE$1006,0)))),"Fix")))</f>
        <v>0</v>
      </c>
      <c r="O298">
        <v>0</v>
      </c>
      <c r="P298">
        <v>0</v>
      </c>
      <c r="Q298">
        <v>0</v>
      </c>
      <c r="R298">
        <f>IF(S298,TRUE,AND(V298:AE298))</f>
        <v>0</v>
      </c>
      <c r="S298">
        <f>COUNTBLANK(Metadata!B298:K298)=COLUMNS(Metadata!B298:K298)</f>
        <v>0</v>
      </c>
      <c r="T298">
        <v>0</v>
      </c>
      <c r="V298">
        <f>AND(IF(Metadata!B298="",FALSE,TRUE),COUNTIF(Metadata!B:B, Metadata!B298) = 1,NOT(ISERROR(SUMPRODUCT(SEARCH(MID(Metadata!B298,ROW(INDIRECT("1:"&amp;LEN(Metadata!B298))), 1),"0123456789abcdefghijklmnopqrstuvwxyzABCDEFGHIJKLMNOPQRSTUVWXYZ.")))))</f>
        <v>0</v>
      </c>
      <c r="W298">
        <f>AND(IF(Metadata!C298="",FALSE,TRUE),exact(Metadata!C298,"urban biome"))</f>
        <v>0</v>
      </c>
      <c r="X298">
        <f>AND(IF(Metadata!D298="",FALSE,TRUE),exact(Metadata!D298,"animal-associated habitat"))</f>
        <v>0</v>
      </c>
      <c r="Y298">
        <f>OR(AND(IF(Metadata!E298="",FALSE,TRUE),OR(exact(Metadata!E298,"not applicable"),exact(Metadata!E298,"missing: not collected"),exact(Metadata!E298,"missing: not provided"),exact(Metadata!E298,"missing: restricted access"))),AND(IF(Metadata!E298="",FALSE,ISNUMBER(VALUE(Metadata!E298))),Metadata!E298&gt;0))</f>
        <v>0</v>
      </c>
      <c r="Z298">
        <f>AND(IF(Metadata!F298="",FALSE,TRUE),exact(Metadata!F298,"weeks"))</f>
        <v>0</v>
      </c>
      <c r="AA298">
        <f>AND(IF(Metadata!G298="",FALSE,TRUE),exact(Metadata!G298,"mouse"))</f>
        <v>0</v>
      </c>
      <c r="AB298">
        <f>AND(IF(Metadata!H298="",FALSE,TRUE),exact(Metadata!H298,"Mus musculus"))</f>
        <v>0</v>
      </c>
      <c r="AC298">
        <f>AND(IF(Metadata!I298="",FALSE,TRUE),exact(Metadata!I298,"10090"))</f>
        <v>0</v>
      </c>
      <c r="AD298">
        <f>OR(AND(IF(Metadata!J298="",FALSE,TRUE),OR(exact(Metadata!J298,"not applicable"),exact(Metadata!J298,"missing: not collected"),exact(Metadata!J298,"missing: not provided"),exact(Metadata!J298,"missing: restricted access"))),AND(IF(Metadata!J298="",FALSE,ISNUMBER(VALUE(Metadata!J298))),Metadata!J298&gt;0))</f>
        <v>0</v>
      </c>
      <c r="AE298">
        <f>AND(IF(Metadata!K298="",FALSE,TRUE),exact(Metadata!K298,"g"))</f>
        <v>0</v>
      </c>
    </row>
    <row r="299" spans="1:31">
      <c r="A299" s="5">
        <f>IF(B299=" "," ",HYPERLINK(CONCATENATE("#metadata!",ADDRESS(INDEX($Q$2:$Q$1001,MATCH(ROWS($O$2:O299),$O$2:$O$1001,0),0),1)),INDEX($T$2:$T$1001,MATCH(ROWS($O$2:O299),$O$2:$O$1001,0),0)))</f>
        <v>0</v>
      </c>
      <c r="B299" s="4">
        <f>IF(OR(INDEX($P$2:$P$1001,MATCH(ROWS($O$2:O299),$O$2:$O$1001,0),1)&gt;=100000,INDEX($V$1005:$AE$1005,1,MATCH(COLUMNS($V$1006:V1006),$V$1006:$AE$1006,0))&gt;=100000), " ",IF(INDEX($V$2:$AE$1001,MATCH(ROWS($O$2:O299),$O$2:$O$1001,0),MATCH(COLUMNS($V$1006:V1006),$V$1006:$AE$1006,0)), HYPERLINK("#",""), HYPERLINK(CONCATENATE("#Metadata!", ADDRESS(INDEX($Q$2:$Q$1001,MATCH(ROWS($O$2:O299),$O$2:$O$1001,0),0), INDEX($V$1004:$AE$1004,1,MATCH(COLUMNS($V$1006:V1006),$V$1006:$AE$1006,0)))),"Fix")))</f>
        <v>0</v>
      </c>
      <c r="C299" s="4">
        <f>IF(OR(INDEX($P$2:$P$1001,MATCH(ROWS($O$2:O299),$O$2:$O$1001,0),1)&gt;=100000,INDEX($V$1005:$AE$1005,1,MATCH(COLUMNS($V$1006:W1006),$V$1006:$AE$1006,0))&gt;=100000), " ",IF(INDEX($V$2:$AE$1001,MATCH(ROWS($O$2:O299),$O$2:$O$1001,0),MATCH(COLUMNS($V$1006:W1006),$V$1006:$AE$1006,0)), HYPERLINK("#",""), HYPERLINK(CONCATENATE("#Metadata!", ADDRESS(INDEX($Q$2:$Q$1001,MATCH(ROWS($O$2:O299),$O$2:$O$1001,0),0), INDEX($V$1004:$AE$1004,1,MATCH(COLUMNS($V$1006:W1006),$V$1006:$AE$1006,0)))),"Fix")))</f>
        <v>0</v>
      </c>
      <c r="D299" s="4">
        <f>IF(OR(INDEX($P$2:$P$1001,MATCH(ROWS($O$2:O299),$O$2:$O$1001,0),1)&gt;=100000,INDEX($V$1005:$AE$1005,1,MATCH(COLUMNS($V$1006:X1006),$V$1006:$AE$1006,0))&gt;=100000), " ",IF(INDEX($V$2:$AE$1001,MATCH(ROWS($O$2:O299),$O$2:$O$1001,0),MATCH(COLUMNS($V$1006:X1006),$V$1006:$AE$1006,0)), HYPERLINK("#",""), HYPERLINK(CONCATENATE("#Metadata!", ADDRESS(INDEX($Q$2:$Q$1001,MATCH(ROWS($O$2:O299),$O$2:$O$1001,0),0), INDEX($V$1004:$AE$1004,1,MATCH(COLUMNS($V$1006:X1006),$V$1006:$AE$1006,0)))),"Fix")))</f>
        <v>0</v>
      </c>
      <c r="E299" s="4">
        <f>IF(OR(INDEX($P$2:$P$1001,MATCH(ROWS($O$2:O299),$O$2:$O$1001,0),1)&gt;=100000,INDEX($V$1005:$AE$1005,1,MATCH(COLUMNS($V$1006:Y1006),$V$1006:$AE$1006,0))&gt;=100000), " ",IF(INDEX($V$2:$AE$1001,MATCH(ROWS($O$2:O299),$O$2:$O$1001,0),MATCH(COLUMNS($V$1006:Y1006),$V$1006:$AE$1006,0)), HYPERLINK("#",""), HYPERLINK(CONCATENATE("#Metadata!", ADDRESS(INDEX($Q$2:$Q$1001,MATCH(ROWS($O$2:O299),$O$2:$O$1001,0),0), INDEX($V$1004:$AE$1004,1,MATCH(COLUMNS($V$1006:Y1006),$V$1006:$AE$1006,0)))),"Fix")))</f>
        <v>0</v>
      </c>
      <c r="F299" s="4">
        <f>IF(OR(INDEX($P$2:$P$1001,MATCH(ROWS($O$2:O299),$O$2:$O$1001,0),1)&gt;=100000,INDEX($V$1005:$AE$1005,1,MATCH(COLUMNS($V$1006:Z1006),$V$1006:$AE$1006,0))&gt;=100000), " ",IF(INDEX($V$2:$AE$1001,MATCH(ROWS($O$2:O299),$O$2:$O$1001,0),MATCH(COLUMNS($V$1006:Z1006),$V$1006:$AE$1006,0)), HYPERLINK("#",""), HYPERLINK(CONCATENATE("#Metadata!", ADDRESS(INDEX($Q$2:$Q$1001,MATCH(ROWS($O$2:O299),$O$2:$O$1001,0),0), INDEX($V$1004:$AE$1004,1,MATCH(COLUMNS($V$1006:Z1006),$V$1006:$AE$1006,0)))),"Fix")))</f>
        <v>0</v>
      </c>
      <c r="G299" s="4">
        <f>IF(OR(INDEX($P$2:$P$1001,MATCH(ROWS($O$2:O299),$O$2:$O$1001,0),1)&gt;=100000,INDEX($V$1005:$AE$1005,1,MATCH(COLUMNS($V$1006:AA1006),$V$1006:$AE$1006,0))&gt;=100000), " ",IF(INDEX($V$2:$AE$1001,MATCH(ROWS($O$2:O299),$O$2:$O$1001,0),MATCH(COLUMNS($V$1006:AA1006),$V$1006:$AE$1006,0)), HYPERLINK("#",""), HYPERLINK(CONCATENATE("#Metadata!", ADDRESS(INDEX($Q$2:$Q$1001,MATCH(ROWS($O$2:O299),$O$2:$O$1001,0),0), INDEX($V$1004:$AE$1004,1,MATCH(COLUMNS($V$1006:AA1006),$V$1006:$AE$1006,0)))),"Fix")))</f>
        <v>0</v>
      </c>
      <c r="H299" s="4">
        <f>IF(OR(INDEX($P$2:$P$1001,MATCH(ROWS($O$2:O299),$O$2:$O$1001,0),1)&gt;=100000,INDEX($V$1005:$AE$1005,1,MATCH(COLUMNS($V$1006:AB1006),$V$1006:$AE$1006,0))&gt;=100000), " ",IF(INDEX($V$2:$AE$1001,MATCH(ROWS($O$2:O299),$O$2:$O$1001,0),MATCH(COLUMNS($V$1006:AB1006),$V$1006:$AE$1006,0)), HYPERLINK("#",""), HYPERLINK(CONCATENATE("#Metadata!", ADDRESS(INDEX($Q$2:$Q$1001,MATCH(ROWS($O$2:O299),$O$2:$O$1001,0),0), INDEX($V$1004:$AE$1004,1,MATCH(COLUMNS($V$1006:AB1006),$V$1006:$AE$1006,0)))),"Fix")))</f>
        <v>0</v>
      </c>
      <c r="I299" s="4">
        <f>IF(OR(INDEX($P$2:$P$1001,MATCH(ROWS($O$2:O299),$O$2:$O$1001,0),1)&gt;=100000,INDEX($V$1005:$AE$1005,1,MATCH(COLUMNS($V$1006:AC1006),$V$1006:$AE$1006,0))&gt;=100000), " ",IF(INDEX($V$2:$AE$1001,MATCH(ROWS($O$2:O299),$O$2:$O$1001,0),MATCH(COLUMNS($V$1006:AC1006),$V$1006:$AE$1006,0)), HYPERLINK("#",""), HYPERLINK(CONCATENATE("#Metadata!", ADDRESS(INDEX($Q$2:$Q$1001,MATCH(ROWS($O$2:O299),$O$2:$O$1001,0),0), INDEX($V$1004:$AE$1004,1,MATCH(COLUMNS($V$1006:AC1006),$V$1006:$AE$1006,0)))),"Fix")))</f>
        <v>0</v>
      </c>
      <c r="J299" s="4">
        <f>IF(OR(INDEX($P$2:$P$1001,MATCH(ROWS($O$2:O299),$O$2:$O$1001,0),1)&gt;=100000,INDEX($V$1005:$AE$1005,1,MATCH(COLUMNS($V$1006:AD1006),$V$1006:$AE$1006,0))&gt;=100000), " ",IF(INDEX($V$2:$AE$1001,MATCH(ROWS($O$2:O299),$O$2:$O$1001,0),MATCH(COLUMNS($V$1006:AD1006),$V$1006:$AE$1006,0)), HYPERLINK("#",""), HYPERLINK(CONCATENATE("#Metadata!", ADDRESS(INDEX($Q$2:$Q$1001,MATCH(ROWS($O$2:O299),$O$2:$O$1001,0),0), INDEX($V$1004:$AE$1004,1,MATCH(COLUMNS($V$1006:AD1006),$V$1006:$AE$1006,0)))),"Fix")))</f>
        <v>0</v>
      </c>
      <c r="K299" s="4">
        <f>IF(OR(INDEX($P$2:$P$1001,MATCH(ROWS($O$2:O299),$O$2:$O$1001,0),1)&gt;=100000,INDEX($V$1005:$AE$1005,1,MATCH(COLUMNS($V$1006:AE1006),$V$1006:$AE$1006,0))&gt;=100000), " ",IF(INDEX($V$2:$AE$1001,MATCH(ROWS($O$2:O299),$O$2:$O$1001,0),MATCH(COLUMNS($V$1006:AE1006),$V$1006:$AE$1006,0)), HYPERLINK("#",""), HYPERLINK(CONCATENATE("#Metadata!", ADDRESS(INDEX($Q$2:$Q$1001,MATCH(ROWS($O$2:O299),$O$2:$O$1001,0),0), INDEX($V$1004:$AE$1004,1,MATCH(COLUMNS($V$1006:AE1006),$V$1006:$AE$1006,0)))),"Fix")))</f>
        <v>0</v>
      </c>
      <c r="O299">
        <v>0</v>
      </c>
      <c r="P299">
        <v>0</v>
      </c>
      <c r="Q299">
        <v>0</v>
      </c>
      <c r="R299">
        <f>IF(S299,TRUE,AND(V299:AE299))</f>
        <v>0</v>
      </c>
      <c r="S299">
        <f>COUNTBLANK(Metadata!B299:K299)=COLUMNS(Metadata!B299:K299)</f>
        <v>0</v>
      </c>
      <c r="T299">
        <v>0</v>
      </c>
      <c r="V299">
        <f>AND(IF(Metadata!B299="",FALSE,TRUE),COUNTIF(Metadata!B:B, Metadata!B299) = 1,NOT(ISERROR(SUMPRODUCT(SEARCH(MID(Metadata!B299,ROW(INDIRECT("1:"&amp;LEN(Metadata!B299))), 1),"0123456789abcdefghijklmnopqrstuvwxyzABCDEFGHIJKLMNOPQRSTUVWXYZ.")))))</f>
        <v>0</v>
      </c>
      <c r="W299">
        <f>AND(IF(Metadata!C299="",FALSE,TRUE),exact(Metadata!C299,"urban biome"))</f>
        <v>0</v>
      </c>
      <c r="X299">
        <f>AND(IF(Metadata!D299="",FALSE,TRUE),exact(Metadata!D299,"animal-associated habitat"))</f>
        <v>0</v>
      </c>
      <c r="Y299">
        <f>OR(AND(IF(Metadata!E299="",FALSE,TRUE),OR(exact(Metadata!E299,"not applicable"),exact(Metadata!E299,"missing: not collected"),exact(Metadata!E299,"missing: not provided"),exact(Metadata!E299,"missing: restricted access"))),AND(IF(Metadata!E299="",FALSE,ISNUMBER(VALUE(Metadata!E299))),Metadata!E299&gt;0))</f>
        <v>0</v>
      </c>
      <c r="Z299">
        <f>AND(IF(Metadata!F299="",FALSE,TRUE),exact(Metadata!F299,"weeks"))</f>
        <v>0</v>
      </c>
      <c r="AA299">
        <f>AND(IF(Metadata!G299="",FALSE,TRUE),exact(Metadata!G299,"mouse"))</f>
        <v>0</v>
      </c>
      <c r="AB299">
        <f>AND(IF(Metadata!H299="",FALSE,TRUE),exact(Metadata!H299,"Mus musculus"))</f>
        <v>0</v>
      </c>
      <c r="AC299">
        <f>AND(IF(Metadata!I299="",FALSE,TRUE),exact(Metadata!I299,"10090"))</f>
        <v>0</v>
      </c>
      <c r="AD299">
        <f>OR(AND(IF(Metadata!J299="",FALSE,TRUE),OR(exact(Metadata!J299,"not applicable"),exact(Metadata!J299,"missing: not collected"),exact(Metadata!J299,"missing: not provided"),exact(Metadata!J299,"missing: restricted access"))),AND(IF(Metadata!J299="",FALSE,ISNUMBER(VALUE(Metadata!J299))),Metadata!J299&gt;0))</f>
        <v>0</v>
      </c>
      <c r="AE299">
        <f>AND(IF(Metadata!K299="",FALSE,TRUE),exact(Metadata!K299,"g"))</f>
        <v>0</v>
      </c>
    </row>
    <row r="300" spans="1:31">
      <c r="A300" s="5">
        <f>IF(B300=" "," ",HYPERLINK(CONCATENATE("#metadata!",ADDRESS(INDEX($Q$2:$Q$1001,MATCH(ROWS($O$2:O300),$O$2:$O$1001,0),0),1)),INDEX($T$2:$T$1001,MATCH(ROWS($O$2:O300),$O$2:$O$1001,0),0)))</f>
        <v>0</v>
      </c>
      <c r="B300" s="4">
        <f>IF(OR(INDEX($P$2:$P$1001,MATCH(ROWS($O$2:O300),$O$2:$O$1001,0),1)&gt;=100000,INDEX($V$1005:$AE$1005,1,MATCH(COLUMNS($V$1006:V1006),$V$1006:$AE$1006,0))&gt;=100000), " ",IF(INDEX($V$2:$AE$1001,MATCH(ROWS($O$2:O300),$O$2:$O$1001,0),MATCH(COLUMNS($V$1006:V1006),$V$1006:$AE$1006,0)), HYPERLINK("#",""), HYPERLINK(CONCATENATE("#Metadata!", ADDRESS(INDEX($Q$2:$Q$1001,MATCH(ROWS($O$2:O300),$O$2:$O$1001,0),0), INDEX($V$1004:$AE$1004,1,MATCH(COLUMNS($V$1006:V1006),$V$1006:$AE$1006,0)))),"Fix")))</f>
        <v>0</v>
      </c>
      <c r="C300" s="4">
        <f>IF(OR(INDEX($P$2:$P$1001,MATCH(ROWS($O$2:O300),$O$2:$O$1001,0),1)&gt;=100000,INDEX($V$1005:$AE$1005,1,MATCH(COLUMNS($V$1006:W1006),$V$1006:$AE$1006,0))&gt;=100000), " ",IF(INDEX($V$2:$AE$1001,MATCH(ROWS($O$2:O300),$O$2:$O$1001,0),MATCH(COLUMNS($V$1006:W1006),$V$1006:$AE$1006,0)), HYPERLINK("#",""), HYPERLINK(CONCATENATE("#Metadata!", ADDRESS(INDEX($Q$2:$Q$1001,MATCH(ROWS($O$2:O300),$O$2:$O$1001,0),0), INDEX($V$1004:$AE$1004,1,MATCH(COLUMNS($V$1006:W1006),$V$1006:$AE$1006,0)))),"Fix")))</f>
        <v>0</v>
      </c>
      <c r="D300" s="4">
        <f>IF(OR(INDEX($P$2:$P$1001,MATCH(ROWS($O$2:O300),$O$2:$O$1001,0),1)&gt;=100000,INDEX($V$1005:$AE$1005,1,MATCH(COLUMNS($V$1006:X1006),$V$1006:$AE$1006,0))&gt;=100000), " ",IF(INDEX($V$2:$AE$1001,MATCH(ROWS($O$2:O300),$O$2:$O$1001,0),MATCH(COLUMNS($V$1006:X1006),$V$1006:$AE$1006,0)), HYPERLINK("#",""), HYPERLINK(CONCATENATE("#Metadata!", ADDRESS(INDEX($Q$2:$Q$1001,MATCH(ROWS($O$2:O300),$O$2:$O$1001,0),0), INDEX($V$1004:$AE$1004,1,MATCH(COLUMNS($V$1006:X1006),$V$1006:$AE$1006,0)))),"Fix")))</f>
        <v>0</v>
      </c>
      <c r="E300" s="4">
        <f>IF(OR(INDEX($P$2:$P$1001,MATCH(ROWS($O$2:O300),$O$2:$O$1001,0),1)&gt;=100000,INDEX($V$1005:$AE$1005,1,MATCH(COLUMNS($V$1006:Y1006),$V$1006:$AE$1006,0))&gt;=100000), " ",IF(INDEX($V$2:$AE$1001,MATCH(ROWS($O$2:O300),$O$2:$O$1001,0),MATCH(COLUMNS($V$1006:Y1006),$V$1006:$AE$1006,0)), HYPERLINK("#",""), HYPERLINK(CONCATENATE("#Metadata!", ADDRESS(INDEX($Q$2:$Q$1001,MATCH(ROWS($O$2:O300),$O$2:$O$1001,0),0), INDEX($V$1004:$AE$1004,1,MATCH(COLUMNS($V$1006:Y1006),$V$1006:$AE$1006,0)))),"Fix")))</f>
        <v>0</v>
      </c>
      <c r="F300" s="4">
        <f>IF(OR(INDEX($P$2:$P$1001,MATCH(ROWS($O$2:O300),$O$2:$O$1001,0),1)&gt;=100000,INDEX($V$1005:$AE$1005,1,MATCH(COLUMNS($V$1006:Z1006),$V$1006:$AE$1006,0))&gt;=100000), " ",IF(INDEX($V$2:$AE$1001,MATCH(ROWS($O$2:O300),$O$2:$O$1001,0),MATCH(COLUMNS($V$1006:Z1006),$V$1006:$AE$1006,0)), HYPERLINK("#",""), HYPERLINK(CONCATENATE("#Metadata!", ADDRESS(INDEX($Q$2:$Q$1001,MATCH(ROWS($O$2:O300),$O$2:$O$1001,0),0), INDEX($V$1004:$AE$1004,1,MATCH(COLUMNS($V$1006:Z1006),$V$1006:$AE$1006,0)))),"Fix")))</f>
        <v>0</v>
      </c>
      <c r="G300" s="4">
        <f>IF(OR(INDEX($P$2:$P$1001,MATCH(ROWS($O$2:O300),$O$2:$O$1001,0),1)&gt;=100000,INDEX($V$1005:$AE$1005,1,MATCH(COLUMNS($V$1006:AA1006),$V$1006:$AE$1006,0))&gt;=100000), " ",IF(INDEX($V$2:$AE$1001,MATCH(ROWS($O$2:O300),$O$2:$O$1001,0),MATCH(COLUMNS($V$1006:AA1006),$V$1006:$AE$1006,0)), HYPERLINK("#",""), HYPERLINK(CONCATENATE("#Metadata!", ADDRESS(INDEX($Q$2:$Q$1001,MATCH(ROWS($O$2:O300),$O$2:$O$1001,0),0), INDEX($V$1004:$AE$1004,1,MATCH(COLUMNS($V$1006:AA1006),$V$1006:$AE$1006,0)))),"Fix")))</f>
        <v>0</v>
      </c>
      <c r="H300" s="4">
        <f>IF(OR(INDEX($P$2:$P$1001,MATCH(ROWS($O$2:O300),$O$2:$O$1001,0),1)&gt;=100000,INDEX($V$1005:$AE$1005,1,MATCH(COLUMNS($V$1006:AB1006),$V$1006:$AE$1006,0))&gt;=100000), " ",IF(INDEX($V$2:$AE$1001,MATCH(ROWS($O$2:O300),$O$2:$O$1001,0),MATCH(COLUMNS($V$1006:AB1006),$V$1006:$AE$1006,0)), HYPERLINK("#",""), HYPERLINK(CONCATENATE("#Metadata!", ADDRESS(INDEX($Q$2:$Q$1001,MATCH(ROWS($O$2:O300),$O$2:$O$1001,0),0), INDEX($V$1004:$AE$1004,1,MATCH(COLUMNS($V$1006:AB1006),$V$1006:$AE$1006,0)))),"Fix")))</f>
        <v>0</v>
      </c>
      <c r="I300" s="4">
        <f>IF(OR(INDEX($P$2:$P$1001,MATCH(ROWS($O$2:O300),$O$2:$O$1001,0),1)&gt;=100000,INDEX($V$1005:$AE$1005,1,MATCH(COLUMNS($V$1006:AC1006),$V$1006:$AE$1006,0))&gt;=100000), " ",IF(INDEX($V$2:$AE$1001,MATCH(ROWS($O$2:O300),$O$2:$O$1001,0),MATCH(COLUMNS($V$1006:AC1006),$V$1006:$AE$1006,0)), HYPERLINK("#",""), HYPERLINK(CONCATENATE("#Metadata!", ADDRESS(INDEX($Q$2:$Q$1001,MATCH(ROWS($O$2:O300),$O$2:$O$1001,0),0), INDEX($V$1004:$AE$1004,1,MATCH(COLUMNS($V$1006:AC1006),$V$1006:$AE$1006,0)))),"Fix")))</f>
        <v>0</v>
      </c>
      <c r="J300" s="4">
        <f>IF(OR(INDEX($P$2:$P$1001,MATCH(ROWS($O$2:O300),$O$2:$O$1001,0),1)&gt;=100000,INDEX($V$1005:$AE$1005,1,MATCH(COLUMNS($V$1006:AD1006),$V$1006:$AE$1006,0))&gt;=100000), " ",IF(INDEX($V$2:$AE$1001,MATCH(ROWS($O$2:O300),$O$2:$O$1001,0),MATCH(COLUMNS($V$1006:AD1006),$V$1006:$AE$1006,0)), HYPERLINK("#",""), HYPERLINK(CONCATENATE("#Metadata!", ADDRESS(INDEX($Q$2:$Q$1001,MATCH(ROWS($O$2:O300),$O$2:$O$1001,0),0), INDEX($V$1004:$AE$1004,1,MATCH(COLUMNS($V$1006:AD1006),$V$1006:$AE$1006,0)))),"Fix")))</f>
        <v>0</v>
      </c>
      <c r="K300" s="4">
        <f>IF(OR(INDEX($P$2:$P$1001,MATCH(ROWS($O$2:O300),$O$2:$O$1001,0),1)&gt;=100000,INDEX($V$1005:$AE$1005,1,MATCH(COLUMNS($V$1006:AE1006),$V$1006:$AE$1006,0))&gt;=100000), " ",IF(INDEX($V$2:$AE$1001,MATCH(ROWS($O$2:O300),$O$2:$O$1001,0),MATCH(COLUMNS($V$1006:AE1006),$V$1006:$AE$1006,0)), HYPERLINK("#",""), HYPERLINK(CONCATENATE("#Metadata!", ADDRESS(INDEX($Q$2:$Q$1001,MATCH(ROWS($O$2:O300),$O$2:$O$1001,0),0), INDEX($V$1004:$AE$1004,1,MATCH(COLUMNS($V$1006:AE1006),$V$1006:$AE$1006,0)))),"Fix")))</f>
        <v>0</v>
      </c>
      <c r="O300">
        <v>0</v>
      </c>
      <c r="P300">
        <v>0</v>
      </c>
      <c r="Q300">
        <v>0</v>
      </c>
      <c r="R300">
        <f>IF(S300,TRUE,AND(V300:AE300))</f>
        <v>0</v>
      </c>
      <c r="S300">
        <f>COUNTBLANK(Metadata!B300:K300)=COLUMNS(Metadata!B300:K300)</f>
        <v>0</v>
      </c>
      <c r="T300">
        <v>0</v>
      </c>
      <c r="V300">
        <f>AND(IF(Metadata!B300="",FALSE,TRUE),COUNTIF(Metadata!B:B, Metadata!B300) = 1,NOT(ISERROR(SUMPRODUCT(SEARCH(MID(Metadata!B300,ROW(INDIRECT("1:"&amp;LEN(Metadata!B300))), 1),"0123456789abcdefghijklmnopqrstuvwxyzABCDEFGHIJKLMNOPQRSTUVWXYZ.")))))</f>
        <v>0</v>
      </c>
      <c r="W300">
        <f>AND(IF(Metadata!C300="",FALSE,TRUE),exact(Metadata!C300,"urban biome"))</f>
        <v>0</v>
      </c>
      <c r="X300">
        <f>AND(IF(Metadata!D300="",FALSE,TRUE),exact(Metadata!D300,"animal-associated habitat"))</f>
        <v>0</v>
      </c>
      <c r="Y300">
        <f>OR(AND(IF(Metadata!E300="",FALSE,TRUE),OR(exact(Metadata!E300,"not applicable"),exact(Metadata!E300,"missing: not collected"),exact(Metadata!E300,"missing: not provided"),exact(Metadata!E300,"missing: restricted access"))),AND(IF(Metadata!E300="",FALSE,ISNUMBER(VALUE(Metadata!E300))),Metadata!E300&gt;0))</f>
        <v>0</v>
      </c>
      <c r="Z300">
        <f>AND(IF(Metadata!F300="",FALSE,TRUE),exact(Metadata!F300,"weeks"))</f>
        <v>0</v>
      </c>
      <c r="AA300">
        <f>AND(IF(Metadata!G300="",FALSE,TRUE),exact(Metadata!G300,"mouse"))</f>
        <v>0</v>
      </c>
      <c r="AB300">
        <f>AND(IF(Metadata!H300="",FALSE,TRUE),exact(Metadata!H300,"Mus musculus"))</f>
        <v>0</v>
      </c>
      <c r="AC300">
        <f>AND(IF(Metadata!I300="",FALSE,TRUE),exact(Metadata!I300,"10090"))</f>
        <v>0</v>
      </c>
      <c r="AD300">
        <f>OR(AND(IF(Metadata!J300="",FALSE,TRUE),OR(exact(Metadata!J300,"not applicable"),exact(Metadata!J300,"missing: not collected"),exact(Metadata!J300,"missing: not provided"),exact(Metadata!J300,"missing: restricted access"))),AND(IF(Metadata!J300="",FALSE,ISNUMBER(VALUE(Metadata!J300))),Metadata!J300&gt;0))</f>
        <v>0</v>
      </c>
      <c r="AE300">
        <f>AND(IF(Metadata!K300="",FALSE,TRUE),exact(Metadata!K300,"g"))</f>
        <v>0</v>
      </c>
    </row>
    <row r="301" spans="1:31">
      <c r="A301" s="5">
        <f>IF(B301=" "," ",HYPERLINK(CONCATENATE("#metadata!",ADDRESS(INDEX($Q$2:$Q$1001,MATCH(ROWS($O$2:O301),$O$2:$O$1001,0),0),1)),INDEX($T$2:$T$1001,MATCH(ROWS($O$2:O301),$O$2:$O$1001,0),0)))</f>
        <v>0</v>
      </c>
      <c r="B301" s="4">
        <f>IF(OR(INDEX($P$2:$P$1001,MATCH(ROWS($O$2:O301),$O$2:$O$1001,0),1)&gt;=100000,INDEX($V$1005:$AE$1005,1,MATCH(COLUMNS($V$1006:V1006),$V$1006:$AE$1006,0))&gt;=100000), " ",IF(INDEX($V$2:$AE$1001,MATCH(ROWS($O$2:O301),$O$2:$O$1001,0),MATCH(COLUMNS($V$1006:V1006),$V$1006:$AE$1006,0)), HYPERLINK("#",""), HYPERLINK(CONCATENATE("#Metadata!", ADDRESS(INDEX($Q$2:$Q$1001,MATCH(ROWS($O$2:O301),$O$2:$O$1001,0),0), INDEX($V$1004:$AE$1004,1,MATCH(COLUMNS($V$1006:V1006),$V$1006:$AE$1006,0)))),"Fix")))</f>
        <v>0</v>
      </c>
      <c r="C301" s="4">
        <f>IF(OR(INDEX($P$2:$P$1001,MATCH(ROWS($O$2:O301),$O$2:$O$1001,0),1)&gt;=100000,INDEX($V$1005:$AE$1005,1,MATCH(COLUMNS($V$1006:W1006),$V$1006:$AE$1006,0))&gt;=100000), " ",IF(INDEX($V$2:$AE$1001,MATCH(ROWS($O$2:O301),$O$2:$O$1001,0),MATCH(COLUMNS($V$1006:W1006),$V$1006:$AE$1006,0)), HYPERLINK("#",""), HYPERLINK(CONCATENATE("#Metadata!", ADDRESS(INDEX($Q$2:$Q$1001,MATCH(ROWS($O$2:O301),$O$2:$O$1001,0),0), INDEX($V$1004:$AE$1004,1,MATCH(COLUMNS($V$1006:W1006),$V$1006:$AE$1006,0)))),"Fix")))</f>
        <v>0</v>
      </c>
      <c r="D301" s="4">
        <f>IF(OR(INDEX($P$2:$P$1001,MATCH(ROWS($O$2:O301),$O$2:$O$1001,0),1)&gt;=100000,INDEX($V$1005:$AE$1005,1,MATCH(COLUMNS($V$1006:X1006),$V$1006:$AE$1006,0))&gt;=100000), " ",IF(INDEX($V$2:$AE$1001,MATCH(ROWS($O$2:O301),$O$2:$O$1001,0),MATCH(COLUMNS($V$1006:X1006),$V$1006:$AE$1006,0)), HYPERLINK("#",""), HYPERLINK(CONCATENATE("#Metadata!", ADDRESS(INDEX($Q$2:$Q$1001,MATCH(ROWS($O$2:O301),$O$2:$O$1001,0),0), INDEX($V$1004:$AE$1004,1,MATCH(COLUMNS($V$1006:X1006),$V$1006:$AE$1006,0)))),"Fix")))</f>
        <v>0</v>
      </c>
      <c r="E301" s="4">
        <f>IF(OR(INDEX($P$2:$P$1001,MATCH(ROWS($O$2:O301),$O$2:$O$1001,0),1)&gt;=100000,INDEX($V$1005:$AE$1005,1,MATCH(COLUMNS($V$1006:Y1006),$V$1006:$AE$1006,0))&gt;=100000), " ",IF(INDEX($V$2:$AE$1001,MATCH(ROWS($O$2:O301),$O$2:$O$1001,0),MATCH(COLUMNS($V$1006:Y1006),$V$1006:$AE$1006,0)), HYPERLINK("#",""), HYPERLINK(CONCATENATE("#Metadata!", ADDRESS(INDEX($Q$2:$Q$1001,MATCH(ROWS($O$2:O301),$O$2:$O$1001,0),0), INDEX($V$1004:$AE$1004,1,MATCH(COLUMNS($V$1006:Y1006),$V$1006:$AE$1006,0)))),"Fix")))</f>
        <v>0</v>
      </c>
      <c r="F301" s="4">
        <f>IF(OR(INDEX($P$2:$P$1001,MATCH(ROWS($O$2:O301),$O$2:$O$1001,0),1)&gt;=100000,INDEX($V$1005:$AE$1005,1,MATCH(COLUMNS($V$1006:Z1006),$V$1006:$AE$1006,0))&gt;=100000), " ",IF(INDEX($V$2:$AE$1001,MATCH(ROWS($O$2:O301),$O$2:$O$1001,0),MATCH(COLUMNS($V$1006:Z1006),$V$1006:$AE$1006,0)), HYPERLINK("#",""), HYPERLINK(CONCATENATE("#Metadata!", ADDRESS(INDEX($Q$2:$Q$1001,MATCH(ROWS($O$2:O301),$O$2:$O$1001,0),0), INDEX($V$1004:$AE$1004,1,MATCH(COLUMNS($V$1006:Z1006),$V$1006:$AE$1006,0)))),"Fix")))</f>
        <v>0</v>
      </c>
      <c r="G301" s="4">
        <f>IF(OR(INDEX($P$2:$P$1001,MATCH(ROWS($O$2:O301),$O$2:$O$1001,0),1)&gt;=100000,INDEX($V$1005:$AE$1005,1,MATCH(COLUMNS($V$1006:AA1006),$V$1006:$AE$1006,0))&gt;=100000), " ",IF(INDEX($V$2:$AE$1001,MATCH(ROWS($O$2:O301),$O$2:$O$1001,0),MATCH(COLUMNS($V$1006:AA1006),$V$1006:$AE$1006,0)), HYPERLINK("#",""), HYPERLINK(CONCATENATE("#Metadata!", ADDRESS(INDEX($Q$2:$Q$1001,MATCH(ROWS($O$2:O301),$O$2:$O$1001,0),0), INDEX($V$1004:$AE$1004,1,MATCH(COLUMNS($V$1006:AA1006),$V$1006:$AE$1006,0)))),"Fix")))</f>
        <v>0</v>
      </c>
      <c r="H301" s="4">
        <f>IF(OR(INDEX($P$2:$P$1001,MATCH(ROWS($O$2:O301),$O$2:$O$1001,0),1)&gt;=100000,INDEX($V$1005:$AE$1005,1,MATCH(COLUMNS($V$1006:AB1006),$V$1006:$AE$1006,0))&gt;=100000), " ",IF(INDEX($V$2:$AE$1001,MATCH(ROWS($O$2:O301),$O$2:$O$1001,0),MATCH(COLUMNS($V$1006:AB1006),$V$1006:$AE$1006,0)), HYPERLINK("#",""), HYPERLINK(CONCATENATE("#Metadata!", ADDRESS(INDEX($Q$2:$Q$1001,MATCH(ROWS($O$2:O301),$O$2:$O$1001,0),0), INDEX($V$1004:$AE$1004,1,MATCH(COLUMNS($V$1006:AB1006),$V$1006:$AE$1006,0)))),"Fix")))</f>
        <v>0</v>
      </c>
      <c r="I301" s="4">
        <f>IF(OR(INDEX($P$2:$P$1001,MATCH(ROWS($O$2:O301),$O$2:$O$1001,0),1)&gt;=100000,INDEX($V$1005:$AE$1005,1,MATCH(COLUMNS($V$1006:AC1006),$V$1006:$AE$1006,0))&gt;=100000), " ",IF(INDEX($V$2:$AE$1001,MATCH(ROWS($O$2:O301),$O$2:$O$1001,0),MATCH(COLUMNS($V$1006:AC1006),$V$1006:$AE$1006,0)), HYPERLINK("#",""), HYPERLINK(CONCATENATE("#Metadata!", ADDRESS(INDEX($Q$2:$Q$1001,MATCH(ROWS($O$2:O301),$O$2:$O$1001,0),0), INDEX($V$1004:$AE$1004,1,MATCH(COLUMNS($V$1006:AC1006),$V$1006:$AE$1006,0)))),"Fix")))</f>
        <v>0</v>
      </c>
      <c r="J301" s="4">
        <f>IF(OR(INDEX($P$2:$P$1001,MATCH(ROWS($O$2:O301),$O$2:$O$1001,0),1)&gt;=100000,INDEX($V$1005:$AE$1005,1,MATCH(COLUMNS($V$1006:AD1006),$V$1006:$AE$1006,0))&gt;=100000), " ",IF(INDEX($V$2:$AE$1001,MATCH(ROWS($O$2:O301),$O$2:$O$1001,0),MATCH(COLUMNS($V$1006:AD1006),$V$1006:$AE$1006,0)), HYPERLINK("#",""), HYPERLINK(CONCATENATE("#Metadata!", ADDRESS(INDEX($Q$2:$Q$1001,MATCH(ROWS($O$2:O301),$O$2:$O$1001,0),0), INDEX($V$1004:$AE$1004,1,MATCH(COLUMNS($V$1006:AD1006),$V$1006:$AE$1006,0)))),"Fix")))</f>
        <v>0</v>
      </c>
      <c r="K301" s="4">
        <f>IF(OR(INDEX($P$2:$P$1001,MATCH(ROWS($O$2:O301),$O$2:$O$1001,0),1)&gt;=100000,INDEX($V$1005:$AE$1005,1,MATCH(COLUMNS($V$1006:AE1006),$V$1006:$AE$1006,0))&gt;=100000), " ",IF(INDEX($V$2:$AE$1001,MATCH(ROWS($O$2:O301),$O$2:$O$1001,0),MATCH(COLUMNS($V$1006:AE1006),$V$1006:$AE$1006,0)), HYPERLINK("#",""), HYPERLINK(CONCATENATE("#Metadata!", ADDRESS(INDEX($Q$2:$Q$1001,MATCH(ROWS($O$2:O301),$O$2:$O$1001,0),0), INDEX($V$1004:$AE$1004,1,MATCH(COLUMNS($V$1006:AE1006),$V$1006:$AE$1006,0)))),"Fix")))</f>
        <v>0</v>
      </c>
      <c r="O301">
        <v>0</v>
      </c>
      <c r="P301">
        <v>0</v>
      </c>
      <c r="Q301">
        <v>0</v>
      </c>
      <c r="R301">
        <f>IF(S301,TRUE,AND(V301:AE301))</f>
        <v>0</v>
      </c>
      <c r="S301">
        <f>COUNTBLANK(Metadata!B301:K301)=COLUMNS(Metadata!B301:K301)</f>
        <v>0</v>
      </c>
      <c r="T301">
        <v>0</v>
      </c>
      <c r="V301">
        <f>AND(IF(Metadata!B301="",FALSE,TRUE),COUNTIF(Metadata!B:B, Metadata!B301) = 1,NOT(ISERROR(SUMPRODUCT(SEARCH(MID(Metadata!B301,ROW(INDIRECT("1:"&amp;LEN(Metadata!B301))), 1),"0123456789abcdefghijklmnopqrstuvwxyzABCDEFGHIJKLMNOPQRSTUVWXYZ.")))))</f>
        <v>0</v>
      </c>
      <c r="W301">
        <f>AND(IF(Metadata!C301="",FALSE,TRUE),exact(Metadata!C301,"urban biome"))</f>
        <v>0</v>
      </c>
      <c r="X301">
        <f>AND(IF(Metadata!D301="",FALSE,TRUE),exact(Metadata!D301,"animal-associated habitat"))</f>
        <v>0</v>
      </c>
      <c r="Y301">
        <f>OR(AND(IF(Metadata!E301="",FALSE,TRUE),OR(exact(Metadata!E301,"not applicable"),exact(Metadata!E301,"missing: not collected"),exact(Metadata!E301,"missing: not provided"),exact(Metadata!E301,"missing: restricted access"))),AND(IF(Metadata!E301="",FALSE,ISNUMBER(VALUE(Metadata!E301))),Metadata!E301&gt;0))</f>
        <v>0</v>
      </c>
      <c r="Z301">
        <f>AND(IF(Metadata!F301="",FALSE,TRUE),exact(Metadata!F301,"weeks"))</f>
        <v>0</v>
      </c>
      <c r="AA301">
        <f>AND(IF(Metadata!G301="",FALSE,TRUE),exact(Metadata!G301,"mouse"))</f>
        <v>0</v>
      </c>
      <c r="AB301">
        <f>AND(IF(Metadata!H301="",FALSE,TRUE),exact(Metadata!H301,"Mus musculus"))</f>
        <v>0</v>
      </c>
      <c r="AC301">
        <f>AND(IF(Metadata!I301="",FALSE,TRUE),exact(Metadata!I301,"10090"))</f>
        <v>0</v>
      </c>
      <c r="AD301">
        <f>OR(AND(IF(Metadata!J301="",FALSE,TRUE),OR(exact(Metadata!J301,"not applicable"),exact(Metadata!J301,"missing: not collected"),exact(Metadata!J301,"missing: not provided"),exact(Metadata!J301,"missing: restricted access"))),AND(IF(Metadata!J301="",FALSE,ISNUMBER(VALUE(Metadata!J301))),Metadata!J301&gt;0))</f>
        <v>0</v>
      </c>
      <c r="AE301">
        <f>AND(IF(Metadata!K301="",FALSE,TRUE),exact(Metadata!K301,"g"))</f>
        <v>0</v>
      </c>
    </row>
    <row r="302" spans="1:31">
      <c r="A302" s="5">
        <f>IF(B302=" "," ",HYPERLINK(CONCATENATE("#metadata!",ADDRESS(INDEX($Q$2:$Q$1001,MATCH(ROWS($O$2:O302),$O$2:$O$1001,0),0),1)),INDEX($T$2:$T$1001,MATCH(ROWS($O$2:O302),$O$2:$O$1001,0),0)))</f>
        <v>0</v>
      </c>
      <c r="B302" s="4">
        <f>IF(OR(INDEX($P$2:$P$1001,MATCH(ROWS($O$2:O302),$O$2:$O$1001,0),1)&gt;=100000,INDEX($V$1005:$AE$1005,1,MATCH(COLUMNS($V$1006:V1006),$V$1006:$AE$1006,0))&gt;=100000), " ",IF(INDEX($V$2:$AE$1001,MATCH(ROWS($O$2:O302),$O$2:$O$1001,0),MATCH(COLUMNS($V$1006:V1006),$V$1006:$AE$1006,0)), HYPERLINK("#",""), HYPERLINK(CONCATENATE("#Metadata!", ADDRESS(INDEX($Q$2:$Q$1001,MATCH(ROWS($O$2:O302),$O$2:$O$1001,0),0), INDEX($V$1004:$AE$1004,1,MATCH(COLUMNS($V$1006:V1006),$V$1006:$AE$1006,0)))),"Fix")))</f>
        <v>0</v>
      </c>
      <c r="C302" s="4">
        <f>IF(OR(INDEX($P$2:$P$1001,MATCH(ROWS($O$2:O302),$O$2:$O$1001,0),1)&gt;=100000,INDEX($V$1005:$AE$1005,1,MATCH(COLUMNS($V$1006:W1006),$V$1006:$AE$1006,0))&gt;=100000), " ",IF(INDEX($V$2:$AE$1001,MATCH(ROWS($O$2:O302),$O$2:$O$1001,0),MATCH(COLUMNS($V$1006:W1006),$V$1006:$AE$1006,0)), HYPERLINK("#",""), HYPERLINK(CONCATENATE("#Metadata!", ADDRESS(INDEX($Q$2:$Q$1001,MATCH(ROWS($O$2:O302),$O$2:$O$1001,0),0), INDEX($V$1004:$AE$1004,1,MATCH(COLUMNS($V$1006:W1006),$V$1006:$AE$1006,0)))),"Fix")))</f>
        <v>0</v>
      </c>
      <c r="D302" s="4">
        <f>IF(OR(INDEX($P$2:$P$1001,MATCH(ROWS($O$2:O302),$O$2:$O$1001,0),1)&gt;=100000,INDEX($V$1005:$AE$1005,1,MATCH(COLUMNS($V$1006:X1006),$V$1006:$AE$1006,0))&gt;=100000), " ",IF(INDEX($V$2:$AE$1001,MATCH(ROWS($O$2:O302),$O$2:$O$1001,0),MATCH(COLUMNS($V$1006:X1006),$V$1006:$AE$1006,0)), HYPERLINK("#",""), HYPERLINK(CONCATENATE("#Metadata!", ADDRESS(INDEX($Q$2:$Q$1001,MATCH(ROWS($O$2:O302),$O$2:$O$1001,0),0), INDEX($V$1004:$AE$1004,1,MATCH(COLUMNS($V$1006:X1006),$V$1006:$AE$1006,0)))),"Fix")))</f>
        <v>0</v>
      </c>
      <c r="E302" s="4">
        <f>IF(OR(INDEX($P$2:$P$1001,MATCH(ROWS($O$2:O302),$O$2:$O$1001,0),1)&gt;=100000,INDEX($V$1005:$AE$1005,1,MATCH(COLUMNS($V$1006:Y1006),$V$1006:$AE$1006,0))&gt;=100000), " ",IF(INDEX($V$2:$AE$1001,MATCH(ROWS($O$2:O302),$O$2:$O$1001,0),MATCH(COLUMNS($V$1006:Y1006),$V$1006:$AE$1006,0)), HYPERLINK("#",""), HYPERLINK(CONCATENATE("#Metadata!", ADDRESS(INDEX($Q$2:$Q$1001,MATCH(ROWS($O$2:O302),$O$2:$O$1001,0),0), INDEX($V$1004:$AE$1004,1,MATCH(COLUMNS($V$1006:Y1006),$V$1006:$AE$1006,0)))),"Fix")))</f>
        <v>0</v>
      </c>
      <c r="F302" s="4">
        <f>IF(OR(INDEX($P$2:$P$1001,MATCH(ROWS($O$2:O302),$O$2:$O$1001,0),1)&gt;=100000,INDEX($V$1005:$AE$1005,1,MATCH(COLUMNS($V$1006:Z1006),$V$1006:$AE$1006,0))&gt;=100000), " ",IF(INDEX($V$2:$AE$1001,MATCH(ROWS($O$2:O302),$O$2:$O$1001,0),MATCH(COLUMNS($V$1006:Z1006),$V$1006:$AE$1006,0)), HYPERLINK("#",""), HYPERLINK(CONCATENATE("#Metadata!", ADDRESS(INDEX($Q$2:$Q$1001,MATCH(ROWS($O$2:O302),$O$2:$O$1001,0),0), INDEX($V$1004:$AE$1004,1,MATCH(COLUMNS($V$1006:Z1006),$V$1006:$AE$1006,0)))),"Fix")))</f>
        <v>0</v>
      </c>
      <c r="G302" s="4">
        <f>IF(OR(INDEX($P$2:$P$1001,MATCH(ROWS($O$2:O302),$O$2:$O$1001,0),1)&gt;=100000,INDEX($V$1005:$AE$1005,1,MATCH(COLUMNS($V$1006:AA1006),$V$1006:$AE$1006,0))&gt;=100000), " ",IF(INDEX($V$2:$AE$1001,MATCH(ROWS($O$2:O302),$O$2:$O$1001,0),MATCH(COLUMNS($V$1006:AA1006),$V$1006:$AE$1006,0)), HYPERLINK("#",""), HYPERLINK(CONCATENATE("#Metadata!", ADDRESS(INDEX($Q$2:$Q$1001,MATCH(ROWS($O$2:O302),$O$2:$O$1001,0),0), INDEX($V$1004:$AE$1004,1,MATCH(COLUMNS($V$1006:AA1006),$V$1006:$AE$1006,0)))),"Fix")))</f>
        <v>0</v>
      </c>
      <c r="H302" s="4">
        <f>IF(OR(INDEX($P$2:$P$1001,MATCH(ROWS($O$2:O302),$O$2:$O$1001,0),1)&gt;=100000,INDEX($V$1005:$AE$1005,1,MATCH(COLUMNS($V$1006:AB1006),$V$1006:$AE$1006,0))&gt;=100000), " ",IF(INDEX($V$2:$AE$1001,MATCH(ROWS($O$2:O302),$O$2:$O$1001,0),MATCH(COLUMNS($V$1006:AB1006),$V$1006:$AE$1006,0)), HYPERLINK("#",""), HYPERLINK(CONCATENATE("#Metadata!", ADDRESS(INDEX($Q$2:$Q$1001,MATCH(ROWS($O$2:O302),$O$2:$O$1001,0),0), INDEX($V$1004:$AE$1004,1,MATCH(COLUMNS($V$1006:AB1006),$V$1006:$AE$1006,0)))),"Fix")))</f>
        <v>0</v>
      </c>
      <c r="I302" s="4">
        <f>IF(OR(INDEX($P$2:$P$1001,MATCH(ROWS($O$2:O302),$O$2:$O$1001,0),1)&gt;=100000,INDEX($V$1005:$AE$1005,1,MATCH(COLUMNS($V$1006:AC1006),$V$1006:$AE$1006,0))&gt;=100000), " ",IF(INDEX($V$2:$AE$1001,MATCH(ROWS($O$2:O302),$O$2:$O$1001,0),MATCH(COLUMNS($V$1006:AC1006),$V$1006:$AE$1006,0)), HYPERLINK("#",""), HYPERLINK(CONCATENATE("#Metadata!", ADDRESS(INDEX($Q$2:$Q$1001,MATCH(ROWS($O$2:O302),$O$2:$O$1001,0),0), INDEX($V$1004:$AE$1004,1,MATCH(COLUMNS($V$1006:AC1006),$V$1006:$AE$1006,0)))),"Fix")))</f>
        <v>0</v>
      </c>
      <c r="J302" s="4">
        <f>IF(OR(INDEX($P$2:$P$1001,MATCH(ROWS($O$2:O302),$O$2:$O$1001,0),1)&gt;=100000,INDEX($V$1005:$AE$1005,1,MATCH(COLUMNS($V$1006:AD1006),$V$1006:$AE$1006,0))&gt;=100000), " ",IF(INDEX($V$2:$AE$1001,MATCH(ROWS($O$2:O302),$O$2:$O$1001,0),MATCH(COLUMNS($V$1006:AD1006),$V$1006:$AE$1006,0)), HYPERLINK("#",""), HYPERLINK(CONCATENATE("#Metadata!", ADDRESS(INDEX($Q$2:$Q$1001,MATCH(ROWS($O$2:O302),$O$2:$O$1001,0),0), INDEX($V$1004:$AE$1004,1,MATCH(COLUMNS($V$1006:AD1006),$V$1006:$AE$1006,0)))),"Fix")))</f>
        <v>0</v>
      </c>
      <c r="K302" s="4">
        <f>IF(OR(INDEX($P$2:$P$1001,MATCH(ROWS($O$2:O302),$O$2:$O$1001,0),1)&gt;=100000,INDEX($V$1005:$AE$1005,1,MATCH(COLUMNS($V$1006:AE1006),$V$1006:$AE$1006,0))&gt;=100000), " ",IF(INDEX($V$2:$AE$1001,MATCH(ROWS($O$2:O302),$O$2:$O$1001,0),MATCH(COLUMNS($V$1006:AE1006),$V$1006:$AE$1006,0)), HYPERLINK("#",""), HYPERLINK(CONCATENATE("#Metadata!", ADDRESS(INDEX($Q$2:$Q$1001,MATCH(ROWS($O$2:O302),$O$2:$O$1001,0),0), INDEX($V$1004:$AE$1004,1,MATCH(COLUMNS($V$1006:AE1006),$V$1006:$AE$1006,0)))),"Fix")))</f>
        <v>0</v>
      </c>
      <c r="O302">
        <v>0</v>
      </c>
      <c r="P302">
        <v>0</v>
      </c>
      <c r="Q302">
        <v>0</v>
      </c>
      <c r="R302">
        <f>IF(S302,TRUE,AND(V302:AE302))</f>
        <v>0</v>
      </c>
      <c r="S302">
        <f>COUNTBLANK(Metadata!B302:K302)=COLUMNS(Metadata!B302:K302)</f>
        <v>0</v>
      </c>
      <c r="T302">
        <v>0</v>
      </c>
      <c r="V302">
        <f>AND(IF(Metadata!B302="",FALSE,TRUE),COUNTIF(Metadata!B:B, Metadata!B302) = 1,NOT(ISERROR(SUMPRODUCT(SEARCH(MID(Metadata!B302,ROW(INDIRECT("1:"&amp;LEN(Metadata!B302))), 1),"0123456789abcdefghijklmnopqrstuvwxyzABCDEFGHIJKLMNOPQRSTUVWXYZ.")))))</f>
        <v>0</v>
      </c>
      <c r="W302">
        <f>AND(IF(Metadata!C302="",FALSE,TRUE),exact(Metadata!C302,"urban biome"))</f>
        <v>0</v>
      </c>
      <c r="X302">
        <f>AND(IF(Metadata!D302="",FALSE,TRUE),exact(Metadata!D302,"animal-associated habitat"))</f>
        <v>0</v>
      </c>
      <c r="Y302">
        <f>OR(AND(IF(Metadata!E302="",FALSE,TRUE),OR(exact(Metadata!E302,"not applicable"),exact(Metadata!E302,"missing: not collected"),exact(Metadata!E302,"missing: not provided"),exact(Metadata!E302,"missing: restricted access"))),AND(IF(Metadata!E302="",FALSE,ISNUMBER(VALUE(Metadata!E302))),Metadata!E302&gt;0))</f>
        <v>0</v>
      </c>
      <c r="Z302">
        <f>AND(IF(Metadata!F302="",FALSE,TRUE),exact(Metadata!F302,"weeks"))</f>
        <v>0</v>
      </c>
      <c r="AA302">
        <f>AND(IF(Metadata!G302="",FALSE,TRUE),exact(Metadata!G302,"mouse"))</f>
        <v>0</v>
      </c>
      <c r="AB302">
        <f>AND(IF(Metadata!H302="",FALSE,TRUE),exact(Metadata!H302,"Mus musculus"))</f>
        <v>0</v>
      </c>
      <c r="AC302">
        <f>AND(IF(Metadata!I302="",FALSE,TRUE),exact(Metadata!I302,"10090"))</f>
        <v>0</v>
      </c>
      <c r="AD302">
        <f>OR(AND(IF(Metadata!J302="",FALSE,TRUE),OR(exact(Metadata!J302,"not applicable"),exact(Metadata!J302,"missing: not collected"),exact(Metadata!J302,"missing: not provided"),exact(Metadata!J302,"missing: restricted access"))),AND(IF(Metadata!J302="",FALSE,ISNUMBER(VALUE(Metadata!J302))),Metadata!J302&gt;0))</f>
        <v>0</v>
      </c>
      <c r="AE302">
        <f>AND(IF(Metadata!K302="",FALSE,TRUE),exact(Metadata!K302,"g"))</f>
        <v>0</v>
      </c>
    </row>
    <row r="303" spans="1:31">
      <c r="A303" s="5">
        <f>IF(B303=" "," ",HYPERLINK(CONCATENATE("#metadata!",ADDRESS(INDEX($Q$2:$Q$1001,MATCH(ROWS($O$2:O303),$O$2:$O$1001,0),0),1)),INDEX($T$2:$T$1001,MATCH(ROWS($O$2:O303),$O$2:$O$1001,0),0)))</f>
        <v>0</v>
      </c>
      <c r="B303" s="4">
        <f>IF(OR(INDEX($P$2:$P$1001,MATCH(ROWS($O$2:O303),$O$2:$O$1001,0),1)&gt;=100000,INDEX($V$1005:$AE$1005,1,MATCH(COLUMNS($V$1006:V1006),$V$1006:$AE$1006,0))&gt;=100000), " ",IF(INDEX($V$2:$AE$1001,MATCH(ROWS($O$2:O303),$O$2:$O$1001,0),MATCH(COLUMNS($V$1006:V1006),$V$1006:$AE$1006,0)), HYPERLINK("#",""), HYPERLINK(CONCATENATE("#Metadata!", ADDRESS(INDEX($Q$2:$Q$1001,MATCH(ROWS($O$2:O303),$O$2:$O$1001,0),0), INDEX($V$1004:$AE$1004,1,MATCH(COLUMNS($V$1006:V1006),$V$1006:$AE$1006,0)))),"Fix")))</f>
        <v>0</v>
      </c>
      <c r="C303" s="4">
        <f>IF(OR(INDEX($P$2:$P$1001,MATCH(ROWS($O$2:O303),$O$2:$O$1001,0),1)&gt;=100000,INDEX($V$1005:$AE$1005,1,MATCH(COLUMNS($V$1006:W1006),$V$1006:$AE$1006,0))&gt;=100000), " ",IF(INDEX($V$2:$AE$1001,MATCH(ROWS($O$2:O303),$O$2:$O$1001,0),MATCH(COLUMNS($V$1006:W1006),$V$1006:$AE$1006,0)), HYPERLINK("#",""), HYPERLINK(CONCATENATE("#Metadata!", ADDRESS(INDEX($Q$2:$Q$1001,MATCH(ROWS($O$2:O303),$O$2:$O$1001,0),0), INDEX($V$1004:$AE$1004,1,MATCH(COLUMNS($V$1006:W1006),$V$1006:$AE$1006,0)))),"Fix")))</f>
        <v>0</v>
      </c>
      <c r="D303" s="4">
        <f>IF(OR(INDEX($P$2:$P$1001,MATCH(ROWS($O$2:O303),$O$2:$O$1001,0),1)&gt;=100000,INDEX($V$1005:$AE$1005,1,MATCH(COLUMNS($V$1006:X1006),$V$1006:$AE$1006,0))&gt;=100000), " ",IF(INDEX($V$2:$AE$1001,MATCH(ROWS($O$2:O303),$O$2:$O$1001,0),MATCH(COLUMNS($V$1006:X1006),$V$1006:$AE$1006,0)), HYPERLINK("#",""), HYPERLINK(CONCATENATE("#Metadata!", ADDRESS(INDEX($Q$2:$Q$1001,MATCH(ROWS($O$2:O303),$O$2:$O$1001,0),0), INDEX($V$1004:$AE$1004,1,MATCH(COLUMNS($V$1006:X1006),$V$1006:$AE$1006,0)))),"Fix")))</f>
        <v>0</v>
      </c>
      <c r="E303" s="4">
        <f>IF(OR(INDEX($P$2:$P$1001,MATCH(ROWS($O$2:O303),$O$2:$O$1001,0),1)&gt;=100000,INDEX($V$1005:$AE$1005,1,MATCH(COLUMNS($V$1006:Y1006),$V$1006:$AE$1006,0))&gt;=100000), " ",IF(INDEX($V$2:$AE$1001,MATCH(ROWS($O$2:O303),$O$2:$O$1001,0),MATCH(COLUMNS($V$1006:Y1006),$V$1006:$AE$1006,0)), HYPERLINK("#",""), HYPERLINK(CONCATENATE("#Metadata!", ADDRESS(INDEX($Q$2:$Q$1001,MATCH(ROWS($O$2:O303),$O$2:$O$1001,0),0), INDEX($V$1004:$AE$1004,1,MATCH(COLUMNS($V$1006:Y1006),$V$1006:$AE$1006,0)))),"Fix")))</f>
        <v>0</v>
      </c>
      <c r="F303" s="4">
        <f>IF(OR(INDEX($P$2:$P$1001,MATCH(ROWS($O$2:O303),$O$2:$O$1001,0),1)&gt;=100000,INDEX($V$1005:$AE$1005,1,MATCH(COLUMNS($V$1006:Z1006),$V$1006:$AE$1006,0))&gt;=100000), " ",IF(INDEX($V$2:$AE$1001,MATCH(ROWS($O$2:O303),$O$2:$O$1001,0),MATCH(COLUMNS($V$1006:Z1006),$V$1006:$AE$1006,0)), HYPERLINK("#",""), HYPERLINK(CONCATENATE("#Metadata!", ADDRESS(INDEX($Q$2:$Q$1001,MATCH(ROWS($O$2:O303),$O$2:$O$1001,0),0), INDEX($V$1004:$AE$1004,1,MATCH(COLUMNS($V$1006:Z1006),$V$1006:$AE$1006,0)))),"Fix")))</f>
        <v>0</v>
      </c>
      <c r="G303" s="4">
        <f>IF(OR(INDEX($P$2:$P$1001,MATCH(ROWS($O$2:O303),$O$2:$O$1001,0),1)&gt;=100000,INDEX($V$1005:$AE$1005,1,MATCH(COLUMNS($V$1006:AA1006),$V$1006:$AE$1006,0))&gt;=100000), " ",IF(INDEX($V$2:$AE$1001,MATCH(ROWS($O$2:O303),$O$2:$O$1001,0),MATCH(COLUMNS($V$1006:AA1006),$V$1006:$AE$1006,0)), HYPERLINK("#",""), HYPERLINK(CONCATENATE("#Metadata!", ADDRESS(INDEX($Q$2:$Q$1001,MATCH(ROWS($O$2:O303),$O$2:$O$1001,0),0), INDEX($V$1004:$AE$1004,1,MATCH(COLUMNS($V$1006:AA1006),$V$1006:$AE$1006,0)))),"Fix")))</f>
        <v>0</v>
      </c>
      <c r="H303" s="4">
        <f>IF(OR(INDEX($P$2:$P$1001,MATCH(ROWS($O$2:O303),$O$2:$O$1001,0),1)&gt;=100000,INDEX($V$1005:$AE$1005,1,MATCH(COLUMNS($V$1006:AB1006),$V$1006:$AE$1006,0))&gt;=100000), " ",IF(INDEX($V$2:$AE$1001,MATCH(ROWS($O$2:O303),$O$2:$O$1001,0),MATCH(COLUMNS($V$1006:AB1006),$V$1006:$AE$1006,0)), HYPERLINK("#",""), HYPERLINK(CONCATENATE("#Metadata!", ADDRESS(INDEX($Q$2:$Q$1001,MATCH(ROWS($O$2:O303),$O$2:$O$1001,0),0), INDEX($V$1004:$AE$1004,1,MATCH(COLUMNS($V$1006:AB1006),$V$1006:$AE$1006,0)))),"Fix")))</f>
        <v>0</v>
      </c>
      <c r="I303" s="4">
        <f>IF(OR(INDEX($P$2:$P$1001,MATCH(ROWS($O$2:O303),$O$2:$O$1001,0),1)&gt;=100000,INDEX($V$1005:$AE$1005,1,MATCH(COLUMNS($V$1006:AC1006),$V$1006:$AE$1006,0))&gt;=100000), " ",IF(INDEX($V$2:$AE$1001,MATCH(ROWS($O$2:O303),$O$2:$O$1001,0),MATCH(COLUMNS($V$1006:AC1006),$V$1006:$AE$1006,0)), HYPERLINK("#",""), HYPERLINK(CONCATENATE("#Metadata!", ADDRESS(INDEX($Q$2:$Q$1001,MATCH(ROWS($O$2:O303),$O$2:$O$1001,0),0), INDEX($V$1004:$AE$1004,1,MATCH(COLUMNS($V$1006:AC1006),$V$1006:$AE$1006,0)))),"Fix")))</f>
        <v>0</v>
      </c>
      <c r="J303" s="4">
        <f>IF(OR(INDEX($P$2:$P$1001,MATCH(ROWS($O$2:O303),$O$2:$O$1001,0),1)&gt;=100000,INDEX($V$1005:$AE$1005,1,MATCH(COLUMNS($V$1006:AD1006),$V$1006:$AE$1006,0))&gt;=100000), " ",IF(INDEX($V$2:$AE$1001,MATCH(ROWS($O$2:O303),$O$2:$O$1001,0),MATCH(COLUMNS($V$1006:AD1006),$V$1006:$AE$1006,0)), HYPERLINK("#",""), HYPERLINK(CONCATENATE("#Metadata!", ADDRESS(INDEX($Q$2:$Q$1001,MATCH(ROWS($O$2:O303),$O$2:$O$1001,0),0), INDEX($V$1004:$AE$1004,1,MATCH(COLUMNS($V$1006:AD1006),$V$1006:$AE$1006,0)))),"Fix")))</f>
        <v>0</v>
      </c>
      <c r="K303" s="4">
        <f>IF(OR(INDEX($P$2:$P$1001,MATCH(ROWS($O$2:O303),$O$2:$O$1001,0),1)&gt;=100000,INDEX($V$1005:$AE$1005,1,MATCH(COLUMNS($V$1006:AE1006),$V$1006:$AE$1006,0))&gt;=100000), " ",IF(INDEX($V$2:$AE$1001,MATCH(ROWS($O$2:O303),$O$2:$O$1001,0),MATCH(COLUMNS($V$1006:AE1006),$V$1006:$AE$1006,0)), HYPERLINK("#",""), HYPERLINK(CONCATENATE("#Metadata!", ADDRESS(INDEX($Q$2:$Q$1001,MATCH(ROWS($O$2:O303),$O$2:$O$1001,0),0), INDEX($V$1004:$AE$1004,1,MATCH(COLUMNS($V$1006:AE1006),$V$1006:$AE$1006,0)))),"Fix")))</f>
        <v>0</v>
      </c>
      <c r="O303">
        <v>0</v>
      </c>
      <c r="P303">
        <v>0</v>
      </c>
      <c r="Q303">
        <v>0</v>
      </c>
      <c r="R303">
        <f>IF(S303,TRUE,AND(V303:AE303))</f>
        <v>0</v>
      </c>
      <c r="S303">
        <f>COUNTBLANK(Metadata!B303:K303)=COLUMNS(Metadata!B303:K303)</f>
        <v>0</v>
      </c>
      <c r="T303">
        <v>0</v>
      </c>
      <c r="V303">
        <f>AND(IF(Metadata!B303="",FALSE,TRUE),COUNTIF(Metadata!B:B, Metadata!B303) = 1,NOT(ISERROR(SUMPRODUCT(SEARCH(MID(Metadata!B303,ROW(INDIRECT("1:"&amp;LEN(Metadata!B303))), 1),"0123456789abcdefghijklmnopqrstuvwxyzABCDEFGHIJKLMNOPQRSTUVWXYZ.")))))</f>
        <v>0</v>
      </c>
      <c r="W303">
        <f>AND(IF(Metadata!C303="",FALSE,TRUE),exact(Metadata!C303,"urban biome"))</f>
        <v>0</v>
      </c>
      <c r="X303">
        <f>AND(IF(Metadata!D303="",FALSE,TRUE),exact(Metadata!D303,"animal-associated habitat"))</f>
        <v>0</v>
      </c>
      <c r="Y303">
        <f>OR(AND(IF(Metadata!E303="",FALSE,TRUE),OR(exact(Metadata!E303,"not applicable"),exact(Metadata!E303,"missing: not collected"),exact(Metadata!E303,"missing: not provided"),exact(Metadata!E303,"missing: restricted access"))),AND(IF(Metadata!E303="",FALSE,ISNUMBER(VALUE(Metadata!E303))),Metadata!E303&gt;0))</f>
        <v>0</v>
      </c>
      <c r="Z303">
        <f>AND(IF(Metadata!F303="",FALSE,TRUE),exact(Metadata!F303,"weeks"))</f>
        <v>0</v>
      </c>
      <c r="AA303">
        <f>AND(IF(Metadata!G303="",FALSE,TRUE),exact(Metadata!G303,"mouse"))</f>
        <v>0</v>
      </c>
      <c r="AB303">
        <f>AND(IF(Metadata!H303="",FALSE,TRUE),exact(Metadata!H303,"Mus musculus"))</f>
        <v>0</v>
      </c>
      <c r="AC303">
        <f>AND(IF(Metadata!I303="",FALSE,TRUE),exact(Metadata!I303,"10090"))</f>
        <v>0</v>
      </c>
      <c r="AD303">
        <f>OR(AND(IF(Metadata!J303="",FALSE,TRUE),OR(exact(Metadata!J303,"not applicable"),exact(Metadata!J303,"missing: not collected"),exact(Metadata!J303,"missing: not provided"),exact(Metadata!J303,"missing: restricted access"))),AND(IF(Metadata!J303="",FALSE,ISNUMBER(VALUE(Metadata!J303))),Metadata!J303&gt;0))</f>
        <v>0</v>
      </c>
      <c r="AE303">
        <f>AND(IF(Metadata!K303="",FALSE,TRUE),exact(Metadata!K303,"g"))</f>
        <v>0</v>
      </c>
    </row>
    <row r="304" spans="1:31">
      <c r="A304" s="5">
        <f>IF(B304=" "," ",HYPERLINK(CONCATENATE("#metadata!",ADDRESS(INDEX($Q$2:$Q$1001,MATCH(ROWS($O$2:O304),$O$2:$O$1001,0),0),1)),INDEX($T$2:$T$1001,MATCH(ROWS($O$2:O304),$O$2:$O$1001,0),0)))</f>
        <v>0</v>
      </c>
      <c r="B304" s="4">
        <f>IF(OR(INDEX($P$2:$P$1001,MATCH(ROWS($O$2:O304),$O$2:$O$1001,0),1)&gt;=100000,INDEX($V$1005:$AE$1005,1,MATCH(COLUMNS($V$1006:V1006),$V$1006:$AE$1006,0))&gt;=100000), " ",IF(INDEX($V$2:$AE$1001,MATCH(ROWS($O$2:O304),$O$2:$O$1001,0),MATCH(COLUMNS($V$1006:V1006),$V$1006:$AE$1006,0)), HYPERLINK("#",""), HYPERLINK(CONCATENATE("#Metadata!", ADDRESS(INDEX($Q$2:$Q$1001,MATCH(ROWS($O$2:O304),$O$2:$O$1001,0),0), INDEX($V$1004:$AE$1004,1,MATCH(COLUMNS($V$1006:V1006),$V$1006:$AE$1006,0)))),"Fix")))</f>
        <v>0</v>
      </c>
      <c r="C304" s="4">
        <f>IF(OR(INDEX($P$2:$P$1001,MATCH(ROWS($O$2:O304),$O$2:$O$1001,0),1)&gt;=100000,INDEX($V$1005:$AE$1005,1,MATCH(COLUMNS($V$1006:W1006),$V$1006:$AE$1006,0))&gt;=100000), " ",IF(INDEX($V$2:$AE$1001,MATCH(ROWS($O$2:O304),$O$2:$O$1001,0),MATCH(COLUMNS($V$1006:W1006),$V$1006:$AE$1006,0)), HYPERLINK("#",""), HYPERLINK(CONCATENATE("#Metadata!", ADDRESS(INDEX($Q$2:$Q$1001,MATCH(ROWS($O$2:O304),$O$2:$O$1001,0),0), INDEX($V$1004:$AE$1004,1,MATCH(COLUMNS($V$1006:W1006),$V$1006:$AE$1006,0)))),"Fix")))</f>
        <v>0</v>
      </c>
      <c r="D304" s="4">
        <f>IF(OR(INDEX($P$2:$P$1001,MATCH(ROWS($O$2:O304),$O$2:$O$1001,0),1)&gt;=100000,INDEX($V$1005:$AE$1005,1,MATCH(COLUMNS($V$1006:X1006),$V$1006:$AE$1006,0))&gt;=100000), " ",IF(INDEX($V$2:$AE$1001,MATCH(ROWS($O$2:O304),$O$2:$O$1001,0),MATCH(COLUMNS($V$1006:X1006),$V$1006:$AE$1006,0)), HYPERLINK("#",""), HYPERLINK(CONCATENATE("#Metadata!", ADDRESS(INDEX($Q$2:$Q$1001,MATCH(ROWS($O$2:O304),$O$2:$O$1001,0),0), INDEX($V$1004:$AE$1004,1,MATCH(COLUMNS($V$1006:X1006),$V$1006:$AE$1006,0)))),"Fix")))</f>
        <v>0</v>
      </c>
      <c r="E304" s="4">
        <f>IF(OR(INDEX($P$2:$P$1001,MATCH(ROWS($O$2:O304),$O$2:$O$1001,0),1)&gt;=100000,INDEX($V$1005:$AE$1005,1,MATCH(COLUMNS($V$1006:Y1006),$V$1006:$AE$1006,0))&gt;=100000), " ",IF(INDEX($V$2:$AE$1001,MATCH(ROWS($O$2:O304),$O$2:$O$1001,0),MATCH(COLUMNS($V$1006:Y1006),$V$1006:$AE$1006,0)), HYPERLINK("#",""), HYPERLINK(CONCATENATE("#Metadata!", ADDRESS(INDEX($Q$2:$Q$1001,MATCH(ROWS($O$2:O304),$O$2:$O$1001,0),0), INDEX($V$1004:$AE$1004,1,MATCH(COLUMNS($V$1006:Y1006),$V$1006:$AE$1006,0)))),"Fix")))</f>
        <v>0</v>
      </c>
      <c r="F304" s="4">
        <f>IF(OR(INDEX($P$2:$P$1001,MATCH(ROWS($O$2:O304),$O$2:$O$1001,0),1)&gt;=100000,INDEX($V$1005:$AE$1005,1,MATCH(COLUMNS($V$1006:Z1006),$V$1006:$AE$1006,0))&gt;=100000), " ",IF(INDEX($V$2:$AE$1001,MATCH(ROWS($O$2:O304),$O$2:$O$1001,0),MATCH(COLUMNS($V$1006:Z1006),$V$1006:$AE$1006,0)), HYPERLINK("#",""), HYPERLINK(CONCATENATE("#Metadata!", ADDRESS(INDEX($Q$2:$Q$1001,MATCH(ROWS($O$2:O304),$O$2:$O$1001,0),0), INDEX($V$1004:$AE$1004,1,MATCH(COLUMNS($V$1006:Z1006),$V$1006:$AE$1006,0)))),"Fix")))</f>
        <v>0</v>
      </c>
      <c r="G304" s="4">
        <f>IF(OR(INDEX($P$2:$P$1001,MATCH(ROWS($O$2:O304),$O$2:$O$1001,0),1)&gt;=100000,INDEX($V$1005:$AE$1005,1,MATCH(COLUMNS($V$1006:AA1006),$V$1006:$AE$1006,0))&gt;=100000), " ",IF(INDEX($V$2:$AE$1001,MATCH(ROWS($O$2:O304),$O$2:$O$1001,0),MATCH(COLUMNS($V$1006:AA1006),$V$1006:$AE$1006,0)), HYPERLINK("#",""), HYPERLINK(CONCATENATE("#Metadata!", ADDRESS(INDEX($Q$2:$Q$1001,MATCH(ROWS($O$2:O304),$O$2:$O$1001,0),0), INDEX($V$1004:$AE$1004,1,MATCH(COLUMNS($V$1006:AA1006),$V$1006:$AE$1006,0)))),"Fix")))</f>
        <v>0</v>
      </c>
      <c r="H304" s="4">
        <f>IF(OR(INDEX($P$2:$P$1001,MATCH(ROWS($O$2:O304),$O$2:$O$1001,0),1)&gt;=100000,INDEX($V$1005:$AE$1005,1,MATCH(COLUMNS($V$1006:AB1006),$V$1006:$AE$1006,0))&gt;=100000), " ",IF(INDEX($V$2:$AE$1001,MATCH(ROWS($O$2:O304),$O$2:$O$1001,0),MATCH(COLUMNS($V$1006:AB1006),$V$1006:$AE$1006,0)), HYPERLINK("#",""), HYPERLINK(CONCATENATE("#Metadata!", ADDRESS(INDEX($Q$2:$Q$1001,MATCH(ROWS($O$2:O304),$O$2:$O$1001,0),0), INDEX($V$1004:$AE$1004,1,MATCH(COLUMNS($V$1006:AB1006),$V$1006:$AE$1006,0)))),"Fix")))</f>
        <v>0</v>
      </c>
      <c r="I304" s="4">
        <f>IF(OR(INDEX($P$2:$P$1001,MATCH(ROWS($O$2:O304),$O$2:$O$1001,0),1)&gt;=100000,INDEX($V$1005:$AE$1005,1,MATCH(COLUMNS($V$1006:AC1006),$V$1006:$AE$1006,0))&gt;=100000), " ",IF(INDEX($V$2:$AE$1001,MATCH(ROWS($O$2:O304),$O$2:$O$1001,0),MATCH(COLUMNS($V$1006:AC1006),$V$1006:$AE$1006,0)), HYPERLINK("#",""), HYPERLINK(CONCATENATE("#Metadata!", ADDRESS(INDEX($Q$2:$Q$1001,MATCH(ROWS($O$2:O304),$O$2:$O$1001,0),0), INDEX($V$1004:$AE$1004,1,MATCH(COLUMNS($V$1006:AC1006),$V$1006:$AE$1006,0)))),"Fix")))</f>
        <v>0</v>
      </c>
      <c r="J304" s="4">
        <f>IF(OR(INDEX($P$2:$P$1001,MATCH(ROWS($O$2:O304),$O$2:$O$1001,0),1)&gt;=100000,INDEX($V$1005:$AE$1005,1,MATCH(COLUMNS($V$1006:AD1006),$V$1006:$AE$1006,0))&gt;=100000), " ",IF(INDEX($V$2:$AE$1001,MATCH(ROWS($O$2:O304),$O$2:$O$1001,0),MATCH(COLUMNS($V$1006:AD1006),$V$1006:$AE$1006,0)), HYPERLINK("#",""), HYPERLINK(CONCATENATE("#Metadata!", ADDRESS(INDEX($Q$2:$Q$1001,MATCH(ROWS($O$2:O304),$O$2:$O$1001,0),0), INDEX($V$1004:$AE$1004,1,MATCH(COLUMNS($V$1006:AD1006),$V$1006:$AE$1006,0)))),"Fix")))</f>
        <v>0</v>
      </c>
      <c r="K304" s="4">
        <f>IF(OR(INDEX($P$2:$P$1001,MATCH(ROWS($O$2:O304),$O$2:$O$1001,0),1)&gt;=100000,INDEX($V$1005:$AE$1005,1,MATCH(COLUMNS($V$1006:AE1006),$V$1006:$AE$1006,0))&gt;=100000), " ",IF(INDEX($V$2:$AE$1001,MATCH(ROWS($O$2:O304),$O$2:$O$1001,0),MATCH(COLUMNS($V$1006:AE1006),$V$1006:$AE$1006,0)), HYPERLINK("#",""), HYPERLINK(CONCATENATE("#Metadata!", ADDRESS(INDEX($Q$2:$Q$1001,MATCH(ROWS($O$2:O304),$O$2:$O$1001,0),0), INDEX($V$1004:$AE$1004,1,MATCH(COLUMNS($V$1006:AE1006),$V$1006:$AE$1006,0)))),"Fix")))</f>
        <v>0</v>
      </c>
      <c r="O304">
        <v>0</v>
      </c>
      <c r="P304">
        <v>0</v>
      </c>
      <c r="Q304">
        <v>0</v>
      </c>
      <c r="R304">
        <f>IF(S304,TRUE,AND(V304:AE304))</f>
        <v>0</v>
      </c>
      <c r="S304">
        <f>COUNTBLANK(Metadata!B304:K304)=COLUMNS(Metadata!B304:K304)</f>
        <v>0</v>
      </c>
      <c r="T304">
        <v>0</v>
      </c>
      <c r="V304">
        <f>AND(IF(Metadata!B304="",FALSE,TRUE),COUNTIF(Metadata!B:B, Metadata!B304) = 1,NOT(ISERROR(SUMPRODUCT(SEARCH(MID(Metadata!B304,ROW(INDIRECT("1:"&amp;LEN(Metadata!B304))), 1),"0123456789abcdefghijklmnopqrstuvwxyzABCDEFGHIJKLMNOPQRSTUVWXYZ.")))))</f>
        <v>0</v>
      </c>
      <c r="W304">
        <f>AND(IF(Metadata!C304="",FALSE,TRUE),exact(Metadata!C304,"urban biome"))</f>
        <v>0</v>
      </c>
      <c r="X304">
        <f>AND(IF(Metadata!D304="",FALSE,TRUE),exact(Metadata!D304,"animal-associated habitat"))</f>
        <v>0</v>
      </c>
      <c r="Y304">
        <f>OR(AND(IF(Metadata!E304="",FALSE,TRUE),OR(exact(Metadata!E304,"not applicable"),exact(Metadata!E304,"missing: not collected"),exact(Metadata!E304,"missing: not provided"),exact(Metadata!E304,"missing: restricted access"))),AND(IF(Metadata!E304="",FALSE,ISNUMBER(VALUE(Metadata!E304))),Metadata!E304&gt;0))</f>
        <v>0</v>
      </c>
      <c r="Z304">
        <f>AND(IF(Metadata!F304="",FALSE,TRUE),exact(Metadata!F304,"weeks"))</f>
        <v>0</v>
      </c>
      <c r="AA304">
        <f>AND(IF(Metadata!G304="",FALSE,TRUE),exact(Metadata!G304,"mouse"))</f>
        <v>0</v>
      </c>
      <c r="AB304">
        <f>AND(IF(Metadata!H304="",FALSE,TRUE),exact(Metadata!H304,"Mus musculus"))</f>
        <v>0</v>
      </c>
      <c r="AC304">
        <f>AND(IF(Metadata!I304="",FALSE,TRUE),exact(Metadata!I304,"10090"))</f>
        <v>0</v>
      </c>
      <c r="AD304">
        <f>OR(AND(IF(Metadata!J304="",FALSE,TRUE),OR(exact(Metadata!J304,"not applicable"),exact(Metadata!J304,"missing: not collected"),exact(Metadata!J304,"missing: not provided"),exact(Metadata!J304,"missing: restricted access"))),AND(IF(Metadata!J304="",FALSE,ISNUMBER(VALUE(Metadata!J304))),Metadata!J304&gt;0))</f>
        <v>0</v>
      </c>
      <c r="AE304">
        <f>AND(IF(Metadata!K304="",FALSE,TRUE),exact(Metadata!K304,"g"))</f>
        <v>0</v>
      </c>
    </row>
    <row r="305" spans="1:31">
      <c r="A305" s="5">
        <f>IF(B305=" "," ",HYPERLINK(CONCATENATE("#metadata!",ADDRESS(INDEX($Q$2:$Q$1001,MATCH(ROWS($O$2:O305),$O$2:$O$1001,0),0),1)),INDEX($T$2:$T$1001,MATCH(ROWS($O$2:O305),$O$2:$O$1001,0),0)))</f>
        <v>0</v>
      </c>
      <c r="B305" s="4">
        <f>IF(OR(INDEX($P$2:$P$1001,MATCH(ROWS($O$2:O305),$O$2:$O$1001,0),1)&gt;=100000,INDEX($V$1005:$AE$1005,1,MATCH(COLUMNS($V$1006:V1006),$V$1006:$AE$1006,0))&gt;=100000), " ",IF(INDEX($V$2:$AE$1001,MATCH(ROWS($O$2:O305),$O$2:$O$1001,0),MATCH(COLUMNS($V$1006:V1006),$V$1006:$AE$1006,0)), HYPERLINK("#",""), HYPERLINK(CONCATENATE("#Metadata!", ADDRESS(INDEX($Q$2:$Q$1001,MATCH(ROWS($O$2:O305),$O$2:$O$1001,0),0), INDEX($V$1004:$AE$1004,1,MATCH(COLUMNS($V$1006:V1006),$V$1006:$AE$1006,0)))),"Fix")))</f>
        <v>0</v>
      </c>
      <c r="C305" s="4">
        <f>IF(OR(INDEX($P$2:$P$1001,MATCH(ROWS($O$2:O305),$O$2:$O$1001,0),1)&gt;=100000,INDEX($V$1005:$AE$1005,1,MATCH(COLUMNS($V$1006:W1006),$V$1006:$AE$1006,0))&gt;=100000), " ",IF(INDEX($V$2:$AE$1001,MATCH(ROWS($O$2:O305),$O$2:$O$1001,0),MATCH(COLUMNS($V$1006:W1006),$V$1006:$AE$1006,0)), HYPERLINK("#",""), HYPERLINK(CONCATENATE("#Metadata!", ADDRESS(INDEX($Q$2:$Q$1001,MATCH(ROWS($O$2:O305),$O$2:$O$1001,0),0), INDEX($V$1004:$AE$1004,1,MATCH(COLUMNS($V$1006:W1006),$V$1006:$AE$1006,0)))),"Fix")))</f>
        <v>0</v>
      </c>
      <c r="D305" s="4">
        <f>IF(OR(INDEX($P$2:$P$1001,MATCH(ROWS($O$2:O305),$O$2:$O$1001,0),1)&gt;=100000,INDEX($V$1005:$AE$1005,1,MATCH(COLUMNS($V$1006:X1006),$V$1006:$AE$1006,0))&gt;=100000), " ",IF(INDEX($V$2:$AE$1001,MATCH(ROWS($O$2:O305),$O$2:$O$1001,0),MATCH(COLUMNS($V$1006:X1006),$V$1006:$AE$1006,0)), HYPERLINK("#",""), HYPERLINK(CONCATENATE("#Metadata!", ADDRESS(INDEX($Q$2:$Q$1001,MATCH(ROWS($O$2:O305),$O$2:$O$1001,0),0), INDEX($V$1004:$AE$1004,1,MATCH(COLUMNS($V$1006:X1006),$V$1006:$AE$1006,0)))),"Fix")))</f>
        <v>0</v>
      </c>
      <c r="E305" s="4">
        <f>IF(OR(INDEX($P$2:$P$1001,MATCH(ROWS($O$2:O305),$O$2:$O$1001,0),1)&gt;=100000,INDEX($V$1005:$AE$1005,1,MATCH(COLUMNS($V$1006:Y1006),$V$1006:$AE$1006,0))&gt;=100000), " ",IF(INDEX($V$2:$AE$1001,MATCH(ROWS($O$2:O305),$O$2:$O$1001,0),MATCH(COLUMNS($V$1006:Y1006),$V$1006:$AE$1006,0)), HYPERLINK("#",""), HYPERLINK(CONCATENATE("#Metadata!", ADDRESS(INDEX($Q$2:$Q$1001,MATCH(ROWS($O$2:O305),$O$2:$O$1001,0),0), INDEX($V$1004:$AE$1004,1,MATCH(COLUMNS($V$1006:Y1006),$V$1006:$AE$1006,0)))),"Fix")))</f>
        <v>0</v>
      </c>
      <c r="F305" s="4">
        <f>IF(OR(INDEX($P$2:$P$1001,MATCH(ROWS($O$2:O305),$O$2:$O$1001,0),1)&gt;=100000,INDEX($V$1005:$AE$1005,1,MATCH(COLUMNS($V$1006:Z1006),$V$1006:$AE$1006,0))&gt;=100000), " ",IF(INDEX($V$2:$AE$1001,MATCH(ROWS($O$2:O305),$O$2:$O$1001,0),MATCH(COLUMNS($V$1006:Z1006),$V$1006:$AE$1006,0)), HYPERLINK("#",""), HYPERLINK(CONCATENATE("#Metadata!", ADDRESS(INDEX($Q$2:$Q$1001,MATCH(ROWS($O$2:O305),$O$2:$O$1001,0),0), INDEX($V$1004:$AE$1004,1,MATCH(COLUMNS($V$1006:Z1006),$V$1006:$AE$1006,0)))),"Fix")))</f>
        <v>0</v>
      </c>
      <c r="G305" s="4">
        <f>IF(OR(INDEX($P$2:$P$1001,MATCH(ROWS($O$2:O305),$O$2:$O$1001,0),1)&gt;=100000,INDEX($V$1005:$AE$1005,1,MATCH(COLUMNS($V$1006:AA1006),$V$1006:$AE$1006,0))&gt;=100000), " ",IF(INDEX($V$2:$AE$1001,MATCH(ROWS($O$2:O305),$O$2:$O$1001,0),MATCH(COLUMNS($V$1006:AA1006),$V$1006:$AE$1006,0)), HYPERLINK("#",""), HYPERLINK(CONCATENATE("#Metadata!", ADDRESS(INDEX($Q$2:$Q$1001,MATCH(ROWS($O$2:O305),$O$2:$O$1001,0),0), INDEX($V$1004:$AE$1004,1,MATCH(COLUMNS($V$1006:AA1006),$V$1006:$AE$1006,0)))),"Fix")))</f>
        <v>0</v>
      </c>
      <c r="H305" s="4">
        <f>IF(OR(INDEX($P$2:$P$1001,MATCH(ROWS($O$2:O305),$O$2:$O$1001,0),1)&gt;=100000,INDEX($V$1005:$AE$1005,1,MATCH(COLUMNS($V$1006:AB1006),$V$1006:$AE$1006,0))&gt;=100000), " ",IF(INDEX($V$2:$AE$1001,MATCH(ROWS($O$2:O305),$O$2:$O$1001,0),MATCH(COLUMNS($V$1006:AB1006),$V$1006:$AE$1006,0)), HYPERLINK("#",""), HYPERLINK(CONCATENATE("#Metadata!", ADDRESS(INDEX($Q$2:$Q$1001,MATCH(ROWS($O$2:O305),$O$2:$O$1001,0),0), INDEX($V$1004:$AE$1004,1,MATCH(COLUMNS($V$1006:AB1006),$V$1006:$AE$1006,0)))),"Fix")))</f>
        <v>0</v>
      </c>
      <c r="I305" s="4">
        <f>IF(OR(INDEX($P$2:$P$1001,MATCH(ROWS($O$2:O305),$O$2:$O$1001,0),1)&gt;=100000,INDEX($V$1005:$AE$1005,1,MATCH(COLUMNS($V$1006:AC1006),$V$1006:$AE$1006,0))&gt;=100000), " ",IF(INDEX($V$2:$AE$1001,MATCH(ROWS($O$2:O305),$O$2:$O$1001,0),MATCH(COLUMNS($V$1006:AC1006),$V$1006:$AE$1006,0)), HYPERLINK("#",""), HYPERLINK(CONCATENATE("#Metadata!", ADDRESS(INDEX($Q$2:$Q$1001,MATCH(ROWS($O$2:O305),$O$2:$O$1001,0),0), INDEX($V$1004:$AE$1004,1,MATCH(COLUMNS($V$1006:AC1006),$V$1006:$AE$1006,0)))),"Fix")))</f>
        <v>0</v>
      </c>
      <c r="J305" s="4">
        <f>IF(OR(INDEX($P$2:$P$1001,MATCH(ROWS($O$2:O305),$O$2:$O$1001,0),1)&gt;=100000,INDEX($V$1005:$AE$1005,1,MATCH(COLUMNS($V$1006:AD1006),$V$1006:$AE$1006,0))&gt;=100000), " ",IF(INDEX($V$2:$AE$1001,MATCH(ROWS($O$2:O305),$O$2:$O$1001,0),MATCH(COLUMNS($V$1006:AD1006),$V$1006:$AE$1006,0)), HYPERLINK("#",""), HYPERLINK(CONCATENATE("#Metadata!", ADDRESS(INDEX($Q$2:$Q$1001,MATCH(ROWS($O$2:O305),$O$2:$O$1001,0),0), INDEX($V$1004:$AE$1004,1,MATCH(COLUMNS($V$1006:AD1006),$V$1006:$AE$1006,0)))),"Fix")))</f>
        <v>0</v>
      </c>
      <c r="K305" s="4">
        <f>IF(OR(INDEX($P$2:$P$1001,MATCH(ROWS($O$2:O305),$O$2:$O$1001,0),1)&gt;=100000,INDEX($V$1005:$AE$1005,1,MATCH(COLUMNS($V$1006:AE1006),$V$1006:$AE$1006,0))&gt;=100000), " ",IF(INDEX($V$2:$AE$1001,MATCH(ROWS($O$2:O305),$O$2:$O$1001,0),MATCH(COLUMNS($V$1006:AE1006),$V$1006:$AE$1006,0)), HYPERLINK("#",""), HYPERLINK(CONCATENATE("#Metadata!", ADDRESS(INDEX($Q$2:$Q$1001,MATCH(ROWS($O$2:O305),$O$2:$O$1001,0),0), INDEX($V$1004:$AE$1004,1,MATCH(COLUMNS($V$1006:AE1006),$V$1006:$AE$1006,0)))),"Fix")))</f>
        <v>0</v>
      </c>
      <c r="O305">
        <v>0</v>
      </c>
      <c r="P305">
        <v>0</v>
      </c>
      <c r="Q305">
        <v>0</v>
      </c>
      <c r="R305">
        <f>IF(S305,TRUE,AND(V305:AE305))</f>
        <v>0</v>
      </c>
      <c r="S305">
        <f>COUNTBLANK(Metadata!B305:K305)=COLUMNS(Metadata!B305:K305)</f>
        <v>0</v>
      </c>
      <c r="T305">
        <v>0</v>
      </c>
      <c r="V305">
        <f>AND(IF(Metadata!B305="",FALSE,TRUE),COUNTIF(Metadata!B:B, Metadata!B305) = 1,NOT(ISERROR(SUMPRODUCT(SEARCH(MID(Metadata!B305,ROW(INDIRECT("1:"&amp;LEN(Metadata!B305))), 1),"0123456789abcdefghijklmnopqrstuvwxyzABCDEFGHIJKLMNOPQRSTUVWXYZ.")))))</f>
        <v>0</v>
      </c>
      <c r="W305">
        <f>AND(IF(Metadata!C305="",FALSE,TRUE),exact(Metadata!C305,"urban biome"))</f>
        <v>0</v>
      </c>
      <c r="X305">
        <f>AND(IF(Metadata!D305="",FALSE,TRUE),exact(Metadata!D305,"animal-associated habitat"))</f>
        <v>0</v>
      </c>
      <c r="Y305">
        <f>OR(AND(IF(Metadata!E305="",FALSE,TRUE),OR(exact(Metadata!E305,"not applicable"),exact(Metadata!E305,"missing: not collected"),exact(Metadata!E305,"missing: not provided"),exact(Metadata!E305,"missing: restricted access"))),AND(IF(Metadata!E305="",FALSE,ISNUMBER(VALUE(Metadata!E305))),Metadata!E305&gt;0))</f>
        <v>0</v>
      </c>
      <c r="Z305">
        <f>AND(IF(Metadata!F305="",FALSE,TRUE),exact(Metadata!F305,"weeks"))</f>
        <v>0</v>
      </c>
      <c r="AA305">
        <f>AND(IF(Metadata!G305="",FALSE,TRUE),exact(Metadata!G305,"mouse"))</f>
        <v>0</v>
      </c>
      <c r="AB305">
        <f>AND(IF(Metadata!H305="",FALSE,TRUE),exact(Metadata!H305,"Mus musculus"))</f>
        <v>0</v>
      </c>
      <c r="AC305">
        <f>AND(IF(Metadata!I305="",FALSE,TRUE),exact(Metadata!I305,"10090"))</f>
        <v>0</v>
      </c>
      <c r="AD305">
        <f>OR(AND(IF(Metadata!J305="",FALSE,TRUE),OR(exact(Metadata!J305,"not applicable"),exact(Metadata!J305,"missing: not collected"),exact(Metadata!J305,"missing: not provided"),exact(Metadata!J305,"missing: restricted access"))),AND(IF(Metadata!J305="",FALSE,ISNUMBER(VALUE(Metadata!J305))),Metadata!J305&gt;0))</f>
        <v>0</v>
      </c>
      <c r="AE305">
        <f>AND(IF(Metadata!K305="",FALSE,TRUE),exact(Metadata!K305,"g"))</f>
        <v>0</v>
      </c>
    </row>
    <row r="306" spans="1:31">
      <c r="A306" s="5">
        <f>IF(B306=" "," ",HYPERLINK(CONCATENATE("#metadata!",ADDRESS(INDEX($Q$2:$Q$1001,MATCH(ROWS($O$2:O306),$O$2:$O$1001,0),0),1)),INDEX($T$2:$T$1001,MATCH(ROWS($O$2:O306),$O$2:$O$1001,0),0)))</f>
        <v>0</v>
      </c>
      <c r="B306" s="4">
        <f>IF(OR(INDEX($P$2:$P$1001,MATCH(ROWS($O$2:O306),$O$2:$O$1001,0),1)&gt;=100000,INDEX($V$1005:$AE$1005,1,MATCH(COLUMNS($V$1006:V1006),$V$1006:$AE$1006,0))&gt;=100000), " ",IF(INDEX($V$2:$AE$1001,MATCH(ROWS($O$2:O306),$O$2:$O$1001,0),MATCH(COLUMNS($V$1006:V1006),$V$1006:$AE$1006,0)), HYPERLINK("#",""), HYPERLINK(CONCATENATE("#Metadata!", ADDRESS(INDEX($Q$2:$Q$1001,MATCH(ROWS($O$2:O306),$O$2:$O$1001,0),0), INDEX($V$1004:$AE$1004,1,MATCH(COLUMNS($V$1006:V1006),$V$1006:$AE$1006,0)))),"Fix")))</f>
        <v>0</v>
      </c>
      <c r="C306" s="4">
        <f>IF(OR(INDEX($P$2:$P$1001,MATCH(ROWS($O$2:O306),$O$2:$O$1001,0),1)&gt;=100000,INDEX($V$1005:$AE$1005,1,MATCH(COLUMNS($V$1006:W1006),$V$1006:$AE$1006,0))&gt;=100000), " ",IF(INDEX($V$2:$AE$1001,MATCH(ROWS($O$2:O306),$O$2:$O$1001,0),MATCH(COLUMNS($V$1006:W1006),$V$1006:$AE$1006,0)), HYPERLINK("#",""), HYPERLINK(CONCATENATE("#Metadata!", ADDRESS(INDEX($Q$2:$Q$1001,MATCH(ROWS($O$2:O306),$O$2:$O$1001,0),0), INDEX($V$1004:$AE$1004,1,MATCH(COLUMNS($V$1006:W1006),$V$1006:$AE$1006,0)))),"Fix")))</f>
        <v>0</v>
      </c>
      <c r="D306" s="4">
        <f>IF(OR(INDEX($P$2:$P$1001,MATCH(ROWS($O$2:O306),$O$2:$O$1001,0),1)&gt;=100000,INDEX($V$1005:$AE$1005,1,MATCH(COLUMNS($V$1006:X1006),$V$1006:$AE$1006,0))&gt;=100000), " ",IF(INDEX($V$2:$AE$1001,MATCH(ROWS($O$2:O306),$O$2:$O$1001,0),MATCH(COLUMNS($V$1006:X1006),$V$1006:$AE$1006,0)), HYPERLINK("#",""), HYPERLINK(CONCATENATE("#Metadata!", ADDRESS(INDEX($Q$2:$Q$1001,MATCH(ROWS($O$2:O306),$O$2:$O$1001,0),0), INDEX($V$1004:$AE$1004,1,MATCH(COLUMNS($V$1006:X1006),$V$1006:$AE$1006,0)))),"Fix")))</f>
        <v>0</v>
      </c>
      <c r="E306" s="4">
        <f>IF(OR(INDEX($P$2:$P$1001,MATCH(ROWS($O$2:O306),$O$2:$O$1001,0),1)&gt;=100000,INDEX($V$1005:$AE$1005,1,MATCH(COLUMNS($V$1006:Y1006),$V$1006:$AE$1006,0))&gt;=100000), " ",IF(INDEX($V$2:$AE$1001,MATCH(ROWS($O$2:O306),$O$2:$O$1001,0),MATCH(COLUMNS($V$1006:Y1006),$V$1006:$AE$1006,0)), HYPERLINK("#",""), HYPERLINK(CONCATENATE("#Metadata!", ADDRESS(INDEX($Q$2:$Q$1001,MATCH(ROWS($O$2:O306),$O$2:$O$1001,0),0), INDEX($V$1004:$AE$1004,1,MATCH(COLUMNS($V$1006:Y1006),$V$1006:$AE$1006,0)))),"Fix")))</f>
        <v>0</v>
      </c>
      <c r="F306" s="4">
        <f>IF(OR(INDEX($P$2:$P$1001,MATCH(ROWS($O$2:O306),$O$2:$O$1001,0),1)&gt;=100000,INDEX($V$1005:$AE$1005,1,MATCH(COLUMNS($V$1006:Z1006),$V$1006:$AE$1006,0))&gt;=100000), " ",IF(INDEX($V$2:$AE$1001,MATCH(ROWS($O$2:O306),$O$2:$O$1001,0),MATCH(COLUMNS($V$1006:Z1006),$V$1006:$AE$1006,0)), HYPERLINK("#",""), HYPERLINK(CONCATENATE("#Metadata!", ADDRESS(INDEX($Q$2:$Q$1001,MATCH(ROWS($O$2:O306),$O$2:$O$1001,0),0), INDEX($V$1004:$AE$1004,1,MATCH(COLUMNS($V$1006:Z1006),$V$1006:$AE$1006,0)))),"Fix")))</f>
        <v>0</v>
      </c>
      <c r="G306" s="4">
        <f>IF(OR(INDEX($P$2:$P$1001,MATCH(ROWS($O$2:O306),$O$2:$O$1001,0),1)&gt;=100000,INDEX($V$1005:$AE$1005,1,MATCH(COLUMNS($V$1006:AA1006),$V$1006:$AE$1006,0))&gt;=100000), " ",IF(INDEX($V$2:$AE$1001,MATCH(ROWS($O$2:O306),$O$2:$O$1001,0),MATCH(COLUMNS($V$1006:AA1006),$V$1006:$AE$1006,0)), HYPERLINK("#",""), HYPERLINK(CONCATENATE("#Metadata!", ADDRESS(INDEX($Q$2:$Q$1001,MATCH(ROWS($O$2:O306),$O$2:$O$1001,0),0), INDEX($V$1004:$AE$1004,1,MATCH(COLUMNS($V$1006:AA1006),$V$1006:$AE$1006,0)))),"Fix")))</f>
        <v>0</v>
      </c>
      <c r="H306" s="4">
        <f>IF(OR(INDEX($P$2:$P$1001,MATCH(ROWS($O$2:O306),$O$2:$O$1001,0),1)&gt;=100000,INDEX($V$1005:$AE$1005,1,MATCH(COLUMNS($V$1006:AB1006),$V$1006:$AE$1006,0))&gt;=100000), " ",IF(INDEX($V$2:$AE$1001,MATCH(ROWS($O$2:O306),$O$2:$O$1001,0),MATCH(COLUMNS($V$1006:AB1006),$V$1006:$AE$1006,0)), HYPERLINK("#",""), HYPERLINK(CONCATENATE("#Metadata!", ADDRESS(INDEX($Q$2:$Q$1001,MATCH(ROWS($O$2:O306),$O$2:$O$1001,0),0), INDEX($V$1004:$AE$1004,1,MATCH(COLUMNS($V$1006:AB1006),$V$1006:$AE$1006,0)))),"Fix")))</f>
        <v>0</v>
      </c>
      <c r="I306" s="4">
        <f>IF(OR(INDEX($P$2:$P$1001,MATCH(ROWS($O$2:O306),$O$2:$O$1001,0),1)&gt;=100000,INDEX($V$1005:$AE$1005,1,MATCH(COLUMNS($V$1006:AC1006),$V$1006:$AE$1006,0))&gt;=100000), " ",IF(INDEX($V$2:$AE$1001,MATCH(ROWS($O$2:O306),$O$2:$O$1001,0),MATCH(COLUMNS($V$1006:AC1006),$V$1006:$AE$1006,0)), HYPERLINK("#",""), HYPERLINK(CONCATENATE("#Metadata!", ADDRESS(INDEX($Q$2:$Q$1001,MATCH(ROWS($O$2:O306),$O$2:$O$1001,0),0), INDEX($V$1004:$AE$1004,1,MATCH(COLUMNS($V$1006:AC1006),$V$1006:$AE$1006,0)))),"Fix")))</f>
        <v>0</v>
      </c>
      <c r="J306" s="4">
        <f>IF(OR(INDEX($P$2:$P$1001,MATCH(ROWS($O$2:O306),$O$2:$O$1001,0),1)&gt;=100000,INDEX($V$1005:$AE$1005,1,MATCH(COLUMNS($V$1006:AD1006),$V$1006:$AE$1006,0))&gt;=100000), " ",IF(INDEX($V$2:$AE$1001,MATCH(ROWS($O$2:O306),$O$2:$O$1001,0),MATCH(COLUMNS($V$1006:AD1006),$V$1006:$AE$1006,0)), HYPERLINK("#",""), HYPERLINK(CONCATENATE("#Metadata!", ADDRESS(INDEX($Q$2:$Q$1001,MATCH(ROWS($O$2:O306),$O$2:$O$1001,0),0), INDEX($V$1004:$AE$1004,1,MATCH(COLUMNS($V$1006:AD1006),$V$1006:$AE$1006,0)))),"Fix")))</f>
        <v>0</v>
      </c>
      <c r="K306" s="4">
        <f>IF(OR(INDEX($P$2:$P$1001,MATCH(ROWS($O$2:O306),$O$2:$O$1001,0),1)&gt;=100000,INDEX($V$1005:$AE$1005,1,MATCH(COLUMNS($V$1006:AE1006),$V$1006:$AE$1006,0))&gt;=100000), " ",IF(INDEX($V$2:$AE$1001,MATCH(ROWS($O$2:O306),$O$2:$O$1001,0),MATCH(COLUMNS($V$1006:AE1006),$V$1006:$AE$1006,0)), HYPERLINK("#",""), HYPERLINK(CONCATENATE("#Metadata!", ADDRESS(INDEX($Q$2:$Q$1001,MATCH(ROWS($O$2:O306),$O$2:$O$1001,0),0), INDEX($V$1004:$AE$1004,1,MATCH(COLUMNS($V$1006:AE1006),$V$1006:$AE$1006,0)))),"Fix")))</f>
        <v>0</v>
      </c>
      <c r="O306">
        <v>0</v>
      </c>
      <c r="P306">
        <v>0</v>
      </c>
      <c r="Q306">
        <v>0</v>
      </c>
      <c r="R306">
        <f>IF(S306,TRUE,AND(V306:AE306))</f>
        <v>0</v>
      </c>
      <c r="S306">
        <f>COUNTBLANK(Metadata!B306:K306)=COLUMNS(Metadata!B306:K306)</f>
        <v>0</v>
      </c>
      <c r="T306">
        <v>0</v>
      </c>
      <c r="V306">
        <f>AND(IF(Metadata!B306="",FALSE,TRUE),COUNTIF(Metadata!B:B, Metadata!B306) = 1,NOT(ISERROR(SUMPRODUCT(SEARCH(MID(Metadata!B306,ROW(INDIRECT("1:"&amp;LEN(Metadata!B306))), 1),"0123456789abcdefghijklmnopqrstuvwxyzABCDEFGHIJKLMNOPQRSTUVWXYZ.")))))</f>
        <v>0</v>
      </c>
      <c r="W306">
        <f>AND(IF(Metadata!C306="",FALSE,TRUE),exact(Metadata!C306,"urban biome"))</f>
        <v>0</v>
      </c>
      <c r="X306">
        <f>AND(IF(Metadata!D306="",FALSE,TRUE),exact(Metadata!D306,"animal-associated habitat"))</f>
        <v>0</v>
      </c>
      <c r="Y306">
        <f>OR(AND(IF(Metadata!E306="",FALSE,TRUE),OR(exact(Metadata!E306,"not applicable"),exact(Metadata!E306,"missing: not collected"),exact(Metadata!E306,"missing: not provided"),exact(Metadata!E306,"missing: restricted access"))),AND(IF(Metadata!E306="",FALSE,ISNUMBER(VALUE(Metadata!E306))),Metadata!E306&gt;0))</f>
        <v>0</v>
      </c>
      <c r="Z306">
        <f>AND(IF(Metadata!F306="",FALSE,TRUE),exact(Metadata!F306,"weeks"))</f>
        <v>0</v>
      </c>
      <c r="AA306">
        <f>AND(IF(Metadata!G306="",FALSE,TRUE),exact(Metadata!G306,"mouse"))</f>
        <v>0</v>
      </c>
      <c r="AB306">
        <f>AND(IF(Metadata!H306="",FALSE,TRUE),exact(Metadata!H306,"Mus musculus"))</f>
        <v>0</v>
      </c>
      <c r="AC306">
        <f>AND(IF(Metadata!I306="",FALSE,TRUE),exact(Metadata!I306,"10090"))</f>
        <v>0</v>
      </c>
      <c r="AD306">
        <f>OR(AND(IF(Metadata!J306="",FALSE,TRUE),OR(exact(Metadata!J306,"not applicable"),exact(Metadata!J306,"missing: not collected"),exact(Metadata!J306,"missing: not provided"),exact(Metadata!J306,"missing: restricted access"))),AND(IF(Metadata!J306="",FALSE,ISNUMBER(VALUE(Metadata!J306))),Metadata!J306&gt;0))</f>
        <v>0</v>
      </c>
      <c r="AE306">
        <f>AND(IF(Metadata!K306="",FALSE,TRUE),exact(Metadata!K306,"g"))</f>
        <v>0</v>
      </c>
    </row>
    <row r="307" spans="1:31">
      <c r="A307" s="5">
        <f>IF(B307=" "," ",HYPERLINK(CONCATENATE("#metadata!",ADDRESS(INDEX($Q$2:$Q$1001,MATCH(ROWS($O$2:O307),$O$2:$O$1001,0),0),1)),INDEX($T$2:$T$1001,MATCH(ROWS($O$2:O307),$O$2:$O$1001,0),0)))</f>
        <v>0</v>
      </c>
      <c r="B307" s="4">
        <f>IF(OR(INDEX($P$2:$P$1001,MATCH(ROWS($O$2:O307),$O$2:$O$1001,0),1)&gt;=100000,INDEX($V$1005:$AE$1005,1,MATCH(COLUMNS($V$1006:V1006),$V$1006:$AE$1006,0))&gt;=100000), " ",IF(INDEX($V$2:$AE$1001,MATCH(ROWS($O$2:O307),$O$2:$O$1001,0),MATCH(COLUMNS($V$1006:V1006),$V$1006:$AE$1006,0)), HYPERLINK("#",""), HYPERLINK(CONCATENATE("#Metadata!", ADDRESS(INDEX($Q$2:$Q$1001,MATCH(ROWS($O$2:O307),$O$2:$O$1001,0),0), INDEX($V$1004:$AE$1004,1,MATCH(COLUMNS($V$1006:V1006),$V$1006:$AE$1006,0)))),"Fix")))</f>
        <v>0</v>
      </c>
      <c r="C307" s="4">
        <f>IF(OR(INDEX($P$2:$P$1001,MATCH(ROWS($O$2:O307),$O$2:$O$1001,0),1)&gt;=100000,INDEX($V$1005:$AE$1005,1,MATCH(COLUMNS($V$1006:W1006),$V$1006:$AE$1006,0))&gt;=100000), " ",IF(INDEX($V$2:$AE$1001,MATCH(ROWS($O$2:O307),$O$2:$O$1001,0),MATCH(COLUMNS($V$1006:W1006),$V$1006:$AE$1006,0)), HYPERLINK("#",""), HYPERLINK(CONCATENATE("#Metadata!", ADDRESS(INDEX($Q$2:$Q$1001,MATCH(ROWS($O$2:O307),$O$2:$O$1001,0),0), INDEX($V$1004:$AE$1004,1,MATCH(COLUMNS($V$1006:W1006),$V$1006:$AE$1006,0)))),"Fix")))</f>
        <v>0</v>
      </c>
      <c r="D307" s="4">
        <f>IF(OR(INDEX($P$2:$P$1001,MATCH(ROWS($O$2:O307),$O$2:$O$1001,0),1)&gt;=100000,INDEX($V$1005:$AE$1005,1,MATCH(COLUMNS($V$1006:X1006),$V$1006:$AE$1006,0))&gt;=100000), " ",IF(INDEX($V$2:$AE$1001,MATCH(ROWS($O$2:O307),$O$2:$O$1001,0),MATCH(COLUMNS($V$1006:X1006),$V$1006:$AE$1006,0)), HYPERLINK("#",""), HYPERLINK(CONCATENATE("#Metadata!", ADDRESS(INDEX($Q$2:$Q$1001,MATCH(ROWS($O$2:O307),$O$2:$O$1001,0),0), INDEX($V$1004:$AE$1004,1,MATCH(COLUMNS($V$1006:X1006),$V$1006:$AE$1006,0)))),"Fix")))</f>
        <v>0</v>
      </c>
      <c r="E307" s="4">
        <f>IF(OR(INDEX($P$2:$P$1001,MATCH(ROWS($O$2:O307),$O$2:$O$1001,0),1)&gt;=100000,INDEX($V$1005:$AE$1005,1,MATCH(COLUMNS($V$1006:Y1006),$V$1006:$AE$1006,0))&gt;=100000), " ",IF(INDEX($V$2:$AE$1001,MATCH(ROWS($O$2:O307),$O$2:$O$1001,0),MATCH(COLUMNS($V$1006:Y1006),$V$1006:$AE$1006,0)), HYPERLINK("#",""), HYPERLINK(CONCATENATE("#Metadata!", ADDRESS(INDEX($Q$2:$Q$1001,MATCH(ROWS($O$2:O307),$O$2:$O$1001,0),0), INDEX($V$1004:$AE$1004,1,MATCH(COLUMNS($V$1006:Y1006),$V$1006:$AE$1006,0)))),"Fix")))</f>
        <v>0</v>
      </c>
      <c r="F307" s="4">
        <f>IF(OR(INDEX($P$2:$P$1001,MATCH(ROWS($O$2:O307),$O$2:$O$1001,0),1)&gt;=100000,INDEX($V$1005:$AE$1005,1,MATCH(COLUMNS($V$1006:Z1006),$V$1006:$AE$1006,0))&gt;=100000), " ",IF(INDEX($V$2:$AE$1001,MATCH(ROWS($O$2:O307),$O$2:$O$1001,0),MATCH(COLUMNS($V$1006:Z1006),$V$1006:$AE$1006,0)), HYPERLINK("#",""), HYPERLINK(CONCATENATE("#Metadata!", ADDRESS(INDEX($Q$2:$Q$1001,MATCH(ROWS($O$2:O307),$O$2:$O$1001,0),0), INDEX($V$1004:$AE$1004,1,MATCH(COLUMNS($V$1006:Z1006),$V$1006:$AE$1006,0)))),"Fix")))</f>
        <v>0</v>
      </c>
      <c r="G307" s="4">
        <f>IF(OR(INDEX($P$2:$P$1001,MATCH(ROWS($O$2:O307),$O$2:$O$1001,0),1)&gt;=100000,INDEX($V$1005:$AE$1005,1,MATCH(COLUMNS($V$1006:AA1006),$V$1006:$AE$1006,0))&gt;=100000), " ",IF(INDEX($V$2:$AE$1001,MATCH(ROWS($O$2:O307),$O$2:$O$1001,0),MATCH(COLUMNS($V$1006:AA1006),$V$1006:$AE$1006,0)), HYPERLINK("#",""), HYPERLINK(CONCATENATE("#Metadata!", ADDRESS(INDEX($Q$2:$Q$1001,MATCH(ROWS($O$2:O307),$O$2:$O$1001,0),0), INDEX($V$1004:$AE$1004,1,MATCH(COLUMNS($V$1006:AA1006),$V$1006:$AE$1006,0)))),"Fix")))</f>
        <v>0</v>
      </c>
      <c r="H307" s="4">
        <f>IF(OR(INDEX($P$2:$P$1001,MATCH(ROWS($O$2:O307),$O$2:$O$1001,0),1)&gt;=100000,INDEX($V$1005:$AE$1005,1,MATCH(COLUMNS($V$1006:AB1006),$V$1006:$AE$1006,0))&gt;=100000), " ",IF(INDEX($V$2:$AE$1001,MATCH(ROWS($O$2:O307),$O$2:$O$1001,0),MATCH(COLUMNS($V$1006:AB1006),$V$1006:$AE$1006,0)), HYPERLINK("#",""), HYPERLINK(CONCATENATE("#Metadata!", ADDRESS(INDEX($Q$2:$Q$1001,MATCH(ROWS($O$2:O307),$O$2:$O$1001,0),0), INDEX($V$1004:$AE$1004,1,MATCH(COLUMNS($V$1006:AB1006),$V$1006:$AE$1006,0)))),"Fix")))</f>
        <v>0</v>
      </c>
      <c r="I307" s="4">
        <f>IF(OR(INDEX($P$2:$P$1001,MATCH(ROWS($O$2:O307),$O$2:$O$1001,0),1)&gt;=100000,INDEX($V$1005:$AE$1005,1,MATCH(COLUMNS($V$1006:AC1006),$V$1006:$AE$1006,0))&gt;=100000), " ",IF(INDEX($V$2:$AE$1001,MATCH(ROWS($O$2:O307),$O$2:$O$1001,0),MATCH(COLUMNS($V$1006:AC1006),$V$1006:$AE$1006,0)), HYPERLINK("#",""), HYPERLINK(CONCATENATE("#Metadata!", ADDRESS(INDEX($Q$2:$Q$1001,MATCH(ROWS($O$2:O307),$O$2:$O$1001,0),0), INDEX($V$1004:$AE$1004,1,MATCH(COLUMNS($V$1006:AC1006),$V$1006:$AE$1006,0)))),"Fix")))</f>
        <v>0</v>
      </c>
      <c r="J307" s="4">
        <f>IF(OR(INDEX($P$2:$P$1001,MATCH(ROWS($O$2:O307),$O$2:$O$1001,0),1)&gt;=100000,INDEX($V$1005:$AE$1005,1,MATCH(COLUMNS($V$1006:AD1006),$V$1006:$AE$1006,0))&gt;=100000), " ",IF(INDEX($V$2:$AE$1001,MATCH(ROWS($O$2:O307),$O$2:$O$1001,0),MATCH(COLUMNS($V$1006:AD1006),$V$1006:$AE$1006,0)), HYPERLINK("#",""), HYPERLINK(CONCATENATE("#Metadata!", ADDRESS(INDEX($Q$2:$Q$1001,MATCH(ROWS($O$2:O307),$O$2:$O$1001,0),0), INDEX($V$1004:$AE$1004,1,MATCH(COLUMNS($V$1006:AD1006),$V$1006:$AE$1006,0)))),"Fix")))</f>
        <v>0</v>
      </c>
      <c r="K307" s="4">
        <f>IF(OR(INDEX($P$2:$P$1001,MATCH(ROWS($O$2:O307),$O$2:$O$1001,0),1)&gt;=100000,INDEX($V$1005:$AE$1005,1,MATCH(COLUMNS($V$1006:AE1006),$V$1006:$AE$1006,0))&gt;=100000), " ",IF(INDEX($V$2:$AE$1001,MATCH(ROWS($O$2:O307),$O$2:$O$1001,0),MATCH(COLUMNS($V$1006:AE1006),$V$1006:$AE$1006,0)), HYPERLINK("#",""), HYPERLINK(CONCATENATE("#Metadata!", ADDRESS(INDEX($Q$2:$Q$1001,MATCH(ROWS($O$2:O307),$O$2:$O$1001,0),0), INDEX($V$1004:$AE$1004,1,MATCH(COLUMNS($V$1006:AE1006),$V$1006:$AE$1006,0)))),"Fix")))</f>
        <v>0</v>
      </c>
      <c r="O307">
        <v>0</v>
      </c>
      <c r="P307">
        <v>0</v>
      </c>
      <c r="Q307">
        <v>0</v>
      </c>
      <c r="R307">
        <f>IF(S307,TRUE,AND(V307:AE307))</f>
        <v>0</v>
      </c>
      <c r="S307">
        <f>COUNTBLANK(Metadata!B307:K307)=COLUMNS(Metadata!B307:K307)</f>
        <v>0</v>
      </c>
      <c r="T307">
        <v>0</v>
      </c>
      <c r="V307">
        <f>AND(IF(Metadata!B307="",FALSE,TRUE),COUNTIF(Metadata!B:B, Metadata!B307) = 1,NOT(ISERROR(SUMPRODUCT(SEARCH(MID(Metadata!B307,ROW(INDIRECT("1:"&amp;LEN(Metadata!B307))), 1),"0123456789abcdefghijklmnopqrstuvwxyzABCDEFGHIJKLMNOPQRSTUVWXYZ.")))))</f>
        <v>0</v>
      </c>
      <c r="W307">
        <f>AND(IF(Metadata!C307="",FALSE,TRUE),exact(Metadata!C307,"urban biome"))</f>
        <v>0</v>
      </c>
      <c r="X307">
        <f>AND(IF(Metadata!D307="",FALSE,TRUE),exact(Metadata!D307,"animal-associated habitat"))</f>
        <v>0</v>
      </c>
      <c r="Y307">
        <f>OR(AND(IF(Metadata!E307="",FALSE,TRUE),OR(exact(Metadata!E307,"not applicable"),exact(Metadata!E307,"missing: not collected"),exact(Metadata!E307,"missing: not provided"),exact(Metadata!E307,"missing: restricted access"))),AND(IF(Metadata!E307="",FALSE,ISNUMBER(VALUE(Metadata!E307))),Metadata!E307&gt;0))</f>
        <v>0</v>
      </c>
      <c r="Z307">
        <f>AND(IF(Metadata!F307="",FALSE,TRUE),exact(Metadata!F307,"weeks"))</f>
        <v>0</v>
      </c>
      <c r="AA307">
        <f>AND(IF(Metadata!G307="",FALSE,TRUE),exact(Metadata!G307,"mouse"))</f>
        <v>0</v>
      </c>
      <c r="AB307">
        <f>AND(IF(Metadata!H307="",FALSE,TRUE),exact(Metadata!H307,"Mus musculus"))</f>
        <v>0</v>
      </c>
      <c r="AC307">
        <f>AND(IF(Metadata!I307="",FALSE,TRUE),exact(Metadata!I307,"10090"))</f>
        <v>0</v>
      </c>
      <c r="AD307">
        <f>OR(AND(IF(Metadata!J307="",FALSE,TRUE),OR(exact(Metadata!J307,"not applicable"),exact(Metadata!J307,"missing: not collected"),exact(Metadata!J307,"missing: not provided"),exact(Metadata!J307,"missing: restricted access"))),AND(IF(Metadata!J307="",FALSE,ISNUMBER(VALUE(Metadata!J307))),Metadata!J307&gt;0))</f>
        <v>0</v>
      </c>
      <c r="AE307">
        <f>AND(IF(Metadata!K307="",FALSE,TRUE),exact(Metadata!K307,"g"))</f>
        <v>0</v>
      </c>
    </row>
    <row r="308" spans="1:31">
      <c r="A308" s="5">
        <f>IF(B308=" "," ",HYPERLINK(CONCATENATE("#metadata!",ADDRESS(INDEX($Q$2:$Q$1001,MATCH(ROWS($O$2:O308),$O$2:$O$1001,0),0),1)),INDEX($T$2:$T$1001,MATCH(ROWS($O$2:O308),$O$2:$O$1001,0),0)))</f>
        <v>0</v>
      </c>
      <c r="B308" s="4">
        <f>IF(OR(INDEX($P$2:$P$1001,MATCH(ROWS($O$2:O308),$O$2:$O$1001,0),1)&gt;=100000,INDEX($V$1005:$AE$1005,1,MATCH(COLUMNS($V$1006:V1006),$V$1006:$AE$1006,0))&gt;=100000), " ",IF(INDEX($V$2:$AE$1001,MATCH(ROWS($O$2:O308),$O$2:$O$1001,0),MATCH(COLUMNS($V$1006:V1006),$V$1006:$AE$1006,0)), HYPERLINK("#",""), HYPERLINK(CONCATENATE("#Metadata!", ADDRESS(INDEX($Q$2:$Q$1001,MATCH(ROWS($O$2:O308),$O$2:$O$1001,0),0), INDEX($V$1004:$AE$1004,1,MATCH(COLUMNS($V$1006:V1006),$V$1006:$AE$1006,0)))),"Fix")))</f>
        <v>0</v>
      </c>
      <c r="C308" s="4">
        <f>IF(OR(INDEX($P$2:$P$1001,MATCH(ROWS($O$2:O308),$O$2:$O$1001,0),1)&gt;=100000,INDEX($V$1005:$AE$1005,1,MATCH(COLUMNS($V$1006:W1006),$V$1006:$AE$1006,0))&gt;=100000), " ",IF(INDEX($V$2:$AE$1001,MATCH(ROWS($O$2:O308),$O$2:$O$1001,0),MATCH(COLUMNS($V$1006:W1006),$V$1006:$AE$1006,0)), HYPERLINK("#",""), HYPERLINK(CONCATENATE("#Metadata!", ADDRESS(INDEX($Q$2:$Q$1001,MATCH(ROWS($O$2:O308),$O$2:$O$1001,0),0), INDEX($V$1004:$AE$1004,1,MATCH(COLUMNS($V$1006:W1006),$V$1006:$AE$1006,0)))),"Fix")))</f>
        <v>0</v>
      </c>
      <c r="D308" s="4">
        <f>IF(OR(INDEX($P$2:$P$1001,MATCH(ROWS($O$2:O308),$O$2:$O$1001,0),1)&gt;=100000,INDEX($V$1005:$AE$1005,1,MATCH(COLUMNS($V$1006:X1006),$V$1006:$AE$1006,0))&gt;=100000), " ",IF(INDEX($V$2:$AE$1001,MATCH(ROWS($O$2:O308),$O$2:$O$1001,0),MATCH(COLUMNS($V$1006:X1006),$V$1006:$AE$1006,0)), HYPERLINK("#",""), HYPERLINK(CONCATENATE("#Metadata!", ADDRESS(INDEX($Q$2:$Q$1001,MATCH(ROWS($O$2:O308),$O$2:$O$1001,0),0), INDEX($V$1004:$AE$1004,1,MATCH(COLUMNS($V$1006:X1006),$V$1006:$AE$1006,0)))),"Fix")))</f>
        <v>0</v>
      </c>
      <c r="E308" s="4">
        <f>IF(OR(INDEX($P$2:$P$1001,MATCH(ROWS($O$2:O308),$O$2:$O$1001,0),1)&gt;=100000,INDEX($V$1005:$AE$1005,1,MATCH(COLUMNS($V$1006:Y1006),$V$1006:$AE$1006,0))&gt;=100000), " ",IF(INDEX($V$2:$AE$1001,MATCH(ROWS($O$2:O308),$O$2:$O$1001,0),MATCH(COLUMNS($V$1006:Y1006),$V$1006:$AE$1006,0)), HYPERLINK("#",""), HYPERLINK(CONCATENATE("#Metadata!", ADDRESS(INDEX($Q$2:$Q$1001,MATCH(ROWS($O$2:O308),$O$2:$O$1001,0),0), INDEX($V$1004:$AE$1004,1,MATCH(COLUMNS($V$1006:Y1006),$V$1006:$AE$1006,0)))),"Fix")))</f>
        <v>0</v>
      </c>
      <c r="F308" s="4">
        <f>IF(OR(INDEX($P$2:$P$1001,MATCH(ROWS($O$2:O308),$O$2:$O$1001,0),1)&gt;=100000,INDEX($V$1005:$AE$1005,1,MATCH(COLUMNS($V$1006:Z1006),$V$1006:$AE$1006,0))&gt;=100000), " ",IF(INDEX($V$2:$AE$1001,MATCH(ROWS($O$2:O308),$O$2:$O$1001,0),MATCH(COLUMNS($V$1006:Z1006),$V$1006:$AE$1006,0)), HYPERLINK("#",""), HYPERLINK(CONCATENATE("#Metadata!", ADDRESS(INDEX($Q$2:$Q$1001,MATCH(ROWS($O$2:O308),$O$2:$O$1001,0),0), INDEX($V$1004:$AE$1004,1,MATCH(COLUMNS($V$1006:Z1006),$V$1006:$AE$1006,0)))),"Fix")))</f>
        <v>0</v>
      </c>
      <c r="G308" s="4">
        <f>IF(OR(INDEX($P$2:$P$1001,MATCH(ROWS($O$2:O308),$O$2:$O$1001,0),1)&gt;=100000,INDEX($V$1005:$AE$1005,1,MATCH(COLUMNS($V$1006:AA1006),$V$1006:$AE$1006,0))&gt;=100000), " ",IF(INDEX($V$2:$AE$1001,MATCH(ROWS($O$2:O308),$O$2:$O$1001,0),MATCH(COLUMNS($V$1006:AA1006),$V$1006:$AE$1006,0)), HYPERLINK("#",""), HYPERLINK(CONCATENATE("#Metadata!", ADDRESS(INDEX($Q$2:$Q$1001,MATCH(ROWS($O$2:O308),$O$2:$O$1001,0),0), INDEX($V$1004:$AE$1004,1,MATCH(COLUMNS($V$1006:AA1006),$V$1006:$AE$1006,0)))),"Fix")))</f>
        <v>0</v>
      </c>
      <c r="H308" s="4">
        <f>IF(OR(INDEX($P$2:$P$1001,MATCH(ROWS($O$2:O308),$O$2:$O$1001,0),1)&gt;=100000,INDEX($V$1005:$AE$1005,1,MATCH(COLUMNS($V$1006:AB1006),$V$1006:$AE$1006,0))&gt;=100000), " ",IF(INDEX($V$2:$AE$1001,MATCH(ROWS($O$2:O308),$O$2:$O$1001,0),MATCH(COLUMNS($V$1006:AB1006),$V$1006:$AE$1006,0)), HYPERLINK("#",""), HYPERLINK(CONCATENATE("#Metadata!", ADDRESS(INDEX($Q$2:$Q$1001,MATCH(ROWS($O$2:O308),$O$2:$O$1001,0),0), INDEX($V$1004:$AE$1004,1,MATCH(COLUMNS($V$1006:AB1006),$V$1006:$AE$1006,0)))),"Fix")))</f>
        <v>0</v>
      </c>
      <c r="I308" s="4">
        <f>IF(OR(INDEX($P$2:$P$1001,MATCH(ROWS($O$2:O308),$O$2:$O$1001,0),1)&gt;=100000,INDEX($V$1005:$AE$1005,1,MATCH(COLUMNS($V$1006:AC1006),$V$1006:$AE$1006,0))&gt;=100000), " ",IF(INDEX($V$2:$AE$1001,MATCH(ROWS($O$2:O308),$O$2:$O$1001,0),MATCH(COLUMNS($V$1006:AC1006),$V$1006:$AE$1006,0)), HYPERLINK("#",""), HYPERLINK(CONCATENATE("#Metadata!", ADDRESS(INDEX($Q$2:$Q$1001,MATCH(ROWS($O$2:O308),$O$2:$O$1001,0),0), INDEX($V$1004:$AE$1004,1,MATCH(COLUMNS($V$1006:AC1006),$V$1006:$AE$1006,0)))),"Fix")))</f>
        <v>0</v>
      </c>
      <c r="J308" s="4">
        <f>IF(OR(INDEX($P$2:$P$1001,MATCH(ROWS($O$2:O308),$O$2:$O$1001,0),1)&gt;=100000,INDEX($V$1005:$AE$1005,1,MATCH(COLUMNS($V$1006:AD1006),$V$1006:$AE$1006,0))&gt;=100000), " ",IF(INDEX($V$2:$AE$1001,MATCH(ROWS($O$2:O308),$O$2:$O$1001,0),MATCH(COLUMNS($V$1006:AD1006),$V$1006:$AE$1006,0)), HYPERLINK("#",""), HYPERLINK(CONCATENATE("#Metadata!", ADDRESS(INDEX($Q$2:$Q$1001,MATCH(ROWS($O$2:O308),$O$2:$O$1001,0),0), INDEX($V$1004:$AE$1004,1,MATCH(COLUMNS($V$1006:AD1006),$V$1006:$AE$1006,0)))),"Fix")))</f>
        <v>0</v>
      </c>
      <c r="K308" s="4">
        <f>IF(OR(INDEX($P$2:$P$1001,MATCH(ROWS($O$2:O308),$O$2:$O$1001,0),1)&gt;=100000,INDEX($V$1005:$AE$1005,1,MATCH(COLUMNS($V$1006:AE1006),$V$1006:$AE$1006,0))&gt;=100000), " ",IF(INDEX($V$2:$AE$1001,MATCH(ROWS($O$2:O308),$O$2:$O$1001,0),MATCH(COLUMNS($V$1006:AE1006),$V$1006:$AE$1006,0)), HYPERLINK("#",""), HYPERLINK(CONCATENATE("#Metadata!", ADDRESS(INDEX($Q$2:$Q$1001,MATCH(ROWS($O$2:O308),$O$2:$O$1001,0),0), INDEX($V$1004:$AE$1004,1,MATCH(COLUMNS($V$1006:AE1006),$V$1006:$AE$1006,0)))),"Fix")))</f>
        <v>0</v>
      </c>
      <c r="O308">
        <v>0</v>
      </c>
      <c r="P308">
        <v>0</v>
      </c>
      <c r="Q308">
        <v>0</v>
      </c>
      <c r="R308">
        <f>IF(S308,TRUE,AND(V308:AE308))</f>
        <v>0</v>
      </c>
      <c r="S308">
        <f>COUNTBLANK(Metadata!B308:K308)=COLUMNS(Metadata!B308:K308)</f>
        <v>0</v>
      </c>
      <c r="T308">
        <v>0</v>
      </c>
      <c r="V308">
        <f>AND(IF(Metadata!B308="",FALSE,TRUE),COUNTIF(Metadata!B:B, Metadata!B308) = 1,NOT(ISERROR(SUMPRODUCT(SEARCH(MID(Metadata!B308,ROW(INDIRECT("1:"&amp;LEN(Metadata!B308))), 1),"0123456789abcdefghijklmnopqrstuvwxyzABCDEFGHIJKLMNOPQRSTUVWXYZ.")))))</f>
        <v>0</v>
      </c>
      <c r="W308">
        <f>AND(IF(Metadata!C308="",FALSE,TRUE),exact(Metadata!C308,"urban biome"))</f>
        <v>0</v>
      </c>
      <c r="X308">
        <f>AND(IF(Metadata!D308="",FALSE,TRUE),exact(Metadata!D308,"animal-associated habitat"))</f>
        <v>0</v>
      </c>
      <c r="Y308">
        <f>OR(AND(IF(Metadata!E308="",FALSE,TRUE),OR(exact(Metadata!E308,"not applicable"),exact(Metadata!E308,"missing: not collected"),exact(Metadata!E308,"missing: not provided"),exact(Metadata!E308,"missing: restricted access"))),AND(IF(Metadata!E308="",FALSE,ISNUMBER(VALUE(Metadata!E308))),Metadata!E308&gt;0))</f>
        <v>0</v>
      </c>
      <c r="Z308">
        <f>AND(IF(Metadata!F308="",FALSE,TRUE),exact(Metadata!F308,"weeks"))</f>
        <v>0</v>
      </c>
      <c r="AA308">
        <f>AND(IF(Metadata!G308="",FALSE,TRUE),exact(Metadata!G308,"mouse"))</f>
        <v>0</v>
      </c>
      <c r="AB308">
        <f>AND(IF(Metadata!H308="",FALSE,TRUE),exact(Metadata!H308,"Mus musculus"))</f>
        <v>0</v>
      </c>
      <c r="AC308">
        <f>AND(IF(Metadata!I308="",FALSE,TRUE),exact(Metadata!I308,"10090"))</f>
        <v>0</v>
      </c>
      <c r="AD308">
        <f>OR(AND(IF(Metadata!J308="",FALSE,TRUE),OR(exact(Metadata!J308,"not applicable"),exact(Metadata!J308,"missing: not collected"),exact(Metadata!J308,"missing: not provided"),exact(Metadata!J308,"missing: restricted access"))),AND(IF(Metadata!J308="",FALSE,ISNUMBER(VALUE(Metadata!J308))),Metadata!J308&gt;0))</f>
        <v>0</v>
      </c>
      <c r="AE308">
        <f>AND(IF(Metadata!K308="",FALSE,TRUE),exact(Metadata!K308,"g"))</f>
        <v>0</v>
      </c>
    </row>
    <row r="309" spans="1:31">
      <c r="A309" s="5">
        <f>IF(B309=" "," ",HYPERLINK(CONCATENATE("#metadata!",ADDRESS(INDEX($Q$2:$Q$1001,MATCH(ROWS($O$2:O309),$O$2:$O$1001,0),0),1)),INDEX($T$2:$T$1001,MATCH(ROWS($O$2:O309),$O$2:$O$1001,0),0)))</f>
        <v>0</v>
      </c>
      <c r="B309" s="4">
        <f>IF(OR(INDEX($P$2:$P$1001,MATCH(ROWS($O$2:O309),$O$2:$O$1001,0),1)&gt;=100000,INDEX($V$1005:$AE$1005,1,MATCH(COLUMNS($V$1006:V1006),$V$1006:$AE$1006,0))&gt;=100000), " ",IF(INDEX($V$2:$AE$1001,MATCH(ROWS($O$2:O309),$O$2:$O$1001,0),MATCH(COLUMNS($V$1006:V1006),$V$1006:$AE$1006,0)), HYPERLINK("#",""), HYPERLINK(CONCATENATE("#Metadata!", ADDRESS(INDEX($Q$2:$Q$1001,MATCH(ROWS($O$2:O309),$O$2:$O$1001,0),0), INDEX($V$1004:$AE$1004,1,MATCH(COLUMNS($V$1006:V1006),$V$1006:$AE$1006,0)))),"Fix")))</f>
        <v>0</v>
      </c>
      <c r="C309" s="4">
        <f>IF(OR(INDEX($P$2:$P$1001,MATCH(ROWS($O$2:O309),$O$2:$O$1001,0),1)&gt;=100000,INDEX($V$1005:$AE$1005,1,MATCH(COLUMNS($V$1006:W1006),$V$1006:$AE$1006,0))&gt;=100000), " ",IF(INDEX($V$2:$AE$1001,MATCH(ROWS($O$2:O309),$O$2:$O$1001,0),MATCH(COLUMNS($V$1006:W1006),$V$1006:$AE$1006,0)), HYPERLINK("#",""), HYPERLINK(CONCATENATE("#Metadata!", ADDRESS(INDEX($Q$2:$Q$1001,MATCH(ROWS($O$2:O309),$O$2:$O$1001,0),0), INDEX($V$1004:$AE$1004,1,MATCH(COLUMNS($V$1006:W1006),$V$1006:$AE$1006,0)))),"Fix")))</f>
        <v>0</v>
      </c>
      <c r="D309" s="4">
        <f>IF(OR(INDEX($P$2:$P$1001,MATCH(ROWS($O$2:O309),$O$2:$O$1001,0),1)&gt;=100000,INDEX($V$1005:$AE$1005,1,MATCH(COLUMNS($V$1006:X1006),$V$1006:$AE$1006,0))&gt;=100000), " ",IF(INDEX($V$2:$AE$1001,MATCH(ROWS($O$2:O309),$O$2:$O$1001,0),MATCH(COLUMNS($V$1006:X1006),$V$1006:$AE$1006,0)), HYPERLINK("#",""), HYPERLINK(CONCATENATE("#Metadata!", ADDRESS(INDEX($Q$2:$Q$1001,MATCH(ROWS($O$2:O309),$O$2:$O$1001,0),0), INDEX($V$1004:$AE$1004,1,MATCH(COLUMNS($V$1006:X1006),$V$1006:$AE$1006,0)))),"Fix")))</f>
        <v>0</v>
      </c>
      <c r="E309" s="4">
        <f>IF(OR(INDEX($P$2:$P$1001,MATCH(ROWS($O$2:O309),$O$2:$O$1001,0),1)&gt;=100000,INDEX($V$1005:$AE$1005,1,MATCH(COLUMNS($V$1006:Y1006),$V$1006:$AE$1006,0))&gt;=100000), " ",IF(INDEX($V$2:$AE$1001,MATCH(ROWS($O$2:O309),$O$2:$O$1001,0),MATCH(COLUMNS($V$1006:Y1006),$V$1006:$AE$1006,0)), HYPERLINK("#",""), HYPERLINK(CONCATENATE("#Metadata!", ADDRESS(INDEX($Q$2:$Q$1001,MATCH(ROWS($O$2:O309),$O$2:$O$1001,0),0), INDEX($V$1004:$AE$1004,1,MATCH(COLUMNS($V$1006:Y1006),$V$1006:$AE$1006,0)))),"Fix")))</f>
        <v>0</v>
      </c>
      <c r="F309" s="4">
        <f>IF(OR(INDEX($P$2:$P$1001,MATCH(ROWS($O$2:O309),$O$2:$O$1001,0),1)&gt;=100000,INDEX($V$1005:$AE$1005,1,MATCH(COLUMNS($V$1006:Z1006),$V$1006:$AE$1006,0))&gt;=100000), " ",IF(INDEX($V$2:$AE$1001,MATCH(ROWS($O$2:O309),$O$2:$O$1001,0),MATCH(COLUMNS($V$1006:Z1006),$V$1006:$AE$1006,0)), HYPERLINK("#",""), HYPERLINK(CONCATENATE("#Metadata!", ADDRESS(INDEX($Q$2:$Q$1001,MATCH(ROWS($O$2:O309),$O$2:$O$1001,0),0), INDEX($V$1004:$AE$1004,1,MATCH(COLUMNS($V$1006:Z1006),$V$1006:$AE$1006,0)))),"Fix")))</f>
        <v>0</v>
      </c>
      <c r="G309" s="4">
        <f>IF(OR(INDEX($P$2:$P$1001,MATCH(ROWS($O$2:O309),$O$2:$O$1001,0),1)&gt;=100000,INDEX($V$1005:$AE$1005,1,MATCH(COLUMNS($V$1006:AA1006),$V$1006:$AE$1006,0))&gt;=100000), " ",IF(INDEX($V$2:$AE$1001,MATCH(ROWS($O$2:O309),$O$2:$O$1001,0),MATCH(COLUMNS($V$1006:AA1006),$V$1006:$AE$1006,0)), HYPERLINK("#",""), HYPERLINK(CONCATENATE("#Metadata!", ADDRESS(INDEX($Q$2:$Q$1001,MATCH(ROWS($O$2:O309),$O$2:$O$1001,0),0), INDEX($V$1004:$AE$1004,1,MATCH(COLUMNS($V$1006:AA1006),$V$1006:$AE$1006,0)))),"Fix")))</f>
        <v>0</v>
      </c>
      <c r="H309" s="4">
        <f>IF(OR(INDEX($P$2:$P$1001,MATCH(ROWS($O$2:O309),$O$2:$O$1001,0),1)&gt;=100000,INDEX($V$1005:$AE$1005,1,MATCH(COLUMNS($V$1006:AB1006),$V$1006:$AE$1006,0))&gt;=100000), " ",IF(INDEX($V$2:$AE$1001,MATCH(ROWS($O$2:O309),$O$2:$O$1001,0),MATCH(COLUMNS($V$1006:AB1006),$V$1006:$AE$1006,0)), HYPERLINK("#",""), HYPERLINK(CONCATENATE("#Metadata!", ADDRESS(INDEX($Q$2:$Q$1001,MATCH(ROWS($O$2:O309),$O$2:$O$1001,0),0), INDEX($V$1004:$AE$1004,1,MATCH(COLUMNS($V$1006:AB1006),$V$1006:$AE$1006,0)))),"Fix")))</f>
        <v>0</v>
      </c>
      <c r="I309" s="4">
        <f>IF(OR(INDEX($P$2:$P$1001,MATCH(ROWS($O$2:O309),$O$2:$O$1001,0),1)&gt;=100000,INDEX($V$1005:$AE$1005,1,MATCH(COLUMNS($V$1006:AC1006),$V$1006:$AE$1006,0))&gt;=100000), " ",IF(INDEX($V$2:$AE$1001,MATCH(ROWS($O$2:O309),$O$2:$O$1001,0),MATCH(COLUMNS($V$1006:AC1006),$V$1006:$AE$1006,0)), HYPERLINK("#",""), HYPERLINK(CONCATENATE("#Metadata!", ADDRESS(INDEX($Q$2:$Q$1001,MATCH(ROWS($O$2:O309),$O$2:$O$1001,0),0), INDEX($V$1004:$AE$1004,1,MATCH(COLUMNS($V$1006:AC1006),$V$1006:$AE$1006,0)))),"Fix")))</f>
        <v>0</v>
      </c>
      <c r="J309" s="4">
        <f>IF(OR(INDEX($P$2:$P$1001,MATCH(ROWS($O$2:O309),$O$2:$O$1001,0),1)&gt;=100000,INDEX($V$1005:$AE$1005,1,MATCH(COLUMNS($V$1006:AD1006),$V$1006:$AE$1006,0))&gt;=100000), " ",IF(INDEX($V$2:$AE$1001,MATCH(ROWS($O$2:O309),$O$2:$O$1001,0),MATCH(COLUMNS($V$1006:AD1006),$V$1006:$AE$1006,0)), HYPERLINK("#",""), HYPERLINK(CONCATENATE("#Metadata!", ADDRESS(INDEX($Q$2:$Q$1001,MATCH(ROWS($O$2:O309),$O$2:$O$1001,0),0), INDEX($V$1004:$AE$1004,1,MATCH(COLUMNS($V$1006:AD1006),$V$1006:$AE$1006,0)))),"Fix")))</f>
        <v>0</v>
      </c>
      <c r="K309" s="4">
        <f>IF(OR(INDEX($P$2:$P$1001,MATCH(ROWS($O$2:O309),$O$2:$O$1001,0),1)&gt;=100000,INDEX($V$1005:$AE$1005,1,MATCH(COLUMNS($V$1006:AE1006),$V$1006:$AE$1006,0))&gt;=100000), " ",IF(INDEX($V$2:$AE$1001,MATCH(ROWS($O$2:O309),$O$2:$O$1001,0),MATCH(COLUMNS($V$1006:AE1006),$V$1006:$AE$1006,0)), HYPERLINK("#",""), HYPERLINK(CONCATENATE("#Metadata!", ADDRESS(INDEX($Q$2:$Q$1001,MATCH(ROWS($O$2:O309),$O$2:$O$1001,0),0), INDEX($V$1004:$AE$1004,1,MATCH(COLUMNS($V$1006:AE1006),$V$1006:$AE$1006,0)))),"Fix")))</f>
        <v>0</v>
      </c>
      <c r="O309">
        <v>0</v>
      </c>
      <c r="P309">
        <v>0</v>
      </c>
      <c r="Q309">
        <v>0</v>
      </c>
      <c r="R309">
        <f>IF(S309,TRUE,AND(V309:AE309))</f>
        <v>0</v>
      </c>
      <c r="S309">
        <f>COUNTBLANK(Metadata!B309:K309)=COLUMNS(Metadata!B309:K309)</f>
        <v>0</v>
      </c>
      <c r="T309">
        <v>0</v>
      </c>
      <c r="V309">
        <f>AND(IF(Metadata!B309="",FALSE,TRUE),COUNTIF(Metadata!B:B, Metadata!B309) = 1,NOT(ISERROR(SUMPRODUCT(SEARCH(MID(Metadata!B309,ROW(INDIRECT("1:"&amp;LEN(Metadata!B309))), 1),"0123456789abcdefghijklmnopqrstuvwxyzABCDEFGHIJKLMNOPQRSTUVWXYZ.")))))</f>
        <v>0</v>
      </c>
      <c r="W309">
        <f>AND(IF(Metadata!C309="",FALSE,TRUE),exact(Metadata!C309,"urban biome"))</f>
        <v>0</v>
      </c>
      <c r="X309">
        <f>AND(IF(Metadata!D309="",FALSE,TRUE),exact(Metadata!D309,"animal-associated habitat"))</f>
        <v>0</v>
      </c>
      <c r="Y309">
        <f>OR(AND(IF(Metadata!E309="",FALSE,TRUE),OR(exact(Metadata!E309,"not applicable"),exact(Metadata!E309,"missing: not collected"),exact(Metadata!E309,"missing: not provided"),exact(Metadata!E309,"missing: restricted access"))),AND(IF(Metadata!E309="",FALSE,ISNUMBER(VALUE(Metadata!E309))),Metadata!E309&gt;0))</f>
        <v>0</v>
      </c>
      <c r="Z309">
        <f>AND(IF(Metadata!F309="",FALSE,TRUE),exact(Metadata!F309,"weeks"))</f>
        <v>0</v>
      </c>
      <c r="AA309">
        <f>AND(IF(Metadata!G309="",FALSE,TRUE),exact(Metadata!G309,"mouse"))</f>
        <v>0</v>
      </c>
      <c r="AB309">
        <f>AND(IF(Metadata!H309="",FALSE,TRUE),exact(Metadata!H309,"Mus musculus"))</f>
        <v>0</v>
      </c>
      <c r="AC309">
        <f>AND(IF(Metadata!I309="",FALSE,TRUE),exact(Metadata!I309,"10090"))</f>
        <v>0</v>
      </c>
      <c r="AD309">
        <f>OR(AND(IF(Metadata!J309="",FALSE,TRUE),OR(exact(Metadata!J309,"not applicable"),exact(Metadata!J309,"missing: not collected"),exact(Metadata!J309,"missing: not provided"),exact(Metadata!J309,"missing: restricted access"))),AND(IF(Metadata!J309="",FALSE,ISNUMBER(VALUE(Metadata!J309))),Metadata!J309&gt;0))</f>
        <v>0</v>
      </c>
      <c r="AE309">
        <f>AND(IF(Metadata!K309="",FALSE,TRUE),exact(Metadata!K309,"g"))</f>
        <v>0</v>
      </c>
    </row>
    <row r="310" spans="1:31">
      <c r="A310" s="5">
        <f>IF(B310=" "," ",HYPERLINK(CONCATENATE("#metadata!",ADDRESS(INDEX($Q$2:$Q$1001,MATCH(ROWS($O$2:O310),$O$2:$O$1001,0),0),1)),INDEX($T$2:$T$1001,MATCH(ROWS($O$2:O310),$O$2:$O$1001,0),0)))</f>
        <v>0</v>
      </c>
      <c r="B310" s="4">
        <f>IF(OR(INDEX($P$2:$P$1001,MATCH(ROWS($O$2:O310),$O$2:$O$1001,0),1)&gt;=100000,INDEX($V$1005:$AE$1005,1,MATCH(COLUMNS($V$1006:V1006),$V$1006:$AE$1006,0))&gt;=100000), " ",IF(INDEX($V$2:$AE$1001,MATCH(ROWS($O$2:O310),$O$2:$O$1001,0),MATCH(COLUMNS($V$1006:V1006),$V$1006:$AE$1006,0)), HYPERLINK("#",""), HYPERLINK(CONCATENATE("#Metadata!", ADDRESS(INDEX($Q$2:$Q$1001,MATCH(ROWS($O$2:O310),$O$2:$O$1001,0),0), INDEX($V$1004:$AE$1004,1,MATCH(COLUMNS($V$1006:V1006),$V$1006:$AE$1006,0)))),"Fix")))</f>
        <v>0</v>
      </c>
      <c r="C310" s="4">
        <f>IF(OR(INDEX($P$2:$P$1001,MATCH(ROWS($O$2:O310),$O$2:$O$1001,0),1)&gt;=100000,INDEX($V$1005:$AE$1005,1,MATCH(COLUMNS($V$1006:W1006),$V$1006:$AE$1006,0))&gt;=100000), " ",IF(INDEX($V$2:$AE$1001,MATCH(ROWS($O$2:O310),$O$2:$O$1001,0),MATCH(COLUMNS($V$1006:W1006),$V$1006:$AE$1006,0)), HYPERLINK("#",""), HYPERLINK(CONCATENATE("#Metadata!", ADDRESS(INDEX($Q$2:$Q$1001,MATCH(ROWS($O$2:O310),$O$2:$O$1001,0),0), INDEX($V$1004:$AE$1004,1,MATCH(COLUMNS($V$1006:W1006),$V$1006:$AE$1006,0)))),"Fix")))</f>
        <v>0</v>
      </c>
      <c r="D310" s="4">
        <f>IF(OR(INDEX($P$2:$P$1001,MATCH(ROWS($O$2:O310),$O$2:$O$1001,0),1)&gt;=100000,INDEX($V$1005:$AE$1005,1,MATCH(COLUMNS($V$1006:X1006),$V$1006:$AE$1006,0))&gt;=100000), " ",IF(INDEX($V$2:$AE$1001,MATCH(ROWS($O$2:O310),$O$2:$O$1001,0),MATCH(COLUMNS($V$1006:X1006),$V$1006:$AE$1006,0)), HYPERLINK("#",""), HYPERLINK(CONCATENATE("#Metadata!", ADDRESS(INDEX($Q$2:$Q$1001,MATCH(ROWS($O$2:O310),$O$2:$O$1001,0),0), INDEX($V$1004:$AE$1004,1,MATCH(COLUMNS($V$1006:X1006),$V$1006:$AE$1006,0)))),"Fix")))</f>
        <v>0</v>
      </c>
      <c r="E310" s="4">
        <f>IF(OR(INDEX($P$2:$P$1001,MATCH(ROWS($O$2:O310),$O$2:$O$1001,0),1)&gt;=100000,INDEX($V$1005:$AE$1005,1,MATCH(COLUMNS($V$1006:Y1006),$V$1006:$AE$1006,0))&gt;=100000), " ",IF(INDEX($V$2:$AE$1001,MATCH(ROWS($O$2:O310),$O$2:$O$1001,0),MATCH(COLUMNS($V$1006:Y1006),$V$1006:$AE$1006,0)), HYPERLINK("#",""), HYPERLINK(CONCATENATE("#Metadata!", ADDRESS(INDEX($Q$2:$Q$1001,MATCH(ROWS($O$2:O310),$O$2:$O$1001,0),0), INDEX($V$1004:$AE$1004,1,MATCH(COLUMNS($V$1006:Y1006),$V$1006:$AE$1006,0)))),"Fix")))</f>
        <v>0</v>
      </c>
      <c r="F310" s="4">
        <f>IF(OR(INDEX($P$2:$P$1001,MATCH(ROWS($O$2:O310),$O$2:$O$1001,0),1)&gt;=100000,INDEX($V$1005:$AE$1005,1,MATCH(COLUMNS($V$1006:Z1006),$V$1006:$AE$1006,0))&gt;=100000), " ",IF(INDEX($V$2:$AE$1001,MATCH(ROWS($O$2:O310),$O$2:$O$1001,0),MATCH(COLUMNS($V$1006:Z1006),$V$1006:$AE$1006,0)), HYPERLINK("#",""), HYPERLINK(CONCATENATE("#Metadata!", ADDRESS(INDEX($Q$2:$Q$1001,MATCH(ROWS($O$2:O310),$O$2:$O$1001,0),0), INDEX($V$1004:$AE$1004,1,MATCH(COLUMNS($V$1006:Z1006),$V$1006:$AE$1006,0)))),"Fix")))</f>
        <v>0</v>
      </c>
      <c r="G310" s="4">
        <f>IF(OR(INDEX($P$2:$P$1001,MATCH(ROWS($O$2:O310),$O$2:$O$1001,0),1)&gt;=100000,INDEX($V$1005:$AE$1005,1,MATCH(COLUMNS($V$1006:AA1006),$V$1006:$AE$1006,0))&gt;=100000), " ",IF(INDEX($V$2:$AE$1001,MATCH(ROWS($O$2:O310),$O$2:$O$1001,0),MATCH(COLUMNS($V$1006:AA1006),$V$1006:$AE$1006,0)), HYPERLINK("#",""), HYPERLINK(CONCATENATE("#Metadata!", ADDRESS(INDEX($Q$2:$Q$1001,MATCH(ROWS($O$2:O310),$O$2:$O$1001,0),0), INDEX($V$1004:$AE$1004,1,MATCH(COLUMNS($V$1006:AA1006),$V$1006:$AE$1006,0)))),"Fix")))</f>
        <v>0</v>
      </c>
      <c r="H310" s="4">
        <f>IF(OR(INDEX($P$2:$P$1001,MATCH(ROWS($O$2:O310),$O$2:$O$1001,0),1)&gt;=100000,INDEX($V$1005:$AE$1005,1,MATCH(COLUMNS($V$1006:AB1006),$V$1006:$AE$1006,0))&gt;=100000), " ",IF(INDEX($V$2:$AE$1001,MATCH(ROWS($O$2:O310),$O$2:$O$1001,0),MATCH(COLUMNS($V$1006:AB1006),$V$1006:$AE$1006,0)), HYPERLINK("#",""), HYPERLINK(CONCATENATE("#Metadata!", ADDRESS(INDEX($Q$2:$Q$1001,MATCH(ROWS($O$2:O310),$O$2:$O$1001,0),0), INDEX($V$1004:$AE$1004,1,MATCH(COLUMNS($V$1006:AB1006),$V$1006:$AE$1006,0)))),"Fix")))</f>
        <v>0</v>
      </c>
      <c r="I310" s="4">
        <f>IF(OR(INDEX($P$2:$P$1001,MATCH(ROWS($O$2:O310),$O$2:$O$1001,0),1)&gt;=100000,INDEX($V$1005:$AE$1005,1,MATCH(COLUMNS($V$1006:AC1006),$V$1006:$AE$1006,0))&gt;=100000), " ",IF(INDEX($V$2:$AE$1001,MATCH(ROWS($O$2:O310),$O$2:$O$1001,0),MATCH(COLUMNS($V$1006:AC1006),$V$1006:$AE$1006,0)), HYPERLINK("#",""), HYPERLINK(CONCATENATE("#Metadata!", ADDRESS(INDEX($Q$2:$Q$1001,MATCH(ROWS($O$2:O310),$O$2:$O$1001,0),0), INDEX($V$1004:$AE$1004,1,MATCH(COLUMNS($V$1006:AC1006),$V$1006:$AE$1006,0)))),"Fix")))</f>
        <v>0</v>
      </c>
      <c r="J310" s="4">
        <f>IF(OR(INDEX($P$2:$P$1001,MATCH(ROWS($O$2:O310),$O$2:$O$1001,0),1)&gt;=100000,INDEX($V$1005:$AE$1005,1,MATCH(COLUMNS($V$1006:AD1006),$V$1006:$AE$1006,0))&gt;=100000), " ",IF(INDEX($V$2:$AE$1001,MATCH(ROWS($O$2:O310),$O$2:$O$1001,0),MATCH(COLUMNS($V$1006:AD1006),$V$1006:$AE$1006,0)), HYPERLINK("#",""), HYPERLINK(CONCATENATE("#Metadata!", ADDRESS(INDEX($Q$2:$Q$1001,MATCH(ROWS($O$2:O310),$O$2:$O$1001,0),0), INDEX($V$1004:$AE$1004,1,MATCH(COLUMNS($V$1006:AD1006),$V$1006:$AE$1006,0)))),"Fix")))</f>
        <v>0</v>
      </c>
      <c r="K310" s="4">
        <f>IF(OR(INDEX($P$2:$P$1001,MATCH(ROWS($O$2:O310),$O$2:$O$1001,0),1)&gt;=100000,INDEX($V$1005:$AE$1005,1,MATCH(COLUMNS($V$1006:AE1006),$V$1006:$AE$1006,0))&gt;=100000), " ",IF(INDEX($V$2:$AE$1001,MATCH(ROWS($O$2:O310),$O$2:$O$1001,0),MATCH(COLUMNS($V$1006:AE1006),$V$1006:$AE$1006,0)), HYPERLINK("#",""), HYPERLINK(CONCATENATE("#Metadata!", ADDRESS(INDEX($Q$2:$Q$1001,MATCH(ROWS($O$2:O310),$O$2:$O$1001,0),0), INDEX($V$1004:$AE$1004,1,MATCH(COLUMNS($V$1006:AE1006),$V$1006:$AE$1006,0)))),"Fix")))</f>
        <v>0</v>
      </c>
      <c r="O310">
        <v>0</v>
      </c>
      <c r="P310">
        <v>0</v>
      </c>
      <c r="Q310">
        <v>0</v>
      </c>
      <c r="R310">
        <f>IF(S310,TRUE,AND(V310:AE310))</f>
        <v>0</v>
      </c>
      <c r="S310">
        <f>COUNTBLANK(Metadata!B310:K310)=COLUMNS(Metadata!B310:K310)</f>
        <v>0</v>
      </c>
      <c r="T310">
        <v>0</v>
      </c>
      <c r="V310">
        <f>AND(IF(Metadata!B310="",FALSE,TRUE),COUNTIF(Metadata!B:B, Metadata!B310) = 1,NOT(ISERROR(SUMPRODUCT(SEARCH(MID(Metadata!B310,ROW(INDIRECT("1:"&amp;LEN(Metadata!B310))), 1),"0123456789abcdefghijklmnopqrstuvwxyzABCDEFGHIJKLMNOPQRSTUVWXYZ.")))))</f>
        <v>0</v>
      </c>
      <c r="W310">
        <f>AND(IF(Metadata!C310="",FALSE,TRUE),exact(Metadata!C310,"urban biome"))</f>
        <v>0</v>
      </c>
      <c r="X310">
        <f>AND(IF(Metadata!D310="",FALSE,TRUE),exact(Metadata!D310,"animal-associated habitat"))</f>
        <v>0</v>
      </c>
      <c r="Y310">
        <f>OR(AND(IF(Metadata!E310="",FALSE,TRUE),OR(exact(Metadata!E310,"not applicable"),exact(Metadata!E310,"missing: not collected"),exact(Metadata!E310,"missing: not provided"),exact(Metadata!E310,"missing: restricted access"))),AND(IF(Metadata!E310="",FALSE,ISNUMBER(VALUE(Metadata!E310))),Metadata!E310&gt;0))</f>
        <v>0</v>
      </c>
      <c r="Z310">
        <f>AND(IF(Metadata!F310="",FALSE,TRUE),exact(Metadata!F310,"weeks"))</f>
        <v>0</v>
      </c>
      <c r="AA310">
        <f>AND(IF(Metadata!G310="",FALSE,TRUE),exact(Metadata!G310,"mouse"))</f>
        <v>0</v>
      </c>
      <c r="AB310">
        <f>AND(IF(Metadata!H310="",FALSE,TRUE),exact(Metadata!H310,"Mus musculus"))</f>
        <v>0</v>
      </c>
      <c r="AC310">
        <f>AND(IF(Metadata!I310="",FALSE,TRUE),exact(Metadata!I310,"10090"))</f>
        <v>0</v>
      </c>
      <c r="AD310">
        <f>OR(AND(IF(Metadata!J310="",FALSE,TRUE),OR(exact(Metadata!J310,"not applicable"),exact(Metadata!J310,"missing: not collected"),exact(Metadata!J310,"missing: not provided"),exact(Metadata!J310,"missing: restricted access"))),AND(IF(Metadata!J310="",FALSE,ISNUMBER(VALUE(Metadata!J310))),Metadata!J310&gt;0))</f>
        <v>0</v>
      </c>
      <c r="AE310">
        <f>AND(IF(Metadata!K310="",FALSE,TRUE),exact(Metadata!K310,"g"))</f>
        <v>0</v>
      </c>
    </row>
    <row r="311" spans="1:31">
      <c r="A311" s="5">
        <f>IF(B311=" "," ",HYPERLINK(CONCATENATE("#metadata!",ADDRESS(INDEX($Q$2:$Q$1001,MATCH(ROWS($O$2:O311),$O$2:$O$1001,0),0),1)),INDEX($T$2:$T$1001,MATCH(ROWS($O$2:O311),$O$2:$O$1001,0),0)))</f>
        <v>0</v>
      </c>
      <c r="B311" s="4">
        <f>IF(OR(INDEX($P$2:$P$1001,MATCH(ROWS($O$2:O311),$O$2:$O$1001,0),1)&gt;=100000,INDEX($V$1005:$AE$1005,1,MATCH(COLUMNS($V$1006:V1006),$V$1006:$AE$1006,0))&gt;=100000), " ",IF(INDEX($V$2:$AE$1001,MATCH(ROWS($O$2:O311),$O$2:$O$1001,0),MATCH(COLUMNS($V$1006:V1006),$V$1006:$AE$1006,0)), HYPERLINK("#",""), HYPERLINK(CONCATENATE("#Metadata!", ADDRESS(INDEX($Q$2:$Q$1001,MATCH(ROWS($O$2:O311),$O$2:$O$1001,0),0), INDEX($V$1004:$AE$1004,1,MATCH(COLUMNS($V$1006:V1006),$V$1006:$AE$1006,0)))),"Fix")))</f>
        <v>0</v>
      </c>
      <c r="C311" s="4">
        <f>IF(OR(INDEX($P$2:$P$1001,MATCH(ROWS($O$2:O311),$O$2:$O$1001,0),1)&gt;=100000,INDEX($V$1005:$AE$1005,1,MATCH(COLUMNS($V$1006:W1006),$V$1006:$AE$1006,0))&gt;=100000), " ",IF(INDEX($V$2:$AE$1001,MATCH(ROWS($O$2:O311),$O$2:$O$1001,0),MATCH(COLUMNS($V$1006:W1006),$V$1006:$AE$1006,0)), HYPERLINK("#",""), HYPERLINK(CONCATENATE("#Metadata!", ADDRESS(INDEX($Q$2:$Q$1001,MATCH(ROWS($O$2:O311),$O$2:$O$1001,0),0), INDEX($V$1004:$AE$1004,1,MATCH(COLUMNS($V$1006:W1006),$V$1006:$AE$1006,0)))),"Fix")))</f>
        <v>0</v>
      </c>
      <c r="D311" s="4">
        <f>IF(OR(INDEX($P$2:$P$1001,MATCH(ROWS($O$2:O311),$O$2:$O$1001,0),1)&gt;=100000,INDEX($V$1005:$AE$1005,1,MATCH(COLUMNS($V$1006:X1006),$V$1006:$AE$1006,0))&gt;=100000), " ",IF(INDEX($V$2:$AE$1001,MATCH(ROWS($O$2:O311),$O$2:$O$1001,0),MATCH(COLUMNS($V$1006:X1006),$V$1006:$AE$1006,0)), HYPERLINK("#",""), HYPERLINK(CONCATENATE("#Metadata!", ADDRESS(INDEX($Q$2:$Q$1001,MATCH(ROWS($O$2:O311),$O$2:$O$1001,0),0), INDEX($V$1004:$AE$1004,1,MATCH(COLUMNS($V$1006:X1006),$V$1006:$AE$1006,0)))),"Fix")))</f>
        <v>0</v>
      </c>
      <c r="E311" s="4">
        <f>IF(OR(INDEX($P$2:$P$1001,MATCH(ROWS($O$2:O311),$O$2:$O$1001,0),1)&gt;=100000,INDEX($V$1005:$AE$1005,1,MATCH(COLUMNS($V$1006:Y1006),$V$1006:$AE$1006,0))&gt;=100000), " ",IF(INDEX($V$2:$AE$1001,MATCH(ROWS($O$2:O311),$O$2:$O$1001,0),MATCH(COLUMNS($V$1006:Y1006),$V$1006:$AE$1006,0)), HYPERLINK("#",""), HYPERLINK(CONCATENATE("#Metadata!", ADDRESS(INDEX($Q$2:$Q$1001,MATCH(ROWS($O$2:O311),$O$2:$O$1001,0),0), INDEX($V$1004:$AE$1004,1,MATCH(COLUMNS($V$1006:Y1006),$V$1006:$AE$1006,0)))),"Fix")))</f>
        <v>0</v>
      </c>
      <c r="F311" s="4">
        <f>IF(OR(INDEX($P$2:$P$1001,MATCH(ROWS($O$2:O311),$O$2:$O$1001,0),1)&gt;=100000,INDEX($V$1005:$AE$1005,1,MATCH(COLUMNS($V$1006:Z1006),$V$1006:$AE$1006,0))&gt;=100000), " ",IF(INDEX($V$2:$AE$1001,MATCH(ROWS($O$2:O311),$O$2:$O$1001,0),MATCH(COLUMNS($V$1006:Z1006),$V$1006:$AE$1006,0)), HYPERLINK("#",""), HYPERLINK(CONCATENATE("#Metadata!", ADDRESS(INDEX($Q$2:$Q$1001,MATCH(ROWS($O$2:O311),$O$2:$O$1001,0),0), INDEX($V$1004:$AE$1004,1,MATCH(COLUMNS($V$1006:Z1006),$V$1006:$AE$1006,0)))),"Fix")))</f>
        <v>0</v>
      </c>
      <c r="G311" s="4">
        <f>IF(OR(INDEX($P$2:$P$1001,MATCH(ROWS($O$2:O311),$O$2:$O$1001,0),1)&gt;=100000,INDEX($V$1005:$AE$1005,1,MATCH(COLUMNS($V$1006:AA1006),$V$1006:$AE$1006,0))&gt;=100000), " ",IF(INDEX($V$2:$AE$1001,MATCH(ROWS($O$2:O311),$O$2:$O$1001,0),MATCH(COLUMNS($V$1006:AA1006),$V$1006:$AE$1006,0)), HYPERLINK("#",""), HYPERLINK(CONCATENATE("#Metadata!", ADDRESS(INDEX($Q$2:$Q$1001,MATCH(ROWS($O$2:O311),$O$2:$O$1001,0),0), INDEX($V$1004:$AE$1004,1,MATCH(COLUMNS($V$1006:AA1006),$V$1006:$AE$1006,0)))),"Fix")))</f>
        <v>0</v>
      </c>
      <c r="H311" s="4">
        <f>IF(OR(INDEX($P$2:$P$1001,MATCH(ROWS($O$2:O311),$O$2:$O$1001,0),1)&gt;=100000,INDEX($V$1005:$AE$1005,1,MATCH(COLUMNS($V$1006:AB1006),$V$1006:$AE$1006,0))&gt;=100000), " ",IF(INDEX($V$2:$AE$1001,MATCH(ROWS($O$2:O311),$O$2:$O$1001,0),MATCH(COLUMNS($V$1006:AB1006),$V$1006:$AE$1006,0)), HYPERLINK("#",""), HYPERLINK(CONCATENATE("#Metadata!", ADDRESS(INDEX($Q$2:$Q$1001,MATCH(ROWS($O$2:O311),$O$2:$O$1001,0),0), INDEX($V$1004:$AE$1004,1,MATCH(COLUMNS($V$1006:AB1006),$V$1006:$AE$1006,0)))),"Fix")))</f>
        <v>0</v>
      </c>
      <c r="I311" s="4">
        <f>IF(OR(INDEX($P$2:$P$1001,MATCH(ROWS($O$2:O311),$O$2:$O$1001,0),1)&gt;=100000,INDEX($V$1005:$AE$1005,1,MATCH(COLUMNS($V$1006:AC1006),$V$1006:$AE$1006,0))&gt;=100000), " ",IF(INDEX($V$2:$AE$1001,MATCH(ROWS($O$2:O311),$O$2:$O$1001,0),MATCH(COLUMNS($V$1006:AC1006),$V$1006:$AE$1006,0)), HYPERLINK("#",""), HYPERLINK(CONCATENATE("#Metadata!", ADDRESS(INDEX($Q$2:$Q$1001,MATCH(ROWS($O$2:O311),$O$2:$O$1001,0),0), INDEX($V$1004:$AE$1004,1,MATCH(COLUMNS($V$1006:AC1006),$V$1006:$AE$1006,0)))),"Fix")))</f>
        <v>0</v>
      </c>
      <c r="J311" s="4">
        <f>IF(OR(INDEX($P$2:$P$1001,MATCH(ROWS($O$2:O311),$O$2:$O$1001,0),1)&gt;=100000,INDEX($V$1005:$AE$1005,1,MATCH(COLUMNS($V$1006:AD1006),$V$1006:$AE$1006,0))&gt;=100000), " ",IF(INDEX($V$2:$AE$1001,MATCH(ROWS($O$2:O311),$O$2:$O$1001,0),MATCH(COLUMNS($V$1006:AD1006),$V$1006:$AE$1006,0)), HYPERLINK("#",""), HYPERLINK(CONCATENATE("#Metadata!", ADDRESS(INDEX($Q$2:$Q$1001,MATCH(ROWS($O$2:O311),$O$2:$O$1001,0),0), INDEX($V$1004:$AE$1004,1,MATCH(COLUMNS($V$1006:AD1006),$V$1006:$AE$1006,0)))),"Fix")))</f>
        <v>0</v>
      </c>
      <c r="K311" s="4">
        <f>IF(OR(INDEX($P$2:$P$1001,MATCH(ROWS($O$2:O311),$O$2:$O$1001,0),1)&gt;=100000,INDEX($V$1005:$AE$1005,1,MATCH(COLUMNS($V$1006:AE1006),$V$1006:$AE$1006,0))&gt;=100000), " ",IF(INDEX($V$2:$AE$1001,MATCH(ROWS($O$2:O311),$O$2:$O$1001,0),MATCH(COLUMNS($V$1006:AE1006),$V$1006:$AE$1006,0)), HYPERLINK("#",""), HYPERLINK(CONCATENATE("#Metadata!", ADDRESS(INDEX($Q$2:$Q$1001,MATCH(ROWS($O$2:O311),$O$2:$O$1001,0),0), INDEX($V$1004:$AE$1004,1,MATCH(COLUMNS($V$1006:AE1006),$V$1006:$AE$1006,0)))),"Fix")))</f>
        <v>0</v>
      </c>
      <c r="O311">
        <v>0</v>
      </c>
      <c r="P311">
        <v>0</v>
      </c>
      <c r="Q311">
        <v>0</v>
      </c>
      <c r="R311">
        <f>IF(S311,TRUE,AND(V311:AE311))</f>
        <v>0</v>
      </c>
      <c r="S311">
        <f>COUNTBLANK(Metadata!B311:K311)=COLUMNS(Metadata!B311:K311)</f>
        <v>0</v>
      </c>
      <c r="T311">
        <v>0</v>
      </c>
      <c r="V311">
        <f>AND(IF(Metadata!B311="",FALSE,TRUE),COUNTIF(Metadata!B:B, Metadata!B311) = 1,NOT(ISERROR(SUMPRODUCT(SEARCH(MID(Metadata!B311,ROW(INDIRECT("1:"&amp;LEN(Metadata!B311))), 1),"0123456789abcdefghijklmnopqrstuvwxyzABCDEFGHIJKLMNOPQRSTUVWXYZ.")))))</f>
        <v>0</v>
      </c>
      <c r="W311">
        <f>AND(IF(Metadata!C311="",FALSE,TRUE),exact(Metadata!C311,"urban biome"))</f>
        <v>0</v>
      </c>
      <c r="X311">
        <f>AND(IF(Metadata!D311="",FALSE,TRUE),exact(Metadata!D311,"animal-associated habitat"))</f>
        <v>0</v>
      </c>
      <c r="Y311">
        <f>OR(AND(IF(Metadata!E311="",FALSE,TRUE),OR(exact(Metadata!E311,"not applicable"),exact(Metadata!E311,"missing: not collected"),exact(Metadata!E311,"missing: not provided"),exact(Metadata!E311,"missing: restricted access"))),AND(IF(Metadata!E311="",FALSE,ISNUMBER(VALUE(Metadata!E311))),Metadata!E311&gt;0))</f>
        <v>0</v>
      </c>
      <c r="Z311">
        <f>AND(IF(Metadata!F311="",FALSE,TRUE),exact(Metadata!F311,"weeks"))</f>
        <v>0</v>
      </c>
      <c r="AA311">
        <f>AND(IF(Metadata!G311="",FALSE,TRUE),exact(Metadata!G311,"mouse"))</f>
        <v>0</v>
      </c>
      <c r="AB311">
        <f>AND(IF(Metadata!H311="",FALSE,TRUE),exact(Metadata!H311,"Mus musculus"))</f>
        <v>0</v>
      </c>
      <c r="AC311">
        <f>AND(IF(Metadata!I311="",FALSE,TRUE),exact(Metadata!I311,"10090"))</f>
        <v>0</v>
      </c>
      <c r="AD311">
        <f>OR(AND(IF(Metadata!J311="",FALSE,TRUE),OR(exact(Metadata!J311,"not applicable"),exact(Metadata!J311,"missing: not collected"),exact(Metadata!J311,"missing: not provided"),exact(Metadata!J311,"missing: restricted access"))),AND(IF(Metadata!J311="",FALSE,ISNUMBER(VALUE(Metadata!J311))),Metadata!J311&gt;0))</f>
        <v>0</v>
      </c>
      <c r="AE311">
        <f>AND(IF(Metadata!K311="",FALSE,TRUE),exact(Metadata!K311,"g"))</f>
        <v>0</v>
      </c>
    </row>
    <row r="312" spans="1:31">
      <c r="A312" s="5">
        <f>IF(B312=" "," ",HYPERLINK(CONCATENATE("#metadata!",ADDRESS(INDEX($Q$2:$Q$1001,MATCH(ROWS($O$2:O312),$O$2:$O$1001,0),0),1)),INDEX($T$2:$T$1001,MATCH(ROWS($O$2:O312),$O$2:$O$1001,0),0)))</f>
        <v>0</v>
      </c>
      <c r="B312" s="4">
        <f>IF(OR(INDEX($P$2:$P$1001,MATCH(ROWS($O$2:O312),$O$2:$O$1001,0),1)&gt;=100000,INDEX($V$1005:$AE$1005,1,MATCH(COLUMNS($V$1006:V1006),$V$1006:$AE$1006,0))&gt;=100000), " ",IF(INDEX($V$2:$AE$1001,MATCH(ROWS($O$2:O312),$O$2:$O$1001,0),MATCH(COLUMNS($V$1006:V1006),$V$1006:$AE$1006,0)), HYPERLINK("#",""), HYPERLINK(CONCATENATE("#Metadata!", ADDRESS(INDEX($Q$2:$Q$1001,MATCH(ROWS($O$2:O312),$O$2:$O$1001,0),0), INDEX($V$1004:$AE$1004,1,MATCH(COLUMNS($V$1006:V1006),$V$1006:$AE$1006,0)))),"Fix")))</f>
        <v>0</v>
      </c>
      <c r="C312" s="4">
        <f>IF(OR(INDEX($P$2:$P$1001,MATCH(ROWS($O$2:O312),$O$2:$O$1001,0),1)&gt;=100000,INDEX($V$1005:$AE$1005,1,MATCH(COLUMNS($V$1006:W1006),$V$1006:$AE$1006,0))&gt;=100000), " ",IF(INDEX($V$2:$AE$1001,MATCH(ROWS($O$2:O312),$O$2:$O$1001,0),MATCH(COLUMNS($V$1006:W1006),$V$1006:$AE$1006,0)), HYPERLINK("#",""), HYPERLINK(CONCATENATE("#Metadata!", ADDRESS(INDEX($Q$2:$Q$1001,MATCH(ROWS($O$2:O312),$O$2:$O$1001,0),0), INDEX($V$1004:$AE$1004,1,MATCH(COLUMNS($V$1006:W1006),$V$1006:$AE$1006,0)))),"Fix")))</f>
        <v>0</v>
      </c>
      <c r="D312" s="4">
        <f>IF(OR(INDEX($P$2:$P$1001,MATCH(ROWS($O$2:O312),$O$2:$O$1001,0),1)&gt;=100000,INDEX($V$1005:$AE$1005,1,MATCH(COLUMNS($V$1006:X1006),$V$1006:$AE$1006,0))&gt;=100000), " ",IF(INDEX($V$2:$AE$1001,MATCH(ROWS($O$2:O312),$O$2:$O$1001,0),MATCH(COLUMNS($V$1006:X1006),$V$1006:$AE$1006,0)), HYPERLINK("#",""), HYPERLINK(CONCATENATE("#Metadata!", ADDRESS(INDEX($Q$2:$Q$1001,MATCH(ROWS($O$2:O312),$O$2:$O$1001,0),0), INDEX($V$1004:$AE$1004,1,MATCH(COLUMNS($V$1006:X1006),$V$1006:$AE$1006,0)))),"Fix")))</f>
        <v>0</v>
      </c>
      <c r="E312" s="4">
        <f>IF(OR(INDEX($P$2:$P$1001,MATCH(ROWS($O$2:O312),$O$2:$O$1001,0),1)&gt;=100000,INDEX($V$1005:$AE$1005,1,MATCH(COLUMNS($V$1006:Y1006),$V$1006:$AE$1006,0))&gt;=100000), " ",IF(INDEX($V$2:$AE$1001,MATCH(ROWS($O$2:O312),$O$2:$O$1001,0),MATCH(COLUMNS($V$1006:Y1006),$V$1006:$AE$1006,0)), HYPERLINK("#",""), HYPERLINK(CONCATENATE("#Metadata!", ADDRESS(INDEX($Q$2:$Q$1001,MATCH(ROWS($O$2:O312),$O$2:$O$1001,0),0), INDEX($V$1004:$AE$1004,1,MATCH(COLUMNS($V$1006:Y1006),$V$1006:$AE$1006,0)))),"Fix")))</f>
        <v>0</v>
      </c>
      <c r="F312" s="4">
        <f>IF(OR(INDEX($P$2:$P$1001,MATCH(ROWS($O$2:O312),$O$2:$O$1001,0),1)&gt;=100000,INDEX($V$1005:$AE$1005,1,MATCH(COLUMNS($V$1006:Z1006),$V$1006:$AE$1006,0))&gt;=100000), " ",IF(INDEX($V$2:$AE$1001,MATCH(ROWS($O$2:O312),$O$2:$O$1001,0),MATCH(COLUMNS($V$1006:Z1006),$V$1006:$AE$1006,0)), HYPERLINK("#",""), HYPERLINK(CONCATENATE("#Metadata!", ADDRESS(INDEX($Q$2:$Q$1001,MATCH(ROWS($O$2:O312),$O$2:$O$1001,0),0), INDEX($V$1004:$AE$1004,1,MATCH(COLUMNS($V$1006:Z1006),$V$1006:$AE$1006,0)))),"Fix")))</f>
        <v>0</v>
      </c>
      <c r="G312" s="4">
        <f>IF(OR(INDEX($P$2:$P$1001,MATCH(ROWS($O$2:O312),$O$2:$O$1001,0),1)&gt;=100000,INDEX($V$1005:$AE$1005,1,MATCH(COLUMNS($V$1006:AA1006),$V$1006:$AE$1006,0))&gt;=100000), " ",IF(INDEX($V$2:$AE$1001,MATCH(ROWS($O$2:O312),$O$2:$O$1001,0),MATCH(COLUMNS($V$1006:AA1006),$V$1006:$AE$1006,0)), HYPERLINK("#",""), HYPERLINK(CONCATENATE("#Metadata!", ADDRESS(INDEX($Q$2:$Q$1001,MATCH(ROWS($O$2:O312),$O$2:$O$1001,0),0), INDEX($V$1004:$AE$1004,1,MATCH(COLUMNS($V$1006:AA1006),$V$1006:$AE$1006,0)))),"Fix")))</f>
        <v>0</v>
      </c>
      <c r="H312" s="4">
        <f>IF(OR(INDEX($P$2:$P$1001,MATCH(ROWS($O$2:O312),$O$2:$O$1001,0),1)&gt;=100000,INDEX($V$1005:$AE$1005,1,MATCH(COLUMNS($V$1006:AB1006),$V$1006:$AE$1006,0))&gt;=100000), " ",IF(INDEX($V$2:$AE$1001,MATCH(ROWS($O$2:O312),$O$2:$O$1001,0),MATCH(COLUMNS($V$1006:AB1006),$V$1006:$AE$1006,0)), HYPERLINK("#",""), HYPERLINK(CONCATENATE("#Metadata!", ADDRESS(INDEX($Q$2:$Q$1001,MATCH(ROWS($O$2:O312),$O$2:$O$1001,0),0), INDEX($V$1004:$AE$1004,1,MATCH(COLUMNS($V$1006:AB1006),$V$1006:$AE$1006,0)))),"Fix")))</f>
        <v>0</v>
      </c>
      <c r="I312" s="4">
        <f>IF(OR(INDEX($P$2:$P$1001,MATCH(ROWS($O$2:O312),$O$2:$O$1001,0),1)&gt;=100000,INDEX($V$1005:$AE$1005,1,MATCH(COLUMNS($V$1006:AC1006),$V$1006:$AE$1006,0))&gt;=100000), " ",IF(INDEX($V$2:$AE$1001,MATCH(ROWS($O$2:O312),$O$2:$O$1001,0),MATCH(COLUMNS($V$1006:AC1006),$V$1006:$AE$1006,0)), HYPERLINK("#",""), HYPERLINK(CONCATENATE("#Metadata!", ADDRESS(INDEX($Q$2:$Q$1001,MATCH(ROWS($O$2:O312),$O$2:$O$1001,0),0), INDEX($V$1004:$AE$1004,1,MATCH(COLUMNS($V$1006:AC1006),$V$1006:$AE$1006,0)))),"Fix")))</f>
        <v>0</v>
      </c>
      <c r="J312" s="4">
        <f>IF(OR(INDEX($P$2:$P$1001,MATCH(ROWS($O$2:O312),$O$2:$O$1001,0),1)&gt;=100000,INDEX($V$1005:$AE$1005,1,MATCH(COLUMNS($V$1006:AD1006),$V$1006:$AE$1006,0))&gt;=100000), " ",IF(INDEX($V$2:$AE$1001,MATCH(ROWS($O$2:O312),$O$2:$O$1001,0),MATCH(COLUMNS($V$1006:AD1006),$V$1006:$AE$1006,0)), HYPERLINK("#",""), HYPERLINK(CONCATENATE("#Metadata!", ADDRESS(INDEX($Q$2:$Q$1001,MATCH(ROWS($O$2:O312),$O$2:$O$1001,0),0), INDEX($V$1004:$AE$1004,1,MATCH(COLUMNS($V$1006:AD1006),$V$1006:$AE$1006,0)))),"Fix")))</f>
        <v>0</v>
      </c>
      <c r="K312" s="4">
        <f>IF(OR(INDEX($P$2:$P$1001,MATCH(ROWS($O$2:O312),$O$2:$O$1001,0),1)&gt;=100000,INDEX($V$1005:$AE$1005,1,MATCH(COLUMNS($V$1006:AE1006),$V$1006:$AE$1006,0))&gt;=100000), " ",IF(INDEX($V$2:$AE$1001,MATCH(ROWS($O$2:O312),$O$2:$O$1001,0),MATCH(COLUMNS($V$1006:AE1006),$V$1006:$AE$1006,0)), HYPERLINK("#",""), HYPERLINK(CONCATENATE("#Metadata!", ADDRESS(INDEX($Q$2:$Q$1001,MATCH(ROWS($O$2:O312),$O$2:$O$1001,0),0), INDEX($V$1004:$AE$1004,1,MATCH(COLUMNS($V$1006:AE1006),$V$1006:$AE$1006,0)))),"Fix")))</f>
        <v>0</v>
      </c>
      <c r="O312">
        <v>0</v>
      </c>
      <c r="P312">
        <v>0</v>
      </c>
      <c r="Q312">
        <v>0</v>
      </c>
      <c r="R312">
        <f>IF(S312,TRUE,AND(V312:AE312))</f>
        <v>0</v>
      </c>
      <c r="S312">
        <f>COUNTBLANK(Metadata!B312:K312)=COLUMNS(Metadata!B312:K312)</f>
        <v>0</v>
      </c>
      <c r="T312">
        <v>0</v>
      </c>
      <c r="V312">
        <f>AND(IF(Metadata!B312="",FALSE,TRUE),COUNTIF(Metadata!B:B, Metadata!B312) = 1,NOT(ISERROR(SUMPRODUCT(SEARCH(MID(Metadata!B312,ROW(INDIRECT("1:"&amp;LEN(Metadata!B312))), 1),"0123456789abcdefghijklmnopqrstuvwxyzABCDEFGHIJKLMNOPQRSTUVWXYZ.")))))</f>
        <v>0</v>
      </c>
      <c r="W312">
        <f>AND(IF(Metadata!C312="",FALSE,TRUE),exact(Metadata!C312,"urban biome"))</f>
        <v>0</v>
      </c>
      <c r="X312">
        <f>AND(IF(Metadata!D312="",FALSE,TRUE),exact(Metadata!D312,"animal-associated habitat"))</f>
        <v>0</v>
      </c>
      <c r="Y312">
        <f>OR(AND(IF(Metadata!E312="",FALSE,TRUE),OR(exact(Metadata!E312,"not applicable"),exact(Metadata!E312,"missing: not collected"),exact(Metadata!E312,"missing: not provided"),exact(Metadata!E312,"missing: restricted access"))),AND(IF(Metadata!E312="",FALSE,ISNUMBER(VALUE(Metadata!E312))),Metadata!E312&gt;0))</f>
        <v>0</v>
      </c>
      <c r="Z312">
        <f>AND(IF(Metadata!F312="",FALSE,TRUE),exact(Metadata!F312,"weeks"))</f>
        <v>0</v>
      </c>
      <c r="AA312">
        <f>AND(IF(Metadata!G312="",FALSE,TRUE),exact(Metadata!G312,"mouse"))</f>
        <v>0</v>
      </c>
      <c r="AB312">
        <f>AND(IF(Metadata!H312="",FALSE,TRUE),exact(Metadata!H312,"Mus musculus"))</f>
        <v>0</v>
      </c>
      <c r="AC312">
        <f>AND(IF(Metadata!I312="",FALSE,TRUE),exact(Metadata!I312,"10090"))</f>
        <v>0</v>
      </c>
      <c r="AD312">
        <f>OR(AND(IF(Metadata!J312="",FALSE,TRUE),OR(exact(Metadata!J312,"not applicable"),exact(Metadata!J312,"missing: not collected"),exact(Metadata!J312,"missing: not provided"),exact(Metadata!J312,"missing: restricted access"))),AND(IF(Metadata!J312="",FALSE,ISNUMBER(VALUE(Metadata!J312))),Metadata!J312&gt;0))</f>
        <v>0</v>
      </c>
      <c r="AE312">
        <f>AND(IF(Metadata!K312="",FALSE,TRUE),exact(Metadata!K312,"g"))</f>
        <v>0</v>
      </c>
    </row>
    <row r="313" spans="1:31">
      <c r="A313" s="5">
        <f>IF(B313=" "," ",HYPERLINK(CONCATENATE("#metadata!",ADDRESS(INDEX($Q$2:$Q$1001,MATCH(ROWS($O$2:O313),$O$2:$O$1001,0),0),1)),INDEX($T$2:$T$1001,MATCH(ROWS($O$2:O313),$O$2:$O$1001,0),0)))</f>
        <v>0</v>
      </c>
      <c r="B313" s="4">
        <f>IF(OR(INDEX($P$2:$P$1001,MATCH(ROWS($O$2:O313),$O$2:$O$1001,0),1)&gt;=100000,INDEX($V$1005:$AE$1005,1,MATCH(COLUMNS($V$1006:V1006),$V$1006:$AE$1006,0))&gt;=100000), " ",IF(INDEX($V$2:$AE$1001,MATCH(ROWS($O$2:O313),$O$2:$O$1001,0),MATCH(COLUMNS($V$1006:V1006),$V$1006:$AE$1006,0)), HYPERLINK("#",""), HYPERLINK(CONCATENATE("#Metadata!", ADDRESS(INDEX($Q$2:$Q$1001,MATCH(ROWS($O$2:O313),$O$2:$O$1001,0),0), INDEX($V$1004:$AE$1004,1,MATCH(COLUMNS($V$1006:V1006),$V$1006:$AE$1006,0)))),"Fix")))</f>
        <v>0</v>
      </c>
      <c r="C313" s="4">
        <f>IF(OR(INDEX($P$2:$P$1001,MATCH(ROWS($O$2:O313),$O$2:$O$1001,0),1)&gt;=100000,INDEX($V$1005:$AE$1005,1,MATCH(COLUMNS($V$1006:W1006),$V$1006:$AE$1006,0))&gt;=100000), " ",IF(INDEX($V$2:$AE$1001,MATCH(ROWS($O$2:O313),$O$2:$O$1001,0),MATCH(COLUMNS($V$1006:W1006),$V$1006:$AE$1006,0)), HYPERLINK("#",""), HYPERLINK(CONCATENATE("#Metadata!", ADDRESS(INDEX($Q$2:$Q$1001,MATCH(ROWS($O$2:O313),$O$2:$O$1001,0),0), INDEX($V$1004:$AE$1004,1,MATCH(COLUMNS($V$1006:W1006),$V$1006:$AE$1006,0)))),"Fix")))</f>
        <v>0</v>
      </c>
      <c r="D313" s="4">
        <f>IF(OR(INDEX($P$2:$P$1001,MATCH(ROWS($O$2:O313),$O$2:$O$1001,0),1)&gt;=100000,INDEX($V$1005:$AE$1005,1,MATCH(COLUMNS($V$1006:X1006),$V$1006:$AE$1006,0))&gt;=100000), " ",IF(INDEX($V$2:$AE$1001,MATCH(ROWS($O$2:O313),$O$2:$O$1001,0),MATCH(COLUMNS($V$1006:X1006),$V$1006:$AE$1006,0)), HYPERLINK("#",""), HYPERLINK(CONCATENATE("#Metadata!", ADDRESS(INDEX($Q$2:$Q$1001,MATCH(ROWS($O$2:O313),$O$2:$O$1001,0),0), INDEX($V$1004:$AE$1004,1,MATCH(COLUMNS($V$1006:X1006),$V$1006:$AE$1006,0)))),"Fix")))</f>
        <v>0</v>
      </c>
      <c r="E313" s="4">
        <f>IF(OR(INDEX($P$2:$P$1001,MATCH(ROWS($O$2:O313),$O$2:$O$1001,0),1)&gt;=100000,INDEX($V$1005:$AE$1005,1,MATCH(COLUMNS($V$1006:Y1006),$V$1006:$AE$1006,0))&gt;=100000), " ",IF(INDEX($V$2:$AE$1001,MATCH(ROWS($O$2:O313),$O$2:$O$1001,0),MATCH(COLUMNS($V$1006:Y1006),$V$1006:$AE$1006,0)), HYPERLINK("#",""), HYPERLINK(CONCATENATE("#Metadata!", ADDRESS(INDEX($Q$2:$Q$1001,MATCH(ROWS($O$2:O313),$O$2:$O$1001,0),0), INDEX($V$1004:$AE$1004,1,MATCH(COLUMNS($V$1006:Y1006),$V$1006:$AE$1006,0)))),"Fix")))</f>
        <v>0</v>
      </c>
      <c r="F313" s="4">
        <f>IF(OR(INDEX($P$2:$P$1001,MATCH(ROWS($O$2:O313),$O$2:$O$1001,0),1)&gt;=100000,INDEX($V$1005:$AE$1005,1,MATCH(COLUMNS($V$1006:Z1006),$V$1006:$AE$1006,0))&gt;=100000), " ",IF(INDEX($V$2:$AE$1001,MATCH(ROWS($O$2:O313),$O$2:$O$1001,0),MATCH(COLUMNS($V$1006:Z1006),$V$1006:$AE$1006,0)), HYPERLINK("#",""), HYPERLINK(CONCATENATE("#Metadata!", ADDRESS(INDEX($Q$2:$Q$1001,MATCH(ROWS($O$2:O313),$O$2:$O$1001,0),0), INDEX($V$1004:$AE$1004,1,MATCH(COLUMNS($V$1006:Z1006),$V$1006:$AE$1006,0)))),"Fix")))</f>
        <v>0</v>
      </c>
      <c r="G313" s="4">
        <f>IF(OR(INDEX($P$2:$P$1001,MATCH(ROWS($O$2:O313),$O$2:$O$1001,0),1)&gt;=100000,INDEX($V$1005:$AE$1005,1,MATCH(COLUMNS($V$1006:AA1006),$V$1006:$AE$1006,0))&gt;=100000), " ",IF(INDEX($V$2:$AE$1001,MATCH(ROWS($O$2:O313),$O$2:$O$1001,0),MATCH(COLUMNS($V$1006:AA1006),$V$1006:$AE$1006,0)), HYPERLINK("#",""), HYPERLINK(CONCATENATE("#Metadata!", ADDRESS(INDEX($Q$2:$Q$1001,MATCH(ROWS($O$2:O313),$O$2:$O$1001,0),0), INDEX($V$1004:$AE$1004,1,MATCH(COLUMNS($V$1006:AA1006),$V$1006:$AE$1006,0)))),"Fix")))</f>
        <v>0</v>
      </c>
      <c r="H313" s="4">
        <f>IF(OR(INDEX($P$2:$P$1001,MATCH(ROWS($O$2:O313),$O$2:$O$1001,0),1)&gt;=100000,INDEX($V$1005:$AE$1005,1,MATCH(COLUMNS($V$1006:AB1006),$V$1006:$AE$1006,0))&gt;=100000), " ",IF(INDEX($V$2:$AE$1001,MATCH(ROWS($O$2:O313),$O$2:$O$1001,0),MATCH(COLUMNS($V$1006:AB1006),$V$1006:$AE$1006,0)), HYPERLINK("#",""), HYPERLINK(CONCATENATE("#Metadata!", ADDRESS(INDEX($Q$2:$Q$1001,MATCH(ROWS($O$2:O313),$O$2:$O$1001,0),0), INDEX($V$1004:$AE$1004,1,MATCH(COLUMNS($V$1006:AB1006),$V$1006:$AE$1006,0)))),"Fix")))</f>
        <v>0</v>
      </c>
      <c r="I313" s="4">
        <f>IF(OR(INDEX($P$2:$P$1001,MATCH(ROWS($O$2:O313),$O$2:$O$1001,0),1)&gt;=100000,INDEX($V$1005:$AE$1005,1,MATCH(COLUMNS($V$1006:AC1006),$V$1006:$AE$1006,0))&gt;=100000), " ",IF(INDEX($V$2:$AE$1001,MATCH(ROWS($O$2:O313),$O$2:$O$1001,0),MATCH(COLUMNS($V$1006:AC1006),$V$1006:$AE$1006,0)), HYPERLINK("#",""), HYPERLINK(CONCATENATE("#Metadata!", ADDRESS(INDEX($Q$2:$Q$1001,MATCH(ROWS($O$2:O313),$O$2:$O$1001,0),0), INDEX($V$1004:$AE$1004,1,MATCH(COLUMNS($V$1006:AC1006),$V$1006:$AE$1006,0)))),"Fix")))</f>
        <v>0</v>
      </c>
      <c r="J313" s="4">
        <f>IF(OR(INDEX($P$2:$P$1001,MATCH(ROWS($O$2:O313),$O$2:$O$1001,0),1)&gt;=100000,INDEX($V$1005:$AE$1005,1,MATCH(COLUMNS($V$1006:AD1006),$V$1006:$AE$1006,0))&gt;=100000), " ",IF(INDEX($V$2:$AE$1001,MATCH(ROWS($O$2:O313),$O$2:$O$1001,0),MATCH(COLUMNS($V$1006:AD1006),$V$1006:$AE$1006,0)), HYPERLINK("#",""), HYPERLINK(CONCATENATE("#Metadata!", ADDRESS(INDEX($Q$2:$Q$1001,MATCH(ROWS($O$2:O313),$O$2:$O$1001,0),0), INDEX($V$1004:$AE$1004,1,MATCH(COLUMNS($V$1006:AD1006),$V$1006:$AE$1006,0)))),"Fix")))</f>
        <v>0</v>
      </c>
      <c r="K313" s="4">
        <f>IF(OR(INDEX($P$2:$P$1001,MATCH(ROWS($O$2:O313),$O$2:$O$1001,0),1)&gt;=100000,INDEX($V$1005:$AE$1005,1,MATCH(COLUMNS($V$1006:AE1006),$V$1006:$AE$1006,0))&gt;=100000), " ",IF(INDEX($V$2:$AE$1001,MATCH(ROWS($O$2:O313),$O$2:$O$1001,0),MATCH(COLUMNS($V$1006:AE1006),$V$1006:$AE$1006,0)), HYPERLINK("#",""), HYPERLINK(CONCATENATE("#Metadata!", ADDRESS(INDEX($Q$2:$Q$1001,MATCH(ROWS($O$2:O313),$O$2:$O$1001,0),0), INDEX($V$1004:$AE$1004,1,MATCH(COLUMNS($V$1006:AE1006),$V$1006:$AE$1006,0)))),"Fix")))</f>
        <v>0</v>
      </c>
      <c r="O313">
        <v>0</v>
      </c>
      <c r="P313">
        <v>0</v>
      </c>
      <c r="Q313">
        <v>0</v>
      </c>
      <c r="R313">
        <f>IF(S313,TRUE,AND(V313:AE313))</f>
        <v>0</v>
      </c>
      <c r="S313">
        <f>COUNTBLANK(Metadata!B313:K313)=COLUMNS(Metadata!B313:K313)</f>
        <v>0</v>
      </c>
      <c r="T313">
        <v>0</v>
      </c>
      <c r="V313">
        <f>AND(IF(Metadata!B313="",FALSE,TRUE),COUNTIF(Metadata!B:B, Metadata!B313) = 1,NOT(ISERROR(SUMPRODUCT(SEARCH(MID(Metadata!B313,ROW(INDIRECT("1:"&amp;LEN(Metadata!B313))), 1),"0123456789abcdefghijklmnopqrstuvwxyzABCDEFGHIJKLMNOPQRSTUVWXYZ.")))))</f>
        <v>0</v>
      </c>
      <c r="W313">
        <f>AND(IF(Metadata!C313="",FALSE,TRUE),exact(Metadata!C313,"urban biome"))</f>
        <v>0</v>
      </c>
      <c r="X313">
        <f>AND(IF(Metadata!D313="",FALSE,TRUE),exact(Metadata!D313,"animal-associated habitat"))</f>
        <v>0</v>
      </c>
      <c r="Y313">
        <f>OR(AND(IF(Metadata!E313="",FALSE,TRUE),OR(exact(Metadata!E313,"not applicable"),exact(Metadata!E313,"missing: not collected"),exact(Metadata!E313,"missing: not provided"),exact(Metadata!E313,"missing: restricted access"))),AND(IF(Metadata!E313="",FALSE,ISNUMBER(VALUE(Metadata!E313))),Metadata!E313&gt;0))</f>
        <v>0</v>
      </c>
      <c r="Z313">
        <f>AND(IF(Metadata!F313="",FALSE,TRUE),exact(Metadata!F313,"weeks"))</f>
        <v>0</v>
      </c>
      <c r="AA313">
        <f>AND(IF(Metadata!G313="",FALSE,TRUE),exact(Metadata!G313,"mouse"))</f>
        <v>0</v>
      </c>
      <c r="AB313">
        <f>AND(IF(Metadata!H313="",FALSE,TRUE),exact(Metadata!H313,"Mus musculus"))</f>
        <v>0</v>
      </c>
      <c r="AC313">
        <f>AND(IF(Metadata!I313="",FALSE,TRUE),exact(Metadata!I313,"10090"))</f>
        <v>0</v>
      </c>
      <c r="AD313">
        <f>OR(AND(IF(Metadata!J313="",FALSE,TRUE),OR(exact(Metadata!J313,"not applicable"),exact(Metadata!J313,"missing: not collected"),exact(Metadata!J313,"missing: not provided"),exact(Metadata!J313,"missing: restricted access"))),AND(IF(Metadata!J313="",FALSE,ISNUMBER(VALUE(Metadata!J313))),Metadata!J313&gt;0))</f>
        <v>0</v>
      </c>
      <c r="AE313">
        <f>AND(IF(Metadata!K313="",FALSE,TRUE),exact(Metadata!K313,"g"))</f>
        <v>0</v>
      </c>
    </row>
    <row r="314" spans="1:31">
      <c r="A314" s="5">
        <f>IF(B314=" "," ",HYPERLINK(CONCATENATE("#metadata!",ADDRESS(INDEX($Q$2:$Q$1001,MATCH(ROWS($O$2:O314),$O$2:$O$1001,0),0),1)),INDEX($T$2:$T$1001,MATCH(ROWS($O$2:O314),$O$2:$O$1001,0),0)))</f>
        <v>0</v>
      </c>
      <c r="B314" s="4">
        <f>IF(OR(INDEX($P$2:$P$1001,MATCH(ROWS($O$2:O314),$O$2:$O$1001,0),1)&gt;=100000,INDEX($V$1005:$AE$1005,1,MATCH(COLUMNS($V$1006:V1006),$V$1006:$AE$1006,0))&gt;=100000), " ",IF(INDEX($V$2:$AE$1001,MATCH(ROWS($O$2:O314),$O$2:$O$1001,0),MATCH(COLUMNS($V$1006:V1006),$V$1006:$AE$1006,0)), HYPERLINK("#",""), HYPERLINK(CONCATENATE("#Metadata!", ADDRESS(INDEX($Q$2:$Q$1001,MATCH(ROWS($O$2:O314),$O$2:$O$1001,0),0), INDEX($V$1004:$AE$1004,1,MATCH(COLUMNS($V$1006:V1006),$V$1006:$AE$1006,0)))),"Fix")))</f>
        <v>0</v>
      </c>
      <c r="C314" s="4">
        <f>IF(OR(INDEX($P$2:$P$1001,MATCH(ROWS($O$2:O314),$O$2:$O$1001,0),1)&gt;=100000,INDEX($V$1005:$AE$1005,1,MATCH(COLUMNS($V$1006:W1006),$V$1006:$AE$1006,0))&gt;=100000), " ",IF(INDEX($V$2:$AE$1001,MATCH(ROWS($O$2:O314),$O$2:$O$1001,0),MATCH(COLUMNS($V$1006:W1006),$V$1006:$AE$1006,0)), HYPERLINK("#",""), HYPERLINK(CONCATENATE("#Metadata!", ADDRESS(INDEX($Q$2:$Q$1001,MATCH(ROWS($O$2:O314),$O$2:$O$1001,0),0), INDEX($V$1004:$AE$1004,1,MATCH(COLUMNS($V$1006:W1006),$V$1006:$AE$1006,0)))),"Fix")))</f>
        <v>0</v>
      </c>
      <c r="D314" s="4">
        <f>IF(OR(INDEX($P$2:$P$1001,MATCH(ROWS($O$2:O314),$O$2:$O$1001,0),1)&gt;=100000,INDEX($V$1005:$AE$1005,1,MATCH(COLUMNS($V$1006:X1006),$V$1006:$AE$1006,0))&gt;=100000), " ",IF(INDEX($V$2:$AE$1001,MATCH(ROWS($O$2:O314),$O$2:$O$1001,0),MATCH(COLUMNS($V$1006:X1006),$V$1006:$AE$1006,0)), HYPERLINK("#",""), HYPERLINK(CONCATENATE("#Metadata!", ADDRESS(INDEX($Q$2:$Q$1001,MATCH(ROWS($O$2:O314),$O$2:$O$1001,0),0), INDEX($V$1004:$AE$1004,1,MATCH(COLUMNS($V$1006:X1006),$V$1006:$AE$1006,0)))),"Fix")))</f>
        <v>0</v>
      </c>
      <c r="E314" s="4">
        <f>IF(OR(INDEX($P$2:$P$1001,MATCH(ROWS($O$2:O314),$O$2:$O$1001,0),1)&gt;=100000,INDEX($V$1005:$AE$1005,1,MATCH(COLUMNS($V$1006:Y1006),$V$1006:$AE$1006,0))&gt;=100000), " ",IF(INDEX($V$2:$AE$1001,MATCH(ROWS($O$2:O314),$O$2:$O$1001,0),MATCH(COLUMNS($V$1006:Y1006),$V$1006:$AE$1006,0)), HYPERLINK("#",""), HYPERLINK(CONCATENATE("#Metadata!", ADDRESS(INDEX($Q$2:$Q$1001,MATCH(ROWS($O$2:O314),$O$2:$O$1001,0),0), INDEX($V$1004:$AE$1004,1,MATCH(COLUMNS($V$1006:Y1006),$V$1006:$AE$1006,0)))),"Fix")))</f>
        <v>0</v>
      </c>
      <c r="F314" s="4">
        <f>IF(OR(INDEX($P$2:$P$1001,MATCH(ROWS($O$2:O314),$O$2:$O$1001,0),1)&gt;=100000,INDEX($V$1005:$AE$1005,1,MATCH(COLUMNS($V$1006:Z1006),$V$1006:$AE$1006,0))&gt;=100000), " ",IF(INDEX($V$2:$AE$1001,MATCH(ROWS($O$2:O314),$O$2:$O$1001,0),MATCH(COLUMNS($V$1006:Z1006),$V$1006:$AE$1006,0)), HYPERLINK("#",""), HYPERLINK(CONCATENATE("#Metadata!", ADDRESS(INDEX($Q$2:$Q$1001,MATCH(ROWS($O$2:O314),$O$2:$O$1001,0),0), INDEX($V$1004:$AE$1004,1,MATCH(COLUMNS($V$1006:Z1006),$V$1006:$AE$1006,0)))),"Fix")))</f>
        <v>0</v>
      </c>
      <c r="G314" s="4">
        <f>IF(OR(INDEX($P$2:$P$1001,MATCH(ROWS($O$2:O314),$O$2:$O$1001,0),1)&gt;=100000,INDEX($V$1005:$AE$1005,1,MATCH(COLUMNS($V$1006:AA1006),$V$1006:$AE$1006,0))&gt;=100000), " ",IF(INDEX($V$2:$AE$1001,MATCH(ROWS($O$2:O314),$O$2:$O$1001,0),MATCH(COLUMNS($V$1006:AA1006),$V$1006:$AE$1006,0)), HYPERLINK("#",""), HYPERLINK(CONCATENATE("#Metadata!", ADDRESS(INDEX($Q$2:$Q$1001,MATCH(ROWS($O$2:O314),$O$2:$O$1001,0),0), INDEX($V$1004:$AE$1004,1,MATCH(COLUMNS($V$1006:AA1006),$V$1006:$AE$1006,0)))),"Fix")))</f>
        <v>0</v>
      </c>
      <c r="H314" s="4">
        <f>IF(OR(INDEX($P$2:$P$1001,MATCH(ROWS($O$2:O314),$O$2:$O$1001,0),1)&gt;=100000,INDEX($V$1005:$AE$1005,1,MATCH(COLUMNS($V$1006:AB1006),$V$1006:$AE$1006,0))&gt;=100000), " ",IF(INDEX($V$2:$AE$1001,MATCH(ROWS($O$2:O314),$O$2:$O$1001,0),MATCH(COLUMNS($V$1006:AB1006),$V$1006:$AE$1006,0)), HYPERLINK("#",""), HYPERLINK(CONCATENATE("#Metadata!", ADDRESS(INDEX($Q$2:$Q$1001,MATCH(ROWS($O$2:O314),$O$2:$O$1001,0),0), INDEX($V$1004:$AE$1004,1,MATCH(COLUMNS($V$1006:AB1006),$V$1006:$AE$1006,0)))),"Fix")))</f>
        <v>0</v>
      </c>
      <c r="I314" s="4">
        <f>IF(OR(INDEX($P$2:$P$1001,MATCH(ROWS($O$2:O314),$O$2:$O$1001,0),1)&gt;=100000,INDEX($V$1005:$AE$1005,1,MATCH(COLUMNS($V$1006:AC1006),$V$1006:$AE$1006,0))&gt;=100000), " ",IF(INDEX($V$2:$AE$1001,MATCH(ROWS($O$2:O314),$O$2:$O$1001,0),MATCH(COLUMNS($V$1006:AC1006),$V$1006:$AE$1006,0)), HYPERLINK("#",""), HYPERLINK(CONCATENATE("#Metadata!", ADDRESS(INDEX($Q$2:$Q$1001,MATCH(ROWS($O$2:O314),$O$2:$O$1001,0),0), INDEX($V$1004:$AE$1004,1,MATCH(COLUMNS($V$1006:AC1006),$V$1006:$AE$1006,0)))),"Fix")))</f>
        <v>0</v>
      </c>
      <c r="J314" s="4">
        <f>IF(OR(INDEX($P$2:$P$1001,MATCH(ROWS($O$2:O314),$O$2:$O$1001,0),1)&gt;=100000,INDEX($V$1005:$AE$1005,1,MATCH(COLUMNS($V$1006:AD1006),$V$1006:$AE$1006,0))&gt;=100000), " ",IF(INDEX($V$2:$AE$1001,MATCH(ROWS($O$2:O314),$O$2:$O$1001,0),MATCH(COLUMNS($V$1006:AD1006),$V$1006:$AE$1006,0)), HYPERLINK("#",""), HYPERLINK(CONCATENATE("#Metadata!", ADDRESS(INDEX($Q$2:$Q$1001,MATCH(ROWS($O$2:O314),$O$2:$O$1001,0),0), INDEX($V$1004:$AE$1004,1,MATCH(COLUMNS($V$1006:AD1006),$V$1006:$AE$1006,0)))),"Fix")))</f>
        <v>0</v>
      </c>
      <c r="K314" s="4">
        <f>IF(OR(INDEX($P$2:$P$1001,MATCH(ROWS($O$2:O314),$O$2:$O$1001,0),1)&gt;=100000,INDEX($V$1005:$AE$1005,1,MATCH(COLUMNS($V$1006:AE1006),$V$1006:$AE$1006,0))&gt;=100000), " ",IF(INDEX($V$2:$AE$1001,MATCH(ROWS($O$2:O314),$O$2:$O$1001,0),MATCH(COLUMNS($V$1006:AE1006),$V$1006:$AE$1006,0)), HYPERLINK("#",""), HYPERLINK(CONCATENATE("#Metadata!", ADDRESS(INDEX($Q$2:$Q$1001,MATCH(ROWS($O$2:O314),$O$2:$O$1001,0),0), INDEX($V$1004:$AE$1004,1,MATCH(COLUMNS($V$1006:AE1006),$V$1006:$AE$1006,0)))),"Fix")))</f>
        <v>0</v>
      </c>
      <c r="O314">
        <v>0</v>
      </c>
      <c r="P314">
        <v>0</v>
      </c>
      <c r="Q314">
        <v>0</v>
      </c>
      <c r="R314">
        <f>IF(S314,TRUE,AND(V314:AE314))</f>
        <v>0</v>
      </c>
      <c r="S314">
        <f>COUNTBLANK(Metadata!B314:K314)=COLUMNS(Metadata!B314:K314)</f>
        <v>0</v>
      </c>
      <c r="T314">
        <v>0</v>
      </c>
      <c r="V314">
        <f>AND(IF(Metadata!B314="",FALSE,TRUE),COUNTIF(Metadata!B:B, Metadata!B314) = 1,NOT(ISERROR(SUMPRODUCT(SEARCH(MID(Metadata!B314,ROW(INDIRECT("1:"&amp;LEN(Metadata!B314))), 1),"0123456789abcdefghijklmnopqrstuvwxyzABCDEFGHIJKLMNOPQRSTUVWXYZ.")))))</f>
        <v>0</v>
      </c>
      <c r="W314">
        <f>AND(IF(Metadata!C314="",FALSE,TRUE),exact(Metadata!C314,"urban biome"))</f>
        <v>0</v>
      </c>
      <c r="X314">
        <f>AND(IF(Metadata!D314="",FALSE,TRUE),exact(Metadata!D314,"animal-associated habitat"))</f>
        <v>0</v>
      </c>
      <c r="Y314">
        <f>OR(AND(IF(Metadata!E314="",FALSE,TRUE),OR(exact(Metadata!E314,"not applicable"),exact(Metadata!E314,"missing: not collected"),exact(Metadata!E314,"missing: not provided"),exact(Metadata!E314,"missing: restricted access"))),AND(IF(Metadata!E314="",FALSE,ISNUMBER(VALUE(Metadata!E314))),Metadata!E314&gt;0))</f>
        <v>0</v>
      </c>
      <c r="Z314">
        <f>AND(IF(Metadata!F314="",FALSE,TRUE),exact(Metadata!F314,"weeks"))</f>
        <v>0</v>
      </c>
      <c r="AA314">
        <f>AND(IF(Metadata!G314="",FALSE,TRUE),exact(Metadata!G314,"mouse"))</f>
        <v>0</v>
      </c>
      <c r="AB314">
        <f>AND(IF(Metadata!H314="",FALSE,TRUE),exact(Metadata!H314,"Mus musculus"))</f>
        <v>0</v>
      </c>
      <c r="AC314">
        <f>AND(IF(Metadata!I314="",FALSE,TRUE),exact(Metadata!I314,"10090"))</f>
        <v>0</v>
      </c>
      <c r="AD314">
        <f>OR(AND(IF(Metadata!J314="",FALSE,TRUE),OR(exact(Metadata!J314,"not applicable"),exact(Metadata!J314,"missing: not collected"),exact(Metadata!J314,"missing: not provided"),exact(Metadata!J314,"missing: restricted access"))),AND(IF(Metadata!J314="",FALSE,ISNUMBER(VALUE(Metadata!J314))),Metadata!J314&gt;0))</f>
        <v>0</v>
      </c>
      <c r="AE314">
        <f>AND(IF(Metadata!K314="",FALSE,TRUE),exact(Metadata!K314,"g"))</f>
        <v>0</v>
      </c>
    </row>
    <row r="315" spans="1:31">
      <c r="A315" s="5">
        <f>IF(B315=" "," ",HYPERLINK(CONCATENATE("#metadata!",ADDRESS(INDEX($Q$2:$Q$1001,MATCH(ROWS($O$2:O315),$O$2:$O$1001,0),0),1)),INDEX($T$2:$T$1001,MATCH(ROWS($O$2:O315),$O$2:$O$1001,0),0)))</f>
        <v>0</v>
      </c>
      <c r="B315" s="4">
        <f>IF(OR(INDEX($P$2:$P$1001,MATCH(ROWS($O$2:O315),$O$2:$O$1001,0),1)&gt;=100000,INDEX($V$1005:$AE$1005,1,MATCH(COLUMNS($V$1006:V1006),$V$1006:$AE$1006,0))&gt;=100000), " ",IF(INDEX($V$2:$AE$1001,MATCH(ROWS($O$2:O315),$O$2:$O$1001,0),MATCH(COLUMNS($V$1006:V1006),$V$1006:$AE$1006,0)), HYPERLINK("#",""), HYPERLINK(CONCATENATE("#Metadata!", ADDRESS(INDEX($Q$2:$Q$1001,MATCH(ROWS($O$2:O315),$O$2:$O$1001,0),0), INDEX($V$1004:$AE$1004,1,MATCH(COLUMNS($V$1006:V1006),$V$1006:$AE$1006,0)))),"Fix")))</f>
        <v>0</v>
      </c>
      <c r="C315" s="4">
        <f>IF(OR(INDEX($P$2:$P$1001,MATCH(ROWS($O$2:O315),$O$2:$O$1001,0),1)&gt;=100000,INDEX($V$1005:$AE$1005,1,MATCH(COLUMNS($V$1006:W1006),$V$1006:$AE$1006,0))&gt;=100000), " ",IF(INDEX($V$2:$AE$1001,MATCH(ROWS($O$2:O315),$O$2:$O$1001,0),MATCH(COLUMNS($V$1006:W1006),$V$1006:$AE$1006,0)), HYPERLINK("#",""), HYPERLINK(CONCATENATE("#Metadata!", ADDRESS(INDEX($Q$2:$Q$1001,MATCH(ROWS($O$2:O315),$O$2:$O$1001,0),0), INDEX($V$1004:$AE$1004,1,MATCH(COLUMNS($V$1006:W1006),$V$1006:$AE$1006,0)))),"Fix")))</f>
        <v>0</v>
      </c>
      <c r="D315" s="4">
        <f>IF(OR(INDEX($P$2:$P$1001,MATCH(ROWS($O$2:O315),$O$2:$O$1001,0),1)&gt;=100000,INDEX($V$1005:$AE$1005,1,MATCH(COLUMNS($V$1006:X1006),$V$1006:$AE$1006,0))&gt;=100000), " ",IF(INDEX($V$2:$AE$1001,MATCH(ROWS($O$2:O315),$O$2:$O$1001,0),MATCH(COLUMNS($V$1006:X1006),$V$1006:$AE$1006,0)), HYPERLINK("#",""), HYPERLINK(CONCATENATE("#Metadata!", ADDRESS(INDEX($Q$2:$Q$1001,MATCH(ROWS($O$2:O315),$O$2:$O$1001,0),0), INDEX($V$1004:$AE$1004,1,MATCH(COLUMNS($V$1006:X1006),$V$1006:$AE$1006,0)))),"Fix")))</f>
        <v>0</v>
      </c>
      <c r="E315" s="4">
        <f>IF(OR(INDEX($P$2:$P$1001,MATCH(ROWS($O$2:O315),$O$2:$O$1001,0),1)&gt;=100000,INDEX($V$1005:$AE$1005,1,MATCH(COLUMNS($V$1006:Y1006),$V$1006:$AE$1006,0))&gt;=100000), " ",IF(INDEX($V$2:$AE$1001,MATCH(ROWS($O$2:O315),$O$2:$O$1001,0),MATCH(COLUMNS($V$1006:Y1006),$V$1006:$AE$1006,0)), HYPERLINK("#",""), HYPERLINK(CONCATENATE("#Metadata!", ADDRESS(INDEX($Q$2:$Q$1001,MATCH(ROWS($O$2:O315),$O$2:$O$1001,0),0), INDEX($V$1004:$AE$1004,1,MATCH(COLUMNS($V$1006:Y1006),$V$1006:$AE$1006,0)))),"Fix")))</f>
        <v>0</v>
      </c>
      <c r="F315" s="4">
        <f>IF(OR(INDEX($P$2:$P$1001,MATCH(ROWS($O$2:O315),$O$2:$O$1001,0),1)&gt;=100000,INDEX($V$1005:$AE$1005,1,MATCH(COLUMNS($V$1006:Z1006),$V$1006:$AE$1006,0))&gt;=100000), " ",IF(INDEX($V$2:$AE$1001,MATCH(ROWS($O$2:O315),$O$2:$O$1001,0),MATCH(COLUMNS($V$1006:Z1006),$V$1006:$AE$1006,0)), HYPERLINK("#",""), HYPERLINK(CONCATENATE("#Metadata!", ADDRESS(INDEX($Q$2:$Q$1001,MATCH(ROWS($O$2:O315),$O$2:$O$1001,0),0), INDEX($V$1004:$AE$1004,1,MATCH(COLUMNS($V$1006:Z1006),$V$1006:$AE$1006,0)))),"Fix")))</f>
        <v>0</v>
      </c>
      <c r="G315" s="4">
        <f>IF(OR(INDEX($P$2:$P$1001,MATCH(ROWS($O$2:O315),$O$2:$O$1001,0),1)&gt;=100000,INDEX($V$1005:$AE$1005,1,MATCH(COLUMNS($V$1006:AA1006),$V$1006:$AE$1006,0))&gt;=100000), " ",IF(INDEX($V$2:$AE$1001,MATCH(ROWS($O$2:O315),$O$2:$O$1001,0),MATCH(COLUMNS($V$1006:AA1006),$V$1006:$AE$1006,0)), HYPERLINK("#",""), HYPERLINK(CONCATENATE("#Metadata!", ADDRESS(INDEX($Q$2:$Q$1001,MATCH(ROWS($O$2:O315),$O$2:$O$1001,0),0), INDEX($V$1004:$AE$1004,1,MATCH(COLUMNS($V$1006:AA1006),$V$1006:$AE$1006,0)))),"Fix")))</f>
        <v>0</v>
      </c>
      <c r="H315" s="4">
        <f>IF(OR(INDEX($P$2:$P$1001,MATCH(ROWS($O$2:O315),$O$2:$O$1001,0),1)&gt;=100000,INDEX($V$1005:$AE$1005,1,MATCH(COLUMNS($V$1006:AB1006),$V$1006:$AE$1006,0))&gt;=100000), " ",IF(INDEX($V$2:$AE$1001,MATCH(ROWS($O$2:O315),$O$2:$O$1001,0),MATCH(COLUMNS($V$1006:AB1006),$V$1006:$AE$1006,0)), HYPERLINK("#",""), HYPERLINK(CONCATENATE("#Metadata!", ADDRESS(INDEX($Q$2:$Q$1001,MATCH(ROWS($O$2:O315),$O$2:$O$1001,0),0), INDEX($V$1004:$AE$1004,1,MATCH(COLUMNS($V$1006:AB1006),$V$1006:$AE$1006,0)))),"Fix")))</f>
        <v>0</v>
      </c>
      <c r="I315" s="4">
        <f>IF(OR(INDEX($P$2:$P$1001,MATCH(ROWS($O$2:O315),$O$2:$O$1001,0),1)&gt;=100000,INDEX($V$1005:$AE$1005,1,MATCH(COLUMNS($V$1006:AC1006),$V$1006:$AE$1006,0))&gt;=100000), " ",IF(INDEX($V$2:$AE$1001,MATCH(ROWS($O$2:O315),$O$2:$O$1001,0),MATCH(COLUMNS($V$1006:AC1006),$V$1006:$AE$1006,0)), HYPERLINK("#",""), HYPERLINK(CONCATENATE("#Metadata!", ADDRESS(INDEX($Q$2:$Q$1001,MATCH(ROWS($O$2:O315),$O$2:$O$1001,0),0), INDEX($V$1004:$AE$1004,1,MATCH(COLUMNS($V$1006:AC1006),$V$1006:$AE$1006,0)))),"Fix")))</f>
        <v>0</v>
      </c>
      <c r="J315" s="4">
        <f>IF(OR(INDEX($P$2:$P$1001,MATCH(ROWS($O$2:O315),$O$2:$O$1001,0),1)&gt;=100000,INDEX($V$1005:$AE$1005,1,MATCH(COLUMNS($V$1006:AD1006),$V$1006:$AE$1006,0))&gt;=100000), " ",IF(INDEX($V$2:$AE$1001,MATCH(ROWS($O$2:O315),$O$2:$O$1001,0),MATCH(COLUMNS($V$1006:AD1006),$V$1006:$AE$1006,0)), HYPERLINK("#",""), HYPERLINK(CONCATENATE("#Metadata!", ADDRESS(INDEX($Q$2:$Q$1001,MATCH(ROWS($O$2:O315),$O$2:$O$1001,0),0), INDEX($V$1004:$AE$1004,1,MATCH(COLUMNS($V$1006:AD1006),$V$1006:$AE$1006,0)))),"Fix")))</f>
        <v>0</v>
      </c>
      <c r="K315" s="4">
        <f>IF(OR(INDEX($P$2:$P$1001,MATCH(ROWS($O$2:O315),$O$2:$O$1001,0),1)&gt;=100000,INDEX($V$1005:$AE$1005,1,MATCH(COLUMNS($V$1006:AE1006),$V$1006:$AE$1006,0))&gt;=100000), " ",IF(INDEX($V$2:$AE$1001,MATCH(ROWS($O$2:O315),$O$2:$O$1001,0),MATCH(COLUMNS($V$1006:AE1006),$V$1006:$AE$1006,0)), HYPERLINK("#",""), HYPERLINK(CONCATENATE("#Metadata!", ADDRESS(INDEX($Q$2:$Q$1001,MATCH(ROWS($O$2:O315),$O$2:$O$1001,0),0), INDEX($V$1004:$AE$1004,1,MATCH(COLUMNS($V$1006:AE1006),$V$1006:$AE$1006,0)))),"Fix")))</f>
        <v>0</v>
      </c>
      <c r="O315">
        <v>0</v>
      </c>
      <c r="P315">
        <v>0</v>
      </c>
      <c r="Q315">
        <v>0</v>
      </c>
      <c r="R315">
        <f>IF(S315,TRUE,AND(V315:AE315))</f>
        <v>0</v>
      </c>
      <c r="S315">
        <f>COUNTBLANK(Metadata!B315:K315)=COLUMNS(Metadata!B315:K315)</f>
        <v>0</v>
      </c>
      <c r="T315">
        <v>0</v>
      </c>
      <c r="V315">
        <f>AND(IF(Metadata!B315="",FALSE,TRUE),COUNTIF(Metadata!B:B, Metadata!B315) = 1,NOT(ISERROR(SUMPRODUCT(SEARCH(MID(Metadata!B315,ROW(INDIRECT("1:"&amp;LEN(Metadata!B315))), 1),"0123456789abcdefghijklmnopqrstuvwxyzABCDEFGHIJKLMNOPQRSTUVWXYZ.")))))</f>
        <v>0</v>
      </c>
      <c r="W315">
        <f>AND(IF(Metadata!C315="",FALSE,TRUE),exact(Metadata!C315,"urban biome"))</f>
        <v>0</v>
      </c>
      <c r="X315">
        <f>AND(IF(Metadata!D315="",FALSE,TRUE),exact(Metadata!D315,"animal-associated habitat"))</f>
        <v>0</v>
      </c>
      <c r="Y315">
        <f>OR(AND(IF(Metadata!E315="",FALSE,TRUE),OR(exact(Metadata!E315,"not applicable"),exact(Metadata!E315,"missing: not collected"),exact(Metadata!E315,"missing: not provided"),exact(Metadata!E315,"missing: restricted access"))),AND(IF(Metadata!E315="",FALSE,ISNUMBER(VALUE(Metadata!E315))),Metadata!E315&gt;0))</f>
        <v>0</v>
      </c>
      <c r="Z315">
        <f>AND(IF(Metadata!F315="",FALSE,TRUE),exact(Metadata!F315,"weeks"))</f>
        <v>0</v>
      </c>
      <c r="AA315">
        <f>AND(IF(Metadata!G315="",FALSE,TRUE),exact(Metadata!G315,"mouse"))</f>
        <v>0</v>
      </c>
      <c r="AB315">
        <f>AND(IF(Metadata!H315="",FALSE,TRUE),exact(Metadata!H315,"Mus musculus"))</f>
        <v>0</v>
      </c>
      <c r="AC315">
        <f>AND(IF(Metadata!I315="",FALSE,TRUE),exact(Metadata!I315,"10090"))</f>
        <v>0</v>
      </c>
      <c r="AD315">
        <f>OR(AND(IF(Metadata!J315="",FALSE,TRUE),OR(exact(Metadata!J315,"not applicable"),exact(Metadata!J315,"missing: not collected"),exact(Metadata!J315,"missing: not provided"),exact(Metadata!J315,"missing: restricted access"))),AND(IF(Metadata!J315="",FALSE,ISNUMBER(VALUE(Metadata!J315))),Metadata!J315&gt;0))</f>
        <v>0</v>
      </c>
      <c r="AE315">
        <f>AND(IF(Metadata!K315="",FALSE,TRUE),exact(Metadata!K315,"g"))</f>
        <v>0</v>
      </c>
    </row>
    <row r="316" spans="1:31">
      <c r="A316" s="5">
        <f>IF(B316=" "," ",HYPERLINK(CONCATENATE("#metadata!",ADDRESS(INDEX($Q$2:$Q$1001,MATCH(ROWS($O$2:O316),$O$2:$O$1001,0),0),1)),INDEX($T$2:$T$1001,MATCH(ROWS($O$2:O316),$O$2:$O$1001,0),0)))</f>
        <v>0</v>
      </c>
      <c r="B316" s="4">
        <f>IF(OR(INDEX($P$2:$P$1001,MATCH(ROWS($O$2:O316),$O$2:$O$1001,0),1)&gt;=100000,INDEX($V$1005:$AE$1005,1,MATCH(COLUMNS($V$1006:V1006),$V$1006:$AE$1006,0))&gt;=100000), " ",IF(INDEX($V$2:$AE$1001,MATCH(ROWS($O$2:O316),$O$2:$O$1001,0),MATCH(COLUMNS($V$1006:V1006),$V$1006:$AE$1006,0)), HYPERLINK("#",""), HYPERLINK(CONCATENATE("#Metadata!", ADDRESS(INDEX($Q$2:$Q$1001,MATCH(ROWS($O$2:O316),$O$2:$O$1001,0),0), INDEX($V$1004:$AE$1004,1,MATCH(COLUMNS($V$1006:V1006),$V$1006:$AE$1006,0)))),"Fix")))</f>
        <v>0</v>
      </c>
      <c r="C316" s="4">
        <f>IF(OR(INDEX($P$2:$P$1001,MATCH(ROWS($O$2:O316),$O$2:$O$1001,0),1)&gt;=100000,INDEX($V$1005:$AE$1005,1,MATCH(COLUMNS($V$1006:W1006),$V$1006:$AE$1006,0))&gt;=100000), " ",IF(INDEX($V$2:$AE$1001,MATCH(ROWS($O$2:O316),$O$2:$O$1001,0),MATCH(COLUMNS($V$1006:W1006),$V$1006:$AE$1006,0)), HYPERLINK("#",""), HYPERLINK(CONCATENATE("#Metadata!", ADDRESS(INDEX($Q$2:$Q$1001,MATCH(ROWS($O$2:O316),$O$2:$O$1001,0),0), INDEX($V$1004:$AE$1004,1,MATCH(COLUMNS($V$1006:W1006),$V$1006:$AE$1006,0)))),"Fix")))</f>
        <v>0</v>
      </c>
      <c r="D316" s="4">
        <f>IF(OR(INDEX($P$2:$P$1001,MATCH(ROWS($O$2:O316),$O$2:$O$1001,0),1)&gt;=100000,INDEX($V$1005:$AE$1005,1,MATCH(COLUMNS($V$1006:X1006),$V$1006:$AE$1006,0))&gt;=100000), " ",IF(INDEX($V$2:$AE$1001,MATCH(ROWS($O$2:O316),$O$2:$O$1001,0),MATCH(COLUMNS($V$1006:X1006),$V$1006:$AE$1006,0)), HYPERLINK("#",""), HYPERLINK(CONCATENATE("#Metadata!", ADDRESS(INDEX($Q$2:$Q$1001,MATCH(ROWS($O$2:O316),$O$2:$O$1001,0),0), INDEX($V$1004:$AE$1004,1,MATCH(COLUMNS($V$1006:X1006),$V$1006:$AE$1006,0)))),"Fix")))</f>
        <v>0</v>
      </c>
      <c r="E316" s="4">
        <f>IF(OR(INDEX($P$2:$P$1001,MATCH(ROWS($O$2:O316),$O$2:$O$1001,0),1)&gt;=100000,INDEX($V$1005:$AE$1005,1,MATCH(COLUMNS($V$1006:Y1006),$V$1006:$AE$1006,0))&gt;=100000), " ",IF(INDEX($V$2:$AE$1001,MATCH(ROWS($O$2:O316),$O$2:$O$1001,0),MATCH(COLUMNS($V$1006:Y1006),$V$1006:$AE$1006,0)), HYPERLINK("#",""), HYPERLINK(CONCATENATE("#Metadata!", ADDRESS(INDEX($Q$2:$Q$1001,MATCH(ROWS($O$2:O316),$O$2:$O$1001,0),0), INDEX($V$1004:$AE$1004,1,MATCH(COLUMNS($V$1006:Y1006),$V$1006:$AE$1006,0)))),"Fix")))</f>
        <v>0</v>
      </c>
      <c r="F316" s="4">
        <f>IF(OR(INDEX($P$2:$P$1001,MATCH(ROWS($O$2:O316),$O$2:$O$1001,0),1)&gt;=100000,INDEX($V$1005:$AE$1005,1,MATCH(COLUMNS($V$1006:Z1006),$V$1006:$AE$1006,0))&gt;=100000), " ",IF(INDEX($V$2:$AE$1001,MATCH(ROWS($O$2:O316),$O$2:$O$1001,0),MATCH(COLUMNS($V$1006:Z1006),$V$1006:$AE$1006,0)), HYPERLINK("#",""), HYPERLINK(CONCATENATE("#Metadata!", ADDRESS(INDEX($Q$2:$Q$1001,MATCH(ROWS($O$2:O316),$O$2:$O$1001,0),0), INDEX($V$1004:$AE$1004,1,MATCH(COLUMNS($V$1006:Z1006),$V$1006:$AE$1006,0)))),"Fix")))</f>
        <v>0</v>
      </c>
      <c r="G316" s="4">
        <f>IF(OR(INDEX($P$2:$P$1001,MATCH(ROWS($O$2:O316),$O$2:$O$1001,0),1)&gt;=100000,INDEX($V$1005:$AE$1005,1,MATCH(COLUMNS($V$1006:AA1006),$V$1006:$AE$1006,0))&gt;=100000), " ",IF(INDEX($V$2:$AE$1001,MATCH(ROWS($O$2:O316),$O$2:$O$1001,0),MATCH(COLUMNS($V$1006:AA1006),$V$1006:$AE$1006,0)), HYPERLINK("#",""), HYPERLINK(CONCATENATE("#Metadata!", ADDRESS(INDEX($Q$2:$Q$1001,MATCH(ROWS($O$2:O316),$O$2:$O$1001,0),0), INDEX($V$1004:$AE$1004,1,MATCH(COLUMNS($V$1006:AA1006),$V$1006:$AE$1006,0)))),"Fix")))</f>
        <v>0</v>
      </c>
      <c r="H316" s="4">
        <f>IF(OR(INDEX($P$2:$P$1001,MATCH(ROWS($O$2:O316),$O$2:$O$1001,0),1)&gt;=100000,INDEX($V$1005:$AE$1005,1,MATCH(COLUMNS($V$1006:AB1006),$V$1006:$AE$1006,0))&gt;=100000), " ",IF(INDEX($V$2:$AE$1001,MATCH(ROWS($O$2:O316),$O$2:$O$1001,0),MATCH(COLUMNS($V$1006:AB1006),$V$1006:$AE$1006,0)), HYPERLINK("#",""), HYPERLINK(CONCATENATE("#Metadata!", ADDRESS(INDEX($Q$2:$Q$1001,MATCH(ROWS($O$2:O316),$O$2:$O$1001,0),0), INDEX($V$1004:$AE$1004,1,MATCH(COLUMNS($V$1006:AB1006),$V$1006:$AE$1006,0)))),"Fix")))</f>
        <v>0</v>
      </c>
      <c r="I316" s="4">
        <f>IF(OR(INDEX($P$2:$P$1001,MATCH(ROWS($O$2:O316),$O$2:$O$1001,0),1)&gt;=100000,INDEX($V$1005:$AE$1005,1,MATCH(COLUMNS($V$1006:AC1006),$V$1006:$AE$1006,0))&gt;=100000), " ",IF(INDEX($V$2:$AE$1001,MATCH(ROWS($O$2:O316),$O$2:$O$1001,0),MATCH(COLUMNS($V$1006:AC1006),$V$1006:$AE$1006,0)), HYPERLINK("#",""), HYPERLINK(CONCATENATE("#Metadata!", ADDRESS(INDEX($Q$2:$Q$1001,MATCH(ROWS($O$2:O316),$O$2:$O$1001,0),0), INDEX($V$1004:$AE$1004,1,MATCH(COLUMNS($V$1006:AC1006),$V$1006:$AE$1006,0)))),"Fix")))</f>
        <v>0</v>
      </c>
      <c r="J316" s="4">
        <f>IF(OR(INDEX($P$2:$P$1001,MATCH(ROWS($O$2:O316),$O$2:$O$1001,0),1)&gt;=100000,INDEX($V$1005:$AE$1005,1,MATCH(COLUMNS($V$1006:AD1006),$V$1006:$AE$1006,0))&gt;=100000), " ",IF(INDEX($V$2:$AE$1001,MATCH(ROWS($O$2:O316),$O$2:$O$1001,0),MATCH(COLUMNS($V$1006:AD1006),$V$1006:$AE$1006,0)), HYPERLINK("#",""), HYPERLINK(CONCATENATE("#Metadata!", ADDRESS(INDEX($Q$2:$Q$1001,MATCH(ROWS($O$2:O316),$O$2:$O$1001,0),0), INDEX($V$1004:$AE$1004,1,MATCH(COLUMNS($V$1006:AD1006),$V$1006:$AE$1006,0)))),"Fix")))</f>
        <v>0</v>
      </c>
      <c r="K316" s="4">
        <f>IF(OR(INDEX($P$2:$P$1001,MATCH(ROWS($O$2:O316),$O$2:$O$1001,0),1)&gt;=100000,INDEX($V$1005:$AE$1005,1,MATCH(COLUMNS($V$1006:AE1006),$V$1006:$AE$1006,0))&gt;=100000), " ",IF(INDEX($V$2:$AE$1001,MATCH(ROWS($O$2:O316),$O$2:$O$1001,0),MATCH(COLUMNS($V$1006:AE1006),$V$1006:$AE$1006,0)), HYPERLINK("#",""), HYPERLINK(CONCATENATE("#Metadata!", ADDRESS(INDEX($Q$2:$Q$1001,MATCH(ROWS($O$2:O316),$O$2:$O$1001,0),0), INDEX($V$1004:$AE$1004,1,MATCH(COLUMNS($V$1006:AE1006),$V$1006:$AE$1006,0)))),"Fix")))</f>
        <v>0</v>
      </c>
      <c r="O316">
        <v>0</v>
      </c>
      <c r="P316">
        <v>0</v>
      </c>
      <c r="Q316">
        <v>0</v>
      </c>
      <c r="R316">
        <f>IF(S316,TRUE,AND(V316:AE316))</f>
        <v>0</v>
      </c>
      <c r="S316">
        <f>COUNTBLANK(Metadata!B316:K316)=COLUMNS(Metadata!B316:K316)</f>
        <v>0</v>
      </c>
      <c r="T316">
        <v>0</v>
      </c>
      <c r="V316">
        <f>AND(IF(Metadata!B316="",FALSE,TRUE),COUNTIF(Metadata!B:B, Metadata!B316) = 1,NOT(ISERROR(SUMPRODUCT(SEARCH(MID(Metadata!B316,ROW(INDIRECT("1:"&amp;LEN(Metadata!B316))), 1),"0123456789abcdefghijklmnopqrstuvwxyzABCDEFGHIJKLMNOPQRSTUVWXYZ.")))))</f>
        <v>0</v>
      </c>
      <c r="W316">
        <f>AND(IF(Metadata!C316="",FALSE,TRUE),exact(Metadata!C316,"urban biome"))</f>
        <v>0</v>
      </c>
      <c r="X316">
        <f>AND(IF(Metadata!D316="",FALSE,TRUE),exact(Metadata!D316,"animal-associated habitat"))</f>
        <v>0</v>
      </c>
      <c r="Y316">
        <f>OR(AND(IF(Metadata!E316="",FALSE,TRUE),OR(exact(Metadata!E316,"not applicable"),exact(Metadata!E316,"missing: not collected"),exact(Metadata!E316,"missing: not provided"),exact(Metadata!E316,"missing: restricted access"))),AND(IF(Metadata!E316="",FALSE,ISNUMBER(VALUE(Metadata!E316))),Metadata!E316&gt;0))</f>
        <v>0</v>
      </c>
      <c r="Z316">
        <f>AND(IF(Metadata!F316="",FALSE,TRUE),exact(Metadata!F316,"weeks"))</f>
        <v>0</v>
      </c>
      <c r="AA316">
        <f>AND(IF(Metadata!G316="",FALSE,TRUE),exact(Metadata!G316,"mouse"))</f>
        <v>0</v>
      </c>
      <c r="AB316">
        <f>AND(IF(Metadata!H316="",FALSE,TRUE),exact(Metadata!H316,"Mus musculus"))</f>
        <v>0</v>
      </c>
      <c r="AC316">
        <f>AND(IF(Metadata!I316="",FALSE,TRUE),exact(Metadata!I316,"10090"))</f>
        <v>0</v>
      </c>
      <c r="AD316">
        <f>OR(AND(IF(Metadata!J316="",FALSE,TRUE),OR(exact(Metadata!J316,"not applicable"),exact(Metadata!J316,"missing: not collected"),exact(Metadata!J316,"missing: not provided"),exact(Metadata!J316,"missing: restricted access"))),AND(IF(Metadata!J316="",FALSE,ISNUMBER(VALUE(Metadata!J316))),Metadata!J316&gt;0))</f>
        <v>0</v>
      </c>
      <c r="AE316">
        <f>AND(IF(Metadata!K316="",FALSE,TRUE),exact(Metadata!K316,"g"))</f>
        <v>0</v>
      </c>
    </row>
    <row r="317" spans="1:31">
      <c r="A317" s="5">
        <f>IF(B317=" "," ",HYPERLINK(CONCATENATE("#metadata!",ADDRESS(INDEX($Q$2:$Q$1001,MATCH(ROWS($O$2:O317),$O$2:$O$1001,0),0),1)),INDEX($T$2:$T$1001,MATCH(ROWS($O$2:O317),$O$2:$O$1001,0),0)))</f>
        <v>0</v>
      </c>
      <c r="B317" s="4">
        <f>IF(OR(INDEX($P$2:$P$1001,MATCH(ROWS($O$2:O317),$O$2:$O$1001,0),1)&gt;=100000,INDEX($V$1005:$AE$1005,1,MATCH(COLUMNS($V$1006:V1006),$V$1006:$AE$1006,0))&gt;=100000), " ",IF(INDEX($V$2:$AE$1001,MATCH(ROWS($O$2:O317),$O$2:$O$1001,0),MATCH(COLUMNS($V$1006:V1006),$V$1006:$AE$1006,0)), HYPERLINK("#",""), HYPERLINK(CONCATENATE("#Metadata!", ADDRESS(INDEX($Q$2:$Q$1001,MATCH(ROWS($O$2:O317),$O$2:$O$1001,0),0), INDEX($V$1004:$AE$1004,1,MATCH(COLUMNS($V$1006:V1006),$V$1006:$AE$1006,0)))),"Fix")))</f>
        <v>0</v>
      </c>
      <c r="C317" s="4">
        <f>IF(OR(INDEX($P$2:$P$1001,MATCH(ROWS($O$2:O317),$O$2:$O$1001,0),1)&gt;=100000,INDEX($V$1005:$AE$1005,1,MATCH(COLUMNS($V$1006:W1006),$V$1006:$AE$1006,0))&gt;=100000), " ",IF(INDEX($V$2:$AE$1001,MATCH(ROWS($O$2:O317),$O$2:$O$1001,0),MATCH(COLUMNS($V$1006:W1006),$V$1006:$AE$1006,0)), HYPERLINK("#",""), HYPERLINK(CONCATENATE("#Metadata!", ADDRESS(INDEX($Q$2:$Q$1001,MATCH(ROWS($O$2:O317),$O$2:$O$1001,0),0), INDEX($V$1004:$AE$1004,1,MATCH(COLUMNS($V$1006:W1006),$V$1006:$AE$1006,0)))),"Fix")))</f>
        <v>0</v>
      </c>
      <c r="D317" s="4">
        <f>IF(OR(INDEX($P$2:$P$1001,MATCH(ROWS($O$2:O317),$O$2:$O$1001,0),1)&gt;=100000,INDEX($V$1005:$AE$1005,1,MATCH(COLUMNS($V$1006:X1006),$V$1006:$AE$1006,0))&gt;=100000), " ",IF(INDEX($V$2:$AE$1001,MATCH(ROWS($O$2:O317),$O$2:$O$1001,0),MATCH(COLUMNS($V$1006:X1006),$V$1006:$AE$1006,0)), HYPERLINK("#",""), HYPERLINK(CONCATENATE("#Metadata!", ADDRESS(INDEX($Q$2:$Q$1001,MATCH(ROWS($O$2:O317),$O$2:$O$1001,0),0), INDEX($V$1004:$AE$1004,1,MATCH(COLUMNS($V$1006:X1006),$V$1006:$AE$1006,0)))),"Fix")))</f>
        <v>0</v>
      </c>
      <c r="E317" s="4">
        <f>IF(OR(INDEX($P$2:$P$1001,MATCH(ROWS($O$2:O317),$O$2:$O$1001,0),1)&gt;=100000,INDEX($V$1005:$AE$1005,1,MATCH(COLUMNS($V$1006:Y1006),$V$1006:$AE$1006,0))&gt;=100000), " ",IF(INDEX($V$2:$AE$1001,MATCH(ROWS($O$2:O317),$O$2:$O$1001,0),MATCH(COLUMNS($V$1006:Y1006),$V$1006:$AE$1006,0)), HYPERLINK("#",""), HYPERLINK(CONCATENATE("#Metadata!", ADDRESS(INDEX($Q$2:$Q$1001,MATCH(ROWS($O$2:O317),$O$2:$O$1001,0),0), INDEX($V$1004:$AE$1004,1,MATCH(COLUMNS($V$1006:Y1006),$V$1006:$AE$1006,0)))),"Fix")))</f>
        <v>0</v>
      </c>
      <c r="F317" s="4">
        <f>IF(OR(INDEX($P$2:$P$1001,MATCH(ROWS($O$2:O317),$O$2:$O$1001,0),1)&gt;=100000,INDEX($V$1005:$AE$1005,1,MATCH(COLUMNS($V$1006:Z1006),$V$1006:$AE$1006,0))&gt;=100000), " ",IF(INDEX($V$2:$AE$1001,MATCH(ROWS($O$2:O317),$O$2:$O$1001,0),MATCH(COLUMNS($V$1006:Z1006),$V$1006:$AE$1006,0)), HYPERLINK("#",""), HYPERLINK(CONCATENATE("#Metadata!", ADDRESS(INDEX($Q$2:$Q$1001,MATCH(ROWS($O$2:O317),$O$2:$O$1001,0),0), INDEX($V$1004:$AE$1004,1,MATCH(COLUMNS($V$1006:Z1006),$V$1006:$AE$1006,0)))),"Fix")))</f>
        <v>0</v>
      </c>
      <c r="G317" s="4">
        <f>IF(OR(INDEX($P$2:$P$1001,MATCH(ROWS($O$2:O317),$O$2:$O$1001,0),1)&gt;=100000,INDEX($V$1005:$AE$1005,1,MATCH(COLUMNS($V$1006:AA1006),$V$1006:$AE$1006,0))&gt;=100000), " ",IF(INDEX($V$2:$AE$1001,MATCH(ROWS($O$2:O317),$O$2:$O$1001,0),MATCH(COLUMNS($V$1006:AA1006),$V$1006:$AE$1006,0)), HYPERLINK("#",""), HYPERLINK(CONCATENATE("#Metadata!", ADDRESS(INDEX($Q$2:$Q$1001,MATCH(ROWS($O$2:O317),$O$2:$O$1001,0),0), INDEX($V$1004:$AE$1004,1,MATCH(COLUMNS($V$1006:AA1006),$V$1006:$AE$1006,0)))),"Fix")))</f>
        <v>0</v>
      </c>
      <c r="H317" s="4">
        <f>IF(OR(INDEX($P$2:$P$1001,MATCH(ROWS($O$2:O317),$O$2:$O$1001,0),1)&gt;=100000,INDEX($V$1005:$AE$1005,1,MATCH(COLUMNS($V$1006:AB1006),$V$1006:$AE$1006,0))&gt;=100000), " ",IF(INDEX($V$2:$AE$1001,MATCH(ROWS($O$2:O317),$O$2:$O$1001,0),MATCH(COLUMNS($V$1006:AB1006),$V$1006:$AE$1006,0)), HYPERLINK("#",""), HYPERLINK(CONCATENATE("#Metadata!", ADDRESS(INDEX($Q$2:$Q$1001,MATCH(ROWS($O$2:O317),$O$2:$O$1001,0),0), INDEX($V$1004:$AE$1004,1,MATCH(COLUMNS($V$1006:AB1006),$V$1006:$AE$1006,0)))),"Fix")))</f>
        <v>0</v>
      </c>
      <c r="I317" s="4">
        <f>IF(OR(INDEX($P$2:$P$1001,MATCH(ROWS($O$2:O317),$O$2:$O$1001,0),1)&gt;=100000,INDEX($V$1005:$AE$1005,1,MATCH(COLUMNS($V$1006:AC1006),$V$1006:$AE$1006,0))&gt;=100000), " ",IF(INDEX($V$2:$AE$1001,MATCH(ROWS($O$2:O317),$O$2:$O$1001,0),MATCH(COLUMNS($V$1006:AC1006),$V$1006:$AE$1006,0)), HYPERLINK("#",""), HYPERLINK(CONCATENATE("#Metadata!", ADDRESS(INDEX($Q$2:$Q$1001,MATCH(ROWS($O$2:O317),$O$2:$O$1001,0),0), INDEX($V$1004:$AE$1004,1,MATCH(COLUMNS($V$1006:AC1006),$V$1006:$AE$1006,0)))),"Fix")))</f>
        <v>0</v>
      </c>
      <c r="J317" s="4">
        <f>IF(OR(INDEX($P$2:$P$1001,MATCH(ROWS($O$2:O317),$O$2:$O$1001,0),1)&gt;=100000,INDEX($V$1005:$AE$1005,1,MATCH(COLUMNS($V$1006:AD1006),$V$1006:$AE$1006,0))&gt;=100000), " ",IF(INDEX($V$2:$AE$1001,MATCH(ROWS($O$2:O317),$O$2:$O$1001,0),MATCH(COLUMNS($V$1006:AD1006),$V$1006:$AE$1006,0)), HYPERLINK("#",""), HYPERLINK(CONCATENATE("#Metadata!", ADDRESS(INDEX($Q$2:$Q$1001,MATCH(ROWS($O$2:O317),$O$2:$O$1001,0),0), INDEX($V$1004:$AE$1004,1,MATCH(COLUMNS($V$1006:AD1006),$V$1006:$AE$1006,0)))),"Fix")))</f>
        <v>0</v>
      </c>
      <c r="K317" s="4">
        <f>IF(OR(INDEX($P$2:$P$1001,MATCH(ROWS($O$2:O317),$O$2:$O$1001,0),1)&gt;=100000,INDEX($V$1005:$AE$1005,1,MATCH(COLUMNS($V$1006:AE1006),$V$1006:$AE$1006,0))&gt;=100000), " ",IF(INDEX($V$2:$AE$1001,MATCH(ROWS($O$2:O317),$O$2:$O$1001,0),MATCH(COLUMNS($V$1006:AE1006),$V$1006:$AE$1006,0)), HYPERLINK("#",""), HYPERLINK(CONCATENATE("#Metadata!", ADDRESS(INDEX($Q$2:$Q$1001,MATCH(ROWS($O$2:O317),$O$2:$O$1001,0),0), INDEX($V$1004:$AE$1004,1,MATCH(COLUMNS($V$1006:AE1006),$V$1006:$AE$1006,0)))),"Fix")))</f>
        <v>0</v>
      </c>
      <c r="O317">
        <v>0</v>
      </c>
      <c r="P317">
        <v>0</v>
      </c>
      <c r="Q317">
        <v>0</v>
      </c>
      <c r="R317">
        <f>IF(S317,TRUE,AND(V317:AE317))</f>
        <v>0</v>
      </c>
      <c r="S317">
        <f>COUNTBLANK(Metadata!B317:K317)=COLUMNS(Metadata!B317:K317)</f>
        <v>0</v>
      </c>
      <c r="T317">
        <v>0</v>
      </c>
      <c r="V317">
        <f>AND(IF(Metadata!B317="",FALSE,TRUE),COUNTIF(Metadata!B:B, Metadata!B317) = 1,NOT(ISERROR(SUMPRODUCT(SEARCH(MID(Metadata!B317,ROW(INDIRECT("1:"&amp;LEN(Metadata!B317))), 1),"0123456789abcdefghijklmnopqrstuvwxyzABCDEFGHIJKLMNOPQRSTUVWXYZ.")))))</f>
        <v>0</v>
      </c>
      <c r="W317">
        <f>AND(IF(Metadata!C317="",FALSE,TRUE),exact(Metadata!C317,"urban biome"))</f>
        <v>0</v>
      </c>
      <c r="X317">
        <f>AND(IF(Metadata!D317="",FALSE,TRUE),exact(Metadata!D317,"animal-associated habitat"))</f>
        <v>0</v>
      </c>
      <c r="Y317">
        <f>OR(AND(IF(Metadata!E317="",FALSE,TRUE),OR(exact(Metadata!E317,"not applicable"),exact(Metadata!E317,"missing: not collected"),exact(Metadata!E317,"missing: not provided"),exact(Metadata!E317,"missing: restricted access"))),AND(IF(Metadata!E317="",FALSE,ISNUMBER(VALUE(Metadata!E317))),Metadata!E317&gt;0))</f>
        <v>0</v>
      </c>
      <c r="Z317">
        <f>AND(IF(Metadata!F317="",FALSE,TRUE),exact(Metadata!F317,"weeks"))</f>
        <v>0</v>
      </c>
      <c r="AA317">
        <f>AND(IF(Metadata!G317="",FALSE,TRUE),exact(Metadata!G317,"mouse"))</f>
        <v>0</v>
      </c>
      <c r="AB317">
        <f>AND(IF(Metadata!H317="",FALSE,TRUE),exact(Metadata!H317,"Mus musculus"))</f>
        <v>0</v>
      </c>
      <c r="AC317">
        <f>AND(IF(Metadata!I317="",FALSE,TRUE),exact(Metadata!I317,"10090"))</f>
        <v>0</v>
      </c>
      <c r="AD317">
        <f>OR(AND(IF(Metadata!J317="",FALSE,TRUE),OR(exact(Metadata!J317,"not applicable"),exact(Metadata!J317,"missing: not collected"),exact(Metadata!J317,"missing: not provided"),exact(Metadata!J317,"missing: restricted access"))),AND(IF(Metadata!J317="",FALSE,ISNUMBER(VALUE(Metadata!J317))),Metadata!J317&gt;0))</f>
        <v>0</v>
      </c>
      <c r="AE317">
        <f>AND(IF(Metadata!K317="",FALSE,TRUE),exact(Metadata!K317,"g"))</f>
        <v>0</v>
      </c>
    </row>
    <row r="318" spans="1:31">
      <c r="A318" s="5">
        <f>IF(B318=" "," ",HYPERLINK(CONCATENATE("#metadata!",ADDRESS(INDEX($Q$2:$Q$1001,MATCH(ROWS($O$2:O318),$O$2:$O$1001,0),0),1)),INDEX($T$2:$T$1001,MATCH(ROWS($O$2:O318),$O$2:$O$1001,0),0)))</f>
        <v>0</v>
      </c>
      <c r="B318" s="4">
        <f>IF(OR(INDEX($P$2:$P$1001,MATCH(ROWS($O$2:O318),$O$2:$O$1001,0),1)&gt;=100000,INDEX($V$1005:$AE$1005,1,MATCH(COLUMNS($V$1006:V1006),$V$1006:$AE$1006,0))&gt;=100000), " ",IF(INDEX($V$2:$AE$1001,MATCH(ROWS($O$2:O318),$O$2:$O$1001,0),MATCH(COLUMNS($V$1006:V1006),$V$1006:$AE$1006,0)), HYPERLINK("#",""), HYPERLINK(CONCATENATE("#Metadata!", ADDRESS(INDEX($Q$2:$Q$1001,MATCH(ROWS($O$2:O318),$O$2:$O$1001,0),0), INDEX($V$1004:$AE$1004,1,MATCH(COLUMNS($V$1006:V1006),$V$1006:$AE$1006,0)))),"Fix")))</f>
        <v>0</v>
      </c>
      <c r="C318" s="4">
        <f>IF(OR(INDEX($P$2:$P$1001,MATCH(ROWS($O$2:O318),$O$2:$O$1001,0),1)&gt;=100000,INDEX($V$1005:$AE$1005,1,MATCH(COLUMNS($V$1006:W1006),$V$1006:$AE$1006,0))&gt;=100000), " ",IF(INDEX($V$2:$AE$1001,MATCH(ROWS($O$2:O318),$O$2:$O$1001,0),MATCH(COLUMNS($V$1006:W1006),$V$1006:$AE$1006,0)), HYPERLINK("#",""), HYPERLINK(CONCATENATE("#Metadata!", ADDRESS(INDEX($Q$2:$Q$1001,MATCH(ROWS($O$2:O318),$O$2:$O$1001,0),0), INDEX($V$1004:$AE$1004,1,MATCH(COLUMNS($V$1006:W1006),$V$1006:$AE$1006,0)))),"Fix")))</f>
        <v>0</v>
      </c>
      <c r="D318" s="4">
        <f>IF(OR(INDEX($P$2:$P$1001,MATCH(ROWS($O$2:O318),$O$2:$O$1001,0),1)&gt;=100000,INDEX($V$1005:$AE$1005,1,MATCH(COLUMNS($V$1006:X1006),$V$1006:$AE$1006,0))&gt;=100000), " ",IF(INDEX($V$2:$AE$1001,MATCH(ROWS($O$2:O318),$O$2:$O$1001,0),MATCH(COLUMNS($V$1006:X1006),$V$1006:$AE$1006,0)), HYPERLINK("#",""), HYPERLINK(CONCATENATE("#Metadata!", ADDRESS(INDEX($Q$2:$Q$1001,MATCH(ROWS($O$2:O318),$O$2:$O$1001,0),0), INDEX($V$1004:$AE$1004,1,MATCH(COLUMNS($V$1006:X1006),$V$1006:$AE$1006,0)))),"Fix")))</f>
        <v>0</v>
      </c>
      <c r="E318" s="4">
        <f>IF(OR(INDEX($P$2:$P$1001,MATCH(ROWS($O$2:O318),$O$2:$O$1001,0),1)&gt;=100000,INDEX($V$1005:$AE$1005,1,MATCH(COLUMNS($V$1006:Y1006),$V$1006:$AE$1006,0))&gt;=100000), " ",IF(INDEX($V$2:$AE$1001,MATCH(ROWS($O$2:O318),$O$2:$O$1001,0),MATCH(COLUMNS($V$1006:Y1006),$V$1006:$AE$1006,0)), HYPERLINK("#",""), HYPERLINK(CONCATENATE("#Metadata!", ADDRESS(INDEX($Q$2:$Q$1001,MATCH(ROWS($O$2:O318),$O$2:$O$1001,0),0), INDEX($V$1004:$AE$1004,1,MATCH(COLUMNS($V$1006:Y1006),$V$1006:$AE$1006,0)))),"Fix")))</f>
        <v>0</v>
      </c>
      <c r="F318" s="4">
        <f>IF(OR(INDEX($P$2:$P$1001,MATCH(ROWS($O$2:O318),$O$2:$O$1001,0),1)&gt;=100000,INDEX($V$1005:$AE$1005,1,MATCH(COLUMNS($V$1006:Z1006),$V$1006:$AE$1006,0))&gt;=100000), " ",IF(INDEX($V$2:$AE$1001,MATCH(ROWS($O$2:O318),$O$2:$O$1001,0),MATCH(COLUMNS($V$1006:Z1006),$V$1006:$AE$1006,0)), HYPERLINK("#",""), HYPERLINK(CONCATENATE("#Metadata!", ADDRESS(INDEX($Q$2:$Q$1001,MATCH(ROWS($O$2:O318),$O$2:$O$1001,0),0), INDEX($V$1004:$AE$1004,1,MATCH(COLUMNS($V$1006:Z1006),$V$1006:$AE$1006,0)))),"Fix")))</f>
        <v>0</v>
      </c>
      <c r="G318" s="4">
        <f>IF(OR(INDEX($P$2:$P$1001,MATCH(ROWS($O$2:O318),$O$2:$O$1001,0),1)&gt;=100000,INDEX($V$1005:$AE$1005,1,MATCH(COLUMNS($V$1006:AA1006),$V$1006:$AE$1006,0))&gt;=100000), " ",IF(INDEX($V$2:$AE$1001,MATCH(ROWS($O$2:O318),$O$2:$O$1001,0),MATCH(COLUMNS($V$1006:AA1006),$V$1006:$AE$1006,0)), HYPERLINK("#",""), HYPERLINK(CONCATENATE("#Metadata!", ADDRESS(INDEX($Q$2:$Q$1001,MATCH(ROWS($O$2:O318),$O$2:$O$1001,0),0), INDEX($V$1004:$AE$1004,1,MATCH(COLUMNS($V$1006:AA1006),$V$1006:$AE$1006,0)))),"Fix")))</f>
        <v>0</v>
      </c>
      <c r="H318" s="4">
        <f>IF(OR(INDEX($P$2:$P$1001,MATCH(ROWS($O$2:O318),$O$2:$O$1001,0),1)&gt;=100000,INDEX($V$1005:$AE$1005,1,MATCH(COLUMNS($V$1006:AB1006),$V$1006:$AE$1006,0))&gt;=100000), " ",IF(INDEX($V$2:$AE$1001,MATCH(ROWS($O$2:O318),$O$2:$O$1001,0),MATCH(COLUMNS($V$1006:AB1006),$V$1006:$AE$1006,0)), HYPERLINK("#",""), HYPERLINK(CONCATENATE("#Metadata!", ADDRESS(INDEX($Q$2:$Q$1001,MATCH(ROWS($O$2:O318),$O$2:$O$1001,0),0), INDEX($V$1004:$AE$1004,1,MATCH(COLUMNS($V$1006:AB1006),$V$1006:$AE$1006,0)))),"Fix")))</f>
        <v>0</v>
      </c>
      <c r="I318" s="4">
        <f>IF(OR(INDEX($P$2:$P$1001,MATCH(ROWS($O$2:O318),$O$2:$O$1001,0),1)&gt;=100000,INDEX($V$1005:$AE$1005,1,MATCH(COLUMNS($V$1006:AC1006),$V$1006:$AE$1006,0))&gt;=100000), " ",IF(INDEX($V$2:$AE$1001,MATCH(ROWS($O$2:O318),$O$2:$O$1001,0),MATCH(COLUMNS($V$1006:AC1006),$V$1006:$AE$1006,0)), HYPERLINK("#",""), HYPERLINK(CONCATENATE("#Metadata!", ADDRESS(INDEX($Q$2:$Q$1001,MATCH(ROWS($O$2:O318),$O$2:$O$1001,0),0), INDEX($V$1004:$AE$1004,1,MATCH(COLUMNS($V$1006:AC1006),$V$1006:$AE$1006,0)))),"Fix")))</f>
        <v>0</v>
      </c>
      <c r="J318" s="4">
        <f>IF(OR(INDEX($P$2:$P$1001,MATCH(ROWS($O$2:O318),$O$2:$O$1001,0),1)&gt;=100000,INDEX($V$1005:$AE$1005,1,MATCH(COLUMNS($V$1006:AD1006),$V$1006:$AE$1006,0))&gt;=100000), " ",IF(INDEX($V$2:$AE$1001,MATCH(ROWS($O$2:O318),$O$2:$O$1001,0),MATCH(COLUMNS($V$1006:AD1006),$V$1006:$AE$1006,0)), HYPERLINK("#",""), HYPERLINK(CONCATENATE("#Metadata!", ADDRESS(INDEX($Q$2:$Q$1001,MATCH(ROWS($O$2:O318),$O$2:$O$1001,0),0), INDEX($V$1004:$AE$1004,1,MATCH(COLUMNS($V$1006:AD1006),$V$1006:$AE$1006,0)))),"Fix")))</f>
        <v>0</v>
      </c>
      <c r="K318" s="4">
        <f>IF(OR(INDEX($P$2:$P$1001,MATCH(ROWS($O$2:O318),$O$2:$O$1001,0),1)&gt;=100000,INDEX($V$1005:$AE$1005,1,MATCH(COLUMNS($V$1006:AE1006),$V$1006:$AE$1006,0))&gt;=100000), " ",IF(INDEX($V$2:$AE$1001,MATCH(ROWS($O$2:O318),$O$2:$O$1001,0),MATCH(COLUMNS($V$1006:AE1006),$V$1006:$AE$1006,0)), HYPERLINK("#",""), HYPERLINK(CONCATENATE("#Metadata!", ADDRESS(INDEX($Q$2:$Q$1001,MATCH(ROWS($O$2:O318),$O$2:$O$1001,0),0), INDEX($V$1004:$AE$1004,1,MATCH(COLUMNS($V$1006:AE1006),$V$1006:$AE$1006,0)))),"Fix")))</f>
        <v>0</v>
      </c>
      <c r="O318">
        <v>0</v>
      </c>
      <c r="P318">
        <v>0</v>
      </c>
      <c r="Q318">
        <v>0</v>
      </c>
      <c r="R318">
        <f>IF(S318,TRUE,AND(V318:AE318))</f>
        <v>0</v>
      </c>
      <c r="S318">
        <f>COUNTBLANK(Metadata!B318:K318)=COLUMNS(Metadata!B318:K318)</f>
        <v>0</v>
      </c>
      <c r="T318">
        <v>0</v>
      </c>
      <c r="V318">
        <f>AND(IF(Metadata!B318="",FALSE,TRUE),COUNTIF(Metadata!B:B, Metadata!B318) = 1,NOT(ISERROR(SUMPRODUCT(SEARCH(MID(Metadata!B318,ROW(INDIRECT("1:"&amp;LEN(Metadata!B318))), 1),"0123456789abcdefghijklmnopqrstuvwxyzABCDEFGHIJKLMNOPQRSTUVWXYZ.")))))</f>
        <v>0</v>
      </c>
      <c r="W318">
        <f>AND(IF(Metadata!C318="",FALSE,TRUE),exact(Metadata!C318,"urban biome"))</f>
        <v>0</v>
      </c>
      <c r="X318">
        <f>AND(IF(Metadata!D318="",FALSE,TRUE),exact(Metadata!D318,"animal-associated habitat"))</f>
        <v>0</v>
      </c>
      <c r="Y318">
        <f>OR(AND(IF(Metadata!E318="",FALSE,TRUE),OR(exact(Metadata!E318,"not applicable"),exact(Metadata!E318,"missing: not collected"),exact(Metadata!E318,"missing: not provided"),exact(Metadata!E318,"missing: restricted access"))),AND(IF(Metadata!E318="",FALSE,ISNUMBER(VALUE(Metadata!E318))),Metadata!E318&gt;0))</f>
        <v>0</v>
      </c>
      <c r="Z318">
        <f>AND(IF(Metadata!F318="",FALSE,TRUE),exact(Metadata!F318,"weeks"))</f>
        <v>0</v>
      </c>
      <c r="AA318">
        <f>AND(IF(Metadata!G318="",FALSE,TRUE),exact(Metadata!G318,"mouse"))</f>
        <v>0</v>
      </c>
      <c r="AB318">
        <f>AND(IF(Metadata!H318="",FALSE,TRUE),exact(Metadata!H318,"Mus musculus"))</f>
        <v>0</v>
      </c>
      <c r="AC318">
        <f>AND(IF(Metadata!I318="",FALSE,TRUE),exact(Metadata!I318,"10090"))</f>
        <v>0</v>
      </c>
      <c r="AD318">
        <f>OR(AND(IF(Metadata!J318="",FALSE,TRUE),OR(exact(Metadata!J318,"not applicable"),exact(Metadata!J318,"missing: not collected"),exact(Metadata!J318,"missing: not provided"),exact(Metadata!J318,"missing: restricted access"))),AND(IF(Metadata!J318="",FALSE,ISNUMBER(VALUE(Metadata!J318))),Metadata!J318&gt;0))</f>
        <v>0</v>
      </c>
      <c r="AE318">
        <f>AND(IF(Metadata!K318="",FALSE,TRUE),exact(Metadata!K318,"g"))</f>
        <v>0</v>
      </c>
    </row>
    <row r="319" spans="1:31">
      <c r="A319" s="5">
        <f>IF(B319=" "," ",HYPERLINK(CONCATENATE("#metadata!",ADDRESS(INDEX($Q$2:$Q$1001,MATCH(ROWS($O$2:O319),$O$2:$O$1001,0),0),1)),INDEX($T$2:$T$1001,MATCH(ROWS($O$2:O319),$O$2:$O$1001,0),0)))</f>
        <v>0</v>
      </c>
      <c r="B319" s="4">
        <f>IF(OR(INDEX($P$2:$P$1001,MATCH(ROWS($O$2:O319),$O$2:$O$1001,0),1)&gt;=100000,INDEX($V$1005:$AE$1005,1,MATCH(COLUMNS($V$1006:V1006),$V$1006:$AE$1006,0))&gt;=100000), " ",IF(INDEX($V$2:$AE$1001,MATCH(ROWS($O$2:O319),$O$2:$O$1001,0),MATCH(COLUMNS($V$1006:V1006),$V$1006:$AE$1006,0)), HYPERLINK("#",""), HYPERLINK(CONCATENATE("#Metadata!", ADDRESS(INDEX($Q$2:$Q$1001,MATCH(ROWS($O$2:O319),$O$2:$O$1001,0),0), INDEX($V$1004:$AE$1004,1,MATCH(COLUMNS($V$1006:V1006),$V$1006:$AE$1006,0)))),"Fix")))</f>
        <v>0</v>
      </c>
      <c r="C319" s="4">
        <f>IF(OR(INDEX($P$2:$P$1001,MATCH(ROWS($O$2:O319),$O$2:$O$1001,0),1)&gt;=100000,INDEX($V$1005:$AE$1005,1,MATCH(COLUMNS($V$1006:W1006),$V$1006:$AE$1006,0))&gt;=100000), " ",IF(INDEX($V$2:$AE$1001,MATCH(ROWS($O$2:O319),$O$2:$O$1001,0),MATCH(COLUMNS($V$1006:W1006),$V$1006:$AE$1006,0)), HYPERLINK("#",""), HYPERLINK(CONCATENATE("#Metadata!", ADDRESS(INDEX($Q$2:$Q$1001,MATCH(ROWS($O$2:O319),$O$2:$O$1001,0),0), INDEX($V$1004:$AE$1004,1,MATCH(COLUMNS($V$1006:W1006),$V$1006:$AE$1006,0)))),"Fix")))</f>
        <v>0</v>
      </c>
      <c r="D319" s="4">
        <f>IF(OR(INDEX($P$2:$P$1001,MATCH(ROWS($O$2:O319),$O$2:$O$1001,0),1)&gt;=100000,INDEX($V$1005:$AE$1005,1,MATCH(COLUMNS($V$1006:X1006),$V$1006:$AE$1006,0))&gt;=100000), " ",IF(INDEX($V$2:$AE$1001,MATCH(ROWS($O$2:O319),$O$2:$O$1001,0),MATCH(COLUMNS($V$1006:X1006),$V$1006:$AE$1006,0)), HYPERLINK("#",""), HYPERLINK(CONCATENATE("#Metadata!", ADDRESS(INDEX($Q$2:$Q$1001,MATCH(ROWS($O$2:O319),$O$2:$O$1001,0),0), INDEX($V$1004:$AE$1004,1,MATCH(COLUMNS($V$1006:X1006),$V$1006:$AE$1006,0)))),"Fix")))</f>
        <v>0</v>
      </c>
      <c r="E319" s="4">
        <f>IF(OR(INDEX($P$2:$P$1001,MATCH(ROWS($O$2:O319),$O$2:$O$1001,0),1)&gt;=100000,INDEX($V$1005:$AE$1005,1,MATCH(COLUMNS($V$1006:Y1006),$V$1006:$AE$1006,0))&gt;=100000), " ",IF(INDEX($V$2:$AE$1001,MATCH(ROWS($O$2:O319),$O$2:$O$1001,0),MATCH(COLUMNS($V$1006:Y1006),$V$1006:$AE$1006,0)), HYPERLINK("#",""), HYPERLINK(CONCATENATE("#Metadata!", ADDRESS(INDEX($Q$2:$Q$1001,MATCH(ROWS($O$2:O319),$O$2:$O$1001,0),0), INDEX($V$1004:$AE$1004,1,MATCH(COLUMNS($V$1006:Y1006),$V$1006:$AE$1006,0)))),"Fix")))</f>
        <v>0</v>
      </c>
      <c r="F319" s="4">
        <f>IF(OR(INDEX($P$2:$P$1001,MATCH(ROWS($O$2:O319),$O$2:$O$1001,0),1)&gt;=100000,INDEX($V$1005:$AE$1005,1,MATCH(COLUMNS($V$1006:Z1006),$V$1006:$AE$1006,0))&gt;=100000), " ",IF(INDEX($V$2:$AE$1001,MATCH(ROWS($O$2:O319),$O$2:$O$1001,0),MATCH(COLUMNS($V$1006:Z1006),$V$1006:$AE$1006,0)), HYPERLINK("#",""), HYPERLINK(CONCATENATE("#Metadata!", ADDRESS(INDEX($Q$2:$Q$1001,MATCH(ROWS($O$2:O319),$O$2:$O$1001,0),0), INDEX($V$1004:$AE$1004,1,MATCH(COLUMNS($V$1006:Z1006),$V$1006:$AE$1006,0)))),"Fix")))</f>
        <v>0</v>
      </c>
      <c r="G319" s="4">
        <f>IF(OR(INDEX($P$2:$P$1001,MATCH(ROWS($O$2:O319),$O$2:$O$1001,0),1)&gt;=100000,INDEX($V$1005:$AE$1005,1,MATCH(COLUMNS($V$1006:AA1006),$V$1006:$AE$1006,0))&gt;=100000), " ",IF(INDEX($V$2:$AE$1001,MATCH(ROWS($O$2:O319),$O$2:$O$1001,0),MATCH(COLUMNS($V$1006:AA1006),$V$1006:$AE$1006,0)), HYPERLINK("#",""), HYPERLINK(CONCATENATE("#Metadata!", ADDRESS(INDEX($Q$2:$Q$1001,MATCH(ROWS($O$2:O319),$O$2:$O$1001,0),0), INDEX($V$1004:$AE$1004,1,MATCH(COLUMNS($V$1006:AA1006),$V$1006:$AE$1006,0)))),"Fix")))</f>
        <v>0</v>
      </c>
      <c r="H319" s="4">
        <f>IF(OR(INDEX($P$2:$P$1001,MATCH(ROWS($O$2:O319),$O$2:$O$1001,0),1)&gt;=100000,INDEX($V$1005:$AE$1005,1,MATCH(COLUMNS($V$1006:AB1006),$V$1006:$AE$1006,0))&gt;=100000), " ",IF(INDEX($V$2:$AE$1001,MATCH(ROWS($O$2:O319),$O$2:$O$1001,0),MATCH(COLUMNS($V$1006:AB1006),$V$1006:$AE$1006,0)), HYPERLINK("#",""), HYPERLINK(CONCATENATE("#Metadata!", ADDRESS(INDEX($Q$2:$Q$1001,MATCH(ROWS($O$2:O319),$O$2:$O$1001,0),0), INDEX($V$1004:$AE$1004,1,MATCH(COLUMNS($V$1006:AB1006),$V$1006:$AE$1006,0)))),"Fix")))</f>
        <v>0</v>
      </c>
      <c r="I319" s="4">
        <f>IF(OR(INDEX($P$2:$P$1001,MATCH(ROWS($O$2:O319),$O$2:$O$1001,0),1)&gt;=100000,INDEX($V$1005:$AE$1005,1,MATCH(COLUMNS($V$1006:AC1006),$V$1006:$AE$1006,0))&gt;=100000), " ",IF(INDEX($V$2:$AE$1001,MATCH(ROWS($O$2:O319),$O$2:$O$1001,0),MATCH(COLUMNS($V$1006:AC1006),$V$1006:$AE$1006,0)), HYPERLINK("#",""), HYPERLINK(CONCATENATE("#Metadata!", ADDRESS(INDEX($Q$2:$Q$1001,MATCH(ROWS($O$2:O319),$O$2:$O$1001,0),0), INDEX($V$1004:$AE$1004,1,MATCH(COLUMNS($V$1006:AC1006),$V$1006:$AE$1006,0)))),"Fix")))</f>
        <v>0</v>
      </c>
      <c r="J319" s="4">
        <f>IF(OR(INDEX($P$2:$P$1001,MATCH(ROWS($O$2:O319),$O$2:$O$1001,0),1)&gt;=100000,INDEX($V$1005:$AE$1005,1,MATCH(COLUMNS($V$1006:AD1006),$V$1006:$AE$1006,0))&gt;=100000), " ",IF(INDEX($V$2:$AE$1001,MATCH(ROWS($O$2:O319),$O$2:$O$1001,0),MATCH(COLUMNS($V$1006:AD1006),$V$1006:$AE$1006,0)), HYPERLINK("#",""), HYPERLINK(CONCATENATE("#Metadata!", ADDRESS(INDEX($Q$2:$Q$1001,MATCH(ROWS($O$2:O319),$O$2:$O$1001,0),0), INDEX($V$1004:$AE$1004,1,MATCH(COLUMNS($V$1006:AD1006),$V$1006:$AE$1006,0)))),"Fix")))</f>
        <v>0</v>
      </c>
      <c r="K319" s="4">
        <f>IF(OR(INDEX($P$2:$P$1001,MATCH(ROWS($O$2:O319),$O$2:$O$1001,0),1)&gt;=100000,INDEX($V$1005:$AE$1005,1,MATCH(COLUMNS($V$1006:AE1006),$V$1006:$AE$1006,0))&gt;=100000), " ",IF(INDEX($V$2:$AE$1001,MATCH(ROWS($O$2:O319),$O$2:$O$1001,0),MATCH(COLUMNS($V$1006:AE1006),$V$1006:$AE$1006,0)), HYPERLINK("#",""), HYPERLINK(CONCATENATE("#Metadata!", ADDRESS(INDEX($Q$2:$Q$1001,MATCH(ROWS($O$2:O319),$O$2:$O$1001,0),0), INDEX($V$1004:$AE$1004,1,MATCH(COLUMNS($V$1006:AE1006),$V$1006:$AE$1006,0)))),"Fix")))</f>
        <v>0</v>
      </c>
      <c r="O319">
        <v>0</v>
      </c>
      <c r="P319">
        <v>0</v>
      </c>
      <c r="Q319">
        <v>0</v>
      </c>
      <c r="R319">
        <f>IF(S319,TRUE,AND(V319:AE319))</f>
        <v>0</v>
      </c>
      <c r="S319">
        <f>COUNTBLANK(Metadata!B319:K319)=COLUMNS(Metadata!B319:K319)</f>
        <v>0</v>
      </c>
      <c r="T319">
        <v>0</v>
      </c>
      <c r="V319">
        <f>AND(IF(Metadata!B319="",FALSE,TRUE),COUNTIF(Metadata!B:B, Metadata!B319) = 1,NOT(ISERROR(SUMPRODUCT(SEARCH(MID(Metadata!B319,ROW(INDIRECT("1:"&amp;LEN(Metadata!B319))), 1),"0123456789abcdefghijklmnopqrstuvwxyzABCDEFGHIJKLMNOPQRSTUVWXYZ.")))))</f>
        <v>0</v>
      </c>
      <c r="W319">
        <f>AND(IF(Metadata!C319="",FALSE,TRUE),exact(Metadata!C319,"urban biome"))</f>
        <v>0</v>
      </c>
      <c r="X319">
        <f>AND(IF(Metadata!D319="",FALSE,TRUE),exact(Metadata!D319,"animal-associated habitat"))</f>
        <v>0</v>
      </c>
      <c r="Y319">
        <f>OR(AND(IF(Metadata!E319="",FALSE,TRUE),OR(exact(Metadata!E319,"not applicable"),exact(Metadata!E319,"missing: not collected"),exact(Metadata!E319,"missing: not provided"),exact(Metadata!E319,"missing: restricted access"))),AND(IF(Metadata!E319="",FALSE,ISNUMBER(VALUE(Metadata!E319))),Metadata!E319&gt;0))</f>
        <v>0</v>
      </c>
      <c r="Z319">
        <f>AND(IF(Metadata!F319="",FALSE,TRUE),exact(Metadata!F319,"weeks"))</f>
        <v>0</v>
      </c>
      <c r="AA319">
        <f>AND(IF(Metadata!G319="",FALSE,TRUE),exact(Metadata!G319,"mouse"))</f>
        <v>0</v>
      </c>
      <c r="AB319">
        <f>AND(IF(Metadata!H319="",FALSE,TRUE),exact(Metadata!H319,"Mus musculus"))</f>
        <v>0</v>
      </c>
      <c r="AC319">
        <f>AND(IF(Metadata!I319="",FALSE,TRUE),exact(Metadata!I319,"10090"))</f>
        <v>0</v>
      </c>
      <c r="AD319">
        <f>OR(AND(IF(Metadata!J319="",FALSE,TRUE),OR(exact(Metadata!J319,"not applicable"),exact(Metadata!J319,"missing: not collected"),exact(Metadata!J319,"missing: not provided"),exact(Metadata!J319,"missing: restricted access"))),AND(IF(Metadata!J319="",FALSE,ISNUMBER(VALUE(Metadata!J319))),Metadata!J319&gt;0))</f>
        <v>0</v>
      </c>
      <c r="AE319">
        <f>AND(IF(Metadata!K319="",FALSE,TRUE),exact(Metadata!K319,"g"))</f>
        <v>0</v>
      </c>
    </row>
    <row r="320" spans="1:31">
      <c r="A320" s="5">
        <f>IF(B320=" "," ",HYPERLINK(CONCATENATE("#metadata!",ADDRESS(INDEX($Q$2:$Q$1001,MATCH(ROWS($O$2:O320),$O$2:$O$1001,0),0),1)),INDEX($T$2:$T$1001,MATCH(ROWS($O$2:O320),$O$2:$O$1001,0),0)))</f>
        <v>0</v>
      </c>
      <c r="B320" s="4">
        <f>IF(OR(INDEX($P$2:$P$1001,MATCH(ROWS($O$2:O320),$O$2:$O$1001,0),1)&gt;=100000,INDEX($V$1005:$AE$1005,1,MATCH(COLUMNS($V$1006:V1006),$V$1006:$AE$1006,0))&gt;=100000), " ",IF(INDEX($V$2:$AE$1001,MATCH(ROWS($O$2:O320),$O$2:$O$1001,0),MATCH(COLUMNS($V$1006:V1006),$V$1006:$AE$1006,0)), HYPERLINK("#",""), HYPERLINK(CONCATENATE("#Metadata!", ADDRESS(INDEX($Q$2:$Q$1001,MATCH(ROWS($O$2:O320),$O$2:$O$1001,0),0), INDEX($V$1004:$AE$1004,1,MATCH(COLUMNS($V$1006:V1006),$V$1006:$AE$1006,0)))),"Fix")))</f>
        <v>0</v>
      </c>
      <c r="C320" s="4">
        <f>IF(OR(INDEX($P$2:$P$1001,MATCH(ROWS($O$2:O320),$O$2:$O$1001,0),1)&gt;=100000,INDEX($V$1005:$AE$1005,1,MATCH(COLUMNS($V$1006:W1006),$V$1006:$AE$1006,0))&gt;=100000), " ",IF(INDEX($V$2:$AE$1001,MATCH(ROWS($O$2:O320),$O$2:$O$1001,0),MATCH(COLUMNS($V$1006:W1006),$V$1006:$AE$1006,0)), HYPERLINK("#",""), HYPERLINK(CONCATENATE("#Metadata!", ADDRESS(INDEX($Q$2:$Q$1001,MATCH(ROWS($O$2:O320),$O$2:$O$1001,0),0), INDEX($V$1004:$AE$1004,1,MATCH(COLUMNS($V$1006:W1006),$V$1006:$AE$1006,0)))),"Fix")))</f>
        <v>0</v>
      </c>
      <c r="D320" s="4">
        <f>IF(OR(INDEX($P$2:$P$1001,MATCH(ROWS($O$2:O320),$O$2:$O$1001,0),1)&gt;=100000,INDEX($V$1005:$AE$1005,1,MATCH(COLUMNS($V$1006:X1006),$V$1006:$AE$1006,0))&gt;=100000), " ",IF(INDEX($V$2:$AE$1001,MATCH(ROWS($O$2:O320),$O$2:$O$1001,0),MATCH(COLUMNS($V$1006:X1006),$V$1006:$AE$1006,0)), HYPERLINK("#",""), HYPERLINK(CONCATENATE("#Metadata!", ADDRESS(INDEX($Q$2:$Q$1001,MATCH(ROWS($O$2:O320),$O$2:$O$1001,0),0), INDEX($V$1004:$AE$1004,1,MATCH(COLUMNS($V$1006:X1006),$V$1006:$AE$1006,0)))),"Fix")))</f>
        <v>0</v>
      </c>
      <c r="E320" s="4">
        <f>IF(OR(INDEX($P$2:$P$1001,MATCH(ROWS($O$2:O320),$O$2:$O$1001,0),1)&gt;=100000,INDEX($V$1005:$AE$1005,1,MATCH(COLUMNS($V$1006:Y1006),$V$1006:$AE$1006,0))&gt;=100000), " ",IF(INDEX($V$2:$AE$1001,MATCH(ROWS($O$2:O320),$O$2:$O$1001,0),MATCH(COLUMNS($V$1006:Y1006),$V$1006:$AE$1006,0)), HYPERLINK("#",""), HYPERLINK(CONCATENATE("#Metadata!", ADDRESS(INDEX($Q$2:$Q$1001,MATCH(ROWS($O$2:O320),$O$2:$O$1001,0),0), INDEX($V$1004:$AE$1004,1,MATCH(COLUMNS($V$1006:Y1006),$V$1006:$AE$1006,0)))),"Fix")))</f>
        <v>0</v>
      </c>
      <c r="F320" s="4">
        <f>IF(OR(INDEX($P$2:$P$1001,MATCH(ROWS($O$2:O320),$O$2:$O$1001,0),1)&gt;=100000,INDEX($V$1005:$AE$1005,1,MATCH(COLUMNS($V$1006:Z1006),$V$1006:$AE$1006,0))&gt;=100000), " ",IF(INDEX($V$2:$AE$1001,MATCH(ROWS($O$2:O320),$O$2:$O$1001,0),MATCH(COLUMNS($V$1006:Z1006),$V$1006:$AE$1006,0)), HYPERLINK("#",""), HYPERLINK(CONCATENATE("#Metadata!", ADDRESS(INDEX($Q$2:$Q$1001,MATCH(ROWS($O$2:O320),$O$2:$O$1001,0),0), INDEX($V$1004:$AE$1004,1,MATCH(COLUMNS($V$1006:Z1006),$V$1006:$AE$1006,0)))),"Fix")))</f>
        <v>0</v>
      </c>
      <c r="G320" s="4">
        <f>IF(OR(INDEX($P$2:$P$1001,MATCH(ROWS($O$2:O320),$O$2:$O$1001,0),1)&gt;=100000,INDEX($V$1005:$AE$1005,1,MATCH(COLUMNS($V$1006:AA1006),$V$1006:$AE$1006,0))&gt;=100000), " ",IF(INDEX($V$2:$AE$1001,MATCH(ROWS($O$2:O320),$O$2:$O$1001,0),MATCH(COLUMNS($V$1006:AA1006),$V$1006:$AE$1006,0)), HYPERLINK("#",""), HYPERLINK(CONCATENATE("#Metadata!", ADDRESS(INDEX($Q$2:$Q$1001,MATCH(ROWS($O$2:O320),$O$2:$O$1001,0),0), INDEX($V$1004:$AE$1004,1,MATCH(COLUMNS($V$1006:AA1006),$V$1006:$AE$1006,0)))),"Fix")))</f>
        <v>0</v>
      </c>
      <c r="H320" s="4">
        <f>IF(OR(INDEX($P$2:$P$1001,MATCH(ROWS($O$2:O320),$O$2:$O$1001,0),1)&gt;=100000,INDEX($V$1005:$AE$1005,1,MATCH(COLUMNS($V$1006:AB1006),$V$1006:$AE$1006,0))&gt;=100000), " ",IF(INDEX($V$2:$AE$1001,MATCH(ROWS($O$2:O320),$O$2:$O$1001,0),MATCH(COLUMNS($V$1006:AB1006),$V$1006:$AE$1006,0)), HYPERLINK("#",""), HYPERLINK(CONCATENATE("#Metadata!", ADDRESS(INDEX($Q$2:$Q$1001,MATCH(ROWS($O$2:O320),$O$2:$O$1001,0),0), INDEX($V$1004:$AE$1004,1,MATCH(COLUMNS($V$1006:AB1006),$V$1006:$AE$1006,0)))),"Fix")))</f>
        <v>0</v>
      </c>
      <c r="I320" s="4">
        <f>IF(OR(INDEX($P$2:$P$1001,MATCH(ROWS($O$2:O320),$O$2:$O$1001,0),1)&gt;=100000,INDEX($V$1005:$AE$1005,1,MATCH(COLUMNS($V$1006:AC1006),$V$1006:$AE$1006,0))&gt;=100000), " ",IF(INDEX($V$2:$AE$1001,MATCH(ROWS($O$2:O320),$O$2:$O$1001,0),MATCH(COLUMNS($V$1006:AC1006),$V$1006:$AE$1006,0)), HYPERLINK("#",""), HYPERLINK(CONCATENATE("#Metadata!", ADDRESS(INDEX($Q$2:$Q$1001,MATCH(ROWS($O$2:O320),$O$2:$O$1001,0),0), INDEX($V$1004:$AE$1004,1,MATCH(COLUMNS($V$1006:AC1006),$V$1006:$AE$1006,0)))),"Fix")))</f>
        <v>0</v>
      </c>
      <c r="J320" s="4">
        <f>IF(OR(INDEX($P$2:$P$1001,MATCH(ROWS($O$2:O320),$O$2:$O$1001,0),1)&gt;=100000,INDEX($V$1005:$AE$1005,1,MATCH(COLUMNS($V$1006:AD1006),$V$1006:$AE$1006,0))&gt;=100000), " ",IF(INDEX($V$2:$AE$1001,MATCH(ROWS($O$2:O320),$O$2:$O$1001,0),MATCH(COLUMNS($V$1006:AD1006),$V$1006:$AE$1006,0)), HYPERLINK("#",""), HYPERLINK(CONCATENATE("#Metadata!", ADDRESS(INDEX($Q$2:$Q$1001,MATCH(ROWS($O$2:O320),$O$2:$O$1001,0),0), INDEX($V$1004:$AE$1004,1,MATCH(COLUMNS($V$1006:AD1006),$V$1006:$AE$1006,0)))),"Fix")))</f>
        <v>0</v>
      </c>
      <c r="K320" s="4">
        <f>IF(OR(INDEX($P$2:$P$1001,MATCH(ROWS($O$2:O320),$O$2:$O$1001,0),1)&gt;=100000,INDEX($V$1005:$AE$1005,1,MATCH(COLUMNS($V$1006:AE1006),$V$1006:$AE$1006,0))&gt;=100000), " ",IF(INDEX($V$2:$AE$1001,MATCH(ROWS($O$2:O320),$O$2:$O$1001,0),MATCH(COLUMNS($V$1006:AE1006),$V$1006:$AE$1006,0)), HYPERLINK("#",""), HYPERLINK(CONCATENATE("#Metadata!", ADDRESS(INDEX($Q$2:$Q$1001,MATCH(ROWS($O$2:O320),$O$2:$O$1001,0),0), INDEX($V$1004:$AE$1004,1,MATCH(COLUMNS($V$1006:AE1006),$V$1006:$AE$1006,0)))),"Fix")))</f>
        <v>0</v>
      </c>
      <c r="O320">
        <v>0</v>
      </c>
      <c r="P320">
        <v>0</v>
      </c>
      <c r="Q320">
        <v>0</v>
      </c>
      <c r="R320">
        <f>IF(S320,TRUE,AND(V320:AE320))</f>
        <v>0</v>
      </c>
      <c r="S320">
        <f>COUNTBLANK(Metadata!B320:K320)=COLUMNS(Metadata!B320:K320)</f>
        <v>0</v>
      </c>
      <c r="T320">
        <v>0</v>
      </c>
      <c r="V320">
        <f>AND(IF(Metadata!B320="",FALSE,TRUE),COUNTIF(Metadata!B:B, Metadata!B320) = 1,NOT(ISERROR(SUMPRODUCT(SEARCH(MID(Metadata!B320,ROW(INDIRECT("1:"&amp;LEN(Metadata!B320))), 1),"0123456789abcdefghijklmnopqrstuvwxyzABCDEFGHIJKLMNOPQRSTUVWXYZ.")))))</f>
        <v>0</v>
      </c>
      <c r="W320">
        <f>AND(IF(Metadata!C320="",FALSE,TRUE),exact(Metadata!C320,"urban biome"))</f>
        <v>0</v>
      </c>
      <c r="X320">
        <f>AND(IF(Metadata!D320="",FALSE,TRUE),exact(Metadata!D320,"animal-associated habitat"))</f>
        <v>0</v>
      </c>
      <c r="Y320">
        <f>OR(AND(IF(Metadata!E320="",FALSE,TRUE),OR(exact(Metadata!E320,"not applicable"),exact(Metadata!E320,"missing: not collected"),exact(Metadata!E320,"missing: not provided"),exact(Metadata!E320,"missing: restricted access"))),AND(IF(Metadata!E320="",FALSE,ISNUMBER(VALUE(Metadata!E320))),Metadata!E320&gt;0))</f>
        <v>0</v>
      </c>
      <c r="Z320">
        <f>AND(IF(Metadata!F320="",FALSE,TRUE),exact(Metadata!F320,"weeks"))</f>
        <v>0</v>
      </c>
      <c r="AA320">
        <f>AND(IF(Metadata!G320="",FALSE,TRUE),exact(Metadata!G320,"mouse"))</f>
        <v>0</v>
      </c>
      <c r="AB320">
        <f>AND(IF(Metadata!H320="",FALSE,TRUE),exact(Metadata!H320,"Mus musculus"))</f>
        <v>0</v>
      </c>
      <c r="AC320">
        <f>AND(IF(Metadata!I320="",FALSE,TRUE),exact(Metadata!I320,"10090"))</f>
        <v>0</v>
      </c>
      <c r="AD320">
        <f>OR(AND(IF(Metadata!J320="",FALSE,TRUE),OR(exact(Metadata!J320,"not applicable"),exact(Metadata!J320,"missing: not collected"),exact(Metadata!J320,"missing: not provided"),exact(Metadata!J320,"missing: restricted access"))),AND(IF(Metadata!J320="",FALSE,ISNUMBER(VALUE(Metadata!J320))),Metadata!J320&gt;0))</f>
        <v>0</v>
      </c>
      <c r="AE320">
        <f>AND(IF(Metadata!K320="",FALSE,TRUE),exact(Metadata!K320,"g"))</f>
        <v>0</v>
      </c>
    </row>
    <row r="321" spans="1:31">
      <c r="A321" s="5">
        <f>IF(B321=" "," ",HYPERLINK(CONCATENATE("#metadata!",ADDRESS(INDEX($Q$2:$Q$1001,MATCH(ROWS($O$2:O321),$O$2:$O$1001,0),0),1)),INDEX($T$2:$T$1001,MATCH(ROWS($O$2:O321),$O$2:$O$1001,0),0)))</f>
        <v>0</v>
      </c>
      <c r="B321" s="4">
        <f>IF(OR(INDEX($P$2:$P$1001,MATCH(ROWS($O$2:O321),$O$2:$O$1001,0),1)&gt;=100000,INDEX($V$1005:$AE$1005,1,MATCH(COLUMNS($V$1006:V1006),$V$1006:$AE$1006,0))&gt;=100000), " ",IF(INDEX($V$2:$AE$1001,MATCH(ROWS($O$2:O321),$O$2:$O$1001,0),MATCH(COLUMNS($V$1006:V1006),$V$1006:$AE$1006,0)), HYPERLINK("#",""), HYPERLINK(CONCATENATE("#Metadata!", ADDRESS(INDEX($Q$2:$Q$1001,MATCH(ROWS($O$2:O321),$O$2:$O$1001,0),0), INDEX($V$1004:$AE$1004,1,MATCH(COLUMNS($V$1006:V1006),$V$1006:$AE$1006,0)))),"Fix")))</f>
        <v>0</v>
      </c>
      <c r="C321" s="4">
        <f>IF(OR(INDEX($P$2:$P$1001,MATCH(ROWS($O$2:O321),$O$2:$O$1001,0),1)&gt;=100000,INDEX($V$1005:$AE$1005,1,MATCH(COLUMNS($V$1006:W1006),$V$1006:$AE$1006,0))&gt;=100000), " ",IF(INDEX($V$2:$AE$1001,MATCH(ROWS($O$2:O321),$O$2:$O$1001,0),MATCH(COLUMNS($V$1006:W1006),$V$1006:$AE$1006,0)), HYPERLINK("#",""), HYPERLINK(CONCATENATE("#Metadata!", ADDRESS(INDEX($Q$2:$Q$1001,MATCH(ROWS($O$2:O321),$O$2:$O$1001,0),0), INDEX($V$1004:$AE$1004,1,MATCH(COLUMNS($V$1006:W1006),$V$1006:$AE$1006,0)))),"Fix")))</f>
        <v>0</v>
      </c>
      <c r="D321" s="4">
        <f>IF(OR(INDEX($P$2:$P$1001,MATCH(ROWS($O$2:O321),$O$2:$O$1001,0),1)&gt;=100000,INDEX($V$1005:$AE$1005,1,MATCH(COLUMNS($V$1006:X1006),$V$1006:$AE$1006,0))&gt;=100000), " ",IF(INDEX($V$2:$AE$1001,MATCH(ROWS($O$2:O321),$O$2:$O$1001,0),MATCH(COLUMNS($V$1006:X1006),$V$1006:$AE$1006,0)), HYPERLINK("#",""), HYPERLINK(CONCATENATE("#Metadata!", ADDRESS(INDEX($Q$2:$Q$1001,MATCH(ROWS($O$2:O321),$O$2:$O$1001,0),0), INDEX($V$1004:$AE$1004,1,MATCH(COLUMNS($V$1006:X1006),$V$1006:$AE$1006,0)))),"Fix")))</f>
        <v>0</v>
      </c>
      <c r="E321" s="4">
        <f>IF(OR(INDEX($P$2:$P$1001,MATCH(ROWS($O$2:O321),$O$2:$O$1001,0),1)&gt;=100000,INDEX($V$1005:$AE$1005,1,MATCH(COLUMNS($V$1006:Y1006),$V$1006:$AE$1006,0))&gt;=100000), " ",IF(INDEX($V$2:$AE$1001,MATCH(ROWS($O$2:O321),$O$2:$O$1001,0),MATCH(COLUMNS($V$1006:Y1006),$V$1006:$AE$1006,0)), HYPERLINK("#",""), HYPERLINK(CONCATENATE("#Metadata!", ADDRESS(INDEX($Q$2:$Q$1001,MATCH(ROWS($O$2:O321),$O$2:$O$1001,0),0), INDEX($V$1004:$AE$1004,1,MATCH(COLUMNS($V$1006:Y1006),$V$1006:$AE$1006,0)))),"Fix")))</f>
        <v>0</v>
      </c>
      <c r="F321" s="4">
        <f>IF(OR(INDEX($P$2:$P$1001,MATCH(ROWS($O$2:O321),$O$2:$O$1001,0),1)&gt;=100000,INDEX($V$1005:$AE$1005,1,MATCH(COLUMNS($V$1006:Z1006),$V$1006:$AE$1006,0))&gt;=100000), " ",IF(INDEX($V$2:$AE$1001,MATCH(ROWS($O$2:O321),$O$2:$O$1001,0),MATCH(COLUMNS($V$1006:Z1006),$V$1006:$AE$1006,0)), HYPERLINK("#",""), HYPERLINK(CONCATENATE("#Metadata!", ADDRESS(INDEX($Q$2:$Q$1001,MATCH(ROWS($O$2:O321),$O$2:$O$1001,0),0), INDEX($V$1004:$AE$1004,1,MATCH(COLUMNS($V$1006:Z1006),$V$1006:$AE$1006,0)))),"Fix")))</f>
        <v>0</v>
      </c>
      <c r="G321" s="4">
        <f>IF(OR(INDEX($P$2:$P$1001,MATCH(ROWS($O$2:O321),$O$2:$O$1001,0),1)&gt;=100000,INDEX($V$1005:$AE$1005,1,MATCH(COLUMNS($V$1006:AA1006),$V$1006:$AE$1006,0))&gt;=100000), " ",IF(INDEX($V$2:$AE$1001,MATCH(ROWS($O$2:O321),$O$2:$O$1001,0),MATCH(COLUMNS($V$1006:AA1006),$V$1006:$AE$1006,0)), HYPERLINK("#",""), HYPERLINK(CONCATENATE("#Metadata!", ADDRESS(INDEX($Q$2:$Q$1001,MATCH(ROWS($O$2:O321),$O$2:$O$1001,0),0), INDEX($V$1004:$AE$1004,1,MATCH(COLUMNS($V$1006:AA1006),$V$1006:$AE$1006,0)))),"Fix")))</f>
        <v>0</v>
      </c>
      <c r="H321" s="4">
        <f>IF(OR(INDEX($P$2:$P$1001,MATCH(ROWS($O$2:O321),$O$2:$O$1001,0),1)&gt;=100000,INDEX($V$1005:$AE$1005,1,MATCH(COLUMNS($V$1006:AB1006),$V$1006:$AE$1006,0))&gt;=100000), " ",IF(INDEX($V$2:$AE$1001,MATCH(ROWS($O$2:O321),$O$2:$O$1001,0),MATCH(COLUMNS($V$1006:AB1006),$V$1006:$AE$1006,0)), HYPERLINK("#",""), HYPERLINK(CONCATENATE("#Metadata!", ADDRESS(INDEX($Q$2:$Q$1001,MATCH(ROWS($O$2:O321),$O$2:$O$1001,0),0), INDEX($V$1004:$AE$1004,1,MATCH(COLUMNS($V$1006:AB1006),$V$1006:$AE$1006,0)))),"Fix")))</f>
        <v>0</v>
      </c>
      <c r="I321" s="4">
        <f>IF(OR(INDEX($P$2:$P$1001,MATCH(ROWS($O$2:O321),$O$2:$O$1001,0),1)&gt;=100000,INDEX($V$1005:$AE$1005,1,MATCH(COLUMNS($V$1006:AC1006),$V$1006:$AE$1006,0))&gt;=100000), " ",IF(INDEX($V$2:$AE$1001,MATCH(ROWS($O$2:O321),$O$2:$O$1001,0),MATCH(COLUMNS($V$1006:AC1006),$V$1006:$AE$1006,0)), HYPERLINK("#",""), HYPERLINK(CONCATENATE("#Metadata!", ADDRESS(INDEX($Q$2:$Q$1001,MATCH(ROWS($O$2:O321),$O$2:$O$1001,0),0), INDEX($V$1004:$AE$1004,1,MATCH(COLUMNS($V$1006:AC1006),$V$1006:$AE$1006,0)))),"Fix")))</f>
        <v>0</v>
      </c>
      <c r="J321" s="4">
        <f>IF(OR(INDEX($P$2:$P$1001,MATCH(ROWS($O$2:O321),$O$2:$O$1001,0),1)&gt;=100000,INDEX($V$1005:$AE$1005,1,MATCH(COLUMNS($V$1006:AD1006),$V$1006:$AE$1006,0))&gt;=100000), " ",IF(INDEX($V$2:$AE$1001,MATCH(ROWS($O$2:O321),$O$2:$O$1001,0),MATCH(COLUMNS($V$1006:AD1006),$V$1006:$AE$1006,0)), HYPERLINK("#",""), HYPERLINK(CONCATENATE("#Metadata!", ADDRESS(INDEX($Q$2:$Q$1001,MATCH(ROWS($O$2:O321),$O$2:$O$1001,0),0), INDEX($V$1004:$AE$1004,1,MATCH(COLUMNS($V$1006:AD1006),$V$1006:$AE$1006,0)))),"Fix")))</f>
        <v>0</v>
      </c>
      <c r="K321" s="4">
        <f>IF(OR(INDEX($P$2:$P$1001,MATCH(ROWS($O$2:O321),$O$2:$O$1001,0),1)&gt;=100000,INDEX($V$1005:$AE$1005,1,MATCH(COLUMNS($V$1006:AE1006),$V$1006:$AE$1006,0))&gt;=100000), " ",IF(INDEX($V$2:$AE$1001,MATCH(ROWS($O$2:O321),$O$2:$O$1001,0),MATCH(COLUMNS($V$1006:AE1006),$V$1006:$AE$1006,0)), HYPERLINK("#",""), HYPERLINK(CONCATENATE("#Metadata!", ADDRESS(INDEX($Q$2:$Q$1001,MATCH(ROWS($O$2:O321),$O$2:$O$1001,0),0), INDEX($V$1004:$AE$1004,1,MATCH(COLUMNS($V$1006:AE1006),$V$1006:$AE$1006,0)))),"Fix")))</f>
        <v>0</v>
      </c>
      <c r="O321">
        <v>0</v>
      </c>
      <c r="P321">
        <v>0</v>
      </c>
      <c r="Q321">
        <v>0</v>
      </c>
      <c r="R321">
        <f>IF(S321,TRUE,AND(V321:AE321))</f>
        <v>0</v>
      </c>
      <c r="S321">
        <f>COUNTBLANK(Metadata!B321:K321)=COLUMNS(Metadata!B321:K321)</f>
        <v>0</v>
      </c>
      <c r="T321">
        <v>0</v>
      </c>
      <c r="V321">
        <f>AND(IF(Metadata!B321="",FALSE,TRUE),COUNTIF(Metadata!B:B, Metadata!B321) = 1,NOT(ISERROR(SUMPRODUCT(SEARCH(MID(Metadata!B321,ROW(INDIRECT("1:"&amp;LEN(Metadata!B321))), 1),"0123456789abcdefghijklmnopqrstuvwxyzABCDEFGHIJKLMNOPQRSTUVWXYZ.")))))</f>
        <v>0</v>
      </c>
      <c r="W321">
        <f>AND(IF(Metadata!C321="",FALSE,TRUE),exact(Metadata!C321,"urban biome"))</f>
        <v>0</v>
      </c>
      <c r="X321">
        <f>AND(IF(Metadata!D321="",FALSE,TRUE),exact(Metadata!D321,"animal-associated habitat"))</f>
        <v>0</v>
      </c>
      <c r="Y321">
        <f>OR(AND(IF(Metadata!E321="",FALSE,TRUE),OR(exact(Metadata!E321,"not applicable"),exact(Metadata!E321,"missing: not collected"),exact(Metadata!E321,"missing: not provided"),exact(Metadata!E321,"missing: restricted access"))),AND(IF(Metadata!E321="",FALSE,ISNUMBER(VALUE(Metadata!E321))),Metadata!E321&gt;0))</f>
        <v>0</v>
      </c>
      <c r="Z321">
        <f>AND(IF(Metadata!F321="",FALSE,TRUE),exact(Metadata!F321,"weeks"))</f>
        <v>0</v>
      </c>
      <c r="AA321">
        <f>AND(IF(Metadata!G321="",FALSE,TRUE),exact(Metadata!G321,"mouse"))</f>
        <v>0</v>
      </c>
      <c r="AB321">
        <f>AND(IF(Metadata!H321="",FALSE,TRUE),exact(Metadata!H321,"Mus musculus"))</f>
        <v>0</v>
      </c>
      <c r="AC321">
        <f>AND(IF(Metadata!I321="",FALSE,TRUE),exact(Metadata!I321,"10090"))</f>
        <v>0</v>
      </c>
      <c r="AD321">
        <f>OR(AND(IF(Metadata!J321="",FALSE,TRUE),OR(exact(Metadata!J321,"not applicable"),exact(Metadata!J321,"missing: not collected"),exact(Metadata!J321,"missing: not provided"),exact(Metadata!J321,"missing: restricted access"))),AND(IF(Metadata!J321="",FALSE,ISNUMBER(VALUE(Metadata!J321))),Metadata!J321&gt;0))</f>
        <v>0</v>
      </c>
      <c r="AE321">
        <f>AND(IF(Metadata!K321="",FALSE,TRUE),exact(Metadata!K321,"g"))</f>
        <v>0</v>
      </c>
    </row>
    <row r="322" spans="1:31">
      <c r="A322" s="5">
        <f>IF(B322=" "," ",HYPERLINK(CONCATENATE("#metadata!",ADDRESS(INDEX($Q$2:$Q$1001,MATCH(ROWS($O$2:O322),$O$2:$O$1001,0),0),1)),INDEX($T$2:$T$1001,MATCH(ROWS($O$2:O322),$O$2:$O$1001,0),0)))</f>
        <v>0</v>
      </c>
      <c r="B322" s="4">
        <f>IF(OR(INDEX($P$2:$P$1001,MATCH(ROWS($O$2:O322),$O$2:$O$1001,0),1)&gt;=100000,INDEX($V$1005:$AE$1005,1,MATCH(COLUMNS($V$1006:V1006),$V$1006:$AE$1006,0))&gt;=100000), " ",IF(INDEX($V$2:$AE$1001,MATCH(ROWS($O$2:O322),$O$2:$O$1001,0),MATCH(COLUMNS($V$1006:V1006),$V$1006:$AE$1006,0)), HYPERLINK("#",""), HYPERLINK(CONCATENATE("#Metadata!", ADDRESS(INDEX($Q$2:$Q$1001,MATCH(ROWS($O$2:O322),$O$2:$O$1001,0),0), INDEX($V$1004:$AE$1004,1,MATCH(COLUMNS($V$1006:V1006),$V$1006:$AE$1006,0)))),"Fix")))</f>
        <v>0</v>
      </c>
      <c r="C322" s="4">
        <f>IF(OR(INDEX($P$2:$P$1001,MATCH(ROWS($O$2:O322),$O$2:$O$1001,0),1)&gt;=100000,INDEX($V$1005:$AE$1005,1,MATCH(COLUMNS($V$1006:W1006),$V$1006:$AE$1006,0))&gt;=100000), " ",IF(INDEX($V$2:$AE$1001,MATCH(ROWS($O$2:O322),$O$2:$O$1001,0),MATCH(COLUMNS($V$1006:W1006),$V$1006:$AE$1006,0)), HYPERLINK("#",""), HYPERLINK(CONCATENATE("#Metadata!", ADDRESS(INDEX($Q$2:$Q$1001,MATCH(ROWS($O$2:O322),$O$2:$O$1001,0),0), INDEX($V$1004:$AE$1004,1,MATCH(COLUMNS($V$1006:W1006),$V$1006:$AE$1006,0)))),"Fix")))</f>
        <v>0</v>
      </c>
      <c r="D322" s="4">
        <f>IF(OR(INDEX($P$2:$P$1001,MATCH(ROWS($O$2:O322),$O$2:$O$1001,0),1)&gt;=100000,INDEX($V$1005:$AE$1005,1,MATCH(COLUMNS($V$1006:X1006),$V$1006:$AE$1006,0))&gt;=100000), " ",IF(INDEX($V$2:$AE$1001,MATCH(ROWS($O$2:O322),$O$2:$O$1001,0),MATCH(COLUMNS($V$1006:X1006),$V$1006:$AE$1006,0)), HYPERLINK("#",""), HYPERLINK(CONCATENATE("#Metadata!", ADDRESS(INDEX($Q$2:$Q$1001,MATCH(ROWS($O$2:O322),$O$2:$O$1001,0),0), INDEX($V$1004:$AE$1004,1,MATCH(COLUMNS($V$1006:X1006),$V$1006:$AE$1006,0)))),"Fix")))</f>
        <v>0</v>
      </c>
      <c r="E322" s="4">
        <f>IF(OR(INDEX($P$2:$P$1001,MATCH(ROWS($O$2:O322),$O$2:$O$1001,0),1)&gt;=100000,INDEX($V$1005:$AE$1005,1,MATCH(COLUMNS($V$1006:Y1006),$V$1006:$AE$1006,0))&gt;=100000), " ",IF(INDEX($V$2:$AE$1001,MATCH(ROWS($O$2:O322),$O$2:$O$1001,0),MATCH(COLUMNS($V$1006:Y1006),$V$1006:$AE$1006,0)), HYPERLINK("#",""), HYPERLINK(CONCATENATE("#Metadata!", ADDRESS(INDEX($Q$2:$Q$1001,MATCH(ROWS($O$2:O322),$O$2:$O$1001,0),0), INDEX($V$1004:$AE$1004,1,MATCH(COLUMNS($V$1006:Y1006),$V$1006:$AE$1006,0)))),"Fix")))</f>
        <v>0</v>
      </c>
      <c r="F322" s="4">
        <f>IF(OR(INDEX($P$2:$P$1001,MATCH(ROWS($O$2:O322),$O$2:$O$1001,0),1)&gt;=100000,INDEX($V$1005:$AE$1005,1,MATCH(COLUMNS($V$1006:Z1006),$V$1006:$AE$1006,0))&gt;=100000), " ",IF(INDEX($V$2:$AE$1001,MATCH(ROWS($O$2:O322),$O$2:$O$1001,0),MATCH(COLUMNS($V$1006:Z1006),$V$1006:$AE$1006,0)), HYPERLINK("#",""), HYPERLINK(CONCATENATE("#Metadata!", ADDRESS(INDEX($Q$2:$Q$1001,MATCH(ROWS($O$2:O322),$O$2:$O$1001,0),0), INDEX($V$1004:$AE$1004,1,MATCH(COLUMNS($V$1006:Z1006),$V$1006:$AE$1006,0)))),"Fix")))</f>
        <v>0</v>
      </c>
      <c r="G322" s="4">
        <f>IF(OR(INDEX($P$2:$P$1001,MATCH(ROWS($O$2:O322),$O$2:$O$1001,0),1)&gt;=100000,INDEX($V$1005:$AE$1005,1,MATCH(COLUMNS($V$1006:AA1006),$V$1006:$AE$1006,0))&gt;=100000), " ",IF(INDEX($V$2:$AE$1001,MATCH(ROWS($O$2:O322),$O$2:$O$1001,0),MATCH(COLUMNS($V$1006:AA1006),$V$1006:$AE$1006,0)), HYPERLINK("#",""), HYPERLINK(CONCATENATE("#Metadata!", ADDRESS(INDEX($Q$2:$Q$1001,MATCH(ROWS($O$2:O322),$O$2:$O$1001,0),0), INDEX($V$1004:$AE$1004,1,MATCH(COLUMNS($V$1006:AA1006),$V$1006:$AE$1006,0)))),"Fix")))</f>
        <v>0</v>
      </c>
      <c r="H322" s="4">
        <f>IF(OR(INDEX($P$2:$P$1001,MATCH(ROWS($O$2:O322),$O$2:$O$1001,0),1)&gt;=100000,INDEX($V$1005:$AE$1005,1,MATCH(COLUMNS($V$1006:AB1006),$V$1006:$AE$1006,0))&gt;=100000), " ",IF(INDEX($V$2:$AE$1001,MATCH(ROWS($O$2:O322),$O$2:$O$1001,0),MATCH(COLUMNS($V$1006:AB1006),$V$1006:$AE$1006,0)), HYPERLINK("#",""), HYPERLINK(CONCATENATE("#Metadata!", ADDRESS(INDEX($Q$2:$Q$1001,MATCH(ROWS($O$2:O322),$O$2:$O$1001,0),0), INDEX($V$1004:$AE$1004,1,MATCH(COLUMNS($V$1006:AB1006),$V$1006:$AE$1006,0)))),"Fix")))</f>
        <v>0</v>
      </c>
      <c r="I322" s="4">
        <f>IF(OR(INDEX($P$2:$P$1001,MATCH(ROWS($O$2:O322),$O$2:$O$1001,0),1)&gt;=100000,INDEX($V$1005:$AE$1005,1,MATCH(COLUMNS($V$1006:AC1006),$V$1006:$AE$1006,0))&gt;=100000), " ",IF(INDEX($V$2:$AE$1001,MATCH(ROWS($O$2:O322),$O$2:$O$1001,0),MATCH(COLUMNS($V$1006:AC1006),$V$1006:$AE$1006,0)), HYPERLINK("#",""), HYPERLINK(CONCATENATE("#Metadata!", ADDRESS(INDEX($Q$2:$Q$1001,MATCH(ROWS($O$2:O322),$O$2:$O$1001,0),0), INDEX($V$1004:$AE$1004,1,MATCH(COLUMNS($V$1006:AC1006),$V$1006:$AE$1006,0)))),"Fix")))</f>
        <v>0</v>
      </c>
      <c r="J322" s="4">
        <f>IF(OR(INDEX($P$2:$P$1001,MATCH(ROWS($O$2:O322),$O$2:$O$1001,0),1)&gt;=100000,INDEX($V$1005:$AE$1005,1,MATCH(COLUMNS($V$1006:AD1006),$V$1006:$AE$1006,0))&gt;=100000), " ",IF(INDEX($V$2:$AE$1001,MATCH(ROWS($O$2:O322),$O$2:$O$1001,0),MATCH(COLUMNS($V$1006:AD1006),$V$1006:$AE$1006,0)), HYPERLINK("#",""), HYPERLINK(CONCATENATE("#Metadata!", ADDRESS(INDEX($Q$2:$Q$1001,MATCH(ROWS($O$2:O322),$O$2:$O$1001,0),0), INDEX($V$1004:$AE$1004,1,MATCH(COLUMNS($V$1006:AD1006),$V$1006:$AE$1006,0)))),"Fix")))</f>
        <v>0</v>
      </c>
      <c r="K322" s="4">
        <f>IF(OR(INDEX($P$2:$P$1001,MATCH(ROWS($O$2:O322),$O$2:$O$1001,0),1)&gt;=100000,INDEX($V$1005:$AE$1005,1,MATCH(COLUMNS($V$1006:AE1006),$V$1006:$AE$1006,0))&gt;=100000), " ",IF(INDEX($V$2:$AE$1001,MATCH(ROWS($O$2:O322),$O$2:$O$1001,0),MATCH(COLUMNS($V$1006:AE1006),$V$1006:$AE$1006,0)), HYPERLINK("#",""), HYPERLINK(CONCATENATE("#Metadata!", ADDRESS(INDEX($Q$2:$Q$1001,MATCH(ROWS($O$2:O322),$O$2:$O$1001,0),0), INDEX($V$1004:$AE$1004,1,MATCH(COLUMNS($V$1006:AE1006),$V$1006:$AE$1006,0)))),"Fix")))</f>
        <v>0</v>
      </c>
      <c r="O322">
        <v>0</v>
      </c>
      <c r="P322">
        <v>0</v>
      </c>
      <c r="Q322">
        <v>0</v>
      </c>
      <c r="R322">
        <f>IF(S322,TRUE,AND(V322:AE322))</f>
        <v>0</v>
      </c>
      <c r="S322">
        <f>COUNTBLANK(Metadata!B322:K322)=COLUMNS(Metadata!B322:K322)</f>
        <v>0</v>
      </c>
      <c r="T322">
        <v>0</v>
      </c>
      <c r="V322">
        <f>AND(IF(Metadata!B322="",FALSE,TRUE),COUNTIF(Metadata!B:B, Metadata!B322) = 1,NOT(ISERROR(SUMPRODUCT(SEARCH(MID(Metadata!B322,ROW(INDIRECT("1:"&amp;LEN(Metadata!B322))), 1),"0123456789abcdefghijklmnopqrstuvwxyzABCDEFGHIJKLMNOPQRSTUVWXYZ.")))))</f>
        <v>0</v>
      </c>
      <c r="W322">
        <f>AND(IF(Metadata!C322="",FALSE,TRUE),exact(Metadata!C322,"urban biome"))</f>
        <v>0</v>
      </c>
      <c r="X322">
        <f>AND(IF(Metadata!D322="",FALSE,TRUE),exact(Metadata!D322,"animal-associated habitat"))</f>
        <v>0</v>
      </c>
      <c r="Y322">
        <f>OR(AND(IF(Metadata!E322="",FALSE,TRUE),OR(exact(Metadata!E322,"not applicable"),exact(Metadata!E322,"missing: not collected"),exact(Metadata!E322,"missing: not provided"),exact(Metadata!E322,"missing: restricted access"))),AND(IF(Metadata!E322="",FALSE,ISNUMBER(VALUE(Metadata!E322))),Metadata!E322&gt;0))</f>
        <v>0</v>
      </c>
      <c r="Z322">
        <f>AND(IF(Metadata!F322="",FALSE,TRUE),exact(Metadata!F322,"weeks"))</f>
        <v>0</v>
      </c>
      <c r="AA322">
        <f>AND(IF(Metadata!G322="",FALSE,TRUE),exact(Metadata!G322,"mouse"))</f>
        <v>0</v>
      </c>
      <c r="AB322">
        <f>AND(IF(Metadata!H322="",FALSE,TRUE),exact(Metadata!H322,"Mus musculus"))</f>
        <v>0</v>
      </c>
      <c r="AC322">
        <f>AND(IF(Metadata!I322="",FALSE,TRUE),exact(Metadata!I322,"10090"))</f>
        <v>0</v>
      </c>
      <c r="AD322">
        <f>OR(AND(IF(Metadata!J322="",FALSE,TRUE),OR(exact(Metadata!J322,"not applicable"),exact(Metadata!J322,"missing: not collected"),exact(Metadata!J322,"missing: not provided"),exact(Metadata!J322,"missing: restricted access"))),AND(IF(Metadata!J322="",FALSE,ISNUMBER(VALUE(Metadata!J322))),Metadata!J322&gt;0))</f>
        <v>0</v>
      </c>
      <c r="AE322">
        <f>AND(IF(Metadata!K322="",FALSE,TRUE),exact(Metadata!K322,"g"))</f>
        <v>0</v>
      </c>
    </row>
    <row r="323" spans="1:31">
      <c r="A323" s="5">
        <f>IF(B323=" "," ",HYPERLINK(CONCATENATE("#metadata!",ADDRESS(INDEX($Q$2:$Q$1001,MATCH(ROWS($O$2:O323),$O$2:$O$1001,0),0),1)),INDEX($T$2:$T$1001,MATCH(ROWS($O$2:O323),$O$2:$O$1001,0),0)))</f>
        <v>0</v>
      </c>
      <c r="B323" s="4">
        <f>IF(OR(INDEX($P$2:$P$1001,MATCH(ROWS($O$2:O323),$O$2:$O$1001,0),1)&gt;=100000,INDEX($V$1005:$AE$1005,1,MATCH(COLUMNS($V$1006:V1006),$V$1006:$AE$1006,0))&gt;=100000), " ",IF(INDEX($V$2:$AE$1001,MATCH(ROWS($O$2:O323),$O$2:$O$1001,0),MATCH(COLUMNS($V$1006:V1006),$V$1006:$AE$1006,0)), HYPERLINK("#",""), HYPERLINK(CONCATENATE("#Metadata!", ADDRESS(INDEX($Q$2:$Q$1001,MATCH(ROWS($O$2:O323),$O$2:$O$1001,0),0), INDEX($V$1004:$AE$1004,1,MATCH(COLUMNS($V$1006:V1006),$V$1006:$AE$1006,0)))),"Fix")))</f>
        <v>0</v>
      </c>
      <c r="C323" s="4">
        <f>IF(OR(INDEX($P$2:$P$1001,MATCH(ROWS($O$2:O323),$O$2:$O$1001,0),1)&gt;=100000,INDEX($V$1005:$AE$1005,1,MATCH(COLUMNS($V$1006:W1006),$V$1006:$AE$1006,0))&gt;=100000), " ",IF(INDEX($V$2:$AE$1001,MATCH(ROWS($O$2:O323),$O$2:$O$1001,0),MATCH(COLUMNS($V$1006:W1006),$V$1006:$AE$1006,0)), HYPERLINK("#",""), HYPERLINK(CONCATENATE("#Metadata!", ADDRESS(INDEX($Q$2:$Q$1001,MATCH(ROWS($O$2:O323),$O$2:$O$1001,0),0), INDEX($V$1004:$AE$1004,1,MATCH(COLUMNS($V$1006:W1006),$V$1006:$AE$1006,0)))),"Fix")))</f>
        <v>0</v>
      </c>
      <c r="D323" s="4">
        <f>IF(OR(INDEX($P$2:$P$1001,MATCH(ROWS($O$2:O323),$O$2:$O$1001,0),1)&gt;=100000,INDEX($V$1005:$AE$1005,1,MATCH(COLUMNS($V$1006:X1006),$V$1006:$AE$1006,0))&gt;=100000), " ",IF(INDEX($V$2:$AE$1001,MATCH(ROWS($O$2:O323),$O$2:$O$1001,0),MATCH(COLUMNS($V$1006:X1006),$V$1006:$AE$1006,0)), HYPERLINK("#",""), HYPERLINK(CONCATENATE("#Metadata!", ADDRESS(INDEX($Q$2:$Q$1001,MATCH(ROWS($O$2:O323),$O$2:$O$1001,0),0), INDEX($V$1004:$AE$1004,1,MATCH(COLUMNS($V$1006:X1006),$V$1006:$AE$1006,0)))),"Fix")))</f>
        <v>0</v>
      </c>
      <c r="E323" s="4">
        <f>IF(OR(INDEX($P$2:$P$1001,MATCH(ROWS($O$2:O323),$O$2:$O$1001,0),1)&gt;=100000,INDEX($V$1005:$AE$1005,1,MATCH(COLUMNS($V$1006:Y1006),$V$1006:$AE$1006,0))&gt;=100000), " ",IF(INDEX($V$2:$AE$1001,MATCH(ROWS($O$2:O323),$O$2:$O$1001,0),MATCH(COLUMNS($V$1006:Y1006),$V$1006:$AE$1006,0)), HYPERLINK("#",""), HYPERLINK(CONCATENATE("#Metadata!", ADDRESS(INDEX($Q$2:$Q$1001,MATCH(ROWS($O$2:O323),$O$2:$O$1001,0),0), INDEX($V$1004:$AE$1004,1,MATCH(COLUMNS($V$1006:Y1006),$V$1006:$AE$1006,0)))),"Fix")))</f>
        <v>0</v>
      </c>
      <c r="F323" s="4">
        <f>IF(OR(INDEX($P$2:$P$1001,MATCH(ROWS($O$2:O323),$O$2:$O$1001,0),1)&gt;=100000,INDEX($V$1005:$AE$1005,1,MATCH(COLUMNS($V$1006:Z1006),$V$1006:$AE$1006,0))&gt;=100000), " ",IF(INDEX($V$2:$AE$1001,MATCH(ROWS($O$2:O323),$O$2:$O$1001,0),MATCH(COLUMNS($V$1006:Z1006),$V$1006:$AE$1006,0)), HYPERLINK("#",""), HYPERLINK(CONCATENATE("#Metadata!", ADDRESS(INDEX($Q$2:$Q$1001,MATCH(ROWS($O$2:O323),$O$2:$O$1001,0),0), INDEX($V$1004:$AE$1004,1,MATCH(COLUMNS($V$1006:Z1006),$V$1006:$AE$1006,0)))),"Fix")))</f>
        <v>0</v>
      </c>
      <c r="G323" s="4">
        <f>IF(OR(INDEX($P$2:$P$1001,MATCH(ROWS($O$2:O323),$O$2:$O$1001,0),1)&gt;=100000,INDEX($V$1005:$AE$1005,1,MATCH(COLUMNS($V$1006:AA1006),$V$1006:$AE$1006,0))&gt;=100000), " ",IF(INDEX($V$2:$AE$1001,MATCH(ROWS($O$2:O323),$O$2:$O$1001,0),MATCH(COLUMNS($V$1006:AA1006),$V$1006:$AE$1006,0)), HYPERLINK("#",""), HYPERLINK(CONCATENATE("#Metadata!", ADDRESS(INDEX($Q$2:$Q$1001,MATCH(ROWS($O$2:O323),$O$2:$O$1001,0),0), INDEX($V$1004:$AE$1004,1,MATCH(COLUMNS($V$1006:AA1006),$V$1006:$AE$1006,0)))),"Fix")))</f>
        <v>0</v>
      </c>
      <c r="H323" s="4">
        <f>IF(OR(INDEX($P$2:$P$1001,MATCH(ROWS($O$2:O323),$O$2:$O$1001,0),1)&gt;=100000,INDEX($V$1005:$AE$1005,1,MATCH(COLUMNS($V$1006:AB1006),$V$1006:$AE$1006,0))&gt;=100000), " ",IF(INDEX($V$2:$AE$1001,MATCH(ROWS($O$2:O323),$O$2:$O$1001,0),MATCH(COLUMNS($V$1006:AB1006),$V$1006:$AE$1006,0)), HYPERLINK("#",""), HYPERLINK(CONCATENATE("#Metadata!", ADDRESS(INDEX($Q$2:$Q$1001,MATCH(ROWS($O$2:O323),$O$2:$O$1001,0),0), INDEX($V$1004:$AE$1004,1,MATCH(COLUMNS($V$1006:AB1006),$V$1006:$AE$1006,0)))),"Fix")))</f>
        <v>0</v>
      </c>
      <c r="I323" s="4">
        <f>IF(OR(INDEX($P$2:$P$1001,MATCH(ROWS($O$2:O323),$O$2:$O$1001,0),1)&gt;=100000,INDEX($V$1005:$AE$1005,1,MATCH(COLUMNS($V$1006:AC1006),$V$1006:$AE$1006,0))&gt;=100000), " ",IF(INDEX($V$2:$AE$1001,MATCH(ROWS($O$2:O323),$O$2:$O$1001,0),MATCH(COLUMNS($V$1006:AC1006),$V$1006:$AE$1006,0)), HYPERLINK("#",""), HYPERLINK(CONCATENATE("#Metadata!", ADDRESS(INDEX($Q$2:$Q$1001,MATCH(ROWS($O$2:O323),$O$2:$O$1001,0),0), INDEX($V$1004:$AE$1004,1,MATCH(COLUMNS($V$1006:AC1006),$V$1006:$AE$1006,0)))),"Fix")))</f>
        <v>0</v>
      </c>
      <c r="J323" s="4">
        <f>IF(OR(INDEX($P$2:$P$1001,MATCH(ROWS($O$2:O323),$O$2:$O$1001,0),1)&gt;=100000,INDEX($V$1005:$AE$1005,1,MATCH(COLUMNS($V$1006:AD1006),$V$1006:$AE$1006,0))&gt;=100000), " ",IF(INDEX($V$2:$AE$1001,MATCH(ROWS($O$2:O323),$O$2:$O$1001,0),MATCH(COLUMNS($V$1006:AD1006),$V$1006:$AE$1006,0)), HYPERLINK("#",""), HYPERLINK(CONCATENATE("#Metadata!", ADDRESS(INDEX($Q$2:$Q$1001,MATCH(ROWS($O$2:O323),$O$2:$O$1001,0),0), INDEX($V$1004:$AE$1004,1,MATCH(COLUMNS($V$1006:AD1006),$V$1006:$AE$1006,0)))),"Fix")))</f>
        <v>0</v>
      </c>
      <c r="K323" s="4">
        <f>IF(OR(INDEX($P$2:$P$1001,MATCH(ROWS($O$2:O323),$O$2:$O$1001,0),1)&gt;=100000,INDEX($V$1005:$AE$1005,1,MATCH(COLUMNS($V$1006:AE1006),$V$1006:$AE$1006,0))&gt;=100000), " ",IF(INDEX($V$2:$AE$1001,MATCH(ROWS($O$2:O323),$O$2:$O$1001,0),MATCH(COLUMNS($V$1006:AE1006),$V$1006:$AE$1006,0)), HYPERLINK("#",""), HYPERLINK(CONCATENATE("#Metadata!", ADDRESS(INDEX($Q$2:$Q$1001,MATCH(ROWS($O$2:O323),$O$2:$O$1001,0),0), INDEX($V$1004:$AE$1004,1,MATCH(COLUMNS($V$1006:AE1006),$V$1006:$AE$1006,0)))),"Fix")))</f>
        <v>0</v>
      </c>
      <c r="O323">
        <v>0</v>
      </c>
      <c r="P323">
        <v>0</v>
      </c>
      <c r="Q323">
        <v>0</v>
      </c>
      <c r="R323">
        <f>IF(S323,TRUE,AND(V323:AE323))</f>
        <v>0</v>
      </c>
      <c r="S323">
        <f>COUNTBLANK(Metadata!B323:K323)=COLUMNS(Metadata!B323:K323)</f>
        <v>0</v>
      </c>
      <c r="T323">
        <v>0</v>
      </c>
      <c r="V323">
        <f>AND(IF(Metadata!B323="",FALSE,TRUE),COUNTIF(Metadata!B:B, Metadata!B323) = 1,NOT(ISERROR(SUMPRODUCT(SEARCH(MID(Metadata!B323,ROW(INDIRECT("1:"&amp;LEN(Metadata!B323))), 1),"0123456789abcdefghijklmnopqrstuvwxyzABCDEFGHIJKLMNOPQRSTUVWXYZ.")))))</f>
        <v>0</v>
      </c>
      <c r="W323">
        <f>AND(IF(Metadata!C323="",FALSE,TRUE),exact(Metadata!C323,"urban biome"))</f>
        <v>0</v>
      </c>
      <c r="X323">
        <f>AND(IF(Metadata!D323="",FALSE,TRUE),exact(Metadata!D323,"animal-associated habitat"))</f>
        <v>0</v>
      </c>
      <c r="Y323">
        <f>OR(AND(IF(Metadata!E323="",FALSE,TRUE),OR(exact(Metadata!E323,"not applicable"),exact(Metadata!E323,"missing: not collected"),exact(Metadata!E323,"missing: not provided"),exact(Metadata!E323,"missing: restricted access"))),AND(IF(Metadata!E323="",FALSE,ISNUMBER(VALUE(Metadata!E323))),Metadata!E323&gt;0))</f>
        <v>0</v>
      </c>
      <c r="Z323">
        <f>AND(IF(Metadata!F323="",FALSE,TRUE),exact(Metadata!F323,"weeks"))</f>
        <v>0</v>
      </c>
      <c r="AA323">
        <f>AND(IF(Metadata!G323="",FALSE,TRUE),exact(Metadata!G323,"mouse"))</f>
        <v>0</v>
      </c>
      <c r="AB323">
        <f>AND(IF(Metadata!H323="",FALSE,TRUE),exact(Metadata!H323,"Mus musculus"))</f>
        <v>0</v>
      </c>
      <c r="AC323">
        <f>AND(IF(Metadata!I323="",FALSE,TRUE),exact(Metadata!I323,"10090"))</f>
        <v>0</v>
      </c>
      <c r="AD323">
        <f>OR(AND(IF(Metadata!J323="",FALSE,TRUE),OR(exact(Metadata!J323,"not applicable"),exact(Metadata!J323,"missing: not collected"),exact(Metadata!J323,"missing: not provided"),exact(Metadata!J323,"missing: restricted access"))),AND(IF(Metadata!J323="",FALSE,ISNUMBER(VALUE(Metadata!J323))),Metadata!J323&gt;0))</f>
        <v>0</v>
      </c>
      <c r="AE323">
        <f>AND(IF(Metadata!K323="",FALSE,TRUE),exact(Metadata!K323,"g"))</f>
        <v>0</v>
      </c>
    </row>
    <row r="324" spans="1:31">
      <c r="A324" s="5">
        <f>IF(B324=" "," ",HYPERLINK(CONCATENATE("#metadata!",ADDRESS(INDEX($Q$2:$Q$1001,MATCH(ROWS($O$2:O324),$O$2:$O$1001,0),0),1)),INDEX($T$2:$T$1001,MATCH(ROWS($O$2:O324),$O$2:$O$1001,0),0)))</f>
        <v>0</v>
      </c>
      <c r="B324" s="4">
        <f>IF(OR(INDEX($P$2:$P$1001,MATCH(ROWS($O$2:O324),$O$2:$O$1001,0),1)&gt;=100000,INDEX($V$1005:$AE$1005,1,MATCH(COLUMNS($V$1006:V1006),$V$1006:$AE$1006,0))&gt;=100000), " ",IF(INDEX($V$2:$AE$1001,MATCH(ROWS($O$2:O324),$O$2:$O$1001,0),MATCH(COLUMNS($V$1006:V1006),$V$1006:$AE$1006,0)), HYPERLINK("#",""), HYPERLINK(CONCATENATE("#Metadata!", ADDRESS(INDEX($Q$2:$Q$1001,MATCH(ROWS($O$2:O324),$O$2:$O$1001,0),0), INDEX($V$1004:$AE$1004,1,MATCH(COLUMNS($V$1006:V1006),$V$1006:$AE$1006,0)))),"Fix")))</f>
        <v>0</v>
      </c>
      <c r="C324" s="4">
        <f>IF(OR(INDEX($P$2:$P$1001,MATCH(ROWS($O$2:O324),$O$2:$O$1001,0),1)&gt;=100000,INDEX($V$1005:$AE$1005,1,MATCH(COLUMNS($V$1006:W1006),$V$1006:$AE$1006,0))&gt;=100000), " ",IF(INDEX($V$2:$AE$1001,MATCH(ROWS($O$2:O324),$O$2:$O$1001,0),MATCH(COLUMNS($V$1006:W1006),$V$1006:$AE$1006,0)), HYPERLINK("#",""), HYPERLINK(CONCATENATE("#Metadata!", ADDRESS(INDEX($Q$2:$Q$1001,MATCH(ROWS($O$2:O324),$O$2:$O$1001,0),0), INDEX($V$1004:$AE$1004,1,MATCH(COLUMNS($V$1006:W1006),$V$1006:$AE$1006,0)))),"Fix")))</f>
        <v>0</v>
      </c>
      <c r="D324" s="4">
        <f>IF(OR(INDEX($P$2:$P$1001,MATCH(ROWS($O$2:O324),$O$2:$O$1001,0),1)&gt;=100000,INDEX($V$1005:$AE$1005,1,MATCH(COLUMNS($V$1006:X1006),$V$1006:$AE$1006,0))&gt;=100000), " ",IF(INDEX($V$2:$AE$1001,MATCH(ROWS($O$2:O324),$O$2:$O$1001,0),MATCH(COLUMNS($V$1006:X1006),$V$1006:$AE$1006,0)), HYPERLINK("#",""), HYPERLINK(CONCATENATE("#Metadata!", ADDRESS(INDEX($Q$2:$Q$1001,MATCH(ROWS($O$2:O324),$O$2:$O$1001,0),0), INDEX($V$1004:$AE$1004,1,MATCH(COLUMNS($V$1006:X1006),$V$1006:$AE$1006,0)))),"Fix")))</f>
        <v>0</v>
      </c>
      <c r="E324" s="4">
        <f>IF(OR(INDEX($P$2:$P$1001,MATCH(ROWS($O$2:O324),$O$2:$O$1001,0),1)&gt;=100000,INDEX($V$1005:$AE$1005,1,MATCH(COLUMNS($V$1006:Y1006),$V$1006:$AE$1006,0))&gt;=100000), " ",IF(INDEX($V$2:$AE$1001,MATCH(ROWS($O$2:O324),$O$2:$O$1001,0),MATCH(COLUMNS($V$1006:Y1006),$V$1006:$AE$1006,0)), HYPERLINK("#",""), HYPERLINK(CONCATENATE("#Metadata!", ADDRESS(INDEX($Q$2:$Q$1001,MATCH(ROWS($O$2:O324),$O$2:$O$1001,0),0), INDEX($V$1004:$AE$1004,1,MATCH(COLUMNS($V$1006:Y1006),$V$1006:$AE$1006,0)))),"Fix")))</f>
        <v>0</v>
      </c>
      <c r="F324" s="4">
        <f>IF(OR(INDEX($P$2:$P$1001,MATCH(ROWS($O$2:O324),$O$2:$O$1001,0),1)&gt;=100000,INDEX($V$1005:$AE$1005,1,MATCH(COLUMNS($V$1006:Z1006),$V$1006:$AE$1006,0))&gt;=100000), " ",IF(INDEX($V$2:$AE$1001,MATCH(ROWS($O$2:O324),$O$2:$O$1001,0),MATCH(COLUMNS($V$1006:Z1006),$V$1006:$AE$1006,0)), HYPERLINK("#",""), HYPERLINK(CONCATENATE("#Metadata!", ADDRESS(INDEX($Q$2:$Q$1001,MATCH(ROWS($O$2:O324),$O$2:$O$1001,0),0), INDEX($V$1004:$AE$1004,1,MATCH(COLUMNS($V$1006:Z1006),$V$1006:$AE$1006,0)))),"Fix")))</f>
        <v>0</v>
      </c>
      <c r="G324" s="4">
        <f>IF(OR(INDEX($P$2:$P$1001,MATCH(ROWS($O$2:O324),$O$2:$O$1001,0),1)&gt;=100000,INDEX($V$1005:$AE$1005,1,MATCH(COLUMNS($V$1006:AA1006),$V$1006:$AE$1006,0))&gt;=100000), " ",IF(INDEX($V$2:$AE$1001,MATCH(ROWS($O$2:O324),$O$2:$O$1001,0),MATCH(COLUMNS($V$1006:AA1006),$V$1006:$AE$1006,0)), HYPERLINK("#",""), HYPERLINK(CONCATENATE("#Metadata!", ADDRESS(INDEX($Q$2:$Q$1001,MATCH(ROWS($O$2:O324),$O$2:$O$1001,0),0), INDEX($V$1004:$AE$1004,1,MATCH(COLUMNS($V$1006:AA1006),$V$1006:$AE$1006,0)))),"Fix")))</f>
        <v>0</v>
      </c>
      <c r="H324" s="4">
        <f>IF(OR(INDEX($P$2:$P$1001,MATCH(ROWS($O$2:O324),$O$2:$O$1001,0),1)&gt;=100000,INDEX($V$1005:$AE$1005,1,MATCH(COLUMNS($V$1006:AB1006),$V$1006:$AE$1006,0))&gt;=100000), " ",IF(INDEX($V$2:$AE$1001,MATCH(ROWS($O$2:O324),$O$2:$O$1001,0),MATCH(COLUMNS($V$1006:AB1006),$V$1006:$AE$1006,0)), HYPERLINK("#",""), HYPERLINK(CONCATENATE("#Metadata!", ADDRESS(INDEX($Q$2:$Q$1001,MATCH(ROWS($O$2:O324),$O$2:$O$1001,0),0), INDEX($V$1004:$AE$1004,1,MATCH(COLUMNS($V$1006:AB1006),$V$1006:$AE$1006,0)))),"Fix")))</f>
        <v>0</v>
      </c>
      <c r="I324" s="4">
        <f>IF(OR(INDEX($P$2:$P$1001,MATCH(ROWS($O$2:O324),$O$2:$O$1001,0),1)&gt;=100000,INDEX($V$1005:$AE$1005,1,MATCH(COLUMNS($V$1006:AC1006),$V$1006:$AE$1006,0))&gt;=100000), " ",IF(INDEX($V$2:$AE$1001,MATCH(ROWS($O$2:O324),$O$2:$O$1001,0),MATCH(COLUMNS($V$1006:AC1006),$V$1006:$AE$1006,0)), HYPERLINK("#",""), HYPERLINK(CONCATENATE("#Metadata!", ADDRESS(INDEX($Q$2:$Q$1001,MATCH(ROWS($O$2:O324),$O$2:$O$1001,0),0), INDEX($V$1004:$AE$1004,1,MATCH(COLUMNS($V$1006:AC1006),$V$1006:$AE$1006,0)))),"Fix")))</f>
        <v>0</v>
      </c>
      <c r="J324" s="4">
        <f>IF(OR(INDEX($P$2:$P$1001,MATCH(ROWS($O$2:O324),$O$2:$O$1001,0),1)&gt;=100000,INDEX($V$1005:$AE$1005,1,MATCH(COLUMNS($V$1006:AD1006),$V$1006:$AE$1006,0))&gt;=100000), " ",IF(INDEX($V$2:$AE$1001,MATCH(ROWS($O$2:O324),$O$2:$O$1001,0),MATCH(COLUMNS($V$1006:AD1006),$V$1006:$AE$1006,0)), HYPERLINK("#",""), HYPERLINK(CONCATENATE("#Metadata!", ADDRESS(INDEX($Q$2:$Q$1001,MATCH(ROWS($O$2:O324),$O$2:$O$1001,0),0), INDEX($V$1004:$AE$1004,1,MATCH(COLUMNS($V$1006:AD1006),$V$1006:$AE$1006,0)))),"Fix")))</f>
        <v>0</v>
      </c>
      <c r="K324" s="4">
        <f>IF(OR(INDEX($P$2:$P$1001,MATCH(ROWS($O$2:O324),$O$2:$O$1001,0),1)&gt;=100000,INDEX($V$1005:$AE$1005,1,MATCH(COLUMNS($V$1006:AE1006),$V$1006:$AE$1006,0))&gt;=100000), " ",IF(INDEX($V$2:$AE$1001,MATCH(ROWS($O$2:O324),$O$2:$O$1001,0),MATCH(COLUMNS($V$1006:AE1006),$V$1006:$AE$1006,0)), HYPERLINK("#",""), HYPERLINK(CONCATENATE("#Metadata!", ADDRESS(INDEX($Q$2:$Q$1001,MATCH(ROWS($O$2:O324),$O$2:$O$1001,0),0), INDEX($V$1004:$AE$1004,1,MATCH(COLUMNS($V$1006:AE1006),$V$1006:$AE$1006,0)))),"Fix")))</f>
        <v>0</v>
      </c>
      <c r="O324">
        <v>0</v>
      </c>
      <c r="P324">
        <v>0</v>
      </c>
      <c r="Q324">
        <v>0</v>
      </c>
      <c r="R324">
        <f>IF(S324,TRUE,AND(V324:AE324))</f>
        <v>0</v>
      </c>
      <c r="S324">
        <f>COUNTBLANK(Metadata!B324:K324)=COLUMNS(Metadata!B324:K324)</f>
        <v>0</v>
      </c>
      <c r="T324">
        <v>0</v>
      </c>
      <c r="V324">
        <f>AND(IF(Metadata!B324="",FALSE,TRUE),COUNTIF(Metadata!B:B, Metadata!B324) = 1,NOT(ISERROR(SUMPRODUCT(SEARCH(MID(Metadata!B324,ROW(INDIRECT("1:"&amp;LEN(Metadata!B324))), 1),"0123456789abcdefghijklmnopqrstuvwxyzABCDEFGHIJKLMNOPQRSTUVWXYZ.")))))</f>
        <v>0</v>
      </c>
      <c r="W324">
        <f>AND(IF(Metadata!C324="",FALSE,TRUE),exact(Metadata!C324,"urban biome"))</f>
        <v>0</v>
      </c>
      <c r="X324">
        <f>AND(IF(Metadata!D324="",FALSE,TRUE),exact(Metadata!D324,"animal-associated habitat"))</f>
        <v>0</v>
      </c>
      <c r="Y324">
        <f>OR(AND(IF(Metadata!E324="",FALSE,TRUE),OR(exact(Metadata!E324,"not applicable"),exact(Metadata!E324,"missing: not collected"),exact(Metadata!E324,"missing: not provided"),exact(Metadata!E324,"missing: restricted access"))),AND(IF(Metadata!E324="",FALSE,ISNUMBER(VALUE(Metadata!E324))),Metadata!E324&gt;0))</f>
        <v>0</v>
      </c>
      <c r="Z324">
        <f>AND(IF(Metadata!F324="",FALSE,TRUE),exact(Metadata!F324,"weeks"))</f>
        <v>0</v>
      </c>
      <c r="AA324">
        <f>AND(IF(Metadata!G324="",FALSE,TRUE),exact(Metadata!G324,"mouse"))</f>
        <v>0</v>
      </c>
      <c r="AB324">
        <f>AND(IF(Metadata!H324="",FALSE,TRUE),exact(Metadata!H324,"Mus musculus"))</f>
        <v>0</v>
      </c>
      <c r="AC324">
        <f>AND(IF(Metadata!I324="",FALSE,TRUE),exact(Metadata!I324,"10090"))</f>
        <v>0</v>
      </c>
      <c r="AD324">
        <f>OR(AND(IF(Metadata!J324="",FALSE,TRUE),OR(exact(Metadata!J324,"not applicable"),exact(Metadata!J324,"missing: not collected"),exact(Metadata!J324,"missing: not provided"),exact(Metadata!J324,"missing: restricted access"))),AND(IF(Metadata!J324="",FALSE,ISNUMBER(VALUE(Metadata!J324))),Metadata!J324&gt;0))</f>
        <v>0</v>
      </c>
      <c r="AE324">
        <f>AND(IF(Metadata!K324="",FALSE,TRUE),exact(Metadata!K324,"g"))</f>
        <v>0</v>
      </c>
    </row>
    <row r="325" spans="1:31">
      <c r="A325" s="5">
        <f>IF(B325=" "," ",HYPERLINK(CONCATENATE("#metadata!",ADDRESS(INDEX($Q$2:$Q$1001,MATCH(ROWS($O$2:O325),$O$2:$O$1001,0),0),1)),INDEX($T$2:$T$1001,MATCH(ROWS($O$2:O325),$O$2:$O$1001,0),0)))</f>
        <v>0</v>
      </c>
      <c r="B325" s="4">
        <f>IF(OR(INDEX($P$2:$P$1001,MATCH(ROWS($O$2:O325),$O$2:$O$1001,0),1)&gt;=100000,INDEX($V$1005:$AE$1005,1,MATCH(COLUMNS($V$1006:V1006),$V$1006:$AE$1006,0))&gt;=100000), " ",IF(INDEX($V$2:$AE$1001,MATCH(ROWS($O$2:O325),$O$2:$O$1001,0),MATCH(COLUMNS($V$1006:V1006),$V$1006:$AE$1006,0)), HYPERLINK("#",""), HYPERLINK(CONCATENATE("#Metadata!", ADDRESS(INDEX($Q$2:$Q$1001,MATCH(ROWS($O$2:O325),$O$2:$O$1001,0),0), INDEX($V$1004:$AE$1004,1,MATCH(COLUMNS($V$1006:V1006),$V$1006:$AE$1006,0)))),"Fix")))</f>
        <v>0</v>
      </c>
      <c r="C325" s="4">
        <f>IF(OR(INDEX($P$2:$P$1001,MATCH(ROWS($O$2:O325),$O$2:$O$1001,0),1)&gt;=100000,INDEX($V$1005:$AE$1005,1,MATCH(COLUMNS($V$1006:W1006),$V$1006:$AE$1006,0))&gt;=100000), " ",IF(INDEX($V$2:$AE$1001,MATCH(ROWS($O$2:O325),$O$2:$O$1001,0),MATCH(COLUMNS($V$1006:W1006),$V$1006:$AE$1006,0)), HYPERLINK("#",""), HYPERLINK(CONCATENATE("#Metadata!", ADDRESS(INDEX($Q$2:$Q$1001,MATCH(ROWS($O$2:O325),$O$2:$O$1001,0),0), INDEX($V$1004:$AE$1004,1,MATCH(COLUMNS($V$1006:W1006),$V$1006:$AE$1006,0)))),"Fix")))</f>
        <v>0</v>
      </c>
      <c r="D325" s="4">
        <f>IF(OR(INDEX($P$2:$P$1001,MATCH(ROWS($O$2:O325),$O$2:$O$1001,0),1)&gt;=100000,INDEX($V$1005:$AE$1005,1,MATCH(COLUMNS($V$1006:X1006),$V$1006:$AE$1006,0))&gt;=100000), " ",IF(INDEX($V$2:$AE$1001,MATCH(ROWS($O$2:O325),$O$2:$O$1001,0),MATCH(COLUMNS($V$1006:X1006),$V$1006:$AE$1006,0)), HYPERLINK("#",""), HYPERLINK(CONCATENATE("#Metadata!", ADDRESS(INDEX($Q$2:$Q$1001,MATCH(ROWS($O$2:O325),$O$2:$O$1001,0),0), INDEX($V$1004:$AE$1004,1,MATCH(COLUMNS($V$1006:X1006),$V$1006:$AE$1006,0)))),"Fix")))</f>
        <v>0</v>
      </c>
      <c r="E325" s="4">
        <f>IF(OR(INDEX($P$2:$P$1001,MATCH(ROWS($O$2:O325),$O$2:$O$1001,0),1)&gt;=100000,INDEX($V$1005:$AE$1005,1,MATCH(COLUMNS($V$1006:Y1006),$V$1006:$AE$1006,0))&gt;=100000), " ",IF(INDEX($V$2:$AE$1001,MATCH(ROWS($O$2:O325),$O$2:$O$1001,0),MATCH(COLUMNS($V$1006:Y1006),$V$1006:$AE$1006,0)), HYPERLINK("#",""), HYPERLINK(CONCATENATE("#Metadata!", ADDRESS(INDEX($Q$2:$Q$1001,MATCH(ROWS($O$2:O325),$O$2:$O$1001,0),0), INDEX($V$1004:$AE$1004,1,MATCH(COLUMNS($V$1006:Y1006),$V$1006:$AE$1006,0)))),"Fix")))</f>
        <v>0</v>
      </c>
      <c r="F325" s="4">
        <f>IF(OR(INDEX($P$2:$P$1001,MATCH(ROWS($O$2:O325),$O$2:$O$1001,0),1)&gt;=100000,INDEX($V$1005:$AE$1005,1,MATCH(COLUMNS($V$1006:Z1006),$V$1006:$AE$1006,0))&gt;=100000), " ",IF(INDEX($V$2:$AE$1001,MATCH(ROWS($O$2:O325),$O$2:$O$1001,0),MATCH(COLUMNS($V$1006:Z1006),$V$1006:$AE$1006,0)), HYPERLINK("#",""), HYPERLINK(CONCATENATE("#Metadata!", ADDRESS(INDEX($Q$2:$Q$1001,MATCH(ROWS($O$2:O325),$O$2:$O$1001,0),0), INDEX($V$1004:$AE$1004,1,MATCH(COLUMNS($V$1006:Z1006),$V$1006:$AE$1006,0)))),"Fix")))</f>
        <v>0</v>
      </c>
      <c r="G325" s="4">
        <f>IF(OR(INDEX($P$2:$P$1001,MATCH(ROWS($O$2:O325),$O$2:$O$1001,0),1)&gt;=100000,INDEX($V$1005:$AE$1005,1,MATCH(COLUMNS($V$1006:AA1006),$V$1006:$AE$1006,0))&gt;=100000), " ",IF(INDEX($V$2:$AE$1001,MATCH(ROWS($O$2:O325),$O$2:$O$1001,0),MATCH(COLUMNS($V$1006:AA1006),$V$1006:$AE$1006,0)), HYPERLINK("#",""), HYPERLINK(CONCATENATE("#Metadata!", ADDRESS(INDEX($Q$2:$Q$1001,MATCH(ROWS($O$2:O325),$O$2:$O$1001,0),0), INDEX($V$1004:$AE$1004,1,MATCH(COLUMNS($V$1006:AA1006),$V$1006:$AE$1006,0)))),"Fix")))</f>
        <v>0</v>
      </c>
      <c r="H325" s="4">
        <f>IF(OR(INDEX($P$2:$P$1001,MATCH(ROWS($O$2:O325),$O$2:$O$1001,0),1)&gt;=100000,INDEX($V$1005:$AE$1005,1,MATCH(COLUMNS($V$1006:AB1006),$V$1006:$AE$1006,0))&gt;=100000), " ",IF(INDEX($V$2:$AE$1001,MATCH(ROWS($O$2:O325),$O$2:$O$1001,0),MATCH(COLUMNS($V$1006:AB1006),$V$1006:$AE$1006,0)), HYPERLINK("#",""), HYPERLINK(CONCATENATE("#Metadata!", ADDRESS(INDEX($Q$2:$Q$1001,MATCH(ROWS($O$2:O325),$O$2:$O$1001,0),0), INDEX($V$1004:$AE$1004,1,MATCH(COLUMNS($V$1006:AB1006),$V$1006:$AE$1006,0)))),"Fix")))</f>
        <v>0</v>
      </c>
      <c r="I325" s="4">
        <f>IF(OR(INDEX($P$2:$P$1001,MATCH(ROWS($O$2:O325),$O$2:$O$1001,0),1)&gt;=100000,INDEX($V$1005:$AE$1005,1,MATCH(COLUMNS($V$1006:AC1006),$V$1006:$AE$1006,0))&gt;=100000), " ",IF(INDEX($V$2:$AE$1001,MATCH(ROWS($O$2:O325),$O$2:$O$1001,0),MATCH(COLUMNS($V$1006:AC1006),$V$1006:$AE$1006,0)), HYPERLINK("#",""), HYPERLINK(CONCATENATE("#Metadata!", ADDRESS(INDEX($Q$2:$Q$1001,MATCH(ROWS($O$2:O325),$O$2:$O$1001,0),0), INDEX($V$1004:$AE$1004,1,MATCH(COLUMNS($V$1006:AC1006),$V$1006:$AE$1006,0)))),"Fix")))</f>
        <v>0</v>
      </c>
      <c r="J325" s="4">
        <f>IF(OR(INDEX($P$2:$P$1001,MATCH(ROWS($O$2:O325),$O$2:$O$1001,0),1)&gt;=100000,INDEX($V$1005:$AE$1005,1,MATCH(COLUMNS($V$1006:AD1006),$V$1006:$AE$1006,0))&gt;=100000), " ",IF(INDEX($V$2:$AE$1001,MATCH(ROWS($O$2:O325),$O$2:$O$1001,0),MATCH(COLUMNS($V$1006:AD1006),$V$1006:$AE$1006,0)), HYPERLINK("#",""), HYPERLINK(CONCATENATE("#Metadata!", ADDRESS(INDEX($Q$2:$Q$1001,MATCH(ROWS($O$2:O325),$O$2:$O$1001,0),0), INDEX($V$1004:$AE$1004,1,MATCH(COLUMNS($V$1006:AD1006),$V$1006:$AE$1006,0)))),"Fix")))</f>
        <v>0</v>
      </c>
      <c r="K325" s="4">
        <f>IF(OR(INDEX($P$2:$P$1001,MATCH(ROWS($O$2:O325),$O$2:$O$1001,0),1)&gt;=100000,INDEX($V$1005:$AE$1005,1,MATCH(COLUMNS($V$1006:AE1006),$V$1006:$AE$1006,0))&gt;=100000), " ",IF(INDEX($V$2:$AE$1001,MATCH(ROWS($O$2:O325),$O$2:$O$1001,0),MATCH(COLUMNS($V$1006:AE1006),$V$1006:$AE$1006,0)), HYPERLINK("#",""), HYPERLINK(CONCATENATE("#Metadata!", ADDRESS(INDEX($Q$2:$Q$1001,MATCH(ROWS($O$2:O325),$O$2:$O$1001,0),0), INDEX($V$1004:$AE$1004,1,MATCH(COLUMNS($V$1006:AE1006),$V$1006:$AE$1006,0)))),"Fix")))</f>
        <v>0</v>
      </c>
      <c r="O325">
        <v>0</v>
      </c>
      <c r="P325">
        <v>0</v>
      </c>
      <c r="Q325">
        <v>0</v>
      </c>
      <c r="R325">
        <f>IF(S325,TRUE,AND(V325:AE325))</f>
        <v>0</v>
      </c>
      <c r="S325">
        <f>COUNTBLANK(Metadata!B325:K325)=COLUMNS(Metadata!B325:K325)</f>
        <v>0</v>
      </c>
      <c r="T325">
        <v>0</v>
      </c>
      <c r="V325">
        <f>AND(IF(Metadata!B325="",FALSE,TRUE),COUNTIF(Metadata!B:B, Metadata!B325) = 1,NOT(ISERROR(SUMPRODUCT(SEARCH(MID(Metadata!B325,ROW(INDIRECT("1:"&amp;LEN(Metadata!B325))), 1),"0123456789abcdefghijklmnopqrstuvwxyzABCDEFGHIJKLMNOPQRSTUVWXYZ.")))))</f>
        <v>0</v>
      </c>
      <c r="W325">
        <f>AND(IF(Metadata!C325="",FALSE,TRUE),exact(Metadata!C325,"urban biome"))</f>
        <v>0</v>
      </c>
      <c r="X325">
        <f>AND(IF(Metadata!D325="",FALSE,TRUE),exact(Metadata!D325,"animal-associated habitat"))</f>
        <v>0</v>
      </c>
      <c r="Y325">
        <f>OR(AND(IF(Metadata!E325="",FALSE,TRUE),OR(exact(Metadata!E325,"not applicable"),exact(Metadata!E325,"missing: not collected"),exact(Metadata!E325,"missing: not provided"),exact(Metadata!E325,"missing: restricted access"))),AND(IF(Metadata!E325="",FALSE,ISNUMBER(VALUE(Metadata!E325))),Metadata!E325&gt;0))</f>
        <v>0</v>
      </c>
      <c r="Z325">
        <f>AND(IF(Metadata!F325="",FALSE,TRUE),exact(Metadata!F325,"weeks"))</f>
        <v>0</v>
      </c>
      <c r="AA325">
        <f>AND(IF(Metadata!G325="",FALSE,TRUE),exact(Metadata!G325,"mouse"))</f>
        <v>0</v>
      </c>
      <c r="AB325">
        <f>AND(IF(Metadata!H325="",FALSE,TRUE),exact(Metadata!H325,"Mus musculus"))</f>
        <v>0</v>
      </c>
      <c r="AC325">
        <f>AND(IF(Metadata!I325="",FALSE,TRUE),exact(Metadata!I325,"10090"))</f>
        <v>0</v>
      </c>
      <c r="AD325">
        <f>OR(AND(IF(Metadata!J325="",FALSE,TRUE),OR(exact(Metadata!J325,"not applicable"),exact(Metadata!J325,"missing: not collected"),exact(Metadata!J325,"missing: not provided"),exact(Metadata!J325,"missing: restricted access"))),AND(IF(Metadata!J325="",FALSE,ISNUMBER(VALUE(Metadata!J325))),Metadata!J325&gt;0))</f>
        <v>0</v>
      </c>
      <c r="AE325">
        <f>AND(IF(Metadata!K325="",FALSE,TRUE),exact(Metadata!K325,"g"))</f>
        <v>0</v>
      </c>
    </row>
    <row r="326" spans="1:31">
      <c r="A326" s="5">
        <f>IF(B326=" "," ",HYPERLINK(CONCATENATE("#metadata!",ADDRESS(INDEX($Q$2:$Q$1001,MATCH(ROWS($O$2:O326),$O$2:$O$1001,0),0),1)),INDEX($T$2:$T$1001,MATCH(ROWS($O$2:O326),$O$2:$O$1001,0),0)))</f>
        <v>0</v>
      </c>
      <c r="B326" s="4">
        <f>IF(OR(INDEX($P$2:$P$1001,MATCH(ROWS($O$2:O326),$O$2:$O$1001,0),1)&gt;=100000,INDEX($V$1005:$AE$1005,1,MATCH(COLUMNS($V$1006:V1006),$V$1006:$AE$1006,0))&gt;=100000), " ",IF(INDEX($V$2:$AE$1001,MATCH(ROWS($O$2:O326),$O$2:$O$1001,0),MATCH(COLUMNS($V$1006:V1006),$V$1006:$AE$1006,0)), HYPERLINK("#",""), HYPERLINK(CONCATENATE("#Metadata!", ADDRESS(INDEX($Q$2:$Q$1001,MATCH(ROWS($O$2:O326),$O$2:$O$1001,0),0), INDEX($V$1004:$AE$1004,1,MATCH(COLUMNS($V$1006:V1006),$V$1006:$AE$1006,0)))),"Fix")))</f>
        <v>0</v>
      </c>
      <c r="C326" s="4">
        <f>IF(OR(INDEX($P$2:$P$1001,MATCH(ROWS($O$2:O326),$O$2:$O$1001,0),1)&gt;=100000,INDEX($V$1005:$AE$1005,1,MATCH(COLUMNS($V$1006:W1006),$V$1006:$AE$1006,0))&gt;=100000), " ",IF(INDEX($V$2:$AE$1001,MATCH(ROWS($O$2:O326),$O$2:$O$1001,0),MATCH(COLUMNS($V$1006:W1006),$V$1006:$AE$1006,0)), HYPERLINK("#",""), HYPERLINK(CONCATENATE("#Metadata!", ADDRESS(INDEX($Q$2:$Q$1001,MATCH(ROWS($O$2:O326),$O$2:$O$1001,0),0), INDEX($V$1004:$AE$1004,1,MATCH(COLUMNS($V$1006:W1006),$V$1006:$AE$1006,0)))),"Fix")))</f>
        <v>0</v>
      </c>
      <c r="D326" s="4">
        <f>IF(OR(INDEX($P$2:$P$1001,MATCH(ROWS($O$2:O326),$O$2:$O$1001,0),1)&gt;=100000,INDEX($V$1005:$AE$1005,1,MATCH(COLUMNS($V$1006:X1006),$V$1006:$AE$1006,0))&gt;=100000), " ",IF(INDEX($V$2:$AE$1001,MATCH(ROWS($O$2:O326),$O$2:$O$1001,0),MATCH(COLUMNS($V$1006:X1006),$V$1006:$AE$1006,0)), HYPERLINK("#",""), HYPERLINK(CONCATENATE("#Metadata!", ADDRESS(INDEX($Q$2:$Q$1001,MATCH(ROWS($O$2:O326),$O$2:$O$1001,0),0), INDEX($V$1004:$AE$1004,1,MATCH(COLUMNS($V$1006:X1006),$V$1006:$AE$1006,0)))),"Fix")))</f>
        <v>0</v>
      </c>
      <c r="E326" s="4">
        <f>IF(OR(INDEX($P$2:$P$1001,MATCH(ROWS($O$2:O326),$O$2:$O$1001,0),1)&gt;=100000,INDEX($V$1005:$AE$1005,1,MATCH(COLUMNS($V$1006:Y1006),$V$1006:$AE$1006,0))&gt;=100000), " ",IF(INDEX($V$2:$AE$1001,MATCH(ROWS($O$2:O326),$O$2:$O$1001,0),MATCH(COLUMNS($V$1006:Y1006),$V$1006:$AE$1006,0)), HYPERLINK("#",""), HYPERLINK(CONCATENATE("#Metadata!", ADDRESS(INDEX($Q$2:$Q$1001,MATCH(ROWS($O$2:O326),$O$2:$O$1001,0),0), INDEX($V$1004:$AE$1004,1,MATCH(COLUMNS($V$1006:Y1006),$V$1006:$AE$1006,0)))),"Fix")))</f>
        <v>0</v>
      </c>
      <c r="F326" s="4">
        <f>IF(OR(INDEX($P$2:$P$1001,MATCH(ROWS($O$2:O326),$O$2:$O$1001,0),1)&gt;=100000,INDEX($V$1005:$AE$1005,1,MATCH(COLUMNS($V$1006:Z1006),$V$1006:$AE$1006,0))&gt;=100000), " ",IF(INDEX($V$2:$AE$1001,MATCH(ROWS($O$2:O326),$O$2:$O$1001,0),MATCH(COLUMNS($V$1006:Z1006),$V$1006:$AE$1006,0)), HYPERLINK("#",""), HYPERLINK(CONCATENATE("#Metadata!", ADDRESS(INDEX($Q$2:$Q$1001,MATCH(ROWS($O$2:O326),$O$2:$O$1001,0),0), INDEX($V$1004:$AE$1004,1,MATCH(COLUMNS($V$1006:Z1006),$V$1006:$AE$1006,0)))),"Fix")))</f>
        <v>0</v>
      </c>
      <c r="G326" s="4">
        <f>IF(OR(INDEX($P$2:$P$1001,MATCH(ROWS($O$2:O326),$O$2:$O$1001,0),1)&gt;=100000,INDEX($V$1005:$AE$1005,1,MATCH(COLUMNS($V$1006:AA1006),$V$1006:$AE$1006,0))&gt;=100000), " ",IF(INDEX($V$2:$AE$1001,MATCH(ROWS($O$2:O326),$O$2:$O$1001,0),MATCH(COLUMNS($V$1006:AA1006),$V$1006:$AE$1006,0)), HYPERLINK("#",""), HYPERLINK(CONCATENATE("#Metadata!", ADDRESS(INDEX($Q$2:$Q$1001,MATCH(ROWS($O$2:O326),$O$2:$O$1001,0),0), INDEX($V$1004:$AE$1004,1,MATCH(COLUMNS($V$1006:AA1006),$V$1006:$AE$1006,0)))),"Fix")))</f>
        <v>0</v>
      </c>
      <c r="H326" s="4">
        <f>IF(OR(INDEX($P$2:$P$1001,MATCH(ROWS($O$2:O326),$O$2:$O$1001,0),1)&gt;=100000,INDEX($V$1005:$AE$1005,1,MATCH(COLUMNS($V$1006:AB1006),$V$1006:$AE$1006,0))&gt;=100000), " ",IF(INDEX($V$2:$AE$1001,MATCH(ROWS($O$2:O326),$O$2:$O$1001,0),MATCH(COLUMNS($V$1006:AB1006),$V$1006:$AE$1006,0)), HYPERLINK("#",""), HYPERLINK(CONCATENATE("#Metadata!", ADDRESS(INDEX($Q$2:$Q$1001,MATCH(ROWS($O$2:O326),$O$2:$O$1001,0),0), INDEX($V$1004:$AE$1004,1,MATCH(COLUMNS($V$1006:AB1006),$V$1006:$AE$1006,0)))),"Fix")))</f>
        <v>0</v>
      </c>
      <c r="I326" s="4">
        <f>IF(OR(INDEX($P$2:$P$1001,MATCH(ROWS($O$2:O326),$O$2:$O$1001,0),1)&gt;=100000,INDEX($V$1005:$AE$1005,1,MATCH(COLUMNS($V$1006:AC1006),$V$1006:$AE$1006,0))&gt;=100000), " ",IF(INDEX($V$2:$AE$1001,MATCH(ROWS($O$2:O326),$O$2:$O$1001,0),MATCH(COLUMNS($V$1006:AC1006),$V$1006:$AE$1006,0)), HYPERLINK("#",""), HYPERLINK(CONCATENATE("#Metadata!", ADDRESS(INDEX($Q$2:$Q$1001,MATCH(ROWS($O$2:O326),$O$2:$O$1001,0),0), INDEX($V$1004:$AE$1004,1,MATCH(COLUMNS($V$1006:AC1006),$V$1006:$AE$1006,0)))),"Fix")))</f>
        <v>0</v>
      </c>
      <c r="J326" s="4">
        <f>IF(OR(INDEX($P$2:$P$1001,MATCH(ROWS($O$2:O326),$O$2:$O$1001,0),1)&gt;=100000,INDEX($V$1005:$AE$1005,1,MATCH(COLUMNS($V$1006:AD1006),$V$1006:$AE$1006,0))&gt;=100000), " ",IF(INDEX($V$2:$AE$1001,MATCH(ROWS($O$2:O326),$O$2:$O$1001,0),MATCH(COLUMNS($V$1006:AD1006),$V$1006:$AE$1006,0)), HYPERLINK("#",""), HYPERLINK(CONCATENATE("#Metadata!", ADDRESS(INDEX($Q$2:$Q$1001,MATCH(ROWS($O$2:O326),$O$2:$O$1001,0),0), INDEX($V$1004:$AE$1004,1,MATCH(COLUMNS($V$1006:AD1006),$V$1006:$AE$1006,0)))),"Fix")))</f>
        <v>0</v>
      </c>
      <c r="K326" s="4">
        <f>IF(OR(INDEX($P$2:$P$1001,MATCH(ROWS($O$2:O326),$O$2:$O$1001,0),1)&gt;=100000,INDEX($V$1005:$AE$1005,1,MATCH(COLUMNS($V$1006:AE1006),$V$1006:$AE$1006,0))&gt;=100000), " ",IF(INDEX($V$2:$AE$1001,MATCH(ROWS($O$2:O326),$O$2:$O$1001,0),MATCH(COLUMNS($V$1006:AE1006),$V$1006:$AE$1006,0)), HYPERLINK("#",""), HYPERLINK(CONCATENATE("#Metadata!", ADDRESS(INDEX($Q$2:$Q$1001,MATCH(ROWS($O$2:O326),$O$2:$O$1001,0),0), INDEX($V$1004:$AE$1004,1,MATCH(COLUMNS($V$1006:AE1006),$V$1006:$AE$1006,0)))),"Fix")))</f>
        <v>0</v>
      </c>
      <c r="O326">
        <v>0</v>
      </c>
      <c r="P326">
        <v>0</v>
      </c>
      <c r="Q326">
        <v>0</v>
      </c>
      <c r="R326">
        <f>IF(S326,TRUE,AND(V326:AE326))</f>
        <v>0</v>
      </c>
      <c r="S326">
        <f>COUNTBLANK(Metadata!B326:K326)=COLUMNS(Metadata!B326:K326)</f>
        <v>0</v>
      </c>
      <c r="T326">
        <v>0</v>
      </c>
      <c r="V326">
        <f>AND(IF(Metadata!B326="",FALSE,TRUE),COUNTIF(Metadata!B:B, Metadata!B326) = 1,NOT(ISERROR(SUMPRODUCT(SEARCH(MID(Metadata!B326,ROW(INDIRECT("1:"&amp;LEN(Metadata!B326))), 1),"0123456789abcdefghijklmnopqrstuvwxyzABCDEFGHIJKLMNOPQRSTUVWXYZ.")))))</f>
        <v>0</v>
      </c>
      <c r="W326">
        <f>AND(IF(Metadata!C326="",FALSE,TRUE),exact(Metadata!C326,"urban biome"))</f>
        <v>0</v>
      </c>
      <c r="X326">
        <f>AND(IF(Metadata!D326="",FALSE,TRUE),exact(Metadata!D326,"animal-associated habitat"))</f>
        <v>0</v>
      </c>
      <c r="Y326">
        <f>OR(AND(IF(Metadata!E326="",FALSE,TRUE),OR(exact(Metadata!E326,"not applicable"),exact(Metadata!E326,"missing: not collected"),exact(Metadata!E326,"missing: not provided"),exact(Metadata!E326,"missing: restricted access"))),AND(IF(Metadata!E326="",FALSE,ISNUMBER(VALUE(Metadata!E326))),Metadata!E326&gt;0))</f>
        <v>0</v>
      </c>
      <c r="Z326">
        <f>AND(IF(Metadata!F326="",FALSE,TRUE),exact(Metadata!F326,"weeks"))</f>
        <v>0</v>
      </c>
      <c r="AA326">
        <f>AND(IF(Metadata!G326="",FALSE,TRUE),exact(Metadata!G326,"mouse"))</f>
        <v>0</v>
      </c>
      <c r="AB326">
        <f>AND(IF(Metadata!H326="",FALSE,TRUE),exact(Metadata!H326,"Mus musculus"))</f>
        <v>0</v>
      </c>
      <c r="AC326">
        <f>AND(IF(Metadata!I326="",FALSE,TRUE),exact(Metadata!I326,"10090"))</f>
        <v>0</v>
      </c>
      <c r="AD326">
        <f>OR(AND(IF(Metadata!J326="",FALSE,TRUE),OR(exact(Metadata!J326,"not applicable"),exact(Metadata!J326,"missing: not collected"),exact(Metadata!J326,"missing: not provided"),exact(Metadata!J326,"missing: restricted access"))),AND(IF(Metadata!J326="",FALSE,ISNUMBER(VALUE(Metadata!J326))),Metadata!J326&gt;0))</f>
        <v>0</v>
      </c>
      <c r="AE326">
        <f>AND(IF(Metadata!K326="",FALSE,TRUE),exact(Metadata!K326,"g"))</f>
        <v>0</v>
      </c>
    </row>
    <row r="327" spans="1:31">
      <c r="A327" s="5">
        <f>IF(B327=" "," ",HYPERLINK(CONCATENATE("#metadata!",ADDRESS(INDEX($Q$2:$Q$1001,MATCH(ROWS($O$2:O327),$O$2:$O$1001,0),0),1)),INDEX($T$2:$T$1001,MATCH(ROWS($O$2:O327),$O$2:$O$1001,0),0)))</f>
        <v>0</v>
      </c>
      <c r="B327" s="4">
        <f>IF(OR(INDEX($P$2:$P$1001,MATCH(ROWS($O$2:O327),$O$2:$O$1001,0),1)&gt;=100000,INDEX($V$1005:$AE$1005,1,MATCH(COLUMNS($V$1006:V1006),$V$1006:$AE$1006,0))&gt;=100000), " ",IF(INDEX($V$2:$AE$1001,MATCH(ROWS($O$2:O327),$O$2:$O$1001,0),MATCH(COLUMNS($V$1006:V1006),$V$1006:$AE$1006,0)), HYPERLINK("#",""), HYPERLINK(CONCATENATE("#Metadata!", ADDRESS(INDEX($Q$2:$Q$1001,MATCH(ROWS($O$2:O327),$O$2:$O$1001,0),0), INDEX($V$1004:$AE$1004,1,MATCH(COLUMNS($V$1006:V1006),$V$1006:$AE$1006,0)))),"Fix")))</f>
        <v>0</v>
      </c>
      <c r="C327" s="4">
        <f>IF(OR(INDEX($P$2:$P$1001,MATCH(ROWS($O$2:O327),$O$2:$O$1001,0),1)&gt;=100000,INDEX($V$1005:$AE$1005,1,MATCH(COLUMNS($V$1006:W1006),$V$1006:$AE$1006,0))&gt;=100000), " ",IF(INDEX($V$2:$AE$1001,MATCH(ROWS($O$2:O327),$O$2:$O$1001,0),MATCH(COLUMNS($V$1006:W1006),$V$1006:$AE$1006,0)), HYPERLINK("#",""), HYPERLINK(CONCATENATE("#Metadata!", ADDRESS(INDEX($Q$2:$Q$1001,MATCH(ROWS($O$2:O327),$O$2:$O$1001,0),0), INDEX($V$1004:$AE$1004,1,MATCH(COLUMNS($V$1006:W1006),$V$1006:$AE$1006,0)))),"Fix")))</f>
        <v>0</v>
      </c>
      <c r="D327" s="4">
        <f>IF(OR(INDEX($P$2:$P$1001,MATCH(ROWS($O$2:O327),$O$2:$O$1001,0),1)&gt;=100000,INDEX($V$1005:$AE$1005,1,MATCH(COLUMNS($V$1006:X1006),$V$1006:$AE$1006,0))&gt;=100000), " ",IF(INDEX($V$2:$AE$1001,MATCH(ROWS($O$2:O327),$O$2:$O$1001,0),MATCH(COLUMNS($V$1006:X1006),$V$1006:$AE$1006,0)), HYPERLINK("#",""), HYPERLINK(CONCATENATE("#Metadata!", ADDRESS(INDEX($Q$2:$Q$1001,MATCH(ROWS($O$2:O327),$O$2:$O$1001,0),0), INDEX($V$1004:$AE$1004,1,MATCH(COLUMNS($V$1006:X1006),$V$1006:$AE$1006,0)))),"Fix")))</f>
        <v>0</v>
      </c>
      <c r="E327" s="4">
        <f>IF(OR(INDEX($P$2:$P$1001,MATCH(ROWS($O$2:O327),$O$2:$O$1001,0),1)&gt;=100000,INDEX($V$1005:$AE$1005,1,MATCH(COLUMNS($V$1006:Y1006),$V$1006:$AE$1006,0))&gt;=100000), " ",IF(INDEX($V$2:$AE$1001,MATCH(ROWS($O$2:O327),$O$2:$O$1001,0),MATCH(COLUMNS($V$1006:Y1006),$V$1006:$AE$1006,0)), HYPERLINK("#",""), HYPERLINK(CONCATENATE("#Metadata!", ADDRESS(INDEX($Q$2:$Q$1001,MATCH(ROWS($O$2:O327),$O$2:$O$1001,0),0), INDEX($V$1004:$AE$1004,1,MATCH(COLUMNS($V$1006:Y1006),$V$1006:$AE$1006,0)))),"Fix")))</f>
        <v>0</v>
      </c>
      <c r="F327" s="4">
        <f>IF(OR(INDEX($P$2:$P$1001,MATCH(ROWS($O$2:O327),$O$2:$O$1001,0),1)&gt;=100000,INDEX($V$1005:$AE$1005,1,MATCH(COLUMNS($V$1006:Z1006),$V$1006:$AE$1006,0))&gt;=100000), " ",IF(INDEX($V$2:$AE$1001,MATCH(ROWS($O$2:O327),$O$2:$O$1001,0),MATCH(COLUMNS($V$1006:Z1006),$V$1006:$AE$1006,0)), HYPERLINK("#",""), HYPERLINK(CONCATENATE("#Metadata!", ADDRESS(INDEX($Q$2:$Q$1001,MATCH(ROWS($O$2:O327),$O$2:$O$1001,0),0), INDEX($V$1004:$AE$1004,1,MATCH(COLUMNS($V$1006:Z1006),$V$1006:$AE$1006,0)))),"Fix")))</f>
        <v>0</v>
      </c>
      <c r="G327" s="4">
        <f>IF(OR(INDEX($P$2:$P$1001,MATCH(ROWS($O$2:O327),$O$2:$O$1001,0),1)&gt;=100000,INDEX($V$1005:$AE$1005,1,MATCH(COLUMNS($V$1006:AA1006),$V$1006:$AE$1006,0))&gt;=100000), " ",IF(INDEX($V$2:$AE$1001,MATCH(ROWS($O$2:O327),$O$2:$O$1001,0),MATCH(COLUMNS($V$1006:AA1006),$V$1006:$AE$1006,0)), HYPERLINK("#",""), HYPERLINK(CONCATENATE("#Metadata!", ADDRESS(INDEX($Q$2:$Q$1001,MATCH(ROWS($O$2:O327),$O$2:$O$1001,0),0), INDEX($V$1004:$AE$1004,1,MATCH(COLUMNS($V$1006:AA1006),$V$1006:$AE$1006,0)))),"Fix")))</f>
        <v>0</v>
      </c>
      <c r="H327" s="4">
        <f>IF(OR(INDEX($P$2:$P$1001,MATCH(ROWS($O$2:O327),$O$2:$O$1001,0),1)&gt;=100000,INDEX($V$1005:$AE$1005,1,MATCH(COLUMNS($V$1006:AB1006),$V$1006:$AE$1006,0))&gt;=100000), " ",IF(INDEX($V$2:$AE$1001,MATCH(ROWS($O$2:O327),$O$2:$O$1001,0),MATCH(COLUMNS($V$1006:AB1006),$V$1006:$AE$1006,0)), HYPERLINK("#",""), HYPERLINK(CONCATENATE("#Metadata!", ADDRESS(INDEX($Q$2:$Q$1001,MATCH(ROWS($O$2:O327),$O$2:$O$1001,0),0), INDEX($V$1004:$AE$1004,1,MATCH(COLUMNS($V$1006:AB1006),$V$1006:$AE$1006,0)))),"Fix")))</f>
        <v>0</v>
      </c>
      <c r="I327" s="4">
        <f>IF(OR(INDEX($P$2:$P$1001,MATCH(ROWS($O$2:O327),$O$2:$O$1001,0),1)&gt;=100000,INDEX($V$1005:$AE$1005,1,MATCH(COLUMNS($V$1006:AC1006),$V$1006:$AE$1006,0))&gt;=100000), " ",IF(INDEX($V$2:$AE$1001,MATCH(ROWS($O$2:O327),$O$2:$O$1001,0),MATCH(COLUMNS($V$1006:AC1006),$V$1006:$AE$1006,0)), HYPERLINK("#",""), HYPERLINK(CONCATENATE("#Metadata!", ADDRESS(INDEX($Q$2:$Q$1001,MATCH(ROWS($O$2:O327),$O$2:$O$1001,0),0), INDEX($V$1004:$AE$1004,1,MATCH(COLUMNS($V$1006:AC1006),$V$1006:$AE$1006,0)))),"Fix")))</f>
        <v>0</v>
      </c>
      <c r="J327" s="4">
        <f>IF(OR(INDEX($P$2:$P$1001,MATCH(ROWS($O$2:O327),$O$2:$O$1001,0),1)&gt;=100000,INDEX($V$1005:$AE$1005,1,MATCH(COLUMNS($V$1006:AD1006),$V$1006:$AE$1006,0))&gt;=100000), " ",IF(INDEX($V$2:$AE$1001,MATCH(ROWS($O$2:O327),$O$2:$O$1001,0),MATCH(COLUMNS($V$1006:AD1006),$V$1006:$AE$1006,0)), HYPERLINK("#",""), HYPERLINK(CONCATENATE("#Metadata!", ADDRESS(INDEX($Q$2:$Q$1001,MATCH(ROWS($O$2:O327),$O$2:$O$1001,0),0), INDEX($V$1004:$AE$1004,1,MATCH(COLUMNS($V$1006:AD1006),$V$1006:$AE$1006,0)))),"Fix")))</f>
        <v>0</v>
      </c>
      <c r="K327" s="4">
        <f>IF(OR(INDEX($P$2:$P$1001,MATCH(ROWS($O$2:O327),$O$2:$O$1001,0),1)&gt;=100000,INDEX($V$1005:$AE$1005,1,MATCH(COLUMNS($V$1006:AE1006),$V$1006:$AE$1006,0))&gt;=100000), " ",IF(INDEX($V$2:$AE$1001,MATCH(ROWS($O$2:O327),$O$2:$O$1001,0),MATCH(COLUMNS($V$1006:AE1006),$V$1006:$AE$1006,0)), HYPERLINK("#",""), HYPERLINK(CONCATENATE("#Metadata!", ADDRESS(INDEX($Q$2:$Q$1001,MATCH(ROWS($O$2:O327),$O$2:$O$1001,0),0), INDEX($V$1004:$AE$1004,1,MATCH(COLUMNS($V$1006:AE1006),$V$1006:$AE$1006,0)))),"Fix")))</f>
        <v>0</v>
      </c>
      <c r="O327">
        <v>0</v>
      </c>
      <c r="P327">
        <v>0</v>
      </c>
      <c r="Q327">
        <v>0</v>
      </c>
      <c r="R327">
        <f>IF(S327,TRUE,AND(V327:AE327))</f>
        <v>0</v>
      </c>
      <c r="S327">
        <f>COUNTBLANK(Metadata!B327:K327)=COLUMNS(Metadata!B327:K327)</f>
        <v>0</v>
      </c>
      <c r="T327">
        <v>0</v>
      </c>
      <c r="V327">
        <f>AND(IF(Metadata!B327="",FALSE,TRUE),COUNTIF(Metadata!B:B, Metadata!B327) = 1,NOT(ISERROR(SUMPRODUCT(SEARCH(MID(Metadata!B327,ROW(INDIRECT("1:"&amp;LEN(Metadata!B327))), 1),"0123456789abcdefghijklmnopqrstuvwxyzABCDEFGHIJKLMNOPQRSTUVWXYZ.")))))</f>
        <v>0</v>
      </c>
      <c r="W327">
        <f>AND(IF(Metadata!C327="",FALSE,TRUE),exact(Metadata!C327,"urban biome"))</f>
        <v>0</v>
      </c>
      <c r="X327">
        <f>AND(IF(Metadata!D327="",FALSE,TRUE),exact(Metadata!D327,"animal-associated habitat"))</f>
        <v>0</v>
      </c>
      <c r="Y327">
        <f>OR(AND(IF(Metadata!E327="",FALSE,TRUE),OR(exact(Metadata!E327,"not applicable"),exact(Metadata!E327,"missing: not collected"),exact(Metadata!E327,"missing: not provided"),exact(Metadata!E327,"missing: restricted access"))),AND(IF(Metadata!E327="",FALSE,ISNUMBER(VALUE(Metadata!E327))),Metadata!E327&gt;0))</f>
        <v>0</v>
      </c>
      <c r="Z327">
        <f>AND(IF(Metadata!F327="",FALSE,TRUE),exact(Metadata!F327,"weeks"))</f>
        <v>0</v>
      </c>
      <c r="AA327">
        <f>AND(IF(Metadata!G327="",FALSE,TRUE),exact(Metadata!G327,"mouse"))</f>
        <v>0</v>
      </c>
      <c r="AB327">
        <f>AND(IF(Metadata!H327="",FALSE,TRUE),exact(Metadata!H327,"Mus musculus"))</f>
        <v>0</v>
      </c>
      <c r="AC327">
        <f>AND(IF(Metadata!I327="",FALSE,TRUE),exact(Metadata!I327,"10090"))</f>
        <v>0</v>
      </c>
      <c r="AD327">
        <f>OR(AND(IF(Metadata!J327="",FALSE,TRUE),OR(exact(Metadata!J327,"not applicable"),exact(Metadata!J327,"missing: not collected"),exact(Metadata!J327,"missing: not provided"),exact(Metadata!J327,"missing: restricted access"))),AND(IF(Metadata!J327="",FALSE,ISNUMBER(VALUE(Metadata!J327))),Metadata!J327&gt;0))</f>
        <v>0</v>
      </c>
      <c r="AE327">
        <f>AND(IF(Metadata!K327="",FALSE,TRUE),exact(Metadata!K327,"g"))</f>
        <v>0</v>
      </c>
    </row>
    <row r="328" spans="1:31">
      <c r="A328" s="5">
        <f>IF(B328=" "," ",HYPERLINK(CONCATENATE("#metadata!",ADDRESS(INDEX($Q$2:$Q$1001,MATCH(ROWS($O$2:O328),$O$2:$O$1001,0),0),1)),INDEX($T$2:$T$1001,MATCH(ROWS($O$2:O328),$O$2:$O$1001,0),0)))</f>
        <v>0</v>
      </c>
      <c r="B328" s="4">
        <f>IF(OR(INDEX($P$2:$P$1001,MATCH(ROWS($O$2:O328),$O$2:$O$1001,0),1)&gt;=100000,INDEX($V$1005:$AE$1005,1,MATCH(COLUMNS($V$1006:V1006),$V$1006:$AE$1006,0))&gt;=100000), " ",IF(INDEX($V$2:$AE$1001,MATCH(ROWS($O$2:O328),$O$2:$O$1001,0),MATCH(COLUMNS($V$1006:V1006),$V$1006:$AE$1006,0)), HYPERLINK("#",""), HYPERLINK(CONCATENATE("#Metadata!", ADDRESS(INDEX($Q$2:$Q$1001,MATCH(ROWS($O$2:O328),$O$2:$O$1001,0),0), INDEX($V$1004:$AE$1004,1,MATCH(COLUMNS($V$1006:V1006),$V$1006:$AE$1006,0)))),"Fix")))</f>
        <v>0</v>
      </c>
      <c r="C328" s="4">
        <f>IF(OR(INDEX($P$2:$P$1001,MATCH(ROWS($O$2:O328),$O$2:$O$1001,0),1)&gt;=100000,INDEX($V$1005:$AE$1005,1,MATCH(COLUMNS($V$1006:W1006),$V$1006:$AE$1006,0))&gt;=100000), " ",IF(INDEX($V$2:$AE$1001,MATCH(ROWS($O$2:O328),$O$2:$O$1001,0),MATCH(COLUMNS($V$1006:W1006),$V$1006:$AE$1006,0)), HYPERLINK("#",""), HYPERLINK(CONCATENATE("#Metadata!", ADDRESS(INDEX($Q$2:$Q$1001,MATCH(ROWS($O$2:O328),$O$2:$O$1001,0),0), INDEX($V$1004:$AE$1004,1,MATCH(COLUMNS($V$1006:W1006),$V$1006:$AE$1006,0)))),"Fix")))</f>
        <v>0</v>
      </c>
      <c r="D328" s="4">
        <f>IF(OR(INDEX($P$2:$P$1001,MATCH(ROWS($O$2:O328),$O$2:$O$1001,0),1)&gt;=100000,INDEX($V$1005:$AE$1005,1,MATCH(COLUMNS($V$1006:X1006),$V$1006:$AE$1006,0))&gt;=100000), " ",IF(INDEX($V$2:$AE$1001,MATCH(ROWS($O$2:O328),$O$2:$O$1001,0),MATCH(COLUMNS($V$1006:X1006),$V$1006:$AE$1006,0)), HYPERLINK("#",""), HYPERLINK(CONCATENATE("#Metadata!", ADDRESS(INDEX($Q$2:$Q$1001,MATCH(ROWS($O$2:O328),$O$2:$O$1001,0),0), INDEX($V$1004:$AE$1004,1,MATCH(COLUMNS($V$1006:X1006),$V$1006:$AE$1006,0)))),"Fix")))</f>
        <v>0</v>
      </c>
      <c r="E328" s="4">
        <f>IF(OR(INDEX($P$2:$P$1001,MATCH(ROWS($O$2:O328),$O$2:$O$1001,0),1)&gt;=100000,INDEX($V$1005:$AE$1005,1,MATCH(COLUMNS($V$1006:Y1006),$V$1006:$AE$1006,0))&gt;=100000), " ",IF(INDEX($V$2:$AE$1001,MATCH(ROWS($O$2:O328),$O$2:$O$1001,0),MATCH(COLUMNS($V$1006:Y1006),$V$1006:$AE$1006,0)), HYPERLINK("#",""), HYPERLINK(CONCATENATE("#Metadata!", ADDRESS(INDEX($Q$2:$Q$1001,MATCH(ROWS($O$2:O328),$O$2:$O$1001,0),0), INDEX($V$1004:$AE$1004,1,MATCH(COLUMNS($V$1006:Y1006),$V$1006:$AE$1006,0)))),"Fix")))</f>
        <v>0</v>
      </c>
      <c r="F328" s="4">
        <f>IF(OR(INDEX($P$2:$P$1001,MATCH(ROWS($O$2:O328),$O$2:$O$1001,0),1)&gt;=100000,INDEX($V$1005:$AE$1005,1,MATCH(COLUMNS($V$1006:Z1006),$V$1006:$AE$1006,0))&gt;=100000), " ",IF(INDEX($V$2:$AE$1001,MATCH(ROWS($O$2:O328),$O$2:$O$1001,0),MATCH(COLUMNS($V$1006:Z1006),$V$1006:$AE$1006,0)), HYPERLINK("#",""), HYPERLINK(CONCATENATE("#Metadata!", ADDRESS(INDEX($Q$2:$Q$1001,MATCH(ROWS($O$2:O328),$O$2:$O$1001,0),0), INDEX($V$1004:$AE$1004,1,MATCH(COLUMNS($V$1006:Z1006),$V$1006:$AE$1006,0)))),"Fix")))</f>
        <v>0</v>
      </c>
      <c r="G328" s="4">
        <f>IF(OR(INDEX($P$2:$P$1001,MATCH(ROWS($O$2:O328),$O$2:$O$1001,0),1)&gt;=100000,INDEX($V$1005:$AE$1005,1,MATCH(COLUMNS($V$1006:AA1006),$V$1006:$AE$1006,0))&gt;=100000), " ",IF(INDEX($V$2:$AE$1001,MATCH(ROWS($O$2:O328),$O$2:$O$1001,0),MATCH(COLUMNS($V$1006:AA1006),$V$1006:$AE$1006,0)), HYPERLINK("#",""), HYPERLINK(CONCATENATE("#Metadata!", ADDRESS(INDEX($Q$2:$Q$1001,MATCH(ROWS($O$2:O328),$O$2:$O$1001,0),0), INDEX($V$1004:$AE$1004,1,MATCH(COLUMNS($V$1006:AA1006),$V$1006:$AE$1006,0)))),"Fix")))</f>
        <v>0</v>
      </c>
      <c r="H328" s="4">
        <f>IF(OR(INDEX($P$2:$P$1001,MATCH(ROWS($O$2:O328),$O$2:$O$1001,0),1)&gt;=100000,INDEX($V$1005:$AE$1005,1,MATCH(COLUMNS($V$1006:AB1006),$V$1006:$AE$1006,0))&gt;=100000), " ",IF(INDEX($V$2:$AE$1001,MATCH(ROWS($O$2:O328),$O$2:$O$1001,0),MATCH(COLUMNS($V$1006:AB1006),$V$1006:$AE$1006,0)), HYPERLINK("#",""), HYPERLINK(CONCATENATE("#Metadata!", ADDRESS(INDEX($Q$2:$Q$1001,MATCH(ROWS($O$2:O328),$O$2:$O$1001,0),0), INDEX($V$1004:$AE$1004,1,MATCH(COLUMNS($V$1006:AB1006),$V$1006:$AE$1006,0)))),"Fix")))</f>
        <v>0</v>
      </c>
      <c r="I328" s="4">
        <f>IF(OR(INDEX($P$2:$P$1001,MATCH(ROWS($O$2:O328),$O$2:$O$1001,0),1)&gt;=100000,INDEX($V$1005:$AE$1005,1,MATCH(COLUMNS($V$1006:AC1006),$V$1006:$AE$1006,0))&gt;=100000), " ",IF(INDEX($V$2:$AE$1001,MATCH(ROWS($O$2:O328),$O$2:$O$1001,0),MATCH(COLUMNS($V$1006:AC1006),$V$1006:$AE$1006,0)), HYPERLINK("#",""), HYPERLINK(CONCATENATE("#Metadata!", ADDRESS(INDEX($Q$2:$Q$1001,MATCH(ROWS($O$2:O328),$O$2:$O$1001,0),0), INDEX($V$1004:$AE$1004,1,MATCH(COLUMNS($V$1006:AC1006),$V$1006:$AE$1006,0)))),"Fix")))</f>
        <v>0</v>
      </c>
      <c r="J328" s="4">
        <f>IF(OR(INDEX($P$2:$P$1001,MATCH(ROWS($O$2:O328),$O$2:$O$1001,0),1)&gt;=100000,INDEX($V$1005:$AE$1005,1,MATCH(COLUMNS($V$1006:AD1006),$V$1006:$AE$1006,0))&gt;=100000), " ",IF(INDEX($V$2:$AE$1001,MATCH(ROWS($O$2:O328),$O$2:$O$1001,0),MATCH(COLUMNS($V$1006:AD1006),$V$1006:$AE$1006,0)), HYPERLINK("#",""), HYPERLINK(CONCATENATE("#Metadata!", ADDRESS(INDEX($Q$2:$Q$1001,MATCH(ROWS($O$2:O328),$O$2:$O$1001,0),0), INDEX($V$1004:$AE$1004,1,MATCH(COLUMNS($V$1006:AD1006),$V$1006:$AE$1006,0)))),"Fix")))</f>
        <v>0</v>
      </c>
      <c r="K328" s="4">
        <f>IF(OR(INDEX($P$2:$P$1001,MATCH(ROWS($O$2:O328),$O$2:$O$1001,0),1)&gt;=100000,INDEX($V$1005:$AE$1005,1,MATCH(COLUMNS($V$1006:AE1006),$V$1006:$AE$1006,0))&gt;=100000), " ",IF(INDEX($V$2:$AE$1001,MATCH(ROWS($O$2:O328),$O$2:$O$1001,0),MATCH(COLUMNS($V$1006:AE1006),$V$1006:$AE$1006,0)), HYPERLINK("#",""), HYPERLINK(CONCATENATE("#Metadata!", ADDRESS(INDEX($Q$2:$Q$1001,MATCH(ROWS($O$2:O328),$O$2:$O$1001,0),0), INDEX($V$1004:$AE$1004,1,MATCH(COLUMNS($V$1006:AE1006),$V$1006:$AE$1006,0)))),"Fix")))</f>
        <v>0</v>
      </c>
      <c r="O328">
        <v>0</v>
      </c>
      <c r="P328">
        <v>0</v>
      </c>
      <c r="Q328">
        <v>0</v>
      </c>
      <c r="R328">
        <f>IF(S328,TRUE,AND(V328:AE328))</f>
        <v>0</v>
      </c>
      <c r="S328">
        <f>COUNTBLANK(Metadata!B328:K328)=COLUMNS(Metadata!B328:K328)</f>
        <v>0</v>
      </c>
      <c r="T328">
        <v>0</v>
      </c>
      <c r="V328">
        <f>AND(IF(Metadata!B328="",FALSE,TRUE),COUNTIF(Metadata!B:B, Metadata!B328) = 1,NOT(ISERROR(SUMPRODUCT(SEARCH(MID(Metadata!B328,ROW(INDIRECT("1:"&amp;LEN(Metadata!B328))), 1),"0123456789abcdefghijklmnopqrstuvwxyzABCDEFGHIJKLMNOPQRSTUVWXYZ.")))))</f>
        <v>0</v>
      </c>
      <c r="W328">
        <f>AND(IF(Metadata!C328="",FALSE,TRUE),exact(Metadata!C328,"urban biome"))</f>
        <v>0</v>
      </c>
      <c r="X328">
        <f>AND(IF(Metadata!D328="",FALSE,TRUE),exact(Metadata!D328,"animal-associated habitat"))</f>
        <v>0</v>
      </c>
      <c r="Y328">
        <f>OR(AND(IF(Metadata!E328="",FALSE,TRUE),OR(exact(Metadata!E328,"not applicable"),exact(Metadata!E328,"missing: not collected"),exact(Metadata!E328,"missing: not provided"),exact(Metadata!E328,"missing: restricted access"))),AND(IF(Metadata!E328="",FALSE,ISNUMBER(VALUE(Metadata!E328))),Metadata!E328&gt;0))</f>
        <v>0</v>
      </c>
      <c r="Z328">
        <f>AND(IF(Metadata!F328="",FALSE,TRUE),exact(Metadata!F328,"weeks"))</f>
        <v>0</v>
      </c>
      <c r="AA328">
        <f>AND(IF(Metadata!G328="",FALSE,TRUE),exact(Metadata!G328,"mouse"))</f>
        <v>0</v>
      </c>
      <c r="AB328">
        <f>AND(IF(Metadata!H328="",FALSE,TRUE),exact(Metadata!H328,"Mus musculus"))</f>
        <v>0</v>
      </c>
      <c r="AC328">
        <f>AND(IF(Metadata!I328="",FALSE,TRUE),exact(Metadata!I328,"10090"))</f>
        <v>0</v>
      </c>
      <c r="AD328">
        <f>OR(AND(IF(Metadata!J328="",FALSE,TRUE),OR(exact(Metadata!J328,"not applicable"),exact(Metadata!J328,"missing: not collected"),exact(Metadata!J328,"missing: not provided"),exact(Metadata!J328,"missing: restricted access"))),AND(IF(Metadata!J328="",FALSE,ISNUMBER(VALUE(Metadata!J328))),Metadata!J328&gt;0))</f>
        <v>0</v>
      </c>
      <c r="AE328">
        <f>AND(IF(Metadata!K328="",FALSE,TRUE),exact(Metadata!K328,"g"))</f>
        <v>0</v>
      </c>
    </row>
    <row r="329" spans="1:31">
      <c r="A329" s="5">
        <f>IF(B329=" "," ",HYPERLINK(CONCATENATE("#metadata!",ADDRESS(INDEX($Q$2:$Q$1001,MATCH(ROWS($O$2:O329),$O$2:$O$1001,0),0),1)),INDEX($T$2:$T$1001,MATCH(ROWS($O$2:O329),$O$2:$O$1001,0),0)))</f>
        <v>0</v>
      </c>
      <c r="B329" s="4">
        <f>IF(OR(INDEX($P$2:$P$1001,MATCH(ROWS($O$2:O329),$O$2:$O$1001,0),1)&gt;=100000,INDEX($V$1005:$AE$1005,1,MATCH(COLUMNS($V$1006:V1006),$V$1006:$AE$1006,0))&gt;=100000), " ",IF(INDEX($V$2:$AE$1001,MATCH(ROWS($O$2:O329),$O$2:$O$1001,0),MATCH(COLUMNS($V$1006:V1006),$V$1006:$AE$1006,0)), HYPERLINK("#",""), HYPERLINK(CONCATENATE("#Metadata!", ADDRESS(INDEX($Q$2:$Q$1001,MATCH(ROWS($O$2:O329),$O$2:$O$1001,0),0), INDEX($V$1004:$AE$1004,1,MATCH(COLUMNS($V$1006:V1006),$V$1006:$AE$1006,0)))),"Fix")))</f>
        <v>0</v>
      </c>
      <c r="C329" s="4">
        <f>IF(OR(INDEX($P$2:$P$1001,MATCH(ROWS($O$2:O329),$O$2:$O$1001,0),1)&gt;=100000,INDEX($V$1005:$AE$1005,1,MATCH(COLUMNS($V$1006:W1006),$V$1006:$AE$1006,0))&gt;=100000), " ",IF(INDEX($V$2:$AE$1001,MATCH(ROWS($O$2:O329),$O$2:$O$1001,0),MATCH(COLUMNS($V$1006:W1006),$V$1006:$AE$1006,0)), HYPERLINK("#",""), HYPERLINK(CONCATENATE("#Metadata!", ADDRESS(INDEX($Q$2:$Q$1001,MATCH(ROWS($O$2:O329),$O$2:$O$1001,0),0), INDEX($V$1004:$AE$1004,1,MATCH(COLUMNS($V$1006:W1006),$V$1006:$AE$1006,0)))),"Fix")))</f>
        <v>0</v>
      </c>
      <c r="D329" s="4">
        <f>IF(OR(INDEX($P$2:$P$1001,MATCH(ROWS($O$2:O329),$O$2:$O$1001,0),1)&gt;=100000,INDEX($V$1005:$AE$1005,1,MATCH(COLUMNS($V$1006:X1006),$V$1006:$AE$1006,0))&gt;=100000), " ",IF(INDEX($V$2:$AE$1001,MATCH(ROWS($O$2:O329),$O$2:$O$1001,0),MATCH(COLUMNS($V$1006:X1006),$V$1006:$AE$1006,0)), HYPERLINK("#",""), HYPERLINK(CONCATENATE("#Metadata!", ADDRESS(INDEX($Q$2:$Q$1001,MATCH(ROWS($O$2:O329),$O$2:$O$1001,0),0), INDEX($V$1004:$AE$1004,1,MATCH(COLUMNS($V$1006:X1006),$V$1006:$AE$1006,0)))),"Fix")))</f>
        <v>0</v>
      </c>
      <c r="E329" s="4">
        <f>IF(OR(INDEX($P$2:$P$1001,MATCH(ROWS($O$2:O329),$O$2:$O$1001,0),1)&gt;=100000,INDEX($V$1005:$AE$1005,1,MATCH(COLUMNS($V$1006:Y1006),$V$1006:$AE$1006,0))&gt;=100000), " ",IF(INDEX($V$2:$AE$1001,MATCH(ROWS($O$2:O329),$O$2:$O$1001,0),MATCH(COLUMNS($V$1006:Y1006),$V$1006:$AE$1006,0)), HYPERLINK("#",""), HYPERLINK(CONCATENATE("#Metadata!", ADDRESS(INDEX($Q$2:$Q$1001,MATCH(ROWS($O$2:O329),$O$2:$O$1001,0),0), INDEX($V$1004:$AE$1004,1,MATCH(COLUMNS($V$1006:Y1006),$V$1006:$AE$1006,0)))),"Fix")))</f>
        <v>0</v>
      </c>
      <c r="F329" s="4">
        <f>IF(OR(INDEX($P$2:$P$1001,MATCH(ROWS($O$2:O329),$O$2:$O$1001,0),1)&gt;=100000,INDEX($V$1005:$AE$1005,1,MATCH(COLUMNS($V$1006:Z1006),$V$1006:$AE$1006,0))&gt;=100000), " ",IF(INDEX($V$2:$AE$1001,MATCH(ROWS($O$2:O329),$O$2:$O$1001,0),MATCH(COLUMNS($V$1006:Z1006),$V$1006:$AE$1006,0)), HYPERLINK("#",""), HYPERLINK(CONCATENATE("#Metadata!", ADDRESS(INDEX($Q$2:$Q$1001,MATCH(ROWS($O$2:O329),$O$2:$O$1001,0),0), INDEX($V$1004:$AE$1004,1,MATCH(COLUMNS($V$1006:Z1006),$V$1006:$AE$1006,0)))),"Fix")))</f>
        <v>0</v>
      </c>
      <c r="G329" s="4">
        <f>IF(OR(INDEX($P$2:$P$1001,MATCH(ROWS($O$2:O329),$O$2:$O$1001,0),1)&gt;=100000,INDEX($V$1005:$AE$1005,1,MATCH(COLUMNS($V$1006:AA1006),$V$1006:$AE$1006,0))&gt;=100000), " ",IF(INDEX($V$2:$AE$1001,MATCH(ROWS($O$2:O329),$O$2:$O$1001,0),MATCH(COLUMNS($V$1006:AA1006),$V$1006:$AE$1006,0)), HYPERLINK("#",""), HYPERLINK(CONCATENATE("#Metadata!", ADDRESS(INDEX($Q$2:$Q$1001,MATCH(ROWS($O$2:O329),$O$2:$O$1001,0),0), INDEX($V$1004:$AE$1004,1,MATCH(COLUMNS($V$1006:AA1006),$V$1006:$AE$1006,0)))),"Fix")))</f>
        <v>0</v>
      </c>
      <c r="H329" s="4">
        <f>IF(OR(INDEX($P$2:$P$1001,MATCH(ROWS($O$2:O329),$O$2:$O$1001,0),1)&gt;=100000,INDEX($V$1005:$AE$1005,1,MATCH(COLUMNS($V$1006:AB1006),$V$1006:$AE$1006,0))&gt;=100000), " ",IF(INDEX($V$2:$AE$1001,MATCH(ROWS($O$2:O329),$O$2:$O$1001,0),MATCH(COLUMNS($V$1006:AB1006),$V$1006:$AE$1006,0)), HYPERLINK("#",""), HYPERLINK(CONCATENATE("#Metadata!", ADDRESS(INDEX($Q$2:$Q$1001,MATCH(ROWS($O$2:O329),$O$2:$O$1001,0),0), INDEX($V$1004:$AE$1004,1,MATCH(COLUMNS($V$1006:AB1006),$V$1006:$AE$1006,0)))),"Fix")))</f>
        <v>0</v>
      </c>
      <c r="I329" s="4">
        <f>IF(OR(INDEX($P$2:$P$1001,MATCH(ROWS($O$2:O329),$O$2:$O$1001,0),1)&gt;=100000,INDEX($V$1005:$AE$1005,1,MATCH(COLUMNS($V$1006:AC1006),$V$1006:$AE$1006,0))&gt;=100000), " ",IF(INDEX($V$2:$AE$1001,MATCH(ROWS($O$2:O329),$O$2:$O$1001,0),MATCH(COLUMNS($V$1006:AC1006),$V$1006:$AE$1006,0)), HYPERLINK("#",""), HYPERLINK(CONCATENATE("#Metadata!", ADDRESS(INDEX($Q$2:$Q$1001,MATCH(ROWS($O$2:O329),$O$2:$O$1001,0),0), INDEX($V$1004:$AE$1004,1,MATCH(COLUMNS($V$1006:AC1006),$V$1006:$AE$1006,0)))),"Fix")))</f>
        <v>0</v>
      </c>
      <c r="J329" s="4">
        <f>IF(OR(INDEX($P$2:$P$1001,MATCH(ROWS($O$2:O329),$O$2:$O$1001,0),1)&gt;=100000,INDEX($V$1005:$AE$1005,1,MATCH(COLUMNS($V$1006:AD1006),$V$1006:$AE$1006,0))&gt;=100000), " ",IF(INDEX($V$2:$AE$1001,MATCH(ROWS($O$2:O329),$O$2:$O$1001,0),MATCH(COLUMNS($V$1006:AD1006),$V$1006:$AE$1006,0)), HYPERLINK("#",""), HYPERLINK(CONCATENATE("#Metadata!", ADDRESS(INDEX($Q$2:$Q$1001,MATCH(ROWS($O$2:O329),$O$2:$O$1001,0),0), INDEX($V$1004:$AE$1004,1,MATCH(COLUMNS($V$1006:AD1006),$V$1006:$AE$1006,0)))),"Fix")))</f>
        <v>0</v>
      </c>
      <c r="K329" s="4">
        <f>IF(OR(INDEX($P$2:$P$1001,MATCH(ROWS($O$2:O329),$O$2:$O$1001,0),1)&gt;=100000,INDEX($V$1005:$AE$1005,1,MATCH(COLUMNS($V$1006:AE1006),$V$1006:$AE$1006,0))&gt;=100000), " ",IF(INDEX($V$2:$AE$1001,MATCH(ROWS($O$2:O329),$O$2:$O$1001,0),MATCH(COLUMNS($V$1006:AE1006),$V$1006:$AE$1006,0)), HYPERLINK("#",""), HYPERLINK(CONCATENATE("#Metadata!", ADDRESS(INDEX($Q$2:$Q$1001,MATCH(ROWS($O$2:O329),$O$2:$O$1001,0),0), INDEX($V$1004:$AE$1004,1,MATCH(COLUMNS($V$1006:AE1006),$V$1006:$AE$1006,0)))),"Fix")))</f>
        <v>0</v>
      </c>
      <c r="O329">
        <v>0</v>
      </c>
      <c r="P329">
        <v>0</v>
      </c>
      <c r="Q329">
        <v>0</v>
      </c>
      <c r="R329">
        <f>IF(S329,TRUE,AND(V329:AE329))</f>
        <v>0</v>
      </c>
      <c r="S329">
        <f>COUNTBLANK(Metadata!B329:K329)=COLUMNS(Metadata!B329:K329)</f>
        <v>0</v>
      </c>
      <c r="T329">
        <v>0</v>
      </c>
      <c r="V329">
        <f>AND(IF(Metadata!B329="",FALSE,TRUE),COUNTIF(Metadata!B:B, Metadata!B329) = 1,NOT(ISERROR(SUMPRODUCT(SEARCH(MID(Metadata!B329,ROW(INDIRECT("1:"&amp;LEN(Metadata!B329))), 1),"0123456789abcdefghijklmnopqrstuvwxyzABCDEFGHIJKLMNOPQRSTUVWXYZ.")))))</f>
        <v>0</v>
      </c>
      <c r="W329">
        <f>AND(IF(Metadata!C329="",FALSE,TRUE),exact(Metadata!C329,"urban biome"))</f>
        <v>0</v>
      </c>
      <c r="X329">
        <f>AND(IF(Metadata!D329="",FALSE,TRUE),exact(Metadata!D329,"animal-associated habitat"))</f>
        <v>0</v>
      </c>
      <c r="Y329">
        <f>OR(AND(IF(Metadata!E329="",FALSE,TRUE),OR(exact(Metadata!E329,"not applicable"),exact(Metadata!E329,"missing: not collected"),exact(Metadata!E329,"missing: not provided"),exact(Metadata!E329,"missing: restricted access"))),AND(IF(Metadata!E329="",FALSE,ISNUMBER(VALUE(Metadata!E329))),Metadata!E329&gt;0))</f>
        <v>0</v>
      </c>
      <c r="Z329">
        <f>AND(IF(Metadata!F329="",FALSE,TRUE),exact(Metadata!F329,"weeks"))</f>
        <v>0</v>
      </c>
      <c r="AA329">
        <f>AND(IF(Metadata!G329="",FALSE,TRUE),exact(Metadata!G329,"mouse"))</f>
        <v>0</v>
      </c>
      <c r="AB329">
        <f>AND(IF(Metadata!H329="",FALSE,TRUE),exact(Metadata!H329,"Mus musculus"))</f>
        <v>0</v>
      </c>
      <c r="AC329">
        <f>AND(IF(Metadata!I329="",FALSE,TRUE),exact(Metadata!I329,"10090"))</f>
        <v>0</v>
      </c>
      <c r="AD329">
        <f>OR(AND(IF(Metadata!J329="",FALSE,TRUE),OR(exact(Metadata!J329,"not applicable"),exact(Metadata!J329,"missing: not collected"),exact(Metadata!J329,"missing: not provided"),exact(Metadata!J329,"missing: restricted access"))),AND(IF(Metadata!J329="",FALSE,ISNUMBER(VALUE(Metadata!J329))),Metadata!J329&gt;0))</f>
        <v>0</v>
      </c>
      <c r="AE329">
        <f>AND(IF(Metadata!K329="",FALSE,TRUE),exact(Metadata!K329,"g"))</f>
        <v>0</v>
      </c>
    </row>
    <row r="330" spans="1:31">
      <c r="A330" s="5">
        <f>IF(B330=" "," ",HYPERLINK(CONCATENATE("#metadata!",ADDRESS(INDEX($Q$2:$Q$1001,MATCH(ROWS($O$2:O330),$O$2:$O$1001,0),0),1)),INDEX($T$2:$T$1001,MATCH(ROWS($O$2:O330),$O$2:$O$1001,0),0)))</f>
        <v>0</v>
      </c>
      <c r="B330" s="4">
        <f>IF(OR(INDEX($P$2:$P$1001,MATCH(ROWS($O$2:O330),$O$2:$O$1001,0),1)&gt;=100000,INDEX($V$1005:$AE$1005,1,MATCH(COLUMNS($V$1006:V1006),$V$1006:$AE$1006,0))&gt;=100000), " ",IF(INDEX($V$2:$AE$1001,MATCH(ROWS($O$2:O330),$O$2:$O$1001,0),MATCH(COLUMNS($V$1006:V1006),$V$1006:$AE$1006,0)), HYPERLINK("#",""), HYPERLINK(CONCATENATE("#Metadata!", ADDRESS(INDEX($Q$2:$Q$1001,MATCH(ROWS($O$2:O330),$O$2:$O$1001,0),0), INDEX($V$1004:$AE$1004,1,MATCH(COLUMNS($V$1006:V1006),$V$1006:$AE$1006,0)))),"Fix")))</f>
        <v>0</v>
      </c>
      <c r="C330" s="4">
        <f>IF(OR(INDEX($P$2:$P$1001,MATCH(ROWS($O$2:O330),$O$2:$O$1001,0),1)&gt;=100000,INDEX($V$1005:$AE$1005,1,MATCH(COLUMNS($V$1006:W1006),$V$1006:$AE$1006,0))&gt;=100000), " ",IF(INDEX($V$2:$AE$1001,MATCH(ROWS($O$2:O330),$O$2:$O$1001,0),MATCH(COLUMNS($V$1006:W1006),$V$1006:$AE$1006,0)), HYPERLINK("#",""), HYPERLINK(CONCATENATE("#Metadata!", ADDRESS(INDEX($Q$2:$Q$1001,MATCH(ROWS($O$2:O330),$O$2:$O$1001,0),0), INDEX($V$1004:$AE$1004,1,MATCH(COLUMNS($V$1006:W1006),$V$1006:$AE$1006,0)))),"Fix")))</f>
        <v>0</v>
      </c>
      <c r="D330" s="4">
        <f>IF(OR(INDEX($P$2:$P$1001,MATCH(ROWS($O$2:O330),$O$2:$O$1001,0),1)&gt;=100000,INDEX($V$1005:$AE$1005,1,MATCH(COLUMNS($V$1006:X1006),$V$1006:$AE$1006,0))&gt;=100000), " ",IF(INDEX($V$2:$AE$1001,MATCH(ROWS($O$2:O330),$O$2:$O$1001,0),MATCH(COLUMNS($V$1006:X1006),$V$1006:$AE$1006,0)), HYPERLINK("#",""), HYPERLINK(CONCATENATE("#Metadata!", ADDRESS(INDEX($Q$2:$Q$1001,MATCH(ROWS($O$2:O330),$O$2:$O$1001,0),0), INDEX($V$1004:$AE$1004,1,MATCH(COLUMNS($V$1006:X1006),$V$1006:$AE$1006,0)))),"Fix")))</f>
        <v>0</v>
      </c>
      <c r="E330" s="4">
        <f>IF(OR(INDEX($P$2:$P$1001,MATCH(ROWS($O$2:O330),$O$2:$O$1001,0),1)&gt;=100000,INDEX($V$1005:$AE$1005,1,MATCH(COLUMNS($V$1006:Y1006),$V$1006:$AE$1006,0))&gt;=100000), " ",IF(INDEX($V$2:$AE$1001,MATCH(ROWS($O$2:O330),$O$2:$O$1001,0),MATCH(COLUMNS($V$1006:Y1006),$V$1006:$AE$1006,0)), HYPERLINK("#",""), HYPERLINK(CONCATENATE("#Metadata!", ADDRESS(INDEX($Q$2:$Q$1001,MATCH(ROWS($O$2:O330),$O$2:$O$1001,0),0), INDEX($V$1004:$AE$1004,1,MATCH(COLUMNS($V$1006:Y1006),$V$1006:$AE$1006,0)))),"Fix")))</f>
        <v>0</v>
      </c>
      <c r="F330" s="4">
        <f>IF(OR(INDEX($P$2:$P$1001,MATCH(ROWS($O$2:O330),$O$2:$O$1001,0),1)&gt;=100000,INDEX($V$1005:$AE$1005,1,MATCH(COLUMNS($V$1006:Z1006),$V$1006:$AE$1006,0))&gt;=100000), " ",IF(INDEX($V$2:$AE$1001,MATCH(ROWS($O$2:O330),$O$2:$O$1001,0),MATCH(COLUMNS($V$1006:Z1006),$V$1006:$AE$1006,0)), HYPERLINK("#",""), HYPERLINK(CONCATENATE("#Metadata!", ADDRESS(INDEX($Q$2:$Q$1001,MATCH(ROWS($O$2:O330),$O$2:$O$1001,0),0), INDEX($V$1004:$AE$1004,1,MATCH(COLUMNS($V$1006:Z1006),$V$1006:$AE$1006,0)))),"Fix")))</f>
        <v>0</v>
      </c>
      <c r="G330" s="4">
        <f>IF(OR(INDEX($P$2:$P$1001,MATCH(ROWS($O$2:O330),$O$2:$O$1001,0),1)&gt;=100000,INDEX($V$1005:$AE$1005,1,MATCH(COLUMNS($V$1006:AA1006),$V$1006:$AE$1006,0))&gt;=100000), " ",IF(INDEX($V$2:$AE$1001,MATCH(ROWS($O$2:O330),$O$2:$O$1001,0),MATCH(COLUMNS($V$1006:AA1006),$V$1006:$AE$1006,0)), HYPERLINK("#",""), HYPERLINK(CONCATENATE("#Metadata!", ADDRESS(INDEX($Q$2:$Q$1001,MATCH(ROWS($O$2:O330),$O$2:$O$1001,0),0), INDEX($V$1004:$AE$1004,1,MATCH(COLUMNS($V$1006:AA1006),$V$1006:$AE$1006,0)))),"Fix")))</f>
        <v>0</v>
      </c>
      <c r="H330" s="4">
        <f>IF(OR(INDEX($P$2:$P$1001,MATCH(ROWS($O$2:O330),$O$2:$O$1001,0),1)&gt;=100000,INDEX($V$1005:$AE$1005,1,MATCH(COLUMNS($V$1006:AB1006),$V$1006:$AE$1006,0))&gt;=100000), " ",IF(INDEX($V$2:$AE$1001,MATCH(ROWS($O$2:O330),$O$2:$O$1001,0),MATCH(COLUMNS($V$1006:AB1006),$V$1006:$AE$1006,0)), HYPERLINK("#",""), HYPERLINK(CONCATENATE("#Metadata!", ADDRESS(INDEX($Q$2:$Q$1001,MATCH(ROWS($O$2:O330),$O$2:$O$1001,0),0), INDEX($V$1004:$AE$1004,1,MATCH(COLUMNS($V$1006:AB1006),$V$1006:$AE$1006,0)))),"Fix")))</f>
        <v>0</v>
      </c>
      <c r="I330" s="4">
        <f>IF(OR(INDEX($P$2:$P$1001,MATCH(ROWS($O$2:O330),$O$2:$O$1001,0),1)&gt;=100000,INDEX($V$1005:$AE$1005,1,MATCH(COLUMNS($V$1006:AC1006),$V$1006:$AE$1006,0))&gt;=100000), " ",IF(INDEX($V$2:$AE$1001,MATCH(ROWS($O$2:O330),$O$2:$O$1001,0),MATCH(COLUMNS($V$1006:AC1006),$V$1006:$AE$1006,0)), HYPERLINK("#",""), HYPERLINK(CONCATENATE("#Metadata!", ADDRESS(INDEX($Q$2:$Q$1001,MATCH(ROWS($O$2:O330),$O$2:$O$1001,0),0), INDEX($V$1004:$AE$1004,1,MATCH(COLUMNS($V$1006:AC1006),$V$1006:$AE$1006,0)))),"Fix")))</f>
        <v>0</v>
      </c>
      <c r="J330" s="4">
        <f>IF(OR(INDEX($P$2:$P$1001,MATCH(ROWS($O$2:O330),$O$2:$O$1001,0),1)&gt;=100000,INDEX($V$1005:$AE$1005,1,MATCH(COLUMNS($V$1006:AD1006),$V$1006:$AE$1006,0))&gt;=100000), " ",IF(INDEX($V$2:$AE$1001,MATCH(ROWS($O$2:O330),$O$2:$O$1001,0),MATCH(COLUMNS($V$1006:AD1006),$V$1006:$AE$1006,0)), HYPERLINK("#",""), HYPERLINK(CONCATENATE("#Metadata!", ADDRESS(INDEX($Q$2:$Q$1001,MATCH(ROWS($O$2:O330),$O$2:$O$1001,0),0), INDEX($V$1004:$AE$1004,1,MATCH(COLUMNS($V$1006:AD1006),$V$1006:$AE$1006,0)))),"Fix")))</f>
        <v>0</v>
      </c>
      <c r="K330" s="4">
        <f>IF(OR(INDEX($P$2:$P$1001,MATCH(ROWS($O$2:O330),$O$2:$O$1001,0),1)&gt;=100000,INDEX($V$1005:$AE$1005,1,MATCH(COLUMNS($V$1006:AE1006),$V$1006:$AE$1006,0))&gt;=100000), " ",IF(INDEX($V$2:$AE$1001,MATCH(ROWS($O$2:O330),$O$2:$O$1001,0),MATCH(COLUMNS($V$1006:AE1006),$V$1006:$AE$1006,0)), HYPERLINK("#",""), HYPERLINK(CONCATENATE("#Metadata!", ADDRESS(INDEX($Q$2:$Q$1001,MATCH(ROWS($O$2:O330),$O$2:$O$1001,0),0), INDEX($V$1004:$AE$1004,1,MATCH(COLUMNS($V$1006:AE1006),$V$1006:$AE$1006,0)))),"Fix")))</f>
        <v>0</v>
      </c>
      <c r="O330">
        <v>0</v>
      </c>
      <c r="P330">
        <v>0</v>
      </c>
      <c r="Q330">
        <v>0</v>
      </c>
      <c r="R330">
        <f>IF(S330,TRUE,AND(V330:AE330))</f>
        <v>0</v>
      </c>
      <c r="S330">
        <f>COUNTBLANK(Metadata!B330:K330)=COLUMNS(Metadata!B330:K330)</f>
        <v>0</v>
      </c>
      <c r="T330">
        <v>0</v>
      </c>
      <c r="V330">
        <f>AND(IF(Metadata!B330="",FALSE,TRUE),COUNTIF(Metadata!B:B, Metadata!B330) = 1,NOT(ISERROR(SUMPRODUCT(SEARCH(MID(Metadata!B330,ROW(INDIRECT("1:"&amp;LEN(Metadata!B330))), 1),"0123456789abcdefghijklmnopqrstuvwxyzABCDEFGHIJKLMNOPQRSTUVWXYZ.")))))</f>
        <v>0</v>
      </c>
      <c r="W330">
        <f>AND(IF(Metadata!C330="",FALSE,TRUE),exact(Metadata!C330,"urban biome"))</f>
        <v>0</v>
      </c>
      <c r="X330">
        <f>AND(IF(Metadata!D330="",FALSE,TRUE),exact(Metadata!D330,"animal-associated habitat"))</f>
        <v>0</v>
      </c>
      <c r="Y330">
        <f>OR(AND(IF(Metadata!E330="",FALSE,TRUE),OR(exact(Metadata!E330,"not applicable"),exact(Metadata!E330,"missing: not collected"),exact(Metadata!E330,"missing: not provided"),exact(Metadata!E330,"missing: restricted access"))),AND(IF(Metadata!E330="",FALSE,ISNUMBER(VALUE(Metadata!E330))),Metadata!E330&gt;0))</f>
        <v>0</v>
      </c>
      <c r="Z330">
        <f>AND(IF(Metadata!F330="",FALSE,TRUE),exact(Metadata!F330,"weeks"))</f>
        <v>0</v>
      </c>
      <c r="AA330">
        <f>AND(IF(Metadata!G330="",FALSE,TRUE),exact(Metadata!G330,"mouse"))</f>
        <v>0</v>
      </c>
      <c r="AB330">
        <f>AND(IF(Metadata!H330="",FALSE,TRUE),exact(Metadata!H330,"Mus musculus"))</f>
        <v>0</v>
      </c>
      <c r="AC330">
        <f>AND(IF(Metadata!I330="",FALSE,TRUE),exact(Metadata!I330,"10090"))</f>
        <v>0</v>
      </c>
      <c r="AD330">
        <f>OR(AND(IF(Metadata!J330="",FALSE,TRUE),OR(exact(Metadata!J330,"not applicable"),exact(Metadata!J330,"missing: not collected"),exact(Metadata!J330,"missing: not provided"),exact(Metadata!J330,"missing: restricted access"))),AND(IF(Metadata!J330="",FALSE,ISNUMBER(VALUE(Metadata!J330))),Metadata!J330&gt;0))</f>
        <v>0</v>
      </c>
      <c r="AE330">
        <f>AND(IF(Metadata!K330="",FALSE,TRUE),exact(Metadata!K330,"g"))</f>
        <v>0</v>
      </c>
    </row>
    <row r="331" spans="1:31">
      <c r="A331" s="5">
        <f>IF(B331=" "," ",HYPERLINK(CONCATENATE("#metadata!",ADDRESS(INDEX($Q$2:$Q$1001,MATCH(ROWS($O$2:O331),$O$2:$O$1001,0),0),1)),INDEX($T$2:$T$1001,MATCH(ROWS($O$2:O331),$O$2:$O$1001,0),0)))</f>
        <v>0</v>
      </c>
      <c r="B331" s="4">
        <f>IF(OR(INDEX($P$2:$P$1001,MATCH(ROWS($O$2:O331),$O$2:$O$1001,0),1)&gt;=100000,INDEX($V$1005:$AE$1005,1,MATCH(COLUMNS($V$1006:V1006),$V$1006:$AE$1006,0))&gt;=100000), " ",IF(INDEX($V$2:$AE$1001,MATCH(ROWS($O$2:O331),$O$2:$O$1001,0),MATCH(COLUMNS($V$1006:V1006),$V$1006:$AE$1006,0)), HYPERLINK("#",""), HYPERLINK(CONCATENATE("#Metadata!", ADDRESS(INDEX($Q$2:$Q$1001,MATCH(ROWS($O$2:O331),$O$2:$O$1001,0),0), INDEX($V$1004:$AE$1004,1,MATCH(COLUMNS($V$1006:V1006),$V$1006:$AE$1006,0)))),"Fix")))</f>
        <v>0</v>
      </c>
      <c r="C331" s="4">
        <f>IF(OR(INDEX($P$2:$P$1001,MATCH(ROWS($O$2:O331),$O$2:$O$1001,0),1)&gt;=100000,INDEX($V$1005:$AE$1005,1,MATCH(COLUMNS($V$1006:W1006),$V$1006:$AE$1006,0))&gt;=100000), " ",IF(INDEX($V$2:$AE$1001,MATCH(ROWS($O$2:O331),$O$2:$O$1001,0),MATCH(COLUMNS($V$1006:W1006),$V$1006:$AE$1006,0)), HYPERLINK("#",""), HYPERLINK(CONCATENATE("#Metadata!", ADDRESS(INDEX($Q$2:$Q$1001,MATCH(ROWS($O$2:O331),$O$2:$O$1001,0),0), INDEX($V$1004:$AE$1004,1,MATCH(COLUMNS($V$1006:W1006),$V$1006:$AE$1006,0)))),"Fix")))</f>
        <v>0</v>
      </c>
      <c r="D331" s="4">
        <f>IF(OR(INDEX($P$2:$P$1001,MATCH(ROWS($O$2:O331),$O$2:$O$1001,0),1)&gt;=100000,INDEX($V$1005:$AE$1005,1,MATCH(COLUMNS($V$1006:X1006),$V$1006:$AE$1006,0))&gt;=100000), " ",IF(INDEX($V$2:$AE$1001,MATCH(ROWS($O$2:O331),$O$2:$O$1001,0),MATCH(COLUMNS($V$1006:X1006),$V$1006:$AE$1006,0)), HYPERLINK("#",""), HYPERLINK(CONCATENATE("#Metadata!", ADDRESS(INDEX($Q$2:$Q$1001,MATCH(ROWS($O$2:O331),$O$2:$O$1001,0),0), INDEX($V$1004:$AE$1004,1,MATCH(COLUMNS($V$1006:X1006),$V$1006:$AE$1006,0)))),"Fix")))</f>
        <v>0</v>
      </c>
      <c r="E331" s="4">
        <f>IF(OR(INDEX($P$2:$P$1001,MATCH(ROWS($O$2:O331),$O$2:$O$1001,0),1)&gt;=100000,INDEX($V$1005:$AE$1005,1,MATCH(COLUMNS($V$1006:Y1006),$V$1006:$AE$1006,0))&gt;=100000), " ",IF(INDEX($V$2:$AE$1001,MATCH(ROWS($O$2:O331),$O$2:$O$1001,0),MATCH(COLUMNS($V$1006:Y1006),$V$1006:$AE$1006,0)), HYPERLINK("#",""), HYPERLINK(CONCATENATE("#Metadata!", ADDRESS(INDEX($Q$2:$Q$1001,MATCH(ROWS($O$2:O331),$O$2:$O$1001,0),0), INDEX($V$1004:$AE$1004,1,MATCH(COLUMNS($V$1006:Y1006),$V$1006:$AE$1006,0)))),"Fix")))</f>
        <v>0</v>
      </c>
      <c r="F331" s="4">
        <f>IF(OR(INDEX($P$2:$P$1001,MATCH(ROWS($O$2:O331),$O$2:$O$1001,0),1)&gt;=100000,INDEX($V$1005:$AE$1005,1,MATCH(COLUMNS($V$1006:Z1006),$V$1006:$AE$1006,0))&gt;=100000), " ",IF(INDEX($V$2:$AE$1001,MATCH(ROWS($O$2:O331),$O$2:$O$1001,0),MATCH(COLUMNS($V$1006:Z1006),$V$1006:$AE$1006,0)), HYPERLINK("#",""), HYPERLINK(CONCATENATE("#Metadata!", ADDRESS(INDEX($Q$2:$Q$1001,MATCH(ROWS($O$2:O331),$O$2:$O$1001,0),0), INDEX($V$1004:$AE$1004,1,MATCH(COLUMNS($V$1006:Z1006),$V$1006:$AE$1006,0)))),"Fix")))</f>
        <v>0</v>
      </c>
      <c r="G331" s="4">
        <f>IF(OR(INDEX($P$2:$P$1001,MATCH(ROWS($O$2:O331),$O$2:$O$1001,0),1)&gt;=100000,INDEX($V$1005:$AE$1005,1,MATCH(COLUMNS($V$1006:AA1006),$V$1006:$AE$1006,0))&gt;=100000), " ",IF(INDEX($V$2:$AE$1001,MATCH(ROWS($O$2:O331),$O$2:$O$1001,0),MATCH(COLUMNS($V$1006:AA1006),$V$1006:$AE$1006,0)), HYPERLINK("#",""), HYPERLINK(CONCATENATE("#Metadata!", ADDRESS(INDEX($Q$2:$Q$1001,MATCH(ROWS($O$2:O331),$O$2:$O$1001,0),0), INDEX($V$1004:$AE$1004,1,MATCH(COLUMNS($V$1006:AA1006),$V$1006:$AE$1006,0)))),"Fix")))</f>
        <v>0</v>
      </c>
      <c r="H331" s="4">
        <f>IF(OR(INDEX($P$2:$P$1001,MATCH(ROWS($O$2:O331),$O$2:$O$1001,0),1)&gt;=100000,INDEX($V$1005:$AE$1005,1,MATCH(COLUMNS($V$1006:AB1006),$V$1006:$AE$1006,0))&gt;=100000), " ",IF(INDEX($V$2:$AE$1001,MATCH(ROWS($O$2:O331),$O$2:$O$1001,0),MATCH(COLUMNS($V$1006:AB1006),$V$1006:$AE$1006,0)), HYPERLINK("#",""), HYPERLINK(CONCATENATE("#Metadata!", ADDRESS(INDEX($Q$2:$Q$1001,MATCH(ROWS($O$2:O331),$O$2:$O$1001,0),0), INDEX($V$1004:$AE$1004,1,MATCH(COLUMNS($V$1006:AB1006),$V$1006:$AE$1006,0)))),"Fix")))</f>
        <v>0</v>
      </c>
      <c r="I331" s="4">
        <f>IF(OR(INDEX($P$2:$P$1001,MATCH(ROWS($O$2:O331),$O$2:$O$1001,0),1)&gt;=100000,INDEX($V$1005:$AE$1005,1,MATCH(COLUMNS($V$1006:AC1006),$V$1006:$AE$1006,0))&gt;=100000), " ",IF(INDEX($V$2:$AE$1001,MATCH(ROWS($O$2:O331),$O$2:$O$1001,0),MATCH(COLUMNS($V$1006:AC1006),$V$1006:$AE$1006,0)), HYPERLINK("#",""), HYPERLINK(CONCATENATE("#Metadata!", ADDRESS(INDEX($Q$2:$Q$1001,MATCH(ROWS($O$2:O331),$O$2:$O$1001,0),0), INDEX($V$1004:$AE$1004,1,MATCH(COLUMNS($V$1006:AC1006),$V$1006:$AE$1006,0)))),"Fix")))</f>
        <v>0</v>
      </c>
      <c r="J331" s="4">
        <f>IF(OR(INDEX($P$2:$P$1001,MATCH(ROWS($O$2:O331),$O$2:$O$1001,0),1)&gt;=100000,INDEX($V$1005:$AE$1005,1,MATCH(COLUMNS($V$1006:AD1006),$V$1006:$AE$1006,0))&gt;=100000), " ",IF(INDEX($V$2:$AE$1001,MATCH(ROWS($O$2:O331),$O$2:$O$1001,0),MATCH(COLUMNS($V$1006:AD1006),$V$1006:$AE$1006,0)), HYPERLINK("#",""), HYPERLINK(CONCATENATE("#Metadata!", ADDRESS(INDEX($Q$2:$Q$1001,MATCH(ROWS($O$2:O331),$O$2:$O$1001,0),0), INDEX($V$1004:$AE$1004,1,MATCH(COLUMNS($V$1006:AD1006),$V$1006:$AE$1006,0)))),"Fix")))</f>
        <v>0</v>
      </c>
      <c r="K331" s="4">
        <f>IF(OR(INDEX($P$2:$P$1001,MATCH(ROWS($O$2:O331),$O$2:$O$1001,0),1)&gt;=100000,INDEX($V$1005:$AE$1005,1,MATCH(COLUMNS($V$1006:AE1006),$V$1006:$AE$1006,0))&gt;=100000), " ",IF(INDEX($V$2:$AE$1001,MATCH(ROWS($O$2:O331),$O$2:$O$1001,0),MATCH(COLUMNS($V$1006:AE1006),$V$1006:$AE$1006,0)), HYPERLINK("#",""), HYPERLINK(CONCATENATE("#Metadata!", ADDRESS(INDEX($Q$2:$Q$1001,MATCH(ROWS($O$2:O331),$O$2:$O$1001,0),0), INDEX($V$1004:$AE$1004,1,MATCH(COLUMNS($V$1006:AE1006),$V$1006:$AE$1006,0)))),"Fix")))</f>
        <v>0</v>
      </c>
      <c r="O331">
        <v>0</v>
      </c>
      <c r="P331">
        <v>0</v>
      </c>
      <c r="Q331">
        <v>0</v>
      </c>
      <c r="R331">
        <f>IF(S331,TRUE,AND(V331:AE331))</f>
        <v>0</v>
      </c>
      <c r="S331">
        <f>COUNTBLANK(Metadata!B331:K331)=COLUMNS(Metadata!B331:K331)</f>
        <v>0</v>
      </c>
      <c r="T331">
        <v>0</v>
      </c>
      <c r="V331">
        <f>AND(IF(Metadata!B331="",FALSE,TRUE),COUNTIF(Metadata!B:B, Metadata!B331) = 1,NOT(ISERROR(SUMPRODUCT(SEARCH(MID(Metadata!B331,ROW(INDIRECT("1:"&amp;LEN(Metadata!B331))), 1),"0123456789abcdefghijklmnopqrstuvwxyzABCDEFGHIJKLMNOPQRSTUVWXYZ.")))))</f>
        <v>0</v>
      </c>
      <c r="W331">
        <f>AND(IF(Metadata!C331="",FALSE,TRUE),exact(Metadata!C331,"urban biome"))</f>
        <v>0</v>
      </c>
      <c r="X331">
        <f>AND(IF(Metadata!D331="",FALSE,TRUE),exact(Metadata!D331,"animal-associated habitat"))</f>
        <v>0</v>
      </c>
      <c r="Y331">
        <f>OR(AND(IF(Metadata!E331="",FALSE,TRUE),OR(exact(Metadata!E331,"not applicable"),exact(Metadata!E331,"missing: not collected"),exact(Metadata!E331,"missing: not provided"),exact(Metadata!E331,"missing: restricted access"))),AND(IF(Metadata!E331="",FALSE,ISNUMBER(VALUE(Metadata!E331))),Metadata!E331&gt;0))</f>
        <v>0</v>
      </c>
      <c r="Z331">
        <f>AND(IF(Metadata!F331="",FALSE,TRUE),exact(Metadata!F331,"weeks"))</f>
        <v>0</v>
      </c>
      <c r="AA331">
        <f>AND(IF(Metadata!G331="",FALSE,TRUE),exact(Metadata!G331,"mouse"))</f>
        <v>0</v>
      </c>
      <c r="AB331">
        <f>AND(IF(Metadata!H331="",FALSE,TRUE),exact(Metadata!H331,"Mus musculus"))</f>
        <v>0</v>
      </c>
      <c r="AC331">
        <f>AND(IF(Metadata!I331="",FALSE,TRUE),exact(Metadata!I331,"10090"))</f>
        <v>0</v>
      </c>
      <c r="AD331">
        <f>OR(AND(IF(Metadata!J331="",FALSE,TRUE),OR(exact(Metadata!J331,"not applicable"),exact(Metadata!J331,"missing: not collected"),exact(Metadata!J331,"missing: not provided"),exact(Metadata!J331,"missing: restricted access"))),AND(IF(Metadata!J331="",FALSE,ISNUMBER(VALUE(Metadata!J331))),Metadata!J331&gt;0))</f>
        <v>0</v>
      </c>
      <c r="AE331">
        <f>AND(IF(Metadata!K331="",FALSE,TRUE),exact(Metadata!K331,"g"))</f>
        <v>0</v>
      </c>
    </row>
    <row r="332" spans="1:31">
      <c r="A332" s="5">
        <f>IF(B332=" "," ",HYPERLINK(CONCATENATE("#metadata!",ADDRESS(INDEX($Q$2:$Q$1001,MATCH(ROWS($O$2:O332),$O$2:$O$1001,0),0),1)),INDEX($T$2:$T$1001,MATCH(ROWS($O$2:O332),$O$2:$O$1001,0),0)))</f>
        <v>0</v>
      </c>
      <c r="B332" s="4">
        <f>IF(OR(INDEX($P$2:$P$1001,MATCH(ROWS($O$2:O332),$O$2:$O$1001,0),1)&gt;=100000,INDEX($V$1005:$AE$1005,1,MATCH(COLUMNS($V$1006:V1006),$V$1006:$AE$1006,0))&gt;=100000), " ",IF(INDEX($V$2:$AE$1001,MATCH(ROWS($O$2:O332),$O$2:$O$1001,0),MATCH(COLUMNS($V$1006:V1006),$V$1006:$AE$1006,0)), HYPERLINK("#",""), HYPERLINK(CONCATENATE("#Metadata!", ADDRESS(INDEX($Q$2:$Q$1001,MATCH(ROWS($O$2:O332),$O$2:$O$1001,0),0), INDEX($V$1004:$AE$1004,1,MATCH(COLUMNS($V$1006:V1006),$V$1006:$AE$1006,0)))),"Fix")))</f>
        <v>0</v>
      </c>
      <c r="C332" s="4">
        <f>IF(OR(INDEX($P$2:$P$1001,MATCH(ROWS($O$2:O332),$O$2:$O$1001,0),1)&gt;=100000,INDEX($V$1005:$AE$1005,1,MATCH(COLUMNS($V$1006:W1006),$V$1006:$AE$1006,0))&gt;=100000), " ",IF(INDEX($V$2:$AE$1001,MATCH(ROWS($O$2:O332),$O$2:$O$1001,0),MATCH(COLUMNS($V$1006:W1006),$V$1006:$AE$1006,0)), HYPERLINK("#",""), HYPERLINK(CONCATENATE("#Metadata!", ADDRESS(INDEX($Q$2:$Q$1001,MATCH(ROWS($O$2:O332),$O$2:$O$1001,0),0), INDEX($V$1004:$AE$1004,1,MATCH(COLUMNS($V$1006:W1006),$V$1006:$AE$1006,0)))),"Fix")))</f>
        <v>0</v>
      </c>
      <c r="D332" s="4">
        <f>IF(OR(INDEX($P$2:$P$1001,MATCH(ROWS($O$2:O332),$O$2:$O$1001,0),1)&gt;=100000,INDEX($V$1005:$AE$1005,1,MATCH(COLUMNS($V$1006:X1006),$V$1006:$AE$1006,0))&gt;=100000), " ",IF(INDEX($V$2:$AE$1001,MATCH(ROWS($O$2:O332),$O$2:$O$1001,0),MATCH(COLUMNS($V$1006:X1006),$V$1006:$AE$1006,0)), HYPERLINK("#",""), HYPERLINK(CONCATENATE("#Metadata!", ADDRESS(INDEX($Q$2:$Q$1001,MATCH(ROWS($O$2:O332),$O$2:$O$1001,0),0), INDEX($V$1004:$AE$1004,1,MATCH(COLUMNS($V$1006:X1006),$V$1006:$AE$1006,0)))),"Fix")))</f>
        <v>0</v>
      </c>
      <c r="E332" s="4">
        <f>IF(OR(INDEX($P$2:$P$1001,MATCH(ROWS($O$2:O332),$O$2:$O$1001,0),1)&gt;=100000,INDEX($V$1005:$AE$1005,1,MATCH(COLUMNS($V$1006:Y1006),$V$1006:$AE$1006,0))&gt;=100000), " ",IF(INDEX($V$2:$AE$1001,MATCH(ROWS($O$2:O332),$O$2:$O$1001,0),MATCH(COLUMNS($V$1006:Y1006),$V$1006:$AE$1006,0)), HYPERLINK("#",""), HYPERLINK(CONCATENATE("#Metadata!", ADDRESS(INDEX($Q$2:$Q$1001,MATCH(ROWS($O$2:O332),$O$2:$O$1001,0),0), INDEX($V$1004:$AE$1004,1,MATCH(COLUMNS($V$1006:Y1006),$V$1006:$AE$1006,0)))),"Fix")))</f>
        <v>0</v>
      </c>
      <c r="F332" s="4">
        <f>IF(OR(INDEX($P$2:$P$1001,MATCH(ROWS($O$2:O332),$O$2:$O$1001,0),1)&gt;=100000,INDEX($V$1005:$AE$1005,1,MATCH(COLUMNS($V$1006:Z1006),$V$1006:$AE$1006,0))&gt;=100000), " ",IF(INDEX($V$2:$AE$1001,MATCH(ROWS($O$2:O332),$O$2:$O$1001,0),MATCH(COLUMNS($V$1006:Z1006),$V$1006:$AE$1006,0)), HYPERLINK("#",""), HYPERLINK(CONCATENATE("#Metadata!", ADDRESS(INDEX($Q$2:$Q$1001,MATCH(ROWS($O$2:O332),$O$2:$O$1001,0),0), INDEX($V$1004:$AE$1004,1,MATCH(COLUMNS($V$1006:Z1006),$V$1006:$AE$1006,0)))),"Fix")))</f>
        <v>0</v>
      </c>
      <c r="G332" s="4">
        <f>IF(OR(INDEX($P$2:$P$1001,MATCH(ROWS($O$2:O332),$O$2:$O$1001,0),1)&gt;=100000,INDEX($V$1005:$AE$1005,1,MATCH(COLUMNS($V$1006:AA1006),$V$1006:$AE$1006,0))&gt;=100000), " ",IF(INDEX($V$2:$AE$1001,MATCH(ROWS($O$2:O332),$O$2:$O$1001,0),MATCH(COLUMNS($V$1006:AA1006),$V$1006:$AE$1006,0)), HYPERLINK("#",""), HYPERLINK(CONCATENATE("#Metadata!", ADDRESS(INDEX($Q$2:$Q$1001,MATCH(ROWS($O$2:O332),$O$2:$O$1001,0),0), INDEX($V$1004:$AE$1004,1,MATCH(COLUMNS($V$1006:AA1006),$V$1006:$AE$1006,0)))),"Fix")))</f>
        <v>0</v>
      </c>
      <c r="H332" s="4">
        <f>IF(OR(INDEX($P$2:$P$1001,MATCH(ROWS($O$2:O332),$O$2:$O$1001,0),1)&gt;=100000,INDEX($V$1005:$AE$1005,1,MATCH(COLUMNS($V$1006:AB1006),$V$1006:$AE$1006,0))&gt;=100000), " ",IF(INDEX($V$2:$AE$1001,MATCH(ROWS($O$2:O332),$O$2:$O$1001,0),MATCH(COLUMNS($V$1006:AB1006),$V$1006:$AE$1006,0)), HYPERLINK("#",""), HYPERLINK(CONCATENATE("#Metadata!", ADDRESS(INDEX($Q$2:$Q$1001,MATCH(ROWS($O$2:O332),$O$2:$O$1001,0),0), INDEX($V$1004:$AE$1004,1,MATCH(COLUMNS($V$1006:AB1006),$V$1006:$AE$1006,0)))),"Fix")))</f>
        <v>0</v>
      </c>
      <c r="I332" s="4">
        <f>IF(OR(INDEX($P$2:$P$1001,MATCH(ROWS($O$2:O332),$O$2:$O$1001,0),1)&gt;=100000,INDEX($V$1005:$AE$1005,1,MATCH(COLUMNS($V$1006:AC1006),$V$1006:$AE$1006,0))&gt;=100000), " ",IF(INDEX($V$2:$AE$1001,MATCH(ROWS($O$2:O332),$O$2:$O$1001,0),MATCH(COLUMNS($V$1006:AC1006),$V$1006:$AE$1006,0)), HYPERLINK("#",""), HYPERLINK(CONCATENATE("#Metadata!", ADDRESS(INDEX($Q$2:$Q$1001,MATCH(ROWS($O$2:O332),$O$2:$O$1001,0),0), INDEX($V$1004:$AE$1004,1,MATCH(COLUMNS($V$1006:AC1006),$V$1006:$AE$1006,0)))),"Fix")))</f>
        <v>0</v>
      </c>
      <c r="J332" s="4">
        <f>IF(OR(INDEX($P$2:$P$1001,MATCH(ROWS($O$2:O332),$O$2:$O$1001,0),1)&gt;=100000,INDEX($V$1005:$AE$1005,1,MATCH(COLUMNS($V$1006:AD1006),$V$1006:$AE$1006,0))&gt;=100000), " ",IF(INDEX($V$2:$AE$1001,MATCH(ROWS($O$2:O332),$O$2:$O$1001,0),MATCH(COLUMNS($V$1006:AD1006),$V$1006:$AE$1006,0)), HYPERLINK("#",""), HYPERLINK(CONCATENATE("#Metadata!", ADDRESS(INDEX($Q$2:$Q$1001,MATCH(ROWS($O$2:O332),$O$2:$O$1001,0),0), INDEX($V$1004:$AE$1004,1,MATCH(COLUMNS($V$1006:AD1006),$V$1006:$AE$1006,0)))),"Fix")))</f>
        <v>0</v>
      </c>
      <c r="K332" s="4">
        <f>IF(OR(INDEX($P$2:$P$1001,MATCH(ROWS($O$2:O332),$O$2:$O$1001,0),1)&gt;=100000,INDEX($V$1005:$AE$1005,1,MATCH(COLUMNS($V$1006:AE1006),$V$1006:$AE$1006,0))&gt;=100000), " ",IF(INDEX($V$2:$AE$1001,MATCH(ROWS($O$2:O332),$O$2:$O$1001,0),MATCH(COLUMNS($V$1006:AE1006),$V$1006:$AE$1006,0)), HYPERLINK("#",""), HYPERLINK(CONCATENATE("#Metadata!", ADDRESS(INDEX($Q$2:$Q$1001,MATCH(ROWS($O$2:O332),$O$2:$O$1001,0),0), INDEX($V$1004:$AE$1004,1,MATCH(COLUMNS($V$1006:AE1006),$V$1006:$AE$1006,0)))),"Fix")))</f>
        <v>0</v>
      </c>
      <c r="O332">
        <v>0</v>
      </c>
      <c r="P332">
        <v>0</v>
      </c>
      <c r="Q332">
        <v>0</v>
      </c>
      <c r="R332">
        <f>IF(S332,TRUE,AND(V332:AE332))</f>
        <v>0</v>
      </c>
      <c r="S332">
        <f>COUNTBLANK(Metadata!B332:K332)=COLUMNS(Metadata!B332:K332)</f>
        <v>0</v>
      </c>
      <c r="T332">
        <v>0</v>
      </c>
      <c r="V332">
        <f>AND(IF(Metadata!B332="",FALSE,TRUE),COUNTIF(Metadata!B:B, Metadata!B332) = 1,NOT(ISERROR(SUMPRODUCT(SEARCH(MID(Metadata!B332,ROW(INDIRECT("1:"&amp;LEN(Metadata!B332))), 1),"0123456789abcdefghijklmnopqrstuvwxyzABCDEFGHIJKLMNOPQRSTUVWXYZ.")))))</f>
        <v>0</v>
      </c>
      <c r="W332">
        <f>AND(IF(Metadata!C332="",FALSE,TRUE),exact(Metadata!C332,"urban biome"))</f>
        <v>0</v>
      </c>
      <c r="X332">
        <f>AND(IF(Metadata!D332="",FALSE,TRUE),exact(Metadata!D332,"animal-associated habitat"))</f>
        <v>0</v>
      </c>
      <c r="Y332">
        <f>OR(AND(IF(Metadata!E332="",FALSE,TRUE),OR(exact(Metadata!E332,"not applicable"),exact(Metadata!E332,"missing: not collected"),exact(Metadata!E332,"missing: not provided"),exact(Metadata!E332,"missing: restricted access"))),AND(IF(Metadata!E332="",FALSE,ISNUMBER(VALUE(Metadata!E332))),Metadata!E332&gt;0))</f>
        <v>0</v>
      </c>
      <c r="Z332">
        <f>AND(IF(Metadata!F332="",FALSE,TRUE),exact(Metadata!F332,"weeks"))</f>
        <v>0</v>
      </c>
      <c r="AA332">
        <f>AND(IF(Metadata!G332="",FALSE,TRUE),exact(Metadata!G332,"mouse"))</f>
        <v>0</v>
      </c>
      <c r="AB332">
        <f>AND(IF(Metadata!H332="",FALSE,TRUE),exact(Metadata!H332,"Mus musculus"))</f>
        <v>0</v>
      </c>
      <c r="AC332">
        <f>AND(IF(Metadata!I332="",FALSE,TRUE),exact(Metadata!I332,"10090"))</f>
        <v>0</v>
      </c>
      <c r="AD332">
        <f>OR(AND(IF(Metadata!J332="",FALSE,TRUE),OR(exact(Metadata!J332,"not applicable"),exact(Metadata!J332,"missing: not collected"),exact(Metadata!J332,"missing: not provided"),exact(Metadata!J332,"missing: restricted access"))),AND(IF(Metadata!J332="",FALSE,ISNUMBER(VALUE(Metadata!J332))),Metadata!J332&gt;0))</f>
        <v>0</v>
      </c>
      <c r="AE332">
        <f>AND(IF(Metadata!K332="",FALSE,TRUE),exact(Metadata!K332,"g"))</f>
        <v>0</v>
      </c>
    </row>
    <row r="333" spans="1:31">
      <c r="A333" s="5">
        <f>IF(B333=" "," ",HYPERLINK(CONCATENATE("#metadata!",ADDRESS(INDEX($Q$2:$Q$1001,MATCH(ROWS($O$2:O333),$O$2:$O$1001,0),0),1)),INDEX($T$2:$T$1001,MATCH(ROWS($O$2:O333),$O$2:$O$1001,0),0)))</f>
        <v>0</v>
      </c>
      <c r="B333" s="4">
        <f>IF(OR(INDEX($P$2:$P$1001,MATCH(ROWS($O$2:O333),$O$2:$O$1001,0),1)&gt;=100000,INDEX($V$1005:$AE$1005,1,MATCH(COLUMNS($V$1006:V1006),$V$1006:$AE$1006,0))&gt;=100000), " ",IF(INDEX($V$2:$AE$1001,MATCH(ROWS($O$2:O333),$O$2:$O$1001,0),MATCH(COLUMNS($V$1006:V1006),$V$1006:$AE$1006,0)), HYPERLINK("#",""), HYPERLINK(CONCATENATE("#Metadata!", ADDRESS(INDEX($Q$2:$Q$1001,MATCH(ROWS($O$2:O333),$O$2:$O$1001,0),0), INDEX($V$1004:$AE$1004,1,MATCH(COLUMNS($V$1006:V1006),$V$1006:$AE$1006,0)))),"Fix")))</f>
        <v>0</v>
      </c>
      <c r="C333" s="4">
        <f>IF(OR(INDEX($P$2:$P$1001,MATCH(ROWS($O$2:O333),$O$2:$O$1001,0),1)&gt;=100000,INDEX($V$1005:$AE$1005,1,MATCH(COLUMNS($V$1006:W1006),$V$1006:$AE$1006,0))&gt;=100000), " ",IF(INDEX($V$2:$AE$1001,MATCH(ROWS($O$2:O333),$O$2:$O$1001,0),MATCH(COLUMNS($V$1006:W1006),$V$1006:$AE$1006,0)), HYPERLINK("#",""), HYPERLINK(CONCATENATE("#Metadata!", ADDRESS(INDEX($Q$2:$Q$1001,MATCH(ROWS($O$2:O333),$O$2:$O$1001,0),0), INDEX($V$1004:$AE$1004,1,MATCH(COLUMNS($V$1006:W1006),$V$1006:$AE$1006,0)))),"Fix")))</f>
        <v>0</v>
      </c>
      <c r="D333" s="4">
        <f>IF(OR(INDEX($P$2:$P$1001,MATCH(ROWS($O$2:O333),$O$2:$O$1001,0),1)&gt;=100000,INDEX($V$1005:$AE$1005,1,MATCH(COLUMNS($V$1006:X1006),$V$1006:$AE$1006,0))&gt;=100000), " ",IF(INDEX($V$2:$AE$1001,MATCH(ROWS($O$2:O333),$O$2:$O$1001,0),MATCH(COLUMNS($V$1006:X1006),$V$1006:$AE$1006,0)), HYPERLINK("#",""), HYPERLINK(CONCATENATE("#Metadata!", ADDRESS(INDEX($Q$2:$Q$1001,MATCH(ROWS($O$2:O333),$O$2:$O$1001,0),0), INDEX($V$1004:$AE$1004,1,MATCH(COLUMNS($V$1006:X1006),$V$1006:$AE$1006,0)))),"Fix")))</f>
        <v>0</v>
      </c>
      <c r="E333" s="4">
        <f>IF(OR(INDEX($P$2:$P$1001,MATCH(ROWS($O$2:O333),$O$2:$O$1001,0),1)&gt;=100000,INDEX($V$1005:$AE$1005,1,MATCH(COLUMNS($V$1006:Y1006),$V$1006:$AE$1006,0))&gt;=100000), " ",IF(INDEX($V$2:$AE$1001,MATCH(ROWS($O$2:O333),$O$2:$O$1001,0),MATCH(COLUMNS($V$1006:Y1006),$V$1006:$AE$1006,0)), HYPERLINK("#",""), HYPERLINK(CONCATENATE("#Metadata!", ADDRESS(INDEX($Q$2:$Q$1001,MATCH(ROWS($O$2:O333),$O$2:$O$1001,0),0), INDEX($V$1004:$AE$1004,1,MATCH(COLUMNS($V$1006:Y1006),$V$1006:$AE$1006,0)))),"Fix")))</f>
        <v>0</v>
      </c>
      <c r="F333" s="4">
        <f>IF(OR(INDEX($P$2:$P$1001,MATCH(ROWS($O$2:O333),$O$2:$O$1001,0),1)&gt;=100000,INDEX($V$1005:$AE$1005,1,MATCH(COLUMNS($V$1006:Z1006),$V$1006:$AE$1006,0))&gt;=100000), " ",IF(INDEX($V$2:$AE$1001,MATCH(ROWS($O$2:O333),$O$2:$O$1001,0),MATCH(COLUMNS($V$1006:Z1006),$V$1006:$AE$1006,0)), HYPERLINK("#",""), HYPERLINK(CONCATENATE("#Metadata!", ADDRESS(INDEX($Q$2:$Q$1001,MATCH(ROWS($O$2:O333),$O$2:$O$1001,0),0), INDEX($V$1004:$AE$1004,1,MATCH(COLUMNS($V$1006:Z1006),$V$1006:$AE$1006,0)))),"Fix")))</f>
        <v>0</v>
      </c>
      <c r="G333" s="4">
        <f>IF(OR(INDEX($P$2:$P$1001,MATCH(ROWS($O$2:O333),$O$2:$O$1001,0),1)&gt;=100000,INDEX($V$1005:$AE$1005,1,MATCH(COLUMNS($V$1006:AA1006),$V$1006:$AE$1006,0))&gt;=100000), " ",IF(INDEX($V$2:$AE$1001,MATCH(ROWS($O$2:O333),$O$2:$O$1001,0),MATCH(COLUMNS($V$1006:AA1006),$V$1006:$AE$1006,0)), HYPERLINK("#",""), HYPERLINK(CONCATENATE("#Metadata!", ADDRESS(INDEX($Q$2:$Q$1001,MATCH(ROWS($O$2:O333),$O$2:$O$1001,0),0), INDEX($V$1004:$AE$1004,1,MATCH(COLUMNS($V$1006:AA1006),$V$1006:$AE$1006,0)))),"Fix")))</f>
        <v>0</v>
      </c>
      <c r="H333" s="4">
        <f>IF(OR(INDEX($P$2:$P$1001,MATCH(ROWS($O$2:O333),$O$2:$O$1001,0),1)&gt;=100000,INDEX($V$1005:$AE$1005,1,MATCH(COLUMNS($V$1006:AB1006),$V$1006:$AE$1006,0))&gt;=100000), " ",IF(INDEX($V$2:$AE$1001,MATCH(ROWS($O$2:O333),$O$2:$O$1001,0),MATCH(COLUMNS($V$1006:AB1006),$V$1006:$AE$1006,0)), HYPERLINK("#",""), HYPERLINK(CONCATENATE("#Metadata!", ADDRESS(INDEX($Q$2:$Q$1001,MATCH(ROWS($O$2:O333),$O$2:$O$1001,0),0), INDEX($V$1004:$AE$1004,1,MATCH(COLUMNS($V$1006:AB1006),$V$1006:$AE$1006,0)))),"Fix")))</f>
        <v>0</v>
      </c>
      <c r="I333" s="4">
        <f>IF(OR(INDEX($P$2:$P$1001,MATCH(ROWS($O$2:O333),$O$2:$O$1001,0),1)&gt;=100000,INDEX($V$1005:$AE$1005,1,MATCH(COLUMNS($V$1006:AC1006),$V$1006:$AE$1006,0))&gt;=100000), " ",IF(INDEX($V$2:$AE$1001,MATCH(ROWS($O$2:O333),$O$2:$O$1001,0),MATCH(COLUMNS($V$1006:AC1006),$V$1006:$AE$1006,0)), HYPERLINK("#",""), HYPERLINK(CONCATENATE("#Metadata!", ADDRESS(INDEX($Q$2:$Q$1001,MATCH(ROWS($O$2:O333),$O$2:$O$1001,0),0), INDEX($V$1004:$AE$1004,1,MATCH(COLUMNS($V$1006:AC1006),$V$1006:$AE$1006,0)))),"Fix")))</f>
        <v>0</v>
      </c>
      <c r="J333" s="4">
        <f>IF(OR(INDEX($P$2:$P$1001,MATCH(ROWS($O$2:O333),$O$2:$O$1001,0),1)&gt;=100000,INDEX($V$1005:$AE$1005,1,MATCH(COLUMNS($V$1006:AD1006),$V$1006:$AE$1006,0))&gt;=100000), " ",IF(INDEX($V$2:$AE$1001,MATCH(ROWS($O$2:O333),$O$2:$O$1001,0),MATCH(COLUMNS($V$1006:AD1006),$V$1006:$AE$1006,0)), HYPERLINK("#",""), HYPERLINK(CONCATENATE("#Metadata!", ADDRESS(INDEX($Q$2:$Q$1001,MATCH(ROWS($O$2:O333),$O$2:$O$1001,0),0), INDEX($V$1004:$AE$1004,1,MATCH(COLUMNS($V$1006:AD1006),$V$1006:$AE$1006,0)))),"Fix")))</f>
        <v>0</v>
      </c>
      <c r="K333" s="4">
        <f>IF(OR(INDEX($P$2:$P$1001,MATCH(ROWS($O$2:O333),$O$2:$O$1001,0),1)&gt;=100000,INDEX($V$1005:$AE$1005,1,MATCH(COLUMNS($V$1006:AE1006),$V$1006:$AE$1006,0))&gt;=100000), " ",IF(INDEX($V$2:$AE$1001,MATCH(ROWS($O$2:O333),$O$2:$O$1001,0),MATCH(COLUMNS($V$1006:AE1006),$V$1006:$AE$1006,0)), HYPERLINK("#",""), HYPERLINK(CONCATENATE("#Metadata!", ADDRESS(INDEX($Q$2:$Q$1001,MATCH(ROWS($O$2:O333),$O$2:$O$1001,0),0), INDEX($V$1004:$AE$1004,1,MATCH(COLUMNS($V$1006:AE1006),$V$1006:$AE$1006,0)))),"Fix")))</f>
        <v>0</v>
      </c>
      <c r="O333">
        <v>0</v>
      </c>
      <c r="P333">
        <v>0</v>
      </c>
      <c r="Q333">
        <v>0</v>
      </c>
      <c r="R333">
        <f>IF(S333,TRUE,AND(V333:AE333))</f>
        <v>0</v>
      </c>
      <c r="S333">
        <f>COUNTBLANK(Metadata!B333:K333)=COLUMNS(Metadata!B333:K333)</f>
        <v>0</v>
      </c>
      <c r="T333">
        <v>0</v>
      </c>
      <c r="V333">
        <f>AND(IF(Metadata!B333="",FALSE,TRUE),COUNTIF(Metadata!B:B, Metadata!B333) = 1,NOT(ISERROR(SUMPRODUCT(SEARCH(MID(Metadata!B333,ROW(INDIRECT("1:"&amp;LEN(Metadata!B333))), 1),"0123456789abcdefghijklmnopqrstuvwxyzABCDEFGHIJKLMNOPQRSTUVWXYZ.")))))</f>
        <v>0</v>
      </c>
      <c r="W333">
        <f>AND(IF(Metadata!C333="",FALSE,TRUE),exact(Metadata!C333,"urban biome"))</f>
        <v>0</v>
      </c>
      <c r="X333">
        <f>AND(IF(Metadata!D333="",FALSE,TRUE),exact(Metadata!D333,"animal-associated habitat"))</f>
        <v>0</v>
      </c>
      <c r="Y333">
        <f>OR(AND(IF(Metadata!E333="",FALSE,TRUE),OR(exact(Metadata!E333,"not applicable"),exact(Metadata!E333,"missing: not collected"),exact(Metadata!E333,"missing: not provided"),exact(Metadata!E333,"missing: restricted access"))),AND(IF(Metadata!E333="",FALSE,ISNUMBER(VALUE(Metadata!E333))),Metadata!E333&gt;0))</f>
        <v>0</v>
      </c>
      <c r="Z333">
        <f>AND(IF(Metadata!F333="",FALSE,TRUE),exact(Metadata!F333,"weeks"))</f>
        <v>0</v>
      </c>
      <c r="AA333">
        <f>AND(IF(Metadata!G333="",FALSE,TRUE),exact(Metadata!G333,"mouse"))</f>
        <v>0</v>
      </c>
      <c r="AB333">
        <f>AND(IF(Metadata!H333="",FALSE,TRUE),exact(Metadata!H333,"Mus musculus"))</f>
        <v>0</v>
      </c>
      <c r="AC333">
        <f>AND(IF(Metadata!I333="",FALSE,TRUE),exact(Metadata!I333,"10090"))</f>
        <v>0</v>
      </c>
      <c r="AD333">
        <f>OR(AND(IF(Metadata!J333="",FALSE,TRUE),OR(exact(Metadata!J333,"not applicable"),exact(Metadata!J333,"missing: not collected"),exact(Metadata!J333,"missing: not provided"),exact(Metadata!J333,"missing: restricted access"))),AND(IF(Metadata!J333="",FALSE,ISNUMBER(VALUE(Metadata!J333))),Metadata!J333&gt;0))</f>
        <v>0</v>
      </c>
      <c r="AE333">
        <f>AND(IF(Metadata!K333="",FALSE,TRUE),exact(Metadata!K333,"g"))</f>
        <v>0</v>
      </c>
    </row>
    <row r="334" spans="1:31">
      <c r="A334" s="5">
        <f>IF(B334=" "," ",HYPERLINK(CONCATENATE("#metadata!",ADDRESS(INDEX($Q$2:$Q$1001,MATCH(ROWS($O$2:O334),$O$2:$O$1001,0),0),1)),INDEX($T$2:$T$1001,MATCH(ROWS($O$2:O334),$O$2:$O$1001,0),0)))</f>
        <v>0</v>
      </c>
      <c r="B334" s="4">
        <f>IF(OR(INDEX($P$2:$P$1001,MATCH(ROWS($O$2:O334),$O$2:$O$1001,0),1)&gt;=100000,INDEX($V$1005:$AE$1005,1,MATCH(COLUMNS($V$1006:V1006),$V$1006:$AE$1006,0))&gt;=100000), " ",IF(INDEX($V$2:$AE$1001,MATCH(ROWS($O$2:O334),$O$2:$O$1001,0),MATCH(COLUMNS($V$1006:V1006),$V$1006:$AE$1006,0)), HYPERLINK("#",""), HYPERLINK(CONCATENATE("#Metadata!", ADDRESS(INDEX($Q$2:$Q$1001,MATCH(ROWS($O$2:O334),$O$2:$O$1001,0),0), INDEX($V$1004:$AE$1004,1,MATCH(COLUMNS($V$1006:V1006),$V$1006:$AE$1006,0)))),"Fix")))</f>
        <v>0</v>
      </c>
      <c r="C334" s="4">
        <f>IF(OR(INDEX($P$2:$P$1001,MATCH(ROWS($O$2:O334),$O$2:$O$1001,0),1)&gt;=100000,INDEX($V$1005:$AE$1005,1,MATCH(COLUMNS($V$1006:W1006),$V$1006:$AE$1006,0))&gt;=100000), " ",IF(INDEX($V$2:$AE$1001,MATCH(ROWS($O$2:O334),$O$2:$O$1001,0),MATCH(COLUMNS($V$1006:W1006),$V$1006:$AE$1006,0)), HYPERLINK("#",""), HYPERLINK(CONCATENATE("#Metadata!", ADDRESS(INDEX($Q$2:$Q$1001,MATCH(ROWS($O$2:O334),$O$2:$O$1001,0),0), INDEX($V$1004:$AE$1004,1,MATCH(COLUMNS($V$1006:W1006),$V$1006:$AE$1006,0)))),"Fix")))</f>
        <v>0</v>
      </c>
      <c r="D334" s="4">
        <f>IF(OR(INDEX($P$2:$P$1001,MATCH(ROWS($O$2:O334),$O$2:$O$1001,0),1)&gt;=100000,INDEX($V$1005:$AE$1005,1,MATCH(COLUMNS($V$1006:X1006),$V$1006:$AE$1006,0))&gt;=100000), " ",IF(INDEX($V$2:$AE$1001,MATCH(ROWS($O$2:O334),$O$2:$O$1001,0),MATCH(COLUMNS($V$1006:X1006),$V$1006:$AE$1006,0)), HYPERLINK("#",""), HYPERLINK(CONCATENATE("#Metadata!", ADDRESS(INDEX($Q$2:$Q$1001,MATCH(ROWS($O$2:O334),$O$2:$O$1001,0),0), INDEX($V$1004:$AE$1004,1,MATCH(COLUMNS($V$1006:X1006),$V$1006:$AE$1006,0)))),"Fix")))</f>
        <v>0</v>
      </c>
      <c r="E334" s="4">
        <f>IF(OR(INDEX($P$2:$P$1001,MATCH(ROWS($O$2:O334),$O$2:$O$1001,0),1)&gt;=100000,INDEX($V$1005:$AE$1005,1,MATCH(COLUMNS($V$1006:Y1006),$V$1006:$AE$1006,0))&gt;=100000), " ",IF(INDEX($V$2:$AE$1001,MATCH(ROWS($O$2:O334),$O$2:$O$1001,0),MATCH(COLUMNS($V$1006:Y1006),$V$1006:$AE$1006,0)), HYPERLINK("#",""), HYPERLINK(CONCATENATE("#Metadata!", ADDRESS(INDEX($Q$2:$Q$1001,MATCH(ROWS($O$2:O334),$O$2:$O$1001,0),0), INDEX($V$1004:$AE$1004,1,MATCH(COLUMNS($V$1006:Y1006),$V$1006:$AE$1006,0)))),"Fix")))</f>
        <v>0</v>
      </c>
      <c r="F334" s="4">
        <f>IF(OR(INDEX($P$2:$P$1001,MATCH(ROWS($O$2:O334),$O$2:$O$1001,0),1)&gt;=100000,INDEX($V$1005:$AE$1005,1,MATCH(COLUMNS($V$1006:Z1006),$V$1006:$AE$1006,0))&gt;=100000), " ",IF(INDEX($V$2:$AE$1001,MATCH(ROWS($O$2:O334),$O$2:$O$1001,0),MATCH(COLUMNS($V$1006:Z1006),$V$1006:$AE$1006,0)), HYPERLINK("#",""), HYPERLINK(CONCATENATE("#Metadata!", ADDRESS(INDEX($Q$2:$Q$1001,MATCH(ROWS($O$2:O334),$O$2:$O$1001,0),0), INDEX($V$1004:$AE$1004,1,MATCH(COLUMNS($V$1006:Z1006),$V$1006:$AE$1006,0)))),"Fix")))</f>
        <v>0</v>
      </c>
      <c r="G334" s="4">
        <f>IF(OR(INDEX($P$2:$P$1001,MATCH(ROWS($O$2:O334),$O$2:$O$1001,0),1)&gt;=100000,INDEX($V$1005:$AE$1005,1,MATCH(COLUMNS($V$1006:AA1006),$V$1006:$AE$1006,0))&gt;=100000), " ",IF(INDEX($V$2:$AE$1001,MATCH(ROWS($O$2:O334),$O$2:$O$1001,0),MATCH(COLUMNS($V$1006:AA1006),$V$1006:$AE$1006,0)), HYPERLINK("#",""), HYPERLINK(CONCATENATE("#Metadata!", ADDRESS(INDEX($Q$2:$Q$1001,MATCH(ROWS($O$2:O334),$O$2:$O$1001,0),0), INDEX($V$1004:$AE$1004,1,MATCH(COLUMNS($V$1006:AA1006),$V$1006:$AE$1006,0)))),"Fix")))</f>
        <v>0</v>
      </c>
      <c r="H334" s="4">
        <f>IF(OR(INDEX($P$2:$P$1001,MATCH(ROWS($O$2:O334),$O$2:$O$1001,0),1)&gt;=100000,INDEX($V$1005:$AE$1005,1,MATCH(COLUMNS($V$1006:AB1006),$V$1006:$AE$1006,0))&gt;=100000), " ",IF(INDEX($V$2:$AE$1001,MATCH(ROWS($O$2:O334),$O$2:$O$1001,0),MATCH(COLUMNS($V$1006:AB1006),$V$1006:$AE$1006,0)), HYPERLINK("#",""), HYPERLINK(CONCATENATE("#Metadata!", ADDRESS(INDEX($Q$2:$Q$1001,MATCH(ROWS($O$2:O334),$O$2:$O$1001,0),0), INDEX($V$1004:$AE$1004,1,MATCH(COLUMNS($V$1006:AB1006),$V$1006:$AE$1006,0)))),"Fix")))</f>
        <v>0</v>
      </c>
      <c r="I334" s="4">
        <f>IF(OR(INDEX($P$2:$P$1001,MATCH(ROWS($O$2:O334),$O$2:$O$1001,0),1)&gt;=100000,INDEX($V$1005:$AE$1005,1,MATCH(COLUMNS($V$1006:AC1006),$V$1006:$AE$1006,0))&gt;=100000), " ",IF(INDEX($V$2:$AE$1001,MATCH(ROWS($O$2:O334),$O$2:$O$1001,0),MATCH(COLUMNS($V$1006:AC1006),$V$1006:$AE$1006,0)), HYPERLINK("#",""), HYPERLINK(CONCATENATE("#Metadata!", ADDRESS(INDEX($Q$2:$Q$1001,MATCH(ROWS($O$2:O334),$O$2:$O$1001,0),0), INDEX($V$1004:$AE$1004,1,MATCH(COLUMNS($V$1006:AC1006),$V$1006:$AE$1006,0)))),"Fix")))</f>
        <v>0</v>
      </c>
      <c r="J334" s="4">
        <f>IF(OR(INDEX($P$2:$P$1001,MATCH(ROWS($O$2:O334),$O$2:$O$1001,0),1)&gt;=100000,INDEX($V$1005:$AE$1005,1,MATCH(COLUMNS($V$1006:AD1006),$V$1006:$AE$1006,0))&gt;=100000), " ",IF(INDEX($V$2:$AE$1001,MATCH(ROWS($O$2:O334),$O$2:$O$1001,0),MATCH(COLUMNS($V$1006:AD1006),$V$1006:$AE$1006,0)), HYPERLINK("#",""), HYPERLINK(CONCATENATE("#Metadata!", ADDRESS(INDEX($Q$2:$Q$1001,MATCH(ROWS($O$2:O334),$O$2:$O$1001,0),0), INDEX($V$1004:$AE$1004,1,MATCH(COLUMNS($V$1006:AD1006),$V$1006:$AE$1006,0)))),"Fix")))</f>
        <v>0</v>
      </c>
      <c r="K334" s="4">
        <f>IF(OR(INDEX($P$2:$P$1001,MATCH(ROWS($O$2:O334),$O$2:$O$1001,0),1)&gt;=100000,INDEX($V$1005:$AE$1005,1,MATCH(COLUMNS($V$1006:AE1006),$V$1006:$AE$1006,0))&gt;=100000), " ",IF(INDEX($V$2:$AE$1001,MATCH(ROWS($O$2:O334),$O$2:$O$1001,0),MATCH(COLUMNS($V$1006:AE1006),$V$1006:$AE$1006,0)), HYPERLINK("#",""), HYPERLINK(CONCATENATE("#Metadata!", ADDRESS(INDEX($Q$2:$Q$1001,MATCH(ROWS($O$2:O334),$O$2:$O$1001,0),0), INDEX($V$1004:$AE$1004,1,MATCH(COLUMNS($V$1006:AE1006),$V$1006:$AE$1006,0)))),"Fix")))</f>
        <v>0</v>
      </c>
      <c r="O334">
        <v>0</v>
      </c>
      <c r="P334">
        <v>0</v>
      </c>
      <c r="Q334">
        <v>0</v>
      </c>
      <c r="R334">
        <f>IF(S334,TRUE,AND(V334:AE334))</f>
        <v>0</v>
      </c>
      <c r="S334">
        <f>COUNTBLANK(Metadata!B334:K334)=COLUMNS(Metadata!B334:K334)</f>
        <v>0</v>
      </c>
      <c r="T334">
        <v>0</v>
      </c>
      <c r="V334">
        <f>AND(IF(Metadata!B334="",FALSE,TRUE),COUNTIF(Metadata!B:B, Metadata!B334) = 1,NOT(ISERROR(SUMPRODUCT(SEARCH(MID(Metadata!B334,ROW(INDIRECT("1:"&amp;LEN(Metadata!B334))), 1),"0123456789abcdefghijklmnopqrstuvwxyzABCDEFGHIJKLMNOPQRSTUVWXYZ.")))))</f>
        <v>0</v>
      </c>
      <c r="W334">
        <f>AND(IF(Metadata!C334="",FALSE,TRUE),exact(Metadata!C334,"urban biome"))</f>
        <v>0</v>
      </c>
      <c r="X334">
        <f>AND(IF(Metadata!D334="",FALSE,TRUE),exact(Metadata!D334,"animal-associated habitat"))</f>
        <v>0</v>
      </c>
      <c r="Y334">
        <f>OR(AND(IF(Metadata!E334="",FALSE,TRUE),OR(exact(Metadata!E334,"not applicable"),exact(Metadata!E334,"missing: not collected"),exact(Metadata!E334,"missing: not provided"),exact(Metadata!E334,"missing: restricted access"))),AND(IF(Metadata!E334="",FALSE,ISNUMBER(VALUE(Metadata!E334))),Metadata!E334&gt;0))</f>
        <v>0</v>
      </c>
      <c r="Z334">
        <f>AND(IF(Metadata!F334="",FALSE,TRUE),exact(Metadata!F334,"weeks"))</f>
        <v>0</v>
      </c>
      <c r="AA334">
        <f>AND(IF(Metadata!G334="",FALSE,TRUE),exact(Metadata!G334,"mouse"))</f>
        <v>0</v>
      </c>
      <c r="AB334">
        <f>AND(IF(Metadata!H334="",FALSE,TRUE),exact(Metadata!H334,"Mus musculus"))</f>
        <v>0</v>
      </c>
      <c r="AC334">
        <f>AND(IF(Metadata!I334="",FALSE,TRUE),exact(Metadata!I334,"10090"))</f>
        <v>0</v>
      </c>
      <c r="AD334">
        <f>OR(AND(IF(Metadata!J334="",FALSE,TRUE),OR(exact(Metadata!J334,"not applicable"),exact(Metadata!J334,"missing: not collected"),exact(Metadata!J334,"missing: not provided"),exact(Metadata!J334,"missing: restricted access"))),AND(IF(Metadata!J334="",FALSE,ISNUMBER(VALUE(Metadata!J334))),Metadata!J334&gt;0))</f>
        <v>0</v>
      </c>
      <c r="AE334">
        <f>AND(IF(Metadata!K334="",FALSE,TRUE),exact(Metadata!K334,"g"))</f>
        <v>0</v>
      </c>
    </row>
    <row r="335" spans="1:31">
      <c r="A335" s="5">
        <f>IF(B335=" "," ",HYPERLINK(CONCATENATE("#metadata!",ADDRESS(INDEX($Q$2:$Q$1001,MATCH(ROWS($O$2:O335),$O$2:$O$1001,0),0),1)),INDEX($T$2:$T$1001,MATCH(ROWS($O$2:O335),$O$2:$O$1001,0),0)))</f>
        <v>0</v>
      </c>
      <c r="B335" s="4">
        <f>IF(OR(INDEX($P$2:$P$1001,MATCH(ROWS($O$2:O335),$O$2:$O$1001,0),1)&gt;=100000,INDEX($V$1005:$AE$1005,1,MATCH(COLUMNS($V$1006:V1006),$V$1006:$AE$1006,0))&gt;=100000), " ",IF(INDEX($V$2:$AE$1001,MATCH(ROWS($O$2:O335),$O$2:$O$1001,0),MATCH(COLUMNS($V$1006:V1006),$V$1006:$AE$1006,0)), HYPERLINK("#",""), HYPERLINK(CONCATENATE("#Metadata!", ADDRESS(INDEX($Q$2:$Q$1001,MATCH(ROWS($O$2:O335),$O$2:$O$1001,0),0), INDEX($V$1004:$AE$1004,1,MATCH(COLUMNS($V$1006:V1006),$V$1006:$AE$1006,0)))),"Fix")))</f>
        <v>0</v>
      </c>
      <c r="C335" s="4">
        <f>IF(OR(INDEX($P$2:$P$1001,MATCH(ROWS($O$2:O335),$O$2:$O$1001,0),1)&gt;=100000,INDEX($V$1005:$AE$1005,1,MATCH(COLUMNS($V$1006:W1006),$V$1006:$AE$1006,0))&gt;=100000), " ",IF(INDEX($V$2:$AE$1001,MATCH(ROWS($O$2:O335),$O$2:$O$1001,0),MATCH(COLUMNS($V$1006:W1006),$V$1006:$AE$1006,0)), HYPERLINK("#",""), HYPERLINK(CONCATENATE("#Metadata!", ADDRESS(INDEX($Q$2:$Q$1001,MATCH(ROWS($O$2:O335),$O$2:$O$1001,0),0), INDEX($V$1004:$AE$1004,1,MATCH(COLUMNS($V$1006:W1006),$V$1006:$AE$1006,0)))),"Fix")))</f>
        <v>0</v>
      </c>
      <c r="D335" s="4">
        <f>IF(OR(INDEX($P$2:$P$1001,MATCH(ROWS($O$2:O335),$O$2:$O$1001,0),1)&gt;=100000,INDEX($V$1005:$AE$1005,1,MATCH(COLUMNS($V$1006:X1006),$V$1006:$AE$1006,0))&gt;=100000), " ",IF(INDEX($V$2:$AE$1001,MATCH(ROWS($O$2:O335),$O$2:$O$1001,0),MATCH(COLUMNS($V$1006:X1006),$V$1006:$AE$1006,0)), HYPERLINK("#",""), HYPERLINK(CONCATENATE("#Metadata!", ADDRESS(INDEX($Q$2:$Q$1001,MATCH(ROWS($O$2:O335),$O$2:$O$1001,0),0), INDEX($V$1004:$AE$1004,1,MATCH(COLUMNS($V$1006:X1006),$V$1006:$AE$1006,0)))),"Fix")))</f>
        <v>0</v>
      </c>
      <c r="E335" s="4">
        <f>IF(OR(INDEX($P$2:$P$1001,MATCH(ROWS($O$2:O335),$O$2:$O$1001,0),1)&gt;=100000,INDEX($V$1005:$AE$1005,1,MATCH(COLUMNS($V$1006:Y1006),$V$1006:$AE$1006,0))&gt;=100000), " ",IF(INDEX($V$2:$AE$1001,MATCH(ROWS($O$2:O335),$O$2:$O$1001,0),MATCH(COLUMNS($V$1006:Y1006),$V$1006:$AE$1006,0)), HYPERLINK("#",""), HYPERLINK(CONCATENATE("#Metadata!", ADDRESS(INDEX($Q$2:$Q$1001,MATCH(ROWS($O$2:O335),$O$2:$O$1001,0),0), INDEX($V$1004:$AE$1004,1,MATCH(COLUMNS($V$1006:Y1006),$V$1006:$AE$1006,0)))),"Fix")))</f>
        <v>0</v>
      </c>
      <c r="F335" s="4">
        <f>IF(OR(INDEX($P$2:$P$1001,MATCH(ROWS($O$2:O335),$O$2:$O$1001,0),1)&gt;=100000,INDEX($V$1005:$AE$1005,1,MATCH(COLUMNS($V$1006:Z1006),$V$1006:$AE$1006,0))&gt;=100000), " ",IF(INDEX($V$2:$AE$1001,MATCH(ROWS($O$2:O335),$O$2:$O$1001,0),MATCH(COLUMNS($V$1006:Z1006),$V$1006:$AE$1006,0)), HYPERLINK("#",""), HYPERLINK(CONCATENATE("#Metadata!", ADDRESS(INDEX($Q$2:$Q$1001,MATCH(ROWS($O$2:O335),$O$2:$O$1001,0),0), INDEX($V$1004:$AE$1004,1,MATCH(COLUMNS($V$1006:Z1006),$V$1006:$AE$1006,0)))),"Fix")))</f>
        <v>0</v>
      </c>
      <c r="G335" s="4">
        <f>IF(OR(INDEX($P$2:$P$1001,MATCH(ROWS($O$2:O335),$O$2:$O$1001,0),1)&gt;=100000,INDEX($V$1005:$AE$1005,1,MATCH(COLUMNS($V$1006:AA1006),$V$1006:$AE$1006,0))&gt;=100000), " ",IF(INDEX($V$2:$AE$1001,MATCH(ROWS($O$2:O335),$O$2:$O$1001,0),MATCH(COLUMNS($V$1006:AA1006),$V$1006:$AE$1006,0)), HYPERLINK("#",""), HYPERLINK(CONCATENATE("#Metadata!", ADDRESS(INDEX($Q$2:$Q$1001,MATCH(ROWS($O$2:O335),$O$2:$O$1001,0),0), INDEX($V$1004:$AE$1004,1,MATCH(COLUMNS($V$1006:AA1006),$V$1006:$AE$1006,0)))),"Fix")))</f>
        <v>0</v>
      </c>
      <c r="H335" s="4">
        <f>IF(OR(INDEX($P$2:$P$1001,MATCH(ROWS($O$2:O335),$O$2:$O$1001,0),1)&gt;=100000,INDEX($V$1005:$AE$1005,1,MATCH(COLUMNS($V$1006:AB1006),$V$1006:$AE$1006,0))&gt;=100000), " ",IF(INDEX($V$2:$AE$1001,MATCH(ROWS($O$2:O335),$O$2:$O$1001,0),MATCH(COLUMNS($V$1006:AB1006),$V$1006:$AE$1006,0)), HYPERLINK("#",""), HYPERLINK(CONCATENATE("#Metadata!", ADDRESS(INDEX($Q$2:$Q$1001,MATCH(ROWS($O$2:O335),$O$2:$O$1001,0),0), INDEX($V$1004:$AE$1004,1,MATCH(COLUMNS($V$1006:AB1006),$V$1006:$AE$1006,0)))),"Fix")))</f>
        <v>0</v>
      </c>
      <c r="I335" s="4">
        <f>IF(OR(INDEX($P$2:$P$1001,MATCH(ROWS($O$2:O335),$O$2:$O$1001,0),1)&gt;=100000,INDEX($V$1005:$AE$1005,1,MATCH(COLUMNS($V$1006:AC1006),$V$1006:$AE$1006,0))&gt;=100000), " ",IF(INDEX($V$2:$AE$1001,MATCH(ROWS($O$2:O335),$O$2:$O$1001,0),MATCH(COLUMNS($V$1006:AC1006),$V$1006:$AE$1006,0)), HYPERLINK("#",""), HYPERLINK(CONCATENATE("#Metadata!", ADDRESS(INDEX($Q$2:$Q$1001,MATCH(ROWS($O$2:O335),$O$2:$O$1001,0),0), INDEX($V$1004:$AE$1004,1,MATCH(COLUMNS($V$1006:AC1006),$V$1006:$AE$1006,0)))),"Fix")))</f>
        <v>0</v>
      </c>
      <c r="J335" s="4">
        <f>IF(OR(INDEX($P$2:$P$1001,MATCH(ROWS($O$2:O335),$O$2:$O$1001,0),1)&gt;=100000,INDEX($V$1005:$AE$1005,1,MATCH(COLUMNS($V$1006:AD1006),$V$1006:$AE$1006,0))&gt;=100000), " ",IF(INDEX($V$2:$AE$1001,MATCH(ROWS($O$2:O335),$O$2:$O$1001,0),MATCH(COLUMNS($V$1006:AD1006),$V$1006:$AE$1006,0)), HYPERLINK("#",""), HYPERLINK(CONCATENATE("#Metadata!", ADDRESS(INDEX($Q$2:$Q$1001,MATCH(ROWS($O$2:O335),$O$2:$O$1001,0),0), INDEX($V$1004:$AE$1004,1,MATCH(COLUMNS($V$1006:AD1006),$V$1006:$AE$1006,0)))),"Fix")))</f>
        <v>0</v>
      </c>
      <c r="K335" s="4">
        <f>IF(OR(INDEX($P$2:$P$1001,MATCH(ROWS($O$2:O335),$O$2:$O$1001,0),1)&gt;=100000,INDEX($V$1005:$AE$1005,1,MATCH(COLUMNS($V$1006:AE1006),$V$1006:$AE$1006,0))&gt;=100000), " ",IF(INDEX($V$2:$AE$1001,MATCH(ROWS($O$2:O335),$O$2:$O$1001,0),MATCH(COLUMNS($V$1006:AE1006),$V$1006:$AE$1006,0)), HYPERLINK("#",""), HYPERLINK(CONCATENATE("#Metadata!", ADDRESS(INDEX($Q$2:$Q$1001,MATCH(ROWS($O$2:O335),$O$2:$O$1001,0),0), INDEX($V$1004:$AE$1004,1,MATCH(COLUMNS($V$1006:AE1006),$V$1006:$AE$1006,0)))),"Fix")))</f>
        <v>0</v>
      </c>
      <c r="O335">
        <v>0</v>
      </c>
      <c r="P335">
        <v>0</v>
      </c>
      <c r="Q335">
        <v>0</v>
      </c>
      <c r="R335">
        <f>IF(S335,TRUE,AND(V335:AE335))</f>
        <v>0</v>
      </c>
      <c r="S335">
        <f>COUNTBLANK(Metadata!B335:K335)=COLUMNS(Metadata!B335:K335)</f>
        <v>0</v>
      </c>
      <c r="T335">
        <v>0</v>
      </c>
      <c r="V335">
        <f>AND(IF(Metadata!B335="",FALSE,TRUE),COUNTIF(Metadata!B:B, Metadata!B335) = 1,NOT(ISERROR(SUMPRODUCT(SEARCH(MID(Metadata!B335,ROW(INDIRECT("1:"&amp;LEN(Metadata!B335))), 1),"0123456789abcdefghijklmnopqrstuvwxyzABCDEFGHIJKLMNOPQRSTUVWXYZ.")))))</f>
        <v>0</v>
      </c>
      <c r="W335">
        <f>AND(IF(Metadata!C335="",FALSE,TRUE),exact(Metadata!C335,"urban biome"))</f>
        <v>0</v>
      </c>
      <c r="X335">
        <f>AND(IF(Metadata!D335="",FALSE,TRUE),exact(Metadata!D335,"animal-associated habitat"))</f>
        <v>0</v>
      </c>
      <c r="Y335">
        <f>OR(AND(IF(Metadata!E335="",FALSE,TRUE),OR(exact(Metadata!E335,"not applicable"),exact(Metadata!E335,"missing: not collected"),exact(Metadata!E335,"missing: not provided"),exact(Metadata!E335,"missing: restricted access"))),AND(IF(Metadata!E335="",FALSE,ISNUMBER(VALUE(Metadata!E335))),Metadata!E335&gt;0))</f>
        <v>0</v>
      </c>
      <c r="Z335">
        <f>AND(IF(Metadata!F335="",FALSE,TRUE),exact(Metadata!F335,"weeks"))</f>
        <v>0</v>
      </c>
      <c r="AA335">
        <f>AND(IF(Metadata!G335="",FALSE,TRUE),exact(Metadata!G335,"mouse"))</f>
        <v>0</v>
      </c>
      <c r="AB335">
        <f>AND(IF(Metadata!H335="",FALSE,TRUE),exact(Metadata!H335,"Mus musculus"))</f>
        <v>0</v>
      </c>
      <c r="AC335">
        <f>AND(IF(Metadata!I335="",FALSE,TRUE),exact(Metadata!I335,"10090"))</f>
        <v>0</v>
      </c>
      <c r="AD335">
        <f>OR(AND(IF(Metadata!J335="",FALSE,TRUE),OR(exact(Metadata!J335,"not applicable"),exact(Metadata!J335,"missing: not collected"),exact(Metadata!J335,"missing: not provided"),exact(Metadata!J335,"missing: restricted access"))),AND(IF(Metadata!J335="",FALSE,ISNUMBER(VALUE(Metadata!J335))),Metadata!J335&gt;0))</f>
        <v>0</v>
      </c>
      <c r="AE335">
        <f>AND(IF(Metadata!K335="",FALSE,TRUE),exact(Metadata!K335,"g"))</f>
        <v>0</v>
      </c>
    </row>
    <row r="336" spans="1:31">
      <c r="A336" s="5">
        <f>IF(B336=" "," ",HYPERLINK(CONCATENATE("#metadata!",ADDRESS(INDEX($Q$2:$Q$1001,MATCH(ROWS($O$2:O336),$O$2:$O$1001,0),0),1)),INDEX($T$2:$T$1001,MATCH(ROWS($O$2:O336),$O$2:$O$1001,0),0)))</f>
        <v>0</v>
      </c>
      <c r="B336" s="4">
        <f>IF(OR(INDEX($P$2:$P$1001,MATCH(ROWS($O$2:O336),$O$2:$O$1001,0),1)&gt;=100000,INDEX($V$1005:$AE$1005,1,MATCH(COLUMNS($V$1006:V1006),$V$1006:$AE$1006,0))&gt;=100000), " ",IF(INDEX($V$2:$AE$1001,MATCH(ROWS($O$2:O336),$O$2:$O$1001,0),MATCH(COLUMNS($V$1006:V1006),$V$1006:$AE$1006,0)), HYPERLINK("#",""), HYPERLINK(CONCATENATE("#Metadata!", ADDRESS(INDEX($Q$2:$Q$1001,MATCH(ROWS($O$2:O336),$O$2:$O$1001,0),0), INDEX($V$1004:$AE$1004,1,MATCH(COLUMNS($V$1006:V1006),$V$1006:$AE$1006,0)))),"Fix")))</f>
        <v>0</v>
      </c>
      <c r="C336" s="4">
        <f>IF(OR(INDEX($P$2:$P$1001,MATCH(ROWS($O$2:O336),$O$2:$O$1001,0),1)&gt;=100000,INDEX($V$1005:$AE$1005,1,MATCH(COLUMNS($V$1006:W1006),$V$1006:$AE$1006,0))&gt;=100000), " ",IF(INDEX($V$2:$AE$1001,MATCH(ROWS($O$2:O336),$O$2:$O$1001,0),MATCH(COLUMNS($V$1006:W1006),$V$1006:$AE$1006,0)), HYPERLINK("#",""), HYPERLINK(CONCATENATE("#Metadata!", ADDRESS(INDEX($Q$2:$Q$1001,MATCH(ROWS($O$2:O336),$O$2:$O$1001,0),0), INDEX($V$1004:$AE$1004,1,MATCH(COLUMNS($V$1006:W1006),$V$1006:$AE$1006,0)))),"Fix")))</f>
        <v>0</v>
      </c>
      <c r="D336" s="4">
        <f>IF(OR(INDEX($P$2:$P$1001,MATCH(ROWS($O$2:O336),$O$2:$O$1001,0),1)&gt;=100000,INDEX($V$1005:$AE$1005,1,MATCH(COLUMNS($V$1006:X1006),$V$1006:$AE$1006,0))&gt;=100000), " ",IF(INDEX($V$2:$AE$1001,MATCH(ROWS($O$2:O336),$O$2:$O$1001,0),MATCH(COLUMNS($V$1006:X1006),$V$1006:$AE$1006,0)), HYPERLINK("#",""), HYPERLINK(CONCATENATE("#Metadata!", ADDRESS(INDEX($Q$2:$Q$1001,MATCH(ROWS($O$2:O336),$O$2:$O$1001,0),0), INDEX($V$1004:$AE$1004,1,MATCH(COLUMNS($V$1006:X1006),$V$1006:$AE$1006,0)))),"Fix")))</f>
        <v>0</v>
      </c>
      <c r="E336" s="4">
        <f>IF(OR(INDEX($P$2:$P$1001,MATCH(ROWS($O$2:O336),$O$2:$O$1001,0),1)&gt;=100000,INDEX($V$1005:$AE$1005,1,MATCH(COLUMNS($V$1006:Y1006),$V$1006:$AE$1006,0))&gt;=100000), " ",IF(INDEX($V$2:$AE$1001,MATCH(ROWS($O$2:O336),$O$2:$O$1001,0),MATCH(COLUMNS($V$1006:Y1006),$V$1006:$AE$1006,0)), HYPERLINK("#",""), HYPERLINK(CONCATENATE("#Metadata!", ADDRESS(INDEX($Q$2:$Q$1001,MATCH(ROWS($O$2:O336),$O$2:$O$1001,0),0), INDEX($V$1004:$AE$1004,1,MATCH(COLUMNS($V$1006:Y1006),$V$1006:$AE$1006,0)))),"Fix")))</f>
        <v>0</v>
      </c>
      <c r="F336" s="4">
        <f>IF(OR(INDEX($P$2:$P$1001,MATCH(ROWS($O$2:O336),$O$2:$O$1001,0),1)&gt;=100000,INDEX($V$1005:$AE$1005,1,MATCH(COLUMNS($V$1006:Z1006),$V$1006:$AE$1006,0))&gt;=100000), " ",IF(INDEX($V$2:$AE$1001,MATCH(ROWS($O$2:O336),$O$2:$O$1001,0),MATCH(COLUMNS($V$1006:Z1006),$V$1006:$AE$1006,0)), HYPERLINK("#",""), HYPERLINK(CONCATENATE("#Metadata!", ADDRESS(INDEX($Q$2:$Q$1001,MATCH(ROWS($O$2:O336),$O$2:$O$1001,0),0), INDEX($V$1004:$AE$1004,1,MATCH(COLUMNS($V$1006:Z1006),$V$1006:$AE$1006,0)))),"Fix")))</f>
        <v>0</v>
      </c>
      <c r="G336" s="4">
        <f>IF(OR(INDEX($P$2:$P$1001,MATCH(ROWS($O$2:O336),$O$2:$O$1001,0),1)&gt;=100000,INDEX($V$1005:$AE$1005,1,MATCH(COLUMNS($V$1006:AA1006),$V$1006:$AE$1006,0))&gt;=100000), " ",IF(INDEX($V$2:$AE$1001,MATCH(ROWS($O$2:O336),$O$2:$O$1001,0),MATCH(COLUMNS($V$1006:AA1006),$V$1006:$AE$1006,0)), HYPERLINK("#",""), HYPERLINK(CONCATENATE("#Metadata!", ADDRESS(INDEX($Q$2:$Q$1001,MATCH(ROWS($O$2:O336),$O$2:$O$1001,0),0), INDEX($V$1004:$AE$1004,1,MATCH(COLUMNS($V$1006:AA1006),$V$1006:$AE$1006,0)))),"Fix")))</f>
        <v>0</v>
      </c>
      <c r="H336" s="4">
        <f>IF(OR(INDEX($P$2:$P$1001,MATCH(ROWS($O$2:O336),$O$2:$O$1001,0),1)&gt;=100000,INDEX($V$1005:$AE$1005,1,MATCH(COLUMNS($V$1006:AB1006),$V$1006:$AE$1006,0))&gt;=100000), " ",IF(INDEX($V$2:$AE$1001,MATCH(ROWS($O$2:O336),$O$2:$O$1001,0),MATCH(COLUMNS($V$1006:AB1006),$V$1006:$AE$1006,0)), HYPERLINK("#",""), HYPERLINK(CONCATENATE("#Metadata!", ADDRESS(INDEX($Q$2:$Q$1001,MATCH(ROWS($O$2:O336),$O$2:$O$1001,0),0), INDEX($V$1004:$AE$1004,1,MATCH(COLUMNS($V$1006:AB1006),$V$1006:$AE$1006,0)))),"Fix")))</f>
        <v>0</v>
      </c>
      <c r="I336" s="4">
        <f>IF(OR(INDEX($P$2:$P$1001,MATCH(ROWS($O$2:O336),$O$2:$O$1001,0),1)&gt;=100000,INDEX($V$1005:$AE$1005,1,MATCH(COLUMNS($V$1006:AC1006),$V$1006:$AE$1006,0))&gt;=100000), " ",IF(INDEX($V$2:$AE$1001,MATCH(ROWS($O$2:O336),$O$2:$O$1001,0),MATCH(COLUMNS($V$1006:AC1006),$V$1006:$AE$1006,0)), HYPERLINK("#",""), HYPERLINK(CONCATENATE("#Metadata!", ADDRESS(INDEX($Q$2:$Q$1001,MATCH(ROWS($O$2:O336),$O$2:$O$1001,0),0), INDEX($V$1004:$AE$1004,1,MATCH(COLUMNS($V$1006:AC1006),$V$1006:$AE$1006,0)))),"Fix")))</f>
        <v>0</v>
      </c>
      <c r="J336" s="4">
        <f>IF(OR(INDEX($P$2:$P$1001,MATCH(ROWS($O$2:O336),$O$2:$O$1001,0),1)&gt;=100000,INDEX($V$1005:$AE$1005,1,MATCH(COLUMNS($V$1006:AD1006),$V$1006:$AE$1006,0))&gt;=100000), " ",IF(INDEX($V$2:$AE$1001,MATCH(ROWS($O$2:O336),$O$2:$O$1001,0),MATCH(COLUMNS($V$1006:AD1006),$V$1006:$AE$1006,0)), HYPERLINK("#",""), HYPERLINK(CONCATENATE("#Metadata!", ADDRESS(INDEX($Q$2:$Q$1001,MATCH(ROWS($O$2:O336),$O$2:$O$1001,0),0), INDEX($V$1004:$AE$1004,1,MATCH(COLUMNS($V$1006:AD1006),$V$1006:$AE$1006,0)))),"Fix")))</f>
        <v>0</v>
      </c>
      <c r="K336" s="4">
        <f>IF(OR(INDEX($P$2:$P$1001,MATCH(ROWS($O$2:O336),$O$2:$O$1001,0),1)&gt;=100000,INDEX($V$1005:$AE$1005,1,MATCH(COLUMNS($V$1006:AE1006),$V$1006:$AE$1006,0))&gt;=100000), " ",IF(INDEX($V$2:$AE$1001,MATCH(ROWS($O$2:O336),$O$2:$O$1001,0),MATCH(COLUMNS($V$1006:AE1006),$V$1006:$AE$1006,0)), HYPERLINK("#",""), HYPERLINK(CONCATENATE("#Metadata!", ADDRESS(INDEX($Q$2:$Q$1001,MATCH(ROWS($O$2:O336),$O$2:$O$1001,0),0), INDEX($V$1004:$AE$1004,1,MATCH(COLUMNS($V$1006:AE1006),$V$1006:$AE$1006,0)))),"Fix")))</f>
        <v>0</v>
      </c>
      <c r="O336">
        <v>0</v>
      </c>
      <c r="P336">
        <v>0</v>
      </c>
      <c r="Q336">
        <v>0</v>
      </c>
      <c r="R336">
        <f>IF(S336,TRUE,AND(V336:AE336))</f>
        <v>0</v>
      </c>
      <c r="S336">
        <f>COUNTBLANK(Metadata!B336:K336)=COLUMNS(Metadata!B336:K336)</f>
        <v>0</v>
      </c>
      <c r="T336">
        <v>0</v>
      </c>
      <c r="V336">
        <f>AND(IF(Metadata!B336="",FALSE,TRUE),COUNTIF(Metadata!B:B, Metadata!B336) = 1,NOT(ISERROR(SUMPRODUCT(SEARCH(MID(Metadata!B336,ROW(INDIRECT("1:"&amp;LEN(Metadata!B336))), 1),"0123456789abcdefghijklmnopqrstuvwxyzABCDEFGHIJKLMNOPQRSTUVWXYZ.")))))</f>
        <v>0</v>
      </c>
      <c r="W336">
        <f>AND(IF(Metadata!C336="",FALSE,TRUE),exact(Metadata!C336,"urban biome"))</f>
        <v>0</v>
      </c>
      <c r="X336">
        <f>AND(IF(Metadata!D336="",FALSE,TRUE),exact(Metadata!D336,"animal-associated habitat"))</f>
        <v>0</v>
      </c>
      <c r="Y336">
        <f>OR(AND(IF(Metadata!E336="",FALSE,TRUE),OR(exact(Metadata!E336,"not applicable"),exact(Metadata!E336,"missing: not collected"),exact(Metadata!E336,"missing: not provided"),exact(Metadata!E336,"missing: restricted access"))),AND(IF(Metadata!E336="",FALSE,ISNUMBER(VALUE(Metadata!E336))),Metadata!E336&gt;0))</f>
        <v>0</v>
      </c>
      <c r="Z336">
        <f>AND(IF(Metadata!F336="",FALSE,TRUE),exact(Metadata!F336,"weeks"))</f>
        <v>0</v>
      </c>
      <c r="AA336">
        <f>AND(IF(Metadata!G336="",FALSE,TRUE),exact(Metadata!G336,"mouse"))</f>
        <v>0</v>
      </c>
      <c r="AB336">
        <f>AND(IF(Metadata!H336="",FALSE,TRUE),exact(Metadata!H336,"Mus musculus"))</f>
        <v>0</v>
      </c>
      <c r="AC336">
        <f>AND(IF(Metadata!I336="",FALSE,TRUE),exact(Metadata!I336,"10090"))</f>
        <v>0</v>
      </c>
      <c r="AD336">
        <f>OR(AND(IF(Metadata!J336="",FALSE,TRUE),OR(exact(Metadata!J336,"not applicable"),exact(Metadata!J336,"missing: not collected"),exact(Metadata!J336,"missing: not provided"),exact(Metadata!J336,"missing: restricted access"))),AND(IF(Metadata!J336="",FALSE,ISNUMBER(VALUE(Metadata!J336))),Metadata!J336&gt;0))</f>
        <v>0</v>
      </c>
      <c r="AE336">
        <f>AND(IF(Metadata!K336="",FALSE,TRUE),exact(Metadata!K336,"g"))</f>
        <v>0</v>
      </c>
    </row>
    <row r="337" spans="1:31">
      <c r="A337" s="5">
        <f>IF(B337=" "," ",HYPERLINK(CONCATENATE("#metadata!",ADDRESS(INDEX($Q$2:$Q$1001,MATCH(ROWS($O$2:O337),$O$2:$O$1001,0),0),1)),INDEX($T$2:$T$1001,MATCH(ROWS($O$2:O337),$O$2:$O$1001,0),0)))</f>
        <v>0</v>
      </c>
      <c r="B337" s="4">
        <f>IF(OR(INDEX($P$2:$P$1001,MATCH(ROWS($O$2:O337),$O$2:$O$1001,0),1)&gt;=100000,INDEX($V$1005:$AE$1005,1,MATCH(COLUMNS($V$1006:V1006),$V$1006:$AE$1006,0))&gt;=100000), " ",IF(INDEX($V$2:$AE$1001,MATCH(ROWS($O$2:O337),$O$2:$O$1001,0),MATCH(COLUMNS($V$1006:V1006),$V$1006:$AE$1006,0)), HYPERLINK("#",""), HYPERLINK(CONCATENATE("#Metadata!", ADDRESS(INDEX($Q$2:$Q$1001,MATCH(ROWS($O$2:O337),$O$2:$O$1001,0),0), INDEX($V$1004:$AE$1004,1,MATCH(COLUMNS($V$1006:V1006),$V$1006:$AE$1006,0)))),"Fix")))</f>
        <v>0</v>
      </c>
      <c r="C337" s="4">
        <f>IF(OR(INDEX($P$2:$P$1001,MATCH(ROWS($O$2:O337),$O$2:$O$1001,0),1)&gt;=100000,INDEX($V$1005:$AE$1005,1,MATCH(COLUMNS($V$1006:W1006),$V$1006:$AE$1006,0))&gt;=100000), " ",IF(INDEX($V$2:$AE$1001,MATCH(ROWS($O$2:O337),$O$2:$O$1001,0),MATCH(COLUMNS($V$1006:W1006),$V$1006:$AE$1006,0)), HYPERLINK("#",""), HYPERLINK(CONCATENATE("#Metadata!", ADDRESS(INDEX($Q$2:$Q$1001,MATCH(ROWS($O$2:O337),$O$2:$O$1001,0),0), INDEX($V$1004:$AE$1004,1,MATCH(COLUMNS($V$1006:W1006),$V$1006:$AE$1006,0)))),"Fix")))</f>
        <v>0</v>
      </c>
      <c r="D337" s="4">
        <f>IF(OR(INDEX($P$2:$P$1001,MATCH(ROWS($O$2:O337),$O$2:$O$1001,0),1)&gt;=100000,INDEX($V$1005:$AE$1005,1,MATCH(COLUMNS($V$1006:X1006),$V$1006:$AE$1006,0))&gt;=100000), " ",IF(INDEX($V$2:$AE$1001,MATCH(ROWS($O$2:O337),$O$2:$O$1001,0),MATCH(COLUMNS($V$1006:X1006),$V$1006:$AE$1006,0)), HYPERLINK("#",""), HYPERLINK(CONCATENATE("#Metadata!", ADDRESS(INDEX($Q$2:$Q$1001,MATCH(ROWS($O$2:O337),$O$2:$O$1001,0),0), INDEX($V$1004:$AE$1004,1,MATCH(COLUMNS($V$1006:X1006),$V$1006:$AE$1006,0)))),"Fix")))</f>
        <v>0</v>
      </c>
      <c r="E337" s="4">
        <f>IF(OR(INDEX($P$2:$P$1001,MATCH(ROWS($O$2:O337),$O$2:$O$1001,0),1)&gt;=100000,INDEX($V$1005:$AE$1005,1,MATCH(COLUMNS($V$1006:Y1006),$V$1006:$AE$1006,0))&gt;=100000), " ",IF(INDEX($V$2:$AE$1001,MATCH(ROWS($O$2:O337),$O$2:$O$1001,0),MATCH(COLUMNS($V$1006:Y1006),$V$1006:$AE$1006,0)), HYPERLINK("#",""), HYPERLINK(CONCATENATE("#Metadata!", ADDRESS(INDEX($Q$2:$Q$1001,MATCH(ROWS($O$2:O337),$O$2:$O$1001,0),0), INDEX($V$1004:$AE$1004,1,MATCH(COLUMNS($V$1006:Y1006),$V$1006:$AE$1006,0)))),"Fix")))</f>
        <v>0</v>
      </c>
      <c r="F337" s="4">
        <f>IF(OR(INDEX($P$2:$P$1001,MATCH(ROWS($O$2:O337),$O$2:$O$1001,0),1)&gt;=100000,INDEX($V$1005:$AE$1005,1,MATCH(COLUMNS($V$1006:Z1006),$V$1006:$AE$1006,0))&gt;=100000), " ",IF(INDEX($V$2:$AE$1001,MATCH(ROWS($O$2:O337),$O$2:$O$1001,0),MATCH(COLUMNS($V$1006:Z1006),$V$1006:$AE$1006,0)), HYPERLINK("#",""), HYPERLINK(CONCATENATE("#Metadata!", ADDRESS(INDEX($Q$2:$Q$1001,MATCH(ROWS($O$2:O337),$O$2:$O$1001,0),0), INDEX($V$1004:$AE$1004,1,MATCH(COLUMNS($V$1006:Z1006),$V$1006:$AE$1006,0)))),"Fix")))</f>
        <v>0</v>
      </c>
      <c r="G337" s="4">
        <f>IF(OR(INDEX($P$2:$P$1001,MATCH(ROWS($O$2:O337),$O$2:$O$1001,0),1)&gt;=100000,INDEX($V$1005:$AE$1005,1,MATCH(COLUMNS($V$1006:AA1006),$V$1006:$AE$1006,0))&gt;=100000), " ",IF(INDEX($V$2:$AE$1001,MATCH(ROWS($O$2:O337),$O$2:$O$1001,0),MATCH(COLUMNS($V$1006:AA1006),$V$1006:$AE$1006,0)), HYPERLINK("#",""), HYPERLINK(CONCATENATE("#Metadata!", ADDRESS(INDEX($Q$2:$Q$1001,MATCH(ROWS($O$2:O337),$O$2:$O$1001,0),0), INDEX($V$1004:$AE$1004,1,MATCH(COLUMNS($V$1006:AA1006),$V$1006:$AE$1006,0)))),"Fix")))</f>
        <v>0</v>
      </c>
      <c r="H337" s="4">
        <f>IF(OR(INDEX($P$2:$P$1001,MATCH(ROWS($O$2:O337),$O$2:$O$1001,0),1)&gt;=100000,INDEX($V$1005:$AE$1005,1,MATCH(COLUMNS($V$1006:AB1006),$V$1006:$AE$1006,0))&gt;=100000), " ",IF(INDEX($V$2:$AE$1001,MATCH(ROWS($O$2:O337),$O$2:$O$1001,0),MATCH(COLUMNS($V$1006:AB1006),$V$1006:$AE$1006,0)), HYPERLINK("#",""), HYPERLINK(CONCATENATE("#Metadata!", ADDRESS(INDEX($Q$2:$Q$1001,MATCH(ROWS($O$2:O337),$O$2:$O$1001,0),0), INDEX($V$1004:$AE$1004,1,MATCH(COLUMNS($V$1006:AB1006),$V$1006:$AE$1006,0)))),"Fix")))</f>
        <v>0</v>
      </c>
      <c r="I337" s="4">
        <f>IF(OR(INDEX($P$2:$P$1001,MATCH(ROWS($O$2:O337),$O$2:$O$1001,0),1)&gt;=100000,INDEX($V$1005:$AE$1005,1,MATCH(COLUMNS($V$1006:AC1006),$V$1006:$AE$1006,0))&gt;=100000), " ",IF(INDEX($V$2:$AE$1001,MATCH(ROWS($O$2:O337),$O$2:$O$1001,0),MATCH(COLUMNS($V$1006:AC1006),$V$1006:$AE$1006,0)), HYPERLINK("#",""), HYPERLINK(CONCATENATE("#Metadata!", ADDRESS(INDEX($Q$2:$Q$1001,MATCH(ROWS($O$2:O337),$O$2:$O$1001,0),0), INDEX($V$1004:$AE$1004,1,MATCH(COLUMNS($V$1006:AC1006),$V$1006:$AE$1006,0)))),"Fix")))</f>
        <v>0</v>
      </c>
      <c r="J337" s="4">
        <f>IF(OR(INDEX($P$2:$P$1001,MATCH(ROWS($O$2:O337),$O$2:$O$1001,0),1)&gt;=100000,INDEX($V$1005:$AE$1005,1,MATCH(COLUMNS($V$1006:AD1006),$V$1006:$AE$1006,0))&gt;=100000), " ",IF(INDEX($V$2:$AE$1001,MATCH(ROWS($O$2:O337),$O$2:$O$1001,0),MATCH(COLUMNS($V$1006:AD1006),$V$1006:$AE$1006,0)), HYPERLINK("#",""), HYPERLINK(CONCATENATE("#Metadata!", ADDRESS(INDEX($Q$2:$Q$1001,MATCH(ROWS($O$2:O337),$O$2:$O$1001,0),0), INDEX($V$1004:$AE$1004,1,MATCH(COLUMNS($V$1006:AD1006),$V$1006:$AE$1006,0)))),"Fix")))</f>
        <v>0</v>
      </c>
      <c r="K337" s="4">
        <f>IF(OR(INDEX($P$2:$P$1001,MATCH(ROWS($O$2:O337),$O$2:$O$1001,0),1)&gt;=100000,INDEX($V$1005:$AE$1005,1,MATCH(COLUMNS($V$1006:AE1006),$V$1006:$AE$1006,0))&gt;=100000), " ",IF(INDEX($V$2:$AE$1001,MATCH(ROWS($O$2:O337),$O$2:$O$1001,0),MATCH(COLUMNS($V$1006:AE1006),$V$1006:$AE$1006,0)), HYPERLINK("#",""), HYPERLINK(CONCATENATE("#Metadata!", ADDRESS(INDEX($Q$2:$Q$1001,MATCH(ROWS($O$2:O337),$O$2:$O$1001,0),0), INDEX($V$1004:$AE$1004,1,MATCH(COLUMNS($V$1006:AE1006),$V$1006:$AE$1006,0)))),"Fix")))</f>
        <v>0</v>
      </c>
      <c r="O337">
        <v>0</v>
      </c>
      <c r="P337">
        <v>0</v>
      </c>
      <c r="Q337">
        <v>0</v>
      </c>
      <c r="R337">
        <f>IF(S337,TRUE,AND(V337:AE337))</f>
        <v>0</v>
      </c>
      <c r="S337">
        <f>COUNTBLANK(Metadata!B337:K337)=COLUMNS(Metadata!B337:K337)</f>
        <v>0</v>
      </c>
      <c r="T337">
        <v>0</v>
      </c>
      <c r="V337">
        <f>AND(IF(Metadata!B337="",FALSE,TRUE),COUNTIF(Metadata!B:B, Metadata!B337) = 1,NOT(ISERROR(SUMPRODUCT(SEARCH(MID(Metadata!B337,ROW(INDIRECT("1:"&amp;LEN(Metadata!B337))), 1),"0123456789abcdefghijklmnopqrstuvwxyzABCDEFGHIJKLMNOPQRSTUVWXYZ.")))))</f>
        <v>0</v>
      </c>
      <c r="W337">
        <f>AND(IF(Metadata!C337="",FALSE,TRUE),exact(Metadata!C337,"urban biome"))</f>
        <v>0</v>
      </c>
      <c r="X337">
        <f>AND(IF(Metadata!D337="",FALSE,TRUE),exact(Metadata!D337,"animal-associated habitat"))</f>
        <v>0</v>
      </c>
      <c r="Y337">
        <f>OR(AND(IF(Metadata!E337="",FALSE,TRUE),OR(exact(Metadata!E337,"not applicable"),exact(Metadata!E337,"missing: not collected"),exact(Metadata!E337,"missing: not provided"),exact(Metadata!E337,"missing: restricted access"))),AND(IF(Metadata!E337="",FALSE,ISNUMBER(VALUE(Metadata!E337))),Metadata!E337&gt;0))</f>
        <v>0</v>
      </c>
      <c r="Z337">
        <f>AND(IF(Metadata!F337="",FALSE,TRUE),exact(Metadata!F337,"weeks"))</f>
        <v>0</v>
      </c>
      <c r="AA337">
        <f>AND(IF(Metadata!G337="",FALSE,TRUE),exact(Metadata!G337,"mouse"))</f>
        <v>0</v>
      </c>
      <c r="AB337">
        <f>AND(IF(Metadata!H337="",FALSE,TRUE),exact(Metadata!H337,"Mus musculus"))</f>
        <v>0</v>
      </c>
      <c r="AC337">
        <f>AND(IF(Metadata!I337="",FALSE,TRUE),exact(Metadata!I337,"10090"))</f>
        <v>0</v>
      </c>
      <c r="AD337">
        <f>OR(AND(IF(Metadata!J337="",FALSE,TRUE),OR(exact(Metadata!J337,"not applicable"),exact(Metadata!J337,"missing: not collected"),exact(Metadata!J337,"missing: not provided"),exact(Metadata!J337,"missing: restricted access"))),AND(IF(Metadata!J337="",FALSE,ISNUMBER(VALUE(Metadata!J337))),Metadata!J337&gt;0))</f>
        <v>0</v>
      </c>
      <c r="AE337">
        <f>AND(IF(Metadata!K337="",FALSE,TRUE),exact(Metadata!K337,"g"))</f>
        <v>0</v>
      </c>
    </row>
    <row r="338" spans="1:31">
      <c r="A338" s="5">
        <f>IF(B338=" "," ",HYPERLINK(CONCATENATE("#metadata!",ADDRESS(INDEX($Q$2:$Q$1001,MATCH(ROWS($O$2:O338),$O$2:$O$1001,0),0),1)),INDEX($T$2:$T$1001,MATCH(ROWS($O$2:O338),$O$2:$O$1001,0),0)))</f>
        <v>0</v>
      </c>
      <c r="B338" s="4">
        <f>IF(OR(INDEX($P$2:$P$1001,MATCH(ROWS($O$2:O338),$O$2:$O$1001,0),1)&gt;=100000,INDEX($V$1005:$AE$1005,1,MATCH(COLUMNS($V$1006:V1006),$V$1006:$AE$1006,0))&gt;=100000), " ",IF(INDEX($V$2:$AE$1001,MATCH(ROWS($O$2:O338),$O$2:$O$1001,0),MATCH(COLUMNS($V$1006:V1006),$V$1006:$AE$1006,0)), HYPERLINK("#",""), HYPERLINK(CONCATENATE("#Metadata!", ADDRESS(INDEX($Q$2:$Q$1001,MATCH(ROWS($O$2:O338),$O$2:$O$1001,0),0), INDEX($V$1004:$AE$1004,1,MATCH(COLUMNS($V$1006:V1006),$V$1006:$AE$1006,0)))),"Fix")))</f>
        <v>0</v>
      </c>
      <c r="C338" s="4">
        <f>IF(OR(INDEX($P$2:$P$1001,MATCH(ROWS($O$2:O338),$O$2:$O$1001,0),1)&gt;=100000,INDEX($V$1005:$AE$1005,1,MATCH(COLUMNS($V$1006:W1006),$V$1006:$AE$1006,0))&gt;=100000), " ",IF(INDEX($V$2:$AE$1001,MATCH(ROWS($O$2:O338),$O$2:$O$1001,0),MATCH(COLUMNS($V$1006:W1006),$V$1006:$AE$1006,0)), HYPERLINK("#",""), HYPERLINK(CONCATENATE("#Metadata!", ADDRESS(INDEX($Q$2:$Q$1001,MATCH(ROWS($O$2:O338),$O$2:$O$1001,0),0), INDEX($V$1004:$AE$1004,1,MATCH(COLUMNS($V$1006:W1006),$V$1006:$AE$1006,0)))),"Fix")))</f>
        <v>0</v>
      </c>
      <c r="D338" s="4">
        <f>IF(OR(INDEX($P$2:$P$1001,MATCH(ROWS($O$2:O338),$O$2:$O$1001,0),1)&gt;=100000,INDEX($V$1005:$AE$1005,1,MATCH(COLUMNS($V$1006:X1006),$V$1006:$AE$1006,0))&gt;=100000), " ",IF(INDEX($V$2:$AE$1001,MATCH(ROWS($O$2:O338),$O$2:$O$1001,0),MATCH(COLUMNS($V$1006:X1006),$V$1006:$AE$1006,0)), HYPERLINK("#",""), HYPERLINK(CONCATENATE("#Metadata!", ADDRESS(INDEX($Q$2:$Q$1001,MATCH(ROWS($O$2:O338),$O$2:$O$1001,0),0), INDEX($V$1004:$AE$1004,1,MATCH(COLUMNS($V$1006:X1006),$V$1006:$AE$1006,0)))),"Fix")))</f>
        <v>0</v>
      </c>
      <c r="E338" s="4">
        <f>IF(OR(INDEX($P$2:$P$1001,MATCH(ROWS($O$2:O338),$O$2:$O$1001,0),1)&gt;=100000,INDEX($V$1005:$AE$1005,1,MATCH(COLUMNS($V$1006:Y1006),$V$1006:$AE$1006,0))&gt;=100000), " ",IF(INDEX($V$2:$AE$1001,MATCH(ROWS($O$2:O338),$O$2:$O$1001,0),MATCH(COLUMNS($V$1006:Y1006),$V$1006:$AE$1006,0)), HYPERLINK("#",""), HYPERLINK(CONCATENATE("#Metadata!", ADDRESS(INDEX($Q$2:$Q$1001,MATCH(ROWS($O$2:O338),$O$2:$O$1001,0),0), INDEX($V$1004:$AE$1004,1,MATCH(COLUMNS($V$1006:Y1006),$V$1006:$AE$1006,0)))),"Fix")))</f>
        <v>0</v>
      </c>
      <c r="F338" s="4">
        <f>IF(OR(INDEX($P$2:$P$1001,MATCH(ROWS($O$2:O338),$O$2:$O$1001,0),1)&gt;=100000,INDEX($V$1005:$AE$1005,1,MATCH(COLUMNS($V$1006:Z1006),$V$1006:$AE$1006,0))&gt;=100000), " ",IF(INDEX($V$2:$AE$1001,MATCH(ROWS($O$2:O338),$O$2:$O$1001,0),MATCH(COLUMNS($V$1006:Z1006),$V$1006:$AE$1006,0)), HYPERLINK("#",""), HYPERLINK(CONCATENATE("#Metadata!", ADDRESS(INDEX($Q$2:$Q$1001,MATCH(ROWS($O$2:O338),$O$2:$O$1001,0),0), INDEX($V$1004:$AE$1004,1,MATCH(COLUMNS($V$1006:Z1006),$V$1006:$AE$1006,0)))),"Fix")))</f>
        <v>0</v>
      </c>
      <c r="G338" s="4">
        <f>IF(OR(INDEX($P$2:$P$1001,MATCH(ROWS($O$2:O338),$O$2:$O$1001,0),1)&gt;=100000,INDEX($V$1005:$AE$1005,1,MATCH(COLUMNS($V$1006:AA1006),$V$1006:$AE$1006,0))&gt;=100000), " ",IF(INDEX($V$2:$AE$1001,MATCH(ROWS($O$2:O338),$O$2:$O$1001,0),MATCH(COLUMNS($V$1006:AA1006),$V$1006:$AE$1006,0)), HYPERLINK("#",""), HYPERLINK(CONCATENATE("#Metadata!", ADDRESS(INDEX($Q$2:$Q$1001,MATCH(ROWS($O$2:O338),$O$2:$O$1001,0),0), INDEX($V$1004:$AE$1004,1,MATCH(COLUMNS($V$1006:AA1006),$V$1006:$AE$1006,0)))),"Fix")))</f>
        <v>0</v>
      </c>
      <c r="H338" s="4">
        <f>IF(OR(INDEX($P$2:$P$1001,MATCH(ROWS($O$2:O338),$O$2:$O$1001,0),1)&gt;=100000,INDEX($V$1005:$AE$1005,1,MATCH(COLUMNS($V$1006:AB1006),$V$1006:$AE$1006,0))&gt;=100000), " ",IF(INDEX($V$2:$AE$1001,MATCH(ROWS($O$2:O338),$O$2:$O$1001,0),MATCH(COLUMNS($V$1006:AB1006),$V$1006:$AE$1006,0)), HYPERLINK("#",""), HYPERLINK(CONCATENATE("#Metadata!", ADDRESS(INDEX($Q$2:$Q$1001,MATCH(ROWS($O$2:O338),$O$2:$O$1001,0),0), INDEX($V$1004:$AE$1004,1,MATCH(COLUMNS($V$1006:AB1006),$V$1006:$AE$1006,0)))),"Fix")))</f>
        <v>0</v>
      </c>
      <c r="I338" s="4">
        <f>IF(OR(INDEX($P$2:$P$1001,MATCH(ROWS($O$2:O338),$O$2:$O$1001,0),1)&gt;=100000,INDEX($V$1005:$AE$1005,1,MATCH(COLUMNS($V$1006:AC1006),$V$1006:$AE$1006,0))&gt;=100000), " ",IF(INDEX($V$2:$AE$1001,MATCH(ROWS($O$2:O338),$O$2:$O$1001,0),MATCH(COLUMNS($V$1006:AC1006),$V$1006:$AE$1006,0)), HYPERLINK("#",""), HYPERLINK(CONCATENATE("#Metadata!", ADDRESS(INDEX($Q$2:$Q$1001,MATCH(ROWS($O$2:O338),$O$2:$O$1001,0),0), INDEX($V$1004:$AE$1004,1,MATCH(COLUMNS($V$1006:AC1006),$V$1006:$AE$1006,0)))),"Fix")))</f>
        <v>0</v>
      </c>
      <c r="J338" s="4">
        <f>IF(OR(INDEX($P$2:$P$1001,MATCH(ROWS($O$2:O338),$O$2:$O$1001,0),1)&gt;=100000,INDEX($V$1005:$AE$1005,1,MATCH(COLUMNS($V$1006:AD1006),$V$1006:$AE$1006,0))&gt;=100000), " ",IF(INDEX($V$2:$AE$1001,MATCH(ROWS($O$2:O338),$O$2:$O$1001,0),MATCH(COLUMNS($V$1006:AD1006),$V$1006:$AE$1006,0)), HYPERLINK("#",""), HYPERLINK(CONCATENATE("#Metadata!", ADDRESS(INDEX($Q$2:$Q$1001,MATCH(ROWS($O$2:O338),$O$2:$O$1001,0),0), INDEX($V$1004:$AE$1004,1,MATCH(COLUMNS($V$1006:AD1006),$V$1006:$AE$1006,0)))),"Fix")))</f>
        <v>0</v>
      </c>
      <c r="K338" s="4">
        <f>IF(OR(INDEX($P$2:$P$1001,MATCH(ROWS($O$2:O338),$O$2:$O$1001,0),1)&gt;=100000,INDEX($V$1005:$AE$1005,1,MATCH(COLUMNS($V$1006:AE1006),$V$1006:$AE$1006,0))&gt;=100000), " ",IF(INDEX($V$2:$AE$1001,MATCH(ROWS($O$2:O338),$O$2:$O$1001,0),MATCH(COLUMNS($V$1006:AE1006),$V$1006:$AE$1006,0)), HYPERLINK("#",""), HYPERLINK(CONCATENATE("#Metadata!", ADDRESS(INDEX($Q$2:$Q$1001,MATCH(ROWS($O$2:O338),$O$2:$O$1001,0),0), INDEX($V$1004:$AE$1004,1,MATCH(COLUMNS($V$1006:AE1006),$V$1006:$AE$1006,0)))),"Fix")))</f>
        <v>0</v>
      </c>
      <c r="O338">
        <v>0</v>
      </c>
      <c r="P338">
        <v>0</v>
      </c>
      <c r="Q338">
        <v>0</v>
      </c>
      <c r="R338">
        <f>IF(S338,TRUE,AND(V338:AE338))</f>
        <v>0</v>
      </c>
      <c r="S338">
        <f>COUNTBLANK(Metadata!B338:K338)=COLUMNS(Metadata!B338:K338)</f>
        <v>0</v>
      </c>
      <c r="T338">
        <v>0</v>
      </c>
      <c r="V338">
        <f>AND(IF(Metadata!B338="",FALSE,TRUE),COUNTIF(Metadata!B:B, Metadata!B338) = 1,NOT(ISERROR(SUMPRODUCT(SEARCH(MID(Metadata!B338,ROW(INDIRECT("1:"&amp;LEN(Metadata!B338))), 1),"0123456789abcdefghijklmnopqrstuvwxyzABCDEFGHIJKLMNOPQRSTUVWXYZ.")))))</f>
        <v>0</v>
      </c>
      <c r="W338">
        <f>AND(IF(Metadata!C338="",FALSE,TRUE),exact(Metadata!C338,"urban biome"))</f>
        <v>0</v>
      </c>
      <c r="X338">
        <f>AND(IF(Metadata!D338="",FALSE,TRUE),exact(Metadata!D338,"animal-associated habitat"))</f>
        <v>0</v>
      </c>
      <c r="Y338">
        <f>OR(AND(IF(Metadata!E338="",FALSE,TRUE),OR(exact(Metadata!E338,"not applicable"),exact(Metadata!E338,"missing: not collected"),exact(Metadata!E338,"missing: not provided"),exact(Metadata!E338,"missing: restricted access"))),AND(IF(Metadata!E338="",FALSE,ISNUMBER(VALUE(Metadata!E338))),Metadata!E338&gt;0))</f>
        <v>0</v>
      </c>
      <c r="Z338">
        <f>AND(IF(Metadata!F338="",FALSE,TRUE),exact(Metadata!F338,"weeks"))</f>
        <v>0</v>
      </c>
      <c r="AA338">
        <f>AND(IF(Metadata!G338="",FALSE,TRUE),exact(Metadata!G338,"mouse"))</f>
        <v>0</v>
      </c>
      <c r="AB338">
        <f>AND(IF(Metadata!H338="",FALSE,TRUE),exact(Metadata!H338,"Mus musculus"))</f>
        <v>0</v>
      </c>
      <c r="AC338">
        <f>AND(IF(Metadata!I338="",FALSE,TRUE),exact(Metadata!I338,"10090"))</f>
        <v>0</v>
      </c>
      <c r="AD338">
        <f>OR(AND(IF(Metadata!J338="",FALSE,TRUE),OR(exact(Metadata!J338,"not applicable"),exact(Metadata!J338,"missing: not collected"),exact(Metadata!J338,"missing: not provided"),exact(Metadata!J338,"missing: restricted access"))),AND(IF(Metadata!J338="",FALSE,ISNUMBER(VALUE(Metadata!J338))),Metadata!J338&gt;0))</f>
        <v>0</v>
      </c>
      <c r="AE338">
        <f>AND(IF(Metadata!K338="",FALSE,TRUE),exact(Metadata!K338,"g"))</f>
        <v>0</v>
      </c>
    </row>
    <row r="339" spans="1:31">
      <c r="A339" s="5">
        <f>IF(B339=" "," ",HYPERLINK(CONCATENATE("#metadata!",ADDRESS(INDEX($Q$2:$Q$1001,MATCH(ROWS($O$2:O339),$O$2:$O$1001,0),0),1)),INDEX($T$2:$T$1001,MATCH(ROWS($O$2:O339),$O$2:$O$1001,0),0)))</f>
        <v>0</v>
      </c>
      <c r="B339" s="4">
        <f>IF(OR(INDEX($P$2:$P$1001,MATCH(ROWS($O$2:O339),$O$2:$O$1001,0),1)&gt;=100000,INDEX($V$1005:$AE$1005,1,MATCH(COLUMNS($V$1006:V1006),$V$1006:$AE$1006,0))&gt;=100000), " ",IF(INDEX($V$2:$AE$1001,MATCH(ROWS($O$2:O339),$O$2:$O$1001,0),MATCH(COLUMNS($V$1006:V1006),$V$1006:$AE$1006,0)), HYPERLINK("#",""), HYPERLINK(CONCATENATE("#Metadata!", ADDRESS(INDEX($Q$2:$Q$1001,MATCH(ROWS($O$2:O339),$O$2:$O$1001,0),0), INDEX($V$1004:$AE$1004,1,MATCH(COLUMNS($V$1006:V1006),$V$1006:$AE$1006,0)))),"Fix")))</f>
        <v>0</v>
      </c>
      <c r="C339" s="4">
        <f>IF(OR(INDEX($P$2:$P$1001,MATCH(ROWS($O$2:O339),$O$2:$O$1001,0),1)&gt;=100000,INDEX($V$1005:$AE$1005,1,MATCH(COLUMNS($V$1006:W1006),$V$1006:$AE$1006,0))&gt;=100000), " ",IF(INDEX($V$2:$AE$1001,MATCH(ROWS($O$2:O339),$O$2:$O$1001,0),MATCH(COLUMNS($V$1006:W1006),$V$1006:$AE$1006,0)), HYPERLINK("#",""), HYPERLINK(CONCATENATE("#Metadata!", ADDRESS(INDEX($Q$2:$Q$1001,MATCH(ROWS($O$2:O339),$O$2:$O$1001,0),0), INDEX($V$1004:$AE$1004,1,MATCH(COLUMNS($V$1006:W1006),$V$1006:$AE$1006,0)))),"Fix")))</f>
        <v>0</v>
      </c>
      <c r="D339" s="4">
        <f>IF(OR(INDEX($P$2:$P$1001,MATCH(ROWS($O$2:O339),$O$2:$O$1001,0),1)&gt;=100000,INDEX($V$1005:$AE$1005,1,MATCH(COLUMNS($V$1006:X1006),$V$1006:$AE$1006,0))&gt;=100000), " ",IF(INDEX($V$2:$AE$1001,MATCH(ROWS($O$2:O339),$O$2:$O$1001,0),MATCH(COLUMNS($V$1006:X1006),$V$1006:$AE$1006,0)), HYPERLINK("#",""), HYPERLINK(CONCATENATE("#Metadata!", ADDRESS(INDEX($Q$2:$Q$1001,MATCH(ROWS($O$2:O339),$O$2:$O$1001,0),0), INDEX($V$1004:$AE$1004,1,MATCH(COLUMNS($V$1006:X1006),$V$1006:$AE$1006,0)))),"Fix")))</f>
        <v>0</v>
      </c>
      <c r="E339" s="4">
        <f>IF(OR(INDEX($P$2:$P$1001,MATCH(ROWS($O$2:O339),$O$2:$O$1001,0),1)&gt;=100000,INDEX($V$1005:$AE$1005,1,MATCH(COLUMNS($V$1006:Y1006),$V$1006:$AE$1006,0))&gt;=100000), " ",IF(INDEX($V$2:$AE$1001,MATCH(ROWS($O$2:O339),$O$2:$O$1001,0),MATCH(COLUMNS($V$1006:Y1006),$V$1006:$AE$1006,0)), HYPERLINK("#",""), HYPERLINK(CONCATENATE("#Metadata!", ADDRESS(INDEX($Q$2:$Q$1001,MATCH(ROWS($O$2:O339),$O$2:$O$1001,0),0), INDEX($V$1004:$AE$1004,1,MATCH(COLUMNS($V$1006:Y1006),$V$1006:$AE$1006,0)))),"Fix")))</f>
        <v>0</v>
      </c>
      <c r="F339" s="4">
        <f>IF(OR(INDEX($P$2:$P$1001,MATCH(ROWS($O$2:O339),$O$2:$O$1001,0),1)&gt;=100000,INDEX($V$1005:$AE$1005,1,MATCH(COLUMNS($V$1006:Z1006),$V$1006:$AE$1006,0))&gt;=100000), " ",IF(INDEX($V$2:$AE$1001,MATCH(ROWS($O$2:O339),$O$2:$O$1001,0),MATCH(COLUMNS($V$1006:Z1006),$V$1006:$AE$1006,0)), HYPERLINK("#",""), HYPERLINK(CONCATENATE("#Metadata!", ADDRESS(INDEX($Q$2:$Q$1001,MATCH(ROWS($O$2:O339),$O$2:$O$1001,0),0), INDEX($V$1004:$AE$1004,1,MATCH(COLUMNS($V$1006:Z1006),$V$1006:$AE$1006,0)))),"Fix")))</f>
        <v>0</v>
      </c>
      <c r="G339" s="4">
        <f>IF(OR(INDEX($P$2:$P$1001,MATCH(ROWS($O$2:O339),$O$2:$O$1001,0),1)&gt;=100000,INDEX($V$1005:$AE$1005,1,MATCH(COLUMNS($V$1006:AA1006),$V$1006:$AE$1006,0))&gt;=100000), " ",IF(INDEX($V$2:$AE$1001,MATCH(ROWS($O$2:O339),$O$2:$O$1001,0),MATCH(COLUMNS($V$1006:AA1006),$V$1006:$AE$1006,0)), HYPERLINK("#",""), HYPERLINK(CONCATENATE("#Metadata!", ADDRESS(INDEX($Q$2:$Q$1001,MATCH(ROWS($O$2:O339),$O$2:$O$1001,0),0), INDEX($V$1004:$AE$1004,1,MATCH(COLUMNS($V$1006:AA1006),$V$1006:$AE$1006,0)))),"Fix")))</f>
        <v>0</v>
      </c>
      <c r="H339" s="4">
        <f>IF(OR(INDEX($P$2:$P$1001,MATCH(ROWS($O$2:O339),$O$2:$O$1001,0),1)&gt;=100000,INDEX($V$1005:$AE$1005,1,MATCH(COLUMNS($V$1006:AB1006),$V$1006:$AE$1006,0))&gt;=100000), " ",IF(INDEX($V$2:$AE$1001,MATCH(ROWS($O$2:O339),$O$2:$O$1001,0),MATCH(COLUMNS($V$1006:AB1006),$V$1006:$AE$1006,0)), HYPERLINK("#",""), HYPERLINK(CONCATENATE("#Metadata!", ADDRESS(INDEX($Q$2:$Q$1001,MATCH(ROWS($O$2:O339),$O$2:$O$1001,0),0), INDEX($V$1004:$AE$1004,1,MATCH(COLUMNS($V$1006:AB1006),$V$1006:$AE$1006,0)))),"Fix")))</f>
        <v>0</v>
      </c>
      <c r="I339" s="4">
        <f>IF(OR(INDEX($P$2:$P$1001,MATCH(ROWS($O$2:O339),$O$2:$O$1001,0),1)&gt;=100000,INDEX($V$1005:$AE$1005,1,MATCH(COLUMNS($V$1006:AC1006),$V$1006:$AE$1006,0))&gt;=100000), " ",IF(INDEX($V$2:$AE$1001,MATCH(ROWS($O$2:O339),$O$2:$O$1001,0),MATCH(COLUMNS($V$1006:AC1006),$V$1006:$AE$1006,0)), HYPERLINK("#",""), HYPERLINK(CONCATENATE("#Metadata!", ADDRESS(INDEX($Q$2:$Q$1001,MATCH(ROWS($O$2:O339),$O$2:$O$1001,0),0), INDEX($V$1004:$AE$1004,1,MATCH(COLUMNS($V$1006:AC1006),$V$1006:$AE$1006,0)))),"Fix")))</f>
        <v>0</v>
      </c>
      <c r="J339" s="4">
        <f>IF(OR(INDEX($P$2:$P$1001,MATCH(ROWS($O$2:O339),$O$2:$O$1001,0),1)&gt;=100000,INDEX($V$1005:$AE$1005,1,MATCH(COLUMNS($V$1006:AD1006),$V$1006:$AE$1006,0))&gt;=100000), " ",IF(INDEX($V$2:$AE$1001,MATCH(ROWS($O$2:O339),$O$2:$O$1001,0),MATCH(COLUMNS($V$1006:AD1006),$V$1006:$AE$1006,0)), HYPERLINK("#",""), HYPERLINK(CONCATENATE("#Metadata!", ADDRESS(INDEX($Q$2:$Q$1001,MATCH(ROWS($O$2:O339),$O$2:$O$1001,0),0), INDEX($V$1004:$AE$1004,1,MATCH(COLUMNS($V$1006:AD1006),$V$1006:$AE$1006,0)))),"Fix")))</f>
        <v>0</v>
      </c>
      <c r="K339" s="4">
        <f>IF(OR(INDEX($P$2:$P$1001,MATCH(ROWS($O$2:O339),$O$2:$O$1001,0),1)&gt;=100000,INDEX($V$1005:$AE$1005,1,MATCH(COLUMNS($V$1006:AE1006),$V$1006:$AE$1006,0))&gt;=100000), " ",IF(INDEX($V$2:$AE$1001,MATCH(ROWS($O$2:O339),$O$2:$O$1001,0),MATCH(COLUMNS($V$1006:AE1006),$V$1006:$AE$1006,0)), HYPERLINK("#",""), HYPERLINK(CONCATENATE("#Metadata!", ADDRESS(INDEX($Q$2:$Q$1001,MATCH(ROWS($O$2:O339),$O$2:$O$1001,0),0), INDEX($V$1004:$AE$1004,1,MATCH(COLUMNS($V$1006:AE1006),$V$1006:$AE$1006,0)))),"Fix")))</f>
        <v>0</v>
      </c>
      <c r="O339">
        <v>0</v>
      </c>
      <c r="P339">
        <v>0</v>
      </c>
      <c r="Q339">
        <v>0</v>
      </c>
      <c r="R339">
        <f>IF(S339,TRUE,AND(V339:AE339))</f>
        <v>0</v>
      </c>
      <c r="S339">
        <f>COUNTBLANK(Metadata!B339:K339)=COLUMNS(Metadata!B339:K339)</f>
        <v>0</v>
      </c>
      <c r="T339">
        <v>0</v>
      </c>
      <c r="V339">
        <f>AND(IF(Metadata!B339="",FALSE,TRUE),COUNTIF(Metadata!B:B, Metadata!B339) = 1,NOT(ISERROR(SUMPRODUCT(SEARCH(MID(Metadata!B339,ROW(INDIRECT("1:"&amp;LEN(Metadata!B339))), 1),"0123456789abcdefghijklmnopqrstuvwxyzABCDEFGHIJKLMNOPQRSTUVWXYZ.")))))</f>
        <v>0</v>
      </c>
      <c r="W339">
        <f>AND(IF(Metadata!C339="",FALSE,TRUE),exact(Metadata!C339,"urban biome"))</f>
        <v>0</v>
      </c>
      <c r="X339">
        <f>AND(IF(Metadata!D339="",FALSE,TRUE),exact(Metadata!D339,"animal-associated habitat"))</f>
        <v>0</v>
      </c>
      <c r="Y339">
        <f>OR(AND(IF(Metadata!E339="",FALSE,TRUE),OR(exact(Metadata!E339,"not applicable"),exact(Metadata!E339,"missing: not collected"),exact(Metadata!E339,"missing: not provided"),exact(Metadata!E339,"missing: restricted access"))),AND(IF(Metadata!E339="",FALSE,ISNUMBER(VALUE(Metadata!E339))),Metadata!E339&gt;0))</f>
        <v>0</v>
      </c>
      <c r="Z339">
        <f>AND(IF(Metadata!F339="",FALSE,TRUE),exact(Metadata!F339,"weeks"))</f>
        <v>0</v>
      </c>
      <c r="AA339">
        <f>AND(IF(Metadata!G339="",FALSE,TRUE),exact(Metadata!G339,"mouse"))</f>
        <v>0</v>
      </c>
      <c r="AB339">
        <f>AND(IF(Metadata!H339="",FALSE,TRUE),exact(Metadata!H339,"Mus musculus"))</f>
        <v>0</v>
      </c>
      <c r="AC339">
        <f>AND(IF(Metadata!I339="",FALSE,TRUE),exact(Metadata!I339,"10090"))</f>
        <v>0</v>
      </c>
      <c r="AD339">
        <f>OR(AND(IF(Metadata!J339="",FALSE,TRUE),OR(exact(Metadata!J339,"not applicable"),exact(Metadata!J339,"missing: not collected"),exact(Metadata!J339,"missing: not provided"),exact(Metadata!J339,"missing: restricted access"))),AND(IF(Metadata!J339="",FALSE,ISNUMBER(VALUE(Metadata!J339))),Metadata!J339&gt;0))</f>
        <v>0</v>
      </c>
      <c r="AE339">
        <f>AND(IF(Metadata!K339="",FALSE,TRUE),exact(Metadata!K339,"g"))</f>
        <v>0</v>
      </c>
    </row>
    <row r="340" spans="1:31">
      <c r="A340" s="5">
        <f>IF(B340=" "," ",HYPERLINK(CONCATENATE("#metadata!",ADDRESS(INDEX($Q$2:$Q$1001,MATCH(ROWS($O$2:O340),$O$2:$O$1001,0),0),1)),INDEX($T$2:$T$1001,MATCH(ROWS($O$2:O340),$O$2:$O$1001,0),0)))</f>
        <v>0</v>
      </c>
      <c r="B340" s="4">
        <f>IF(OR(INDEX($P$2:$P$1001,MATCH(ROWS($O$2:O340),$O$2:$O$1001,0),1)&gt;=100000,INDEX($V$1005:$AE$1005,1,MATCH(COLUMNS($V$1006:V1006),$V$1006:$AE$1006,0))&gt;=100000), " ",IF(INDEX($V$2:$AE$1001,MATCH(ROWS($O$2:O340),$O$2:$O$1001,0),MATCH(COLUMNS($V$1006:V1006),$V$1006:$AE$1006,0)), HYPERLINK("#",""), HYPERLINK(CONCATENATE("#Metadata!", ADDRESS(INDEX($Q$2:$Q$1001,MATCH(ROWS($O$2:O340),$O$2:$O$1001,0),0), INDEX($V$1004:$AE$1004,1,MATCH(COLUMNS($V$1006:V1006),$V$1006:$AE$1006,0)))),"Fix")))</f>
        <v>0</v>
      </c>
      <c r="C340" s="4">
        <f>IF(OR(INDEX($P$2:$P$1001,MATCH(ROWS($O$2:O340),$O$2:$O$1001,0),1)&gt;=100000,INDEX($V$1005:$AE$1005,1,MATCH(COLUMNS($V$1006:W1006),$V$1006:$AE$1006,0))&gt;=100000), " ",IF(INDEX($V$2:$AE$1001,MATCH(ROWS($O$2:O340),$O$2:$O$1001,0),MATCH(COLUMNS($V$1006:W1006),$V$1006:$AE$1006,0)), HYPERLINK("#",""), HYPERLINK(CONCATENATE("#Metadata!", ADDRESS(INDEX($Q$2:$Q$1001,MATCH(ROWS($O$2:O340),$O$2:$O$1001,0),0), INDEX($V$1004:$AE$1004,1,MATCH(COLUMNS($V$1006:W1006),$V$1006:$AE$1006,0)))),"Fix")))</f>
        <v>0</v>
      </c>
      <c r="D340" s="4">
        <f>IF(OR(INDEX($P$2:$P$1001,MATCH(ROWS($O$2:O340),$O$2:$O$1001,0),1)&gt;=100000,INDEX($V$1005:$AE$1005,1,MATCH(COLUMNS($V$1006:X1006),$V$1006:$AE$1006,0))&gt;=100000), " ",IF(INDEX($V$2:$AE$1001,MATCH(ROWS($O$2:O340),$O$2:$O$1001,0),MATCH(COLUMNS($V$1006:X1006),$V$1006:$AE$1006,0)), HYPERLINK("#",""), HYPERLINK(CONCATENATE("#Metadata!", ADDRESS(INDEX($Q$2:$Q$1001,MATCH(ROWS($O$2:O340),$O$2:$O$1001,0),0), INDEX($V$1004:$AE$1004,1,MATCH(COLUMNS($V$1006:X1006),$V$1006:$AE$1006,0)))),"Fix")))</f>
        <v>0</v>
      </c>
      <c r="E340" s="4">
        <f>IF(OR(INDEX($P$2:$P$1001,MATCH(ROWS($O$2:O340),$O$2:$O$1001,0),1)&gt;=100000,INDEX($V$1005:$AE$1005,1,MATCH(COLUMNS($V$1006:Y1006),$V$1006:$AE$1006,0))&gt;=100000), " ",IF(INDEX($V$2:$AE$1001,MATCH(ROWS($O$2:O340),$O$2:$O$1001,0),MATCH(COLUMNS($V$1006:Y1006),$V$1006:$AE$1006,0)), HYPERLINK("#",""), HYPERLINK(CONCATENATE("#Metadata!", ADDRESS(INDEX($Q$2:$Q$1001,MATCH(ROWS($O$2:O340),$O$2:$O$1001,0),0), INDEX($V$1004:$AE$1004,1,MATCH(COLUMNS($V$1006:Y1006),$V$1006:$AE$1006,0)))),"Fix")))</f>
        <v>0</v>
      </c>
      <c r="F340" s="4">
        <f>IF(OR(INDEX($P$2:$P$1001,MATCH(ROWS($O$2:O340),$O$2:$O$1001,0),1)&gt;=100000,INDEX($V$1005:$AE$1005,1,MATCH(COLUMNS($V$1006:Z1006),$V$1006:$AE$1006,0))&gt;=100000), " ",IF(INDEX($V$2:$AE$1001,MATCH(ROWS($O$2:O340),$O$2:$O$1001,0),MATCH(COLUMNS($V$1006:Z1006),$V$1006:$AE$1006,0)), HYPERLINK("#",""), HYPERLINK(CONCATENATE("#Metadata!", ADDRESS(INDEX($Q$2:$Q$1001,MATCH(ROWS($O$2:O340),$O$2:$O$1001,0),0), INDEX($V$1004:$AE$1004,1,MATCH(COLUMNS($V$1006:Z1006),$V$1006:$AE$1006,0)))),"Fix")))</f>
        <v>0</v>
      </c>
      <c r="G340" s="4">
        <f>IF(OR(INDEX($P$2:$P$1001,MATCH(ROWS($O$2:O340),$O$2:$O$1001,0),1)&gt;=100000,INDEX($V$1005:$AE$1005,1,MATCH(COLUMNS($V$1006:AA1006),$V$1006:$AE$1006,0))&gt;=100000), " ",IF(INDEX($V$2:$AE$1001,MATCH(ROWS($O$2:O340),$O$2:$O$1001,0),MATCH(COLUMNS($V$1006:AA1006),$V$1006:$AE$1006,0)), HYPERLINK("#",""), HYPERLINK(CONCATENATE("#Metadata!", ADDRESS(INDEX($Q$2:$Q$1001,MATCH(ROWS($O$2:O340),$O$2:$O$1001,0),0), INDEX($V$1004:$AE$1004,1,MATCH(COLUMNS($V$1006:AA1006),$V$1006:$AE$1006,0)))),"Fix")))</f>
        <v>0</v>
      </c>
      <c r="H340" s="4">
        <f>IF(OR(INDEX($P$2:$P$1001,MATCH(ROWS($O$2:O340),$O$2:$O$1001,0),1)&gt;=100000,INDEX($V$1005:$AE$1005,1,MATCH(COLUMNS($V$1006:AB1006),$V$1006:$AE$1006,0))&gt;=100000), " ",IF(INDEX($V$2:$AE$1001,MATCH(ROWS($O$2:O340),$O$2:$O$1001,0),MATCH(COLUMNS($V$1006:AB1006),$V$1006:$AE$1006,0)), HYPERLINK("#",""), HYPERLINK(CONCATENATE("#Metadata!", ADDRESS(INDEX($Q$2:$Q$1001,MATCH(ROWS($O$2:O340),$O$2:$O$1001,0),0), INDEX($V$1004:$AE$1004,1,MATCH(COLUMNS($V$1006:AB1006),$V$1006:$AE$1006,0)))),"Fix")))</f>
        <v>0</v>
      </c>
      <c r="I340" s="4">
        <f>IF(OR(INDEX($P$2:$P$1001,MATCH(ROWS($O$2:O340),$O$2:$O$1001,0),1)&gt;=100000,INDEX($V$1005:$AE$1005,1,MATCH(COLUMNS($V$1006:AC1006),$V$1006:$AE$1006,0))&gt;=100000), " ",IF(INDEX($V$2:$AE$1001,MATCH(ROWS($O$2:O340),$O$2:$O$1001,0),MATCH(COLUMNS($V$1006:AC1006),$V$1006:$AE$1006,0)), HYPERLINK("#",""), HYPERLINK(CONCATENATE("#Metadata!", ADDRESS(INDEX($Q$2:$Q$1001,MATCH(ROWS($O$2:O340),$O$2:$O$1001,0),0), INDEX($V$1004:$AE$1004,1,MATCH(COLUMNS($V$1006:AC1006),$V$1006:$AE$1006,0)))),"Fix")))</f>
        <v>0</v>
      </c>
      <c r="J340" s="4">
        <f>IF(OR(INDEX($P$2:$P$1001,MATCH(ROWS($O$2:O340),$O$2:$O$1001,0),1)&gt;=100000,INDEX($V$1005:$AE$1005,1,MATCH(COLUMNS($V$1006:AD1006),$V$1006:$AE$1006,0))&gt;=100000), " ",IF(INDEX($V$2:$AE$1001,MATCH(ROWS($O$2:O340),$O$2:$O$1001,0),MATCH(COLUMNS($V$1006:AD1006),$V$1006:$AE$1006,0)), HYPERLINK("#",""), HYPERLINK(CONCATENATE("#Metadata!", ADDRESS(INDEX($Q$2:$Q$1001,MATCH(ROWS($O$2:O340),$O$2:$O$1001,0),0), INDEX($V$1004:$AE$1004,1,MATCH(COLUMNS($V$1006:AD1006),$V$1006:$AE$1006,0)))),"Fix")))</f>
        <v>0</v>
      </c>
      <c r="K340" s="4">
        <f>IF(OR(INDEX($P$2:$P$1001,MATCH(ROWS($O$2:O340),$O$2:$O$1001,0),1)&gt;=100000,INDEX($V$1005:$AE$1005,1,MATCH(COLUMNS($V$1006:AE1006),$V$1006:$AE$1006,0))&gt;=100000), " ",IF(INDEX($V$2:$AE$1001,MATCH(ROWS($O$2:O340),$O$2:$O$1001,0),MATCH(COLUMNS($V$1006:AE1006),$V$1006:$AE$1006,0)), HYPERLINK("#",""), HYPERLINK(CONCATENATE("#Metadata!", ADDRESS(INDEX($Q$2:$Q$1001,MATCH(ROWS($O$2:O340),$O$2:$O$1001,0),0), INDEX($V$1004:$AE$1004,1,MATCH(COLUMNS($V$1006:AE1006),$V$1006:$AE$1006,0)))),"Fix")))</f>
        <v>0</v>
      </c>
      <c r="O340">
        <v>0</v>
      </c>
      <c r="P340">
        <v>0</v>
      </c>
      <c r="Q340">
        <v>0</v>
      </c>
      <c r="R340">
        <f>IF(S340,TRUE,AND(V340:AE340))</f>
        <v>0</v>
      </c>
      <c r="S340">
        <f>COUNTBLANK(Metadata!B340:K340)=COLUMNS(Metadata!B340:K340)</f>
        <v>0</v>
      </c>
      <c r="T340">
        <v>0</v>
      </c>
      <c r="V340">
        <f>AND(IF(Metadata!B340="",FALSE,TRUE),COUNTIF(Metadata!B:B, Metadata!B340) = 1,NOT(ISERROR(SUMPRODUCT(SEARCH(MID(Metadata!B340,ROW(INDIRECT("1:"&amp;LEN(Metadata!B340))), 1),"0123456789abcdefghijklmnopqrstuvwxyzABCDEFGHIJKLMNOPQRSTUVWXYZ.")))))</f>
        <v>0</v>
      </c>
      <c r="W340">
        <f>AND(IF(Metadata!C340="",FALSE,TRUE),exact(Metadata!C340,"urban biome"))</f>
        <v>0</v>
      </c>
      <c r="X340">
        <f>AND(IF(Metadata!D340="",FALSE,TRUE),exact(Metadata!D340,"animal-associated habitat"))</f>
        <v>0</v>
      </c>
      <c r="Y340">
        <f>OR(AND(IF(Metadata!E340="",FALSE,TRUE),OR(exact(Metadata!E340,"not applicable"),exact(Metadata!E340,"missing: not collected"),exact(Metadata!E340,"missing: not provided"),exact(Metadata!E340,"missing: restricted access"))),AND(IF(Metadata!E340="",FALSE,ISNUMBER(VALUE(Metadata!E340))),Metadata!E340&gt;0))</f>
        <v>0</v>
      </c>
      <c r="Z340">
        <f>AND(IF(Metadata!F340="",FALSE,TRUE),exact(Metadata!F340,"weeks"))</f>
        <v>0</v>
      </c>
      <c r="AA340">
        <f>AND(IF(Metadata!G340="",FALSE,TRUE),exact(Metadata!G340,"mouse"))</f>
        <v>0</v>
      </c>
      <c r="AB340">
        <f>AND(IF(Metadata!H340="",FALSE,TRUE),exact(Metadata!H340,"Mus musculus"))</f>
        <v>0</v>
      </c>
      <c r="AC340">
        <f>AND(IF(Metadata!I340="",FALSE,TRUE),exact(Metadata!I340,"10090"))</f>
        <v>0</v>
      </c>
      <c r="AD340">
        <f>OR(AND(IF(Metadata!J340="",FALSE,TRUE),OR(exact(Metadata!J340,"not applicable"),exact(Metadata!J340,"missing: not collected"),exact(Metadata!J340,"missing: not provided"),exact(Metadata!J340,"missing: restricted access"))),AND(IF(Metadata!J340="",FALSE,ISNUMBER(VALUE(Metadata!J340))),Metadata!J340&gt;0))</f>
        <v>0</v>
      </c>
      <c r="AE340">
        <f>AND(IF(Metadata!K340="",FALSE,TRUE),exact(Metadata!K340,"g"))</f>
        <v>0</v>
      </c>
    </row>
    <row r="341" spans="1:31">
      <c r="A341" s="5">
        <f>IF(B341=" "," ",HYPERLINK(CONCATENATE("#metadata!",ADDRESS(INDEX($Q$2:$Q$1001,MATCH(ROWS($O$2:O341),$O$2:$O$1001,0),0),1)),INDEX($T$2:$T$1001,MATCH(ROWS($O$2:O341),$O$2:$O$1001,0),0)))</f>
        <v>0</v>
      </c>
      <c r="B341" s="4">
        <f>IF(OR(INDEX($P$2:$P$1001,MATCH(ROWS($O$2:O341),$O$2:$O$1001,0),1)&gt;=100000,INDEX($V$1005:$AE$1005,1,MATCH(COLUMNS($V$1006:V1006),$V$1006:$AE$1006,0))&gt;=100000), " ",IF(INDEX($V$2:$AE$1001,MATCH(ROWS($O$2:O341),$O$2:$O$1001,0),MATCH(COLUMNS($V$1006:V1006),$V$1006:$AE$1006,0)), HYPERLINK("#",""), HYPERLINK(CONCATENATE("#Metadata!", ADDRESS(INDEX($Q$2:$Q$1001,MATCH(ROWS($O$2:O341),$O$2:$O$1001,0),0), INDEX($V$1004:$AE$1004,1,MATCH(COLUMNS($V$1006:V1006),$V$1006:$AE$1006,0)))),"Fix")))</f>
        <v>0</v>
      </c>
      <c r="C341" s="4">
        <f>IF(OR(INDEX($P$2:$P$1001,MATCH(ROWS($O$2:O341),$O$2:$O$1001,0),1)&gt;=100000,INDEX($V$1005:$AE$1005,1,MATCH(COLUMNS($V$1006:W1006),$V$1006:$AE$1006,0))&gt;=100000), " ",IF(INDEX($V$2:$AE$1001,MATCH(ROWS($O$2:O341),$O$2:$O$1001,0),MATCH(COLUMNS($V$1006:W1006),$V$1006:$AE$1006,0)), HYPERLINK("#",""), HYPERLINK(CONCATENATE("#Metadata!", ADDRESS(INDEX($Q$2:$Q$1001,MATCH(ROWS($O$2:O341),$O$2:$O$1001,0),0), INDEX($V$1004:$AE$1004,1,MATCH(COLUMNS($V$1006:W1006),$V$1006:$AE$1006,0)))),"Fix")))</f>
        <v>0</v>
      </c>
      <c r="D341" s="4">
        <f>IF(OR(INDEX($P$2:$P$1001,MATCH(ROWS($O$2:O341),$O$2:$O$1001,0),1)&gt;=100000,INDEX($V$1005:$AE$1005,1,MATCH(COLUMNS($V$1006:X1006),$V$1006:$AE$1006,0))&gt;=100000), " ",IF(INDEX($V$2:$AE$1001,MATCH(ROWS($O$2:O341),$O$2:$O$1001,0),MATCH(COLUMNS($V$1006:X1006),$V$1006:$AE$1006,0)), HYPERLINK("#",""), HYPERLINK(CONCATENATE("#Metadata!", ADDRESS(INDEX($Q$2:$Q$1001,MATCH(ROWS($O$2:O341),$O$2:$O$1001,0),0), INDEX($V$1004:$AE$1004,1,MATCH(COLUMNS($V$1006:X1006),$V$1006:$AE$1006,0)))),"Fix")))</f>
        <v>0</v>
      </c>
      <c r="E341" s="4">
        <f>IF(OR(INDEX($P$2:$P$1001,MATCH(ROWS($O$2:O341),$O$2:$O$1001,0),1)&gt;=100000,INDEX($V$1005:$AE$1005,1,MATCH(COLUMNS($V$1006:Y1006),$V$1006:$AE$1006,0))&gt;=100000), " ",IF(INDEX($V$2:$AE$1001,MATCH(ROWS($O$2:O341),$O$2:$O$1001,0),MATCH(COLUMNS($V$1006:Y1006),$V$1006:$AE$1006,0)), HYPERLINK("#",""), HYPERLINK(CONCATENATE("#Metadata!", ADDRESS(INDEX($Q$2:$Q$1001,MATCH(ROWS($O$2:O341),$O$2:$O$1001,0),0), INDEX($V$1004:$AE$1004,1,MATCH(COLUMNS($V$1006:Y1006),$V$1006:$AE$1006,0)))),"Fix")))</f>
        <v>0</v>
      </c>
      <c r="F341" s="4">
        <f>IF(OR(INDEX($P$2:$P$1001,MATCH(ROWS($O$2:O341),$O$2:$O$1001,0),1)&gt;=100000,INDEX($V$1005:$AE$1005,1,MATCH(COLUMNS($V$1006:Z1006),$V$1006:$AE$1006,0))&gt;=100000), " ",IF(INDEX($V$2:$AE$1001,MATCH(ROWS($O$2:O341),$O$2:$O$1001,0),MATCH(COLUMNS($V$1006:Z1006),$V$1006:$AE$1006,0)), HYPERLINK("#",""), HYPERLINK(CONCATENATE("#Metadata!", ADDRESS(INDEX($Q$2:$Q$1001,MATCH(ROWS($O$2:O341),$O$2:$O$1001,0),0), INDEX($V$1004:$AE$1004,1,MATCH(COLUMNS($V$1006:Z1006),$V$1006:$AE$1006,0)))),"Fix")))</f>
        <v>0</v>
      </c>
      <c r="G341" s="4">
        <f>IF(OR(INDEX($P$2:$P$1001,MATCH(ROWS($O$2:O341),$O$2:$O$1001,0),1)&gt;=100000,INDEX($V$1005:$AE$1005,1,MATCH(COLUMNS($V$1006:AA1006),$V$1006:$AE$1006,0))&gt;=100000), " ",IF(INDEX($V$2:$AE$1001,MATCH(ROWS($O$2:O341),$O$2:$O$1001,0),MATCH(COLUMNS($V$1006:AA1006),$V$1006:$AE$1006,0)), HYPERLINK("#",""), HYPERLINK(CONCATENATE("#Metadata!", ADDRESS(INDEX($Q$2:$Q$1001,MATCH(ROWS($O$2:O341),$O$2:$O$1001,0),0), INDEX($V$1004:$AE$1004,1,MATCH(COLUMNS($V$1006:AA1006),$V$1006:$AE$1006,0)))),"Fix")))</f>
        <v>0</v>
      </c>
      <c r="H341" s="4">
        <f>IF(OR(INDEX($P$2:$P$1001,MATCH(ROWS($O$2:O341),$O$2:$O$1001,0),1)&gt;=100000,INDEX($V$1005:$AE$1005,1,MATCH(COLUMNS($V$1006:AB1006),$V$1006:$AE$1006,0))&gt;=100000), " ",IF(INDEX($V$2:$AE$1001,MATCH(ROWS($O$2:O341),$O$2:$O$1001,0),MATCH(COLUMNS($V$1006:AB1006),$V$1006:$AE$1006,0)), HYPERLINK("#",""), HYPERLINK(CONCATENATE("#Metadata!", ADDRESS(INDEX($Q$2:$Q$1001,MATCH(ROWS($O$2:O341),$O$2:$O$1001,0),0), INDEX($V$1004:$AE$1004,1,MATCH(COLUMNS($V$1006:AB1006),$V$1006:$AE$1006,0)))),"Fix")))</f>
        <v>0</v>
      </c>
      <c r="I341" s="4">
        <f>IF(OR(INDEX($P$2:$P$1001,MATCH(ROWS($O$2:O341),$O$2:$O$1001,0),1)&gt;=100000,INDEX($V$1005:$AE$1005,1,MATCH(COLUMNS($V$1006:AC1006),$V$1006:$AE$1006,0))&gt;=100000), " ",IF(INDEX($V$2:$AE$1001,MATCH(ROWS($O$2:O341),$O$2:$O$1001,0),MATCH(COLUMNS($V$1006:AC1006),$V$1006:$AE$1006,0)), HYPERLINK("#",""), HYPERLINK(CONCATENATE("#Metadata!", ADDRESS(INDEX($Q$2:$Q$1001,MATCH(ROWS($O$2:O341),$O$2:$O$1001,0),0), INDEX($V$1004:$AE$1004,1,MATCH(COLUMNS($V$1006:AC1006),$V$1006:$AE$1006,0)))),"Fix")))</f>
        <v>0</v>
      </c>
      <c r="J341" s="4">
        <f>IF(OR(INDEX($P$2:$P$1001,MATCH(ROWS($O$2:O341),$O$2:$O$1001,0),1)&gt;=100000,INDEX($V$1005:$AE$1005,1,MATCH(COLUMNS($V$1006:AD1006),$V$1006:$AE$1006,0))&gt;=100000), " ",IF(INDEX($V$2:$AE$1001,MATCH(ROWS($O$2:O341),$O$2:$O$1001,0),MATCH(COLUMNS($V$1006:AD1006),$V$1006:$AE$1006,0)), HYPERLINK("#",""), HYPERLINK(CONCATENATE("#Metadata!", ADDRESS(INDEX($Q$2:$Q$1001,MATCH(ROWS($O$2:O341),$O$2:$O$1001,0),0), INDEX($V$1004:$AE$1004,1,MATCH(COLUMNS($V$1006:AD1006),$V$1006:$AE$1006,0)))),"Fix")))</f>
        <v>0</v>
      </c>
      <c r="K341" s="4">
        <f>IF(OR(INDEX($P$2:$P$1001,MATCH(ROWS($O$2:O341),$O$2:$O$1001,0),1)&gt;=100000,INDEX($V$1005:$AE$1005,1,MATCH(COLUMNS($V$1006:AE1006),$V$1006:$AE$1006,0))&gt;=100000), " ",IF(INDEX($V$2:$AE$1001,MATCH(ROWS($O$2:O341),$O$2:$O$1001,0),MATCH(COLUMNS($V$1006:AE1006),$V$1006:$AE$1006,0)), HYPERLINK("#",""), HYPERLINK(CONCATENATE("#Metadata!", ADDRESS(INDEX($Q$2:$Q$1001,MATCH(ROWS($O$2:O341),$O$2:$O$1001,0),0), INDEX($V$1004:$AE$1004,1,MATCH(COLUMNS($V$1006:AE1006),$V$1006:$AE$1006,0)))),"Fix")))</f>
        <v>0</v>
      </c>
      <c r="O341">
        <v>0</v>
      </c>
      <c r="P341">
        <v>0</v>
      </c>
      <c r="Q341">
        <v>0</v>
      </c>
      <c r="R341">
        <f>IF(S341,TRUE,AND(V341:AE341))</f>
        <v>0</v>
      </c>
      <c r="S341">
        <f>COUNTBLANK(Metadata!B341:K341)=COLUMNS(Metadata!B341:K341)</f>
        <v>0</v>
      </c>
      <c r="T341">
        <v>0</v>
      </c>
      <c r="V341">
        <f>AND(IF(Metadata!B341="",FALSE,TRUE),COUNTIF(Metadata!B:B, Metadata!B341) = 1,NOT(ISERROR(SUMPRODUCT(SEARCH(MID(Metadata!B341,ROW(INDIRECT("1:"&amp;LEN(Metadata!B341))), 1),"0123456789abcdefghijklmnopqrstuvwxyzABCDEFGHIJKLMNOPQRSTUVWXYZ.")))))</f>
        <v>0</v>
      </c>
      <c r="W341">
        <f>AND(IF(Metadata!C341="",FALSE,TRUE),exact(Metadata!C341,"urban biome"))</f>
        <v>0</v>
      </c>
      <c r="X341">
        <f>AND(IF(Metadata!D341="",FALSE,TRUE),exact(Metadata!D341,"animal-associated habitat"))</f>
        <v>0</v>
      </c>
      <c r="Y341">
        <f>OR(AND(IF(Metadata!E341="",FALSE,TRUE),OR(exact(Metadata!E341,"not applicable"),exact(Metadata!E341,"missing: not collected"),exact(Metadata!E341,"missing: not provided"),exact(Metadata!E341,"missing: restricted access"))),AND(IF(Metadata!E341="",FALSE,ISNUMBER(VALUE(Metadata!E341))),Metadata!E341&gt;0))</f>
        <v>0</v>
      </c>
      <c r="Z341">
        <f>AND(IF(Metadata!F341="",FALSE,TRUE),exact(Metadata!F341,"weeks"))</f>
        <v>0</v>
      </c>
      <c r="AA341">
        <f>AND(IF(Metadata!G341="",FALSE,TRUE),exact(Metadata!G341,"mouse"))</f>
        <v>0</v>
      </c>
      <c r="AB341">
        <f>AND(IF(Metadata!H341="",FALSE,TRUE),exact(Metadata!H341,"Mus musculus"))</f>
        <v>0</v>
      </c>
      <c r="AC341">
        <f>AND(IF(Metadata!I341="",FALSE,TRUE),exact(Metadata!I341,"10090"))</f>
        <v>0</v>
      </c>
      <c r="AD341">
        <f>OR(AND(IF(Metadata!J341="",FALSE,TRUE),OR(exact(Metadata!J341,"not applicable"),exact(Metadata!J341,"missing: not collected"),exact(Metadata!J341,"missing: not provided"),exact(Metadata!J341,"missing: restricted access"))),AND(IF(Metadata!J341="",FALSE,ISNUMBER(VALUE(Metadata!J341))),Metadata!J341&gt;0))</f>
        <v>0</v>
      </c>
      <c r="AE341">
        <f>AND(IF(Metadata!K341="",FALSE,TRUE),exact(Metadata!K341,"g"))</f>
        <v>0</v>
      </c>
    </row>
    <row r="342" spans="1:31">
      <c r="A342" s="5">
        <f>IF(B342=" "," ",HYPERLINK(CONCATENATE("#metadata!",ADDRESS(INDEX($Q$2:$Q$1001,MATCH(ROWS($O$2:O342),$O$2:$O$1001,0),0),1)),INDEX($T$2:$T$1001,MATCH(ROWS($O$2:O342),$O$2:$O$1001,0),0)))</f>
        <v>0</v>
      </c>
      <c r="B342" s="4">
        <f>IF(OR(INDEX($P$2:$P$1001,MATCH(ROWS($O$2:O342),$O$2:$O$1001,0),1)&gt;=100000,INDEX($V$1005:$AE$1005,1,MATCH(COLUMNS($V$1006:V1006),$V$1006:$AE$1006,0))&gt;=100000), " ",IF(INDEX($V$2:$AE$1001,MATCH(ROWS($O$2:O342),$O$2:$O$1001,0),MATCH(COLUMNS($V$1006:V1006),$V$1006:$AE$1006,0)), HYPERLINK("#",""), HYPERLINK(CONCATENATE("#Metadata!", ADDRESS(INDEX($Q$2:$Q$1001,MATCH(ROWS($O$2:O342),$O$2:$O$1001,0),0), INDEX($V$1004:$AE$1004,1,MATCH(COLUMNS($V$1006:V1006),$V$1006:$AE$1006,0)))),"Fix")))</f>
        <v>0</v>
      </c>
      <c r="C342" s="4">
        <f>IF(OR(INDEX($P$2:$P$1001,MATCH(ROWS($O$2:O342),$O$2:$O$1001,0),1)&gt;=100000,INDEX($V$1005:$AE$1005,1,MATCH(COLUMNS($V$1006:W1006),$V$1006:$AE$1006,0))&gt;=100000), " ",IF(INDEX($V$2:$AE$1001,MATCH(ROWS($O$2:O342),$O$2:$O$1001,0),MATCH(COLUMNS($V$1006:W1006),$V$1006:$AE$1006,0)), HYPERLINK("#",""), HYPERLINK(CONCATENATE("#Metadata!", ADDRESS(INDEX($Q$2:$Q$1001,MATCH(ROWS($O$2:O342),$O$2:$O$1001,0),0), INDEX($V$1004:$AE$1004,1,MATCH(COLUMNS($V$1006:W1006),$V$1006:$AE$1006,0)))),"Fix")))</f>
        <v>0</v>
      </c>
      <c r="D342" s="4">
        <f>IF(OR(INDEX($P$2:$P$1001,MATCH(ROWS($O$2:O342),$O$2:$O$1001,0),1)&gt;=100000,INDEX($V$1005:$AE$1005,1,MATCH(COLUMNS($V$1006:X1006),$V$1006:$AE$1006,0))&gt;=100000), " ",IF(INDEX($V$2:$AE$1001,MATCH(ROWS($O$2:O342),$O$2:$O$1001,0),MATCH(COLUMNS($V$1006:X1006),$V$1006:$AE$1006,0)), HYPERLINK("#",""), HYPERLINK(CONCATENATE("#Metadata!", ADDRESS(INDEX($Q$2:$Q$1001,MATCH(ROWS($O$2:O342),$O$2:$O$1001,0),0), INDEX($V$1004:$AE$1004,1,MATCH(COLUMNS($V$1006:X1006),$V$1006:$AE$1006,0)))),"Fix")))</f>
        <v>0</v>
      </c>
      <c r="E342" s="4">
        <f>IF(OR(INDEX($P$2:$P$1001,MATCH(ROWS($O$2:O342),$O$2:$O$1001,0),1)&gt;=100000,INDEX($V$1005:$AE$1005,1,MATCH(COLUMNS($V$1006:Y1006),$V$1006:$AE$1006,0))&gt;=100000), " ",IF(INDEX($V$2:$AE$1001,MATCH(ROWS($O$2:O342),$O$2:$O$1001,0),MATCH(COLUMNS($V$1006:Y1006),$V$1006:$AE$1006,0)), HYPERLINK("#",""), HYPERLINK(CONCATENATE("#Metadata!", ADDRESS(INDEX($Q$2:$Q$1001,MATCH(ROWS($O$2:O342),$O$2:$O$1001,0),0), INDEX($V$1004:$AE$1004,1,MATCH(COLUMNS($V$1006:Y1006),$V$1006:$AE$1006,0)))),"Fix")))</f>
        <v>0</v>
      </c>
      <c r="F342" s="4">
        <f>IF(OR(INDEX($P$2:$P$1001,MATCH(ROWS($O$2:O342),$O$2:$O$1001,0),1)&gt;=100000,INDEX($V$1005:$AE$1005,1,MATCH(COLUMNS($V$1006:Z1006),$V$1006:$AE$1006,0))&gt;=100000), " ",IF(INDEX($V$2:$AE$1001,MATCH(ROWS($O$2:O342),$O$2:$O$1001,0),MATCH(COLUMNS($V$1006:Z1006),$V$1006:$AE$1006,0)), HYPERLINK("#",""), HYPERLINK(CONCATENATE("#Metadata!", ADDRESS(INDEX($Q$2:$Q$1001,MATCH(ROWS($O$2:O342),$O$2:$O$1001,0),0), INDEX($V$1004:$AE$1004,1,MATCH(COLUMNS($V$1006:Z1006),$V$1006:$AE$1006,0)))),"Fix")))</f>
        <v>0</v>
      </c>
      <c r="G342" s="4">
        <f>IF(OR(INDEX($P$2:$P$1001,MATCH(ROWS($O$2:O342),$O$2:$O$1001,0),1)&gt;=100000,INDEX($V$1005:$AE$1005,1,MATCH(COLUMNS($V$1006:AA1006),$V$1006:$AE$1006,0))&gt;=100000), " ",IF(INDEX($V$2:$AE$1001,MATCH(ROWS($O$2:O342),$O$2:$O$1001,0),MATCH(COLUMNS($V$1006:AA1006),$V$1006:$AE$1006,0)), HYPERLINK("#",""), HYPERLINK(CONCATENATE("#Metadata!", ADDRESS(INDEX($Q$2:$Q$1001,MATCH(ROWS($O$2:O342),$O$2:$O$1001,0),0), INDEX($V$1004:$AE$1004,1,MATCH(COLUMNS($V$1006:AA1006),$V$1006:$AE$1006,0)))),"Fix")))</f>
        <v>0</v>
      </c>
      <c r="H342" s="4">
        <f>IF(OR(INDEX($P$2:$P$1001,MATCH(ROWS($O$2:O342),$O$2:$O$1001,0),1)&gt;=100000,INDEX($V$1005:$AE$1005,1,MATCH(COLUMNS($V$1006:AB1006),$V$1006:$AE$1006,0))&gt;=100000), " ",IF(INDEX($V$2:$AE$1001,MATCH(ROWS($O$2:O342),$O$2:$O$1001,0),MATCH(COLUMNS($V$1006:AB1006),$V$1006:$AE$1006,0)), HYPERLINK("#",""), HYPERLINK(CONCATENATE("#Metadata!", ADDRESS(INDEX($Q$2:$Q$1001,MATCH(ROWS($O$2:O342),$O$2:$O$1001,0),0), INDEX($V$1004:$AE$1004,1,MATCH(COLUMNS($V$1006:AB1006),$V$1006:$AE$1006,0)))),"Fix")))</f>
        <v>0</v>
      </c>
      <c r="I342" s="4">
        <f>IF(OR(INDEX($P$2:$P$1001,MATCH(ROWS($O$2:O342),$O$2:$O$1001,0),1)&gt;=100000,INDEX($V$1005:$AE$1005,1,MATCH(COLUMNS($V$1006:AC1006),$V$1006:$AE$1006,0))&gt;=100000), " ",IF(INDEX($V$2:$AE$1001,MATCH(ROWS($O$2:O342),$O$2:$O$1001,0),MATCH(COLUMNS($V$1006:AC1006),$V$1006:$AE$1006,0)), HYPERLINK("#",""), HYPERLINK(CONCATENATE("#Metadata!", ADDRESS(INDEX($Q$2:$Q$1001,MATCH(ROWS($O$2:O342),$O$2:$O$1001,0),0), INDEX($V$1004:$AE$1004,1,MATCH(COLUMNS($V$1006:AC1006),$V$1006:$AE$1006,0)))),"Fix")))</f>
        <v>0</v>
      </c>
      <c r="J342" s="4">
        <f>IF(OR(INDEX($P$2:$P$1001,MATCH(ROWS($O$2:O342),$O$2:$O$1001,0),1)&gt;=100000,INDEX($V$1005:$AE$1005,1,MATCH(COLUMNS($V$1006:AD1006),$V$1006:$AE$1006,0))&gt;=100000), " ",IF(INDEX($V$2:$AE$1001,MATCH(ROWS($O$2:O342),$O$2:$O$1001,0),MATCH(COLUMNS($V$1006:AD1006),$V$1006:$AE$1006,0)), HYPERLINK("#",""), HYPERLINK(CONCATENATE("#Metadata!", ADDRESS(INDEX($Q$2:$Q$1001,MATCH(ROWS($O$2:O342),$O$2:$O$1001,0),0), INDEX($V$1004:$AE$1004,1,MATCH(COLUMNS($V$1006:AD1006),$V$1006:$AE$1006,0)))),"Fix")))</f>
        <v>0</v>
      </c>
      <c r="K342" s="4">
        <f>IF(OR(INDEX($P$2:$P$1001,MATCH(ROWS($O$2:O342),$O$2:$O$1001,0),1)&gt;=100000,INDEX($V$1005:$AE$1005,1,MATCH(COLUMNS($V$1006:AE1006),$V$1006:$AE$1006,0))&gt;=100000), " ",IF(INDEX($V$2:$AE$1001,MATCH(ROWS($O$2:O342),$O$2:$O$1001,0),MATCH(COLUMNS($V$1006:AE1006),$V$1006:$AE$1006,0)), HYPERLINK("#",""), HYPERLINK(CONCATENATE("#Metadata!", ADDRESS(INDEX($Q$2:$Q$1001,MATCH(ROWS($O$2:O342),$O$2:$O$1001,0),0), INDEX($V$1004:$AE$1004,1,MATCH(COLUMNS($V$1006:AE1006),$V$1006:$AE$1006,0)))),"Fix")))</f>
        <v>0</v>
      </c>
      <c r="O342">
        <v>0</v>
      </c>
      <c r="P342">
        <v>0</v>
      </c>
      <c r="Q342">
        <v>0</v>
      </c>
      <c r="R342">
        <f>IF(S342,TRUE,AND(V342:AE342))</f>
        <v>0</v>
      </c>
      <c r="S342">
        <f>COUNTBLANK(Metadata!B342:K342)=COLUMNS(Metadata!B342:K342)</f>
        <v>0</v>
      </c>
      <c r="T342">
        <v>0</v>
      </c>
      <c r="V342">
        <f>AND(IF(Metadata!B342="",FALSE,TRUE),COUNTIF(Metadata!B:B, Metadata!B342) = 1,NOT(ISERROR(SUMPRODUCT(SEARCH(MID(Metadata!B342,ROW(INDIRECT("1:"&amp;LEN(Metadata!B342))), 1),"0123456789abcdefghijklmnopqrstuvwxyzABCDEFGHIJKLMNOPQRSTUVWXYZ.")))))</f>
        <v>0</v>
      </c>
      <c r="W342">
        <f>AND(IF(Metadata!C342="",FALSE,TRUE),exact(Metadata!C342,"urban biome"))</f>
        <v>0</v>
      </c>
      <c r="X342">
        <f>AND(IF(Metadata!D342="",FALSE,TRUE),exact(Metadata!D342,"animal-associated habitat"))</f>
        <v>0</v>
      </c>
      <c r="Y342">
        <f>OR(AND(IF(Metadata!E342="",FALSE,TRUE),OR(exact(Metadata!E342,"not applicable"),exact(Metadata!E342,"missing: not collected"),exact(Metadata!E342,"missing: not provided"),exact(Metadata!E342,"missing: restricted access"))),AND(IF(Metadata!E342="",FALSE,ISNUMBER(VALUE(Metadata!E342))),Metadata!E342&gt;0))</f>
        <v>0</v>
      </c>
      <c r="Z342">
        <f>AND(IF(Metadata!F342="",FALSE,TRUE),exact(Metadata!F342,"weeks"))</f>
        <v>0</v>
      </c>
      <c r="AA342">
        <f>AND(IF(Metadata!G342="",FALSE,TRUE),exact(Metadata!G342,"mouse"))</f>
        <v>0</v>
      </c>
      <c r="AB342">
        <f>AND(IF(Metadata!H342="",FALSE,TRUE),exact(Metadata!H342,"Mus musculus"))</f>
        <v>0</v>
      </c>
      <c r="AC342">
        <f>AND(IF(Metadata!I342="",FALSE,TRUE),exact(Metadata!I342,"10090"))</f>
        <v>0</v>
      </c>
      <c r="AD342">
        <f>OR(AND(IF(Metadata!J342="",FALSE,TRUE),OR(exact(Metadata!J342,"not applicable"),exact(Metadata!J342,"missing: not collected"),exact(Metadata!J342,"missing: not provided"),exact(Metadata!J342,"missing: restricted access"))),AND(IF(Metadata!J342="",FALSE,ISNUMBER(VALUE(Metadata!J342))),Metadata!J342&gt;0))</f>
        <v>0</v>
      </c>
      <c r="AE342">
        <f>AND(IF(Metadata!K342="",FALSE,TRUE),exact(Metadata!K342,"g"))</f>
        <v>0</v>
      </c>
    </row>
    <row r="343" spans="1:31">
      <c r="A343" s="5">
        <f>IF(B343=" "," ",HYPERLINK(CONCATENATE("#metadata!",ADDRESS(INDEX($Q$2:$Q$1001,MATCH(ROWS($O$2:O343),$O$2:$O$1001,0),0),1)),INDEX($T$2:$T$1001,MATCH(ROWS($O$2:O343),$O$2:$O$1001,0),0)))</f>
        <v>0</v>
      </c>
      <c r="B343" s="4">
        <f>IF(OR(INDEX($P$2:$P$1001,MATCH(ROWS($O$2:O343),$O$2:$O$1001,0),1)&gt;=100000,INDEX($V$1005:$AE$1005,1,MATCH(COLUMNS($V$1006:V1006),$V$1006:$AE$1006,0))&gt;=100000), " ",IF(INDEX($V$2:$AE$1001,MATCH(ROWS($O$2:O343),$O$2:$O$1001,0),MATCH(COLUMNS($V$1006:V1006),$V$1006:$AE$1006,0)), HYPERLINK("#",""), HYPERLINK(CONCATENATE("#Metadata!", ADDRESS(INDEX($Q$2:$Q$1001,MATCH(ROWS($O$2:O343),$O$2:$O$1001,0),0), INDEX($V$1004:$AE$1004,1,MATCH(COLUMNS($V$1006:V1006),$V$1006:$AE$1006,0)))),"Fix")))</f>
        <v>0</v>
      </c>
      <c r="C343" s="4">
        <f>IF(OR(INDEX($P$2:$P$1001,MATCH(ROWS($O$2:O343),$O$2:$O$1001,0),1)&gt;=100000,INDEX($V$1005:$AE$1005,1,MATCH(COLUMNS($V$1006:W1006),$V$1006:$AE$1006,0))&gt;=100000), " ",IF(INDEX($V$2:$AE$1001,MATCH(ROWS($O$2:O343),$O$2:$O$1001,0),MATCH(COLUMNS($V$1006:W1006),$V$1006:$AE$1006,0)), HYPERLINK("#",""), HYPERLINK(CONCATENATE("#Metadata!", ADDRESS(INDEX($Q$2:$Q$1001,MATCH(ROWS($O$2:O343),$O$2:$O$1001,0),0), INDEX($V$1004:$AE$1004,1,MATCH(COLUMNS($V$1006:W1006),$V$1006:$AE$1006,0)))),"Fix")))</f>
        <v>0</v>
      </c>
      <c r="D343" s="4">
        <f>IF(OR(INDEX($P$2:$P$1001,MATCH(ROWS($O$2:O343),$O$2:$O$1001,0),1)&gt;=100000,INDEX($V$1005:$AE$1005,1,MATCH(COLUMNS($V$1006:X1006),$V$1006:$AE$1006,0))&gt;=100000), " ",IF(INDEX($V$2:$AE$1001,MATCH(ROWS($O$2:O343),$O$2:$O$1001,0),MATCH(COLUMNS($V$1006:X1006),$V$1006:$AE$1006,0)), HYPERLINK("#",""), HYPERLINK(CONCATENATE("#Metadata!", ADDRESS(INDEX($Q$2:$Q$1001,MATCH(ROWS($O$2:O343),$O$2:$O$1001,0),0), INDEX($V$1004:$AE$1004,1,MATCH(COLUMNS($V$1006:X1006),$V$1006:$AE$1006,0)))),"Fix")))</f>
        <v>0</v>
      </c>
      <c r="E343" s="4">
        <f>IF(OR(INDEX($P$2:$P$1001,MATCH(ROWS($O$2:O343),$O$2:$O$1001,0),1)&gt;=100000,INDEX($V$1005:$AE$1005,1,MATCH(COLUMNS($V$1006:Y1006),$V$1006:$AE$1006,0))&gt;=100000), " ",IF(INDEX($V$2:$AE$1001,MATCH(ROWS($O$2:O343),$O$2:$O$1001,0),MATCH(COLUMNS($V$1006:Y1006),$V$1006:$AE$1006,0)), HYPERLINK("#",""), HYPERLINK(CONCATENATE("#Metadata!", ADDRESS(INDEX($Q$2:$Q$1001,MATCH(ROWS($O$2:O343),$O$2:$O$1001,0),0), INDEX($V$1004:$AE$1004,1,MATCH(COLUMNS($V$1006:Y1006),$V$1006:$AE$1006,0)))),"Fix")))</f>
        <v>0</v>
      </c>
      <c r="F343" s="4">
        <f>IF(OR(INDEX($P$2:$P$1001,MATCH(ROWS($O$2:O343),$O$2:$O$1001,0),1)&gt;=100000,INDEX($V$1005:$AE$1005,1,MATCH(COLUMNS($V$1006:Z1006),$V$1006:$AE$1006,0))&gt;=100000), " ",IF(INDEX($V$2:$AE$1001,MATCH(ROWS($O$2:O343),$O$2:$O$1001,0),MATCH(COLUMNS($V$1006:Z1006),$V$1006:$AE$1006,0)), HYPERLINK("#",""), HYPERLINK(CONCATENATE("#Metadata!", ADDRESS(INDEX($Q$2:$Q$1001,MATCH(ROWS($O$2:O343),$O$2:$O$1001,0),0), INDEX($V$1004:$AE$1004,1,MATCH(COLUMNS($V$1006:Z1006),$V$1006:$AE$1006,0)))),"Fix")))</f>
        <v>0</v>
      </c>
      <c r="G343" s="4">
        <f>IF(OR(INDEX($P$2:$P$1001,MATCH(ROWS($O$2:O343),$O$2:$O$1001,0),1)&gt;=100000,INDEX($V$1005:$AE$1005,1,MATCH(COLUMNS($V$1006:AA1006),$V$1006:$AE$1006,0))&gt;=100000), " ",IF(INDEX($V$2:$AE$1001,MATCH(ROWS($O$2:O343),$O$2:$O$1001,0),MATCH(COLUMNS($V$1006:AA1006),$V$1006:$AE$1006,0)), HYPERLINK("#",""), HYPERLINK(CONCATENATE("#Metadata!", ADDRESS(INDEX($Q$2:$Q$1001,MATCH(ROWS($O$2:O343),$O$2:$O$1001,0),0), INDEX($V$1004:$AE$1004,1,MATCH(COLUMNS($V$1006:AA1006),$V$1006:$AE$1006,0)))),"Fix")))</f>
        <v>0</v>
      </c>
      <c r="H343" s="4">
        <f>IF(OR(INDEX($P$2:$P$1001,MATCH(ROWS($O$2:O343),$O$2:$O$1001,0),1)&gt;=100000,INDEX($V$1005:$AE$1005,1,MATCH(COLUMNS($V$1006:AB1006),$V$1006:$AE$1006,0))&gt;=100000), " ",IF(INDEX($V$2:$AE$1001,MATCH(ROWS($O$2:O343),$O$2:$O$1001,0),MATCH(COLUMNS($V$1006:AB1006),$V$1006:$AE$1006,0)), HYPERLINK("#",""), HYPERLINK(CONCATENATE("#Metadata!", ADDRESS(INDEX($Q$2:$Q$1001,MATCH(ROWS($O$2:O343),$O$2:$O$1001,0),0), INDEX($V$1004:$AE$1004,1,MATCH(COLUMNS($V$1006:AB1006),$V$1006:$AE$1006,0)))),"Fix")))</f>
        <v>0</v>
      </c>
      <c r="I343" s="4">
        <f>IF(OR(INDEX($P$2:$P$1001,MATCH(ROWS($O$2:O343),$O$2:$O$1001,0),1)&gt;=100000,INDEX($V$1005:$AE$1005,1,MATCH(COLUMNS($V$1006:AC1006),$V$1006:$AE$1006,0))&gt;=100000), " ",IF(INDEX($V$2:$AE$1001,MATCH(ROWS($O$2:O343),$O$2:$O$1001,0),MATCH(COLUMNS($V$1006:AC1006),$V$1006:$AE$1006,0)), HYPERLINK("#",""), HYPERLINK(CONCATENATE("#Metadata!", ADDRESS(INDEX($Q$2:$Q$1001,MATCH(ROWS($O$2:O343),$O$2:$O$1001,0),0), INDEX($V$1004:$AE$1004,1,MATCH(COLUMNS($V$1006:AC1006),$V$1006:$AE$1006,0)))),"Fix")))</f>
        <v>0</v>
      </c>
      <c r="J343" s="4">
        <f>IF(OR(INDEX($P$2:$P$1001,MATCH(ROWS($O$2:O343),$O$2:$O$1001,0),1)&gt;=100000,INDEX($V$1005:$AE$1005,1,MATCH(COLUMNS($V$1006:AD1006),$V$1006:$AE$1006,0))&gt;=100000), " ",IF(INDEX($V$2:$AE$1001,MATCH(ROWS($O$2:O343),$O$2:$O$1001,0),MATCH(COLUMNS($V$1006:AD1006),$V$1006:$AE$1006,0)), HYPERLINK("#",""), HYPERLINK(CONCATENATE("#Metadata!", ADDRESS(INDEX($Q$2:$Q$1001,MATCH(ROWS($O$2:O343),$O$2:$O$1001,0),0), INDEX($V$1004:$AE$1004,1,MATCH(COLUMNS($V$1006:AD1006),$V$1006:$AE$1006,0)))),"Fix")))</f>
        <v>0</v>
      </c>
      <c r="K343" s="4">
        <f>IF(OR(INDEX($P$2:$P$1001,MATCH(ROWS($O$2:O343),$O$2:$O$1001,0),1)&gt;=100000,INDEX($V$1005:$AE$1005,1,MATCH(COLUMNS($V$1006:AE1006),$V$1006:$AE$1006,0))&gt;=100000), " ",IF(INDEX($V$2:$AE$1001,MATCH(ROWS($O$2:O343),$O$2:$O$1001,0),MATCH(COLUMNS($V$1006:AE1006),$V$1006:$AE$1006,0)), HYPERLINK("#",""), HYPERLINK(CONCATENATE("#Metadata!", ADDRESS(INDEX($Q$2:$Q$1001,MATCH(ROWS($O$2:O343),$O$2:$O$1001,0),0), INDEX($V$1004:$AE$1004,1,MATCH(COLUMNS($V$1006:AE1006),$V$1006:$AE$1006,0)))),"Fix")))</f>
        <v>0</v>
      </c>
      <c r="O343">
        <v>0</v>
      </c>
      <c r="P343">
        <v>0</v>
      </c>
      <c r="Q343">
        <v>0</v>
      </c>
      <c r="R343">
        <f>IF(S343,TRUE,AND(V343:AE343))</f>
        <v>0</v>
      </c>
      <c r="S343">
        <f>COUNTBLANK(Metadata!B343:K343)=COLUMNS(Metadata!B343:K343)</f>
        <v>0</v>
      </c>
      <c r="T343">
        <v>0</v>
      </c>
      <c r="V343">
        <f>AND(IF(Metadata!B343="",FALSE,TRUE),COUNTIF(Metadata!B:B, Metadata!B343) = 1,NOT(ISERROR(SUMPRODUCT(SEARCH(MID(Metadata!B343,ROW(INDIRECT("1:"&amp;LEN(Metadata!B343))), 1),"0123456789abcdefghijklmnopqrstuvwxyzABCDEFGHIJKLMNOPQRSTUVWXYZ.")))))</f>
        <v>0</v>
      </c>
      <c r="W343">
        <f>AND(IF(Metadata!C343="",FALSE,TRUE),exact(Metadata!C343,"urban biome"))</f>
        <v>0</v>
      </c>
      <c r="X343">
        <f>AND(IF(Metadata!D343="",FALSE,TRUE),exact(Metadata!D343,"animal-associated habitat"))</f>
        <v>0</v>
      </c>
      <c r="Y343">
        <f>OR(AND(IF(Metadata!E343="",FALSE,TRUE),OR(exact(Metadata!E343,"not applicable"),exact(Metadata!E343,"missing: not collected"),exact(Metadata!E343,"missing: not provided"),exact(Metadata!E343,"missing: restricted access"))),AND(IF(Metadata!E343="",FALSE,ISNUMBER(VALUE(Metadata!E343))),Metadata!E343&gt;0))</f>
        <v>0</v>
      </c>
      <c r="Z343">
        <f>AND(IF(Metadata!F343="",FALSE,TRUE),exact(Metadata!F343,"weeks"))</f>
        <v>0</v>
      </c>
      <c r="AA343">
        <f>AND(IF(Metadata!G343="",FALSE,TRUE),exact(Metadata!G343,"mouse"))</f>
        <v>0</v>
      </c>
      <c r="AB343">
        <f>AND(IF(Metadata!H343="",FALSE,TRUE),exact(Metadata!H343,"Mus musculus"))</f>
        <v>0</v>
      </c>
      <c r="AC343">
        <f>AND(IF(Metadata!I343="",FALSE,TRUE),exact(Metadata!I343,"10090"))</f>
        <v>0</v>
      </c>
      <c r="AD343">
        <f>OR(AND(IF(Metadata!J343="",FALSE,TRUE),OR(exact(Metadata!J343,"not applicable"),exact(Metadata!J343,"missing: not collected"),exact(Metadata!J343,"missing: not provided"),exact(Metadata!J343,"missing: restricted access"))),AND(IF(Metadata!J343="",FALSE,ISNUMBER(VALUE(Metadata!J343))),Metadata!J343&gt;0))</f>
        <v>0</v>
      </c>
      <c r="AE343">
        <f>AND(IF(Metadata!K343="",FALSE,TRUE),exact(Metadata!K343,"g"))</f>
        <v>0</v>
      </c>
    </row>
    <row r="344" spans="1:31">
      <c r="A344" s="5">
        <f>IF(B344=" "," ",HYPERLINK(CONCATENATE("#metadata!",ADDRESS(INDEX($Q$2:$Q$1001,MATCH(ROWS($O$2:O344),$O$2:$O$1001,0),0),1)),INDEX($T$2:$T$1001,MATCH(ROWS($O$2:O344),$O$2:$O$1001,0),0)))</f>
        <v>0</v>
      </c>
      <c r="B344" s="4">
        <f>IF(OR(INDEX($P$2:$P$1001,MATCH(ROWS($O$2:O344),$O$2:$O$1001,0),1)&gt;=100000,INDEX($V$1005:$AE$1005,1,MATCH(COLUMNS($V$1006:V1006),$V$1006:$AE$1006,0))&gt;=100000), " ",IF(INDEX($V$2:$AE$1001,MATCH(ROWS($O$2:O344),$O$2:$O$1001,0),MATCH(COLUMNS($V$1006:V1006),$V$1006:$AE$1006,0)), HYPERLINK("#",""), HYPERLINK(CONCATENATE("#Metadata!", ADDRESS(INDEX($Q$2:$Q$1001,MATCH(ROWS($O$2:O344),$O$2:$O$1001,0),0), INDEX($V$1004:$AE$1004,1,MATCH(COLUMNS($V$1006:V1006),$V$1006:$AE$1006,0)))),"Fix")))</f>
        <v>0</v>
      </c>
      <c r="C344" s="4">
        <f>IF(OR(INDEX($P$2:$P$1001,MATCH(ROWS($O$2:O344),$O$2:$O$1001,0),1)&gt;=100000,INDEX($V$1005:$AE$1005,1,MATCH(COLUMNS($V$1006:W1006),$V$1006:$AE$1006,0))&gt;=100000), " ",IF(INDEX($V$2:$AE$1001,MATCH(ROWS($O$2:O344),$O$2:$O$1001,0),MATCH(COLUMNS($V$1006:W1006),$V$1006:$AE$1006,0)), HYPERLINK("#",""), HYPERLINK(CONCATENATE("#Metadata!", ADDRESS(INDEX($Q$2:$Q$1001,MATCH(ROWS($O$2:O344),$O$2:$O$1001,0),0), INDEX($V$1004:$AE$1004,1,MATCH(COLUMNS($V$1006:W1006),$V$1006:$AE$1006,0)))),"Fix")))</f>
        <v>0</v>
      </c>
      <c r="D344" s="4">
        <f>IF(OR(INDEX($P$2:$P$1001,MATCH(ROWS($O$2:O344),$O$2:$O$1001,0),1)&gt;=100000,INDEX($V$1005:$AE$1005,1,MATCH(COLUMNS($V$1006:X1006),$V$1006:$AE$1006,0))&gt;=100000), " ",IF(INDEX($V$2:$AE$1001,MATCH(ROWS($O$2:O344),$O$2:$O$1001,0),MATCH(COLUMNS($V$1006:X1006),$V$1006:$AE$1006,0)), HYPERLINK("#",""), HYPERLINK(CONCATENATE("#Metadata!", ADDRESS(INDEX($Q$2:$Q$1001,MATCH(ROWS($O$2:O344),$O$2:$O$1001,0),0), INDEX($V$1004:$AE$1004,1,MATCH(COLUMNS($V$1006:X1006),$V$1006:$AE$1006,0)))),"Fix")))</f>
        <v>0</v>
      </c>
      <c r="E344" s="4">
        <f>IF(OR(INDEX($P$2:$P$1001,MATCH(ROWS($O$2:O344),$O$2:$O$1001,0),1)&gt;=100000,INDEX($V$1005:$AE$1005,1,MATCH(COLUMNS($V$1006:Y1006),$V$1006:$AE$1006,0))&gt;=100000), " ",IF(INDEX($V$2:$AE$1001,MATCH(ROWS($O$2:O344),$O$2:$O$1001,0),MATCH(COLUMNS($V$1006:Y1006),$V$1006:$AE$1006,0)), HYPERLINK("#",""), HYPERLINK(CONCATENATE("#Metadata!", ADDRESS(INDEX($Q$2:$Q$1001,MATCH(ROWS($O$2:O344),$O$2:$O$1001,0),0), INDEX($V$1004:$AE$1004,1,MATCH(COLUMNS($V$1006:Y1006),$V$1006:$AE$1006,0)))),"Fix")))</f>
        <v>0</v>
      </c>
      <c r="F344" s="4">
        <f>IF(OR(INDEX($P$2:$P$1001,MATCH(ROWS($O$2:O344),$O$2:$O$1001,0),1)&gt;=100000,INDEX($V$1005:$AE$1005,1,MATCH(COLUMNS($V$1006:Z1006),$V$1006:$AE$1006,0))&gt;=100000), " ",IF(INDEX($V$2:$AE$1001,MATCH(ROWS($O$2:O344),$O$2:$O$1001,0),MATCH(COLUMNS($V$1006:Z1006),$V$1006:$AE$1006,0)), HYPERLINK("#",""), HYPERLINK(CONCATENATE("#Metadata!", ADDRESS(INDEX($Q$2:$Q$1001,MATCH(ROWS($O$2:O344),$O$2:$O$1001,0),0), INDEX($V$1004:$AE$1004,1,MATCH(COLUMNS($V$1006:Z1006),$V$1006:$AE$1006,0)))),"Fix")))</f>
        <v>0</v>
      </c>
      <c r="G344" s="4">
        <f>IF(OR(INDEX($P$2:$P$1001,MATCH(ROWS($O$2:O344),$O$2:$O$1001,0),1)&gt;=100000,INDEX($V$1005:$AE$1005,1,MATCH(COLUMNS($V$1006:AA1006),$V$1006:$AE$1006,0))&gt;=100000), " ",IF(INDEX($V$2:$AE$1001,MATCH(ROWS($O$2:O344),$O$2:$O$1001,0),MATCH(COLUMNS($V$1006:AA1006),$V$1006:$AE$1006,0)), HYPERLINK("#",""), HYPERLINK(CONCATENATE("#Metadata!", ADDRESS(INDEX($Q$2:$Q$1001,MATCH(ROWS($O$2:O344),$O$2:$O$1001,0),0), INDEX($V$1004:$AE$1004,1,MATCH(COLUMNS($V$1006:AA1006),$V$1006:$AE$1006,0)))),"Fix")))</f>
        <v>0</v>
      </c>
      <c r="H344" s="4">
        <f>IF(OR(INDEX($P$2:$P$1001,MATCH(ROWS($O$2:O344),$O$2:$O$1001,0),1)&gt;=100000,INDEX($V$1005:$AE$1005,1,MATCH(COLUMNS($V$1006:AB1006),$V$1006:$AE$1006,0))&gt;=100000), " ",IF(INDEX($V$2:$AE$1001,MATCH(ROWS($O$2:O344),$O$2:$O$1001,0),MATCH(COLUMNS($V$1006:AB1006),$V$1006:$AE$1006,0)), HYPERLINK("#",""), HYPERLINK(CONCATENATE("#Metadata!", ADDRESS(INDEX($Q$2:$Q$1001,MATCH(ROWS($O$2:O344),$O$2:$O$1001,0),0), INDEX($V$1004:$AE$1004,1,MATCH(COLUMNS($V$1006:AB1006),$V$1006:$AE$1006,0)))),"Fix")))</f>
        <v>0</v>
      </c>
      <c r="I344" s="4">
        <f>IF(OR(INDEX($P$2:$P$1001,MATCH(ROWS($O$2:O344),$O$2:$O$1001,0),1)&gt;=100000,INDEX($V$1005:$AE$1005,1,MATCH(COLUMNS($V$1006:AC1006),$V$1006:$AE$1006,0))&gt;=100000), " ",IF(INDEX($V$2:$AE$1001,MATCH(ROWS($O$2:O344),$O$2:$O$1001,0),MATCH(COLUMNS($V$1006:AC1006),$V$1006:$AE$1006,0)), HYPERLINK("#",""), HYPERLINK(CONCATENATE("#Metadata!", ADDRESS(INDEX($Q$2:$Q$1001,MATCH(ROWS($O$2:O344),$O$2:$O$1001,0),0), INDEX($V$1004:$AE$1004,1,MATCH(COLUMNS($V$1006:AC1006),$V$1006:$AE$1006,0)))),"Fix")))</f>
        <v>0</v>
      </c>
      <c r="J344" s="4">
        <f>IF(OR(INDEX($P$2:$P$1001,MATCH(ROWS($O$2:O344),$O$2:$O$1001,0),1)&gt;=100000,INDEX($V$1005:$AE$1005,1,MATCH(COLUMNS($V$1006:AD1006),$V$1006:$AE$1006,0))&gt;=100000), " ",IF(INDEX($V$2:$AE$1001,MATCH(ROWS($O$2:O344),$O$2:$O$1001,0),MATCH(COLUMNS($V$1006:AD1006),$V$1006:$AE$1006,0)), HYPERLINK("#",""), HYPERLINK(CONCATENATE("#Metadata!", ADDRESS(INDEX($Q$2:$Q$1001,MATCH(ROWS($O$2:O344),$O$2:$O$1001,0),0), INDEX($V$1004:$AE$1004,1,MATCH(COLUMNS($V$1006:AD1006),$V$1006:$AE$1006,0)))),"Fix")))</f>
        <v>0</v>
      </c>
      <c r="K344" s="4">
        <f>IF(OR(INDEX($P$2:$P$1001,MATCH(ROWS($O$2:O344),$O$2:$O$1001,0),1)&gt;=100000,INDEX($V$1005:$AE$1005,1,MATCH(COLUMNS($V$1006:AE1006),$V$1006:$AE$1006,0))&gt;=100000), " ",IF(INDEX($V$2:$AE$1001,MATCH(ROWS($O$2:O344),$O$2:$O$1001,0),MATCH(COLUMNS($V$1006:AE1006),$V$1006:$AE$1006,0)), HYPERLINK("#",""), HYPERLINK(CONCATENATE("#Metadata!", ADDRESS(INDEX($Q$2:$Q$1001,MATCH(ROWS($O$2:O344),$O$2:$O$1001,0),0), INDEX($V$1004:$AE$1004,1,MATCH(COLUMNS($V$1006:AE1006),$V$1006:$AE$1006,0)))),"Fix")))</f>
        <v>0</v>
      </c>
      <c r="O344">
        <v>0</v>
      </c>
      <c r="P344">
        <v>0</v>
      </c>
      <c r="Q344">
        <v>0</v>
      </c>
      <c r="R344">
        <f>IF(S344,TRUE,AND(V344:AE344))</f>
        <v>0</v>
      </c>
      <c r="S344">
        <f>COUNTBLANK(Metadata!B344:K344)=COLUMNS(Metadata!B344:K344)</f>
        <v>0</v>
      </c>
      <c r="T344">
        <v>0</v>
      </c>
      <c r="V344">
        <f>AND(IF(Metadata!B344="",FALSE,TRUE),COUNTIF(Metadata!B:B, Metadata!B344) = 1,NOT(ISERROR(SUMPRODUCT(SEARCH(MID(Metadata!B344,ROW(INDIRECT("1:"&amp;LEN(Metadata!B344))), 1),"0123456789abcdefghijklmnopqrstuvwxyzABCDEFGHIJKLMNOPQRSTUVWXYZ.")))))</f>
        <v>0</v>
      </c>
      <c r="W344">
        <f>AND(IF(Metadata!C344="",FALSE,TRUE),exact(Metadata!C344,"urban biome"))</f>
        <v>0</v>
      </c>
      <c r="X344">
        <f>AND(IF(Metadata!D344="",FALSE,TRUE),exact(Metadata!D344,"animal-associated habitat"))</f>
        <v>0</v>
      </c>
      <c r="Y344">
        <f>OR(AND(IF(Metadata!E344="",FALSE,TRUE),OR(exact(Metadata!E344,"not applicable"),exact(Metadata!E344,"missing: not collected"),exact(Metadata!E344,"missing: not provided"),exact(Metadata!E344,"missing: restricted access"))),AND(IF(Metadata!E344="",FALSE,ISNUMBER(VALUE(Metadata!E344))),Metadata!E344&gt;0))</f>
        <v>0</v>
      </c>
      <c r="Z344">
        <f>AND(IF(Metadata!F344="",FALSE,TRUE),exact(Metadata!F344,"weeks"))</f>
        <v>0</v>
      </c>
      <c r="AA344">
        <f>AND(IF(Metadata!G344="",FALSE,TRUE),exact(Metadata!G344,"mouse"))</f>
        <v>0</v>
      </c>
      <c r="AB344">
        <f>AND(IF(Metadata!H344="",FALSE,TRUE),exact(Metadata!H344,"Mus musculus"))</f>
        <v>0</v>
      </c>
      <c r="AC344">
        <f>AND(IF(Metadata!I344="",FALSE,TRUE),exact(Metadata!I344,"10090"))</f>
        <v>0</v>
      </c>
      <c r="AD344">
        <f>OR(AND(IF(Metadata!J344="",FALSE,TRUE),OR(exact(Metadata!J344,"not applicable"),exact(Metadata!J344,"missing: not collected"),exact(Metadata!J344,"missing: not provided"),exact(Metadata!J344,"missing: restricted access"))),AND(IF(Metadata!J344="",FALSE,ISNUMBER(VALUE(Metadata!J344))),Metadata!J344&gt;0))</f>
        <v>0</v>
      </c>
      <c r="AE344">
        <f>AND(IF(Metadata!K344="",FALSE,TRUE),exact(Metadata!K344,"g"))</f>
        <v>0</v>
      </c>
    </row>
    <row r="345" spans="1:31">
      <c r="A345" s="5">
        <f>IF(B345=" "," ",HYPERLINK(CONCATENATE("#metadata!",ADDRESS(INDEX($Q$2:$Q$1001,MATCH(ROWS($O$2:O345),$O$2:$O$1001,0),0),1)),INDEX($T$2:$T$1001,MATCH(ROWS($O$2:O345),$O$2:$O$1001,0),0)))</f>
        <v>0</v>
      </c>
      <c r="B345" s="4">
        <f>IF(OR(INDEX($P$2:$P$1001,MATCH(ROWS($O$2:O345),$O$2:$O$1001,0),1)&gt;=100000,INDEX($V$1005:$AE$1005,1,MATCH(COLUMNS($V$1006:V1006),$V$1006:$AE$1006,0))&gt;=100000), " ",IF(INDEX($V$2:$AE$1001,MATCH(ROWS($O$2:O345),$O$2:$O$1001,0),MATCH(COLUMNS($V$1006:V1006),$V$1006:$AE$1006,0)), HYPERLINK("#",""), HYPERLINK(CONCATENATE("#Metadata!", ADDRESS(INDEX($Q$2:$Q$1001,MATCH(ROWS($O$2:O345),$O$2:$O$1001,0),0), INDEX($V$1004:$AE$1004,1,MATCH(COLUMNS($V$1006:V1006),$V$1006:$AE$1006,0)))),"Fix")))</f>
        <v>0</v>
      </c>
      <c r="C345" s="4">
        <f>IF(OR(INDEX($P$2:$P$1001,MATCH(ROWS($O$2:O345),$O$2:$O$1001,0),1)&gt;=100000,INDEX($V$1005:$AE$1005,1,MATCH(COLUMNS($V$1006:W1006),$V$1006:$AE$1006,0))&gt;=100000), " ",IF(INDEX($V$2:$AE$1001,MATCH(ROWS($O$2:O345),$O$2:$O$1001,0),MATCH(COLUMNS($V$1006:W1006),$V$1006:$AE$1006,0)), HYPERLINK("#",""), HYPERLINK(CONCATENATE("#Metadata!", ADDRESS(INDEX($Q$2:$Q$1001,MATCH(ROWS($O$2:O345),$O$2:$O$1001,0),0), INDEX($V$1004:$AE$1004,1,MATCH(COLUMNS($V$1006:W1006),$V$1006:$AE$1006,0)))),"Fix")))</f>
        <v>0</v>
      </c>
      <c r="D345" s="4">
        <f>IF(OR(INDEX($P$2:$P$1001,MATCH(ROWS($O$2:O345),$O$2:$O$1001,0),1)&gt;=100000,INDEX($V$1005:$AE$1005,1,MATCH(COLUMNS($V$1006:X1006),$V$1006:$AE$1006,0))&gt;=100000), " ",IF(INDEX($V$2:$AE$1001,MATCH(ROWS($O$2:O345),$O$2:$O$1001,0),MATCH(COLUMNS($V$1006:X1006),$V$1006:$AE$1006,0)), HYPERLINK("#",""), HYPERLINK(CONCATENATE("#Metadata!", ADDRESS(INDEX($Q$2:$Q$1001,MATCH(ROWS($O$2:O345),$O$2:$O$1001,0),0), INDEX($V$1004:$AE$1004,1,MATCH(COLUMNS($V$1006:X1006),$V$1006:$AE$1006,0)))),"Fix")))</f>
        <v>0</v>
      </c>
      <c r="E345" s="4">
        <f>IF(OR(INDEX($P$2:$P$1001,MATCH(ROWS($O$2:O345),$O$2:$O$1001,0),1)&gt;=100000,INDEX($V$1005:$AE$1005,1,MATCH(COLUMNS($V$1006:Y1006),$V$1006:$AE$1006,0))&gt;=100000), " ",IF(INDEX($V$2:$AE$1001,MATCH(ROWS($O$2:O345),$O$2:$O$1001,0),MATCH(COLUMNS($V$1006:Y1006),$V$1006:$AE$1006,0)), HYPERLINK("#",""), HYPERLINK(CONCATENATE("#Metadata!", ADDRESS(INDEX($Q$2:$Q$1001,MATCH(ROWS($O$2:O345),$O$2:$O$1001,0),0), INDEX($V$1004:$AE$1004,1,MATCH(COLUMNS($V$1006:Y1006),$V$1006:$AE$1006,0)))),"Fix")))</f>
        <v>0</v>
      </c>
      <c r="F345" s="4">
        <f>IF(OR(INDEX($P$2:$P$1001,MATCH(ROWS($O$2:O345),$O$2:$O$1001,0),1)&gt;=100000,INDEX($V$1005:$AE$1005,1,MATCH(COLUMNS($V$1006:Z1006),$V$1006:$AE$1006,0))&gt;=100000), " ",IF(INDEX($V$2:$AE$1001,MATCH(ROWS($O$2:O345),$O$2:$O$1001,0),MATCH(COLUMNS($V$1006:Z1006),$V$1006:$AE$1006,0)), HYPERLINK("#",""), HYPERLINK(CONCATENATE("#Metadata!", ADDRESS(INDEX($Q$2:$Q$1001,MATCH(ROWS($O$2:O345),$O$2:$O$1001,0),0), INDEX($V$1004:$AE$1004,1,MATCH(COLUMNS($V$1006:Z1006),$V$1006:$AE$1006,0)))),"Fix")))</f>
        <v>0</v>
      </c>
      <c r="G345" s="4">
        <f>IF(OR(INDEX($P$2:$P$1001,MATCH(ROWS($O$2:O345),$O$2:$O$1001,0),1)&gt;=100000,INDEX($V$1005:$AE$1005,1,MATCH(COLUMNS($V$1006:AA1006),$V$1006:$AE$1006,0))&gt;=100000), " ",IF(INDEX($V$2:$AE$1001,MATCH(ROWS($O$2:O345),$O$2:$O$1001,0),MATCH(COLUMNS($V$1006:AA1006),$V$1006:$AE$1006,0)), HYPERLINK("#",""), HYPERLINK(CONCATENATE("#Metadata!", ADDRESS(INDEX($Q$2:$Q$1001,MATCH(ROWS($O$2:O345),$O$2:$O$1001,0),0), INDEX($V$1004:$AE$1004,1,MATCH(COLUMNS($V$1006:AA1006),$V$1006:$AE$1006,0)))),"Fix")))</f>
        <v>0</v>
      </c>
      <c r="H345" s="4">
        <f>IF(OR(INDEX($P$2:$P$1001,MATCH(ROWS($O$2:O345),$O$2:$O$1001,0),1)&gt;=100000,INDEX($V$1005:$AE$1005,1,MATCH(COLUMNS($V$1006:AB1006),$V$1006:$AE$1006,0))&gt;=100000), " ",IF(INDEX($V$2:$AE$1001,MATCH(ROWS($O$2:O345),$O$2:$O$1001,0),MATCH(COLUMNS($V$1006:AB1006),$V$1006:$AE$1006,0)), HYPERLINK("#",""), HYPERLINK(CONCATENATE("#Metadata!", ADDRESS(INDEX($Q$2:$Q$1001,MATCH(ROWS($O$2:O345),$O$2:$O$1001,0),0), INDEX($V$1004:$AE$1004,1,MATCH(COLUMNS($V$1006:AB1006),$V$1006:$AE$1006,0)))),"Fix")))</f>
        <v>0</v>
      </c>
      <c r="I345" s="4">
        <f>IF(OR(INDEX($P$2:$P$1001,MATCH(ROWS($O$2:O345),$O$2:$O$1001,0),1)&gt;=100000,INDEX($V$1005:$AE$1005,1,MATCH(COLUMNS($V$1006:AC1006),$V$1006:$AE$1006,0))&gt;=100000), " ",IF(INDEX($V$2:$AE$1001,MATCH(ROWS($O$2:O345),$O$2:$O$1001,0),MATCH(COLUMNS($V$1006:AC1006),$V$1006:$AE$1006,0)), HYPERLINK("#",""), HYPERLINK(CONCATENATE("#Metadata!", ADDRESS(INDEX($Q$2:$Q$1001,MATCH(ROWS($O$2:O345),$O$2:$O$1001,0),0), INDEX($V$1004:$AE$1004,1,MATCH(COLUMNS($V$1006:AC1006),$V$1006:$AE$1006,0)))),"Fix")))</f>
        <v>0</v>
      </c>
      <c r="J345" s="4">
        <f>IF(OR(INDEX($P$2:$P$1001,MATCH(ROWS($O$2:O345),$O$2:$O$1001,0),1)&gt;=100000,INDEX($V$1005:$AE$1005,1,MATCH(COLUMNS($V$1006:AD1006),$V$1006:$AE$1006,0))&gt;=100000), " ",IF(INDEX($V$2:$AE$1001,MATCH(ROWS($O$2:O345),$O$2:$O$1001,0),MATCH(COLUMNS($V$1006:AD1006),$V$1006:$AE$1006,0)), HYPERLINK("#",""), HYPERLINK(CONCATENATE("#Metadata!", ADDRESS(INDEX($Q$2:$Q$1001,MATCH(ROWS($O$2:O345),$O$2:$O$1001,0),0), INDEX($V$1004:$AE$1004,1,MATCH(COLUMNS($V$1006:AD1006),$V$1006:$AE$1006,0)))),"Fix")))</f>
        <v>0</v>
      </c>
      <c r="K345" s="4">
        <f>IF(OR(INDEX($P$2:$P$1001,MATCH(ROWS($O$2:O345),$O$2:$O$1001,0),1)&gt;=100000,INDEX($V$1005:$AE$1005,1,MATCH(COLUMNS($V$1006:AE1006),$V$1006:$AE$1006,0))&gt;=100000), " ",IF(INDEX($V$2:$AE$1001,MATCH(ROWS($O$2:O345),$O$2:$O$1001,0),MATCH(COLUMNS($V$1006:AE1006),$V$1006:$AE$1006,0)), HYPERLINK("#",""), HYPERLINK(CONCATENATE("#Metadata!", ADDRESS(INDEX($Q$2:$Q$1001,MATCH(ROWS($O$2:O345),$O$2:$O$1001,0),0), INDEX($V$1004:$AE$1004,1,MATCH(COLUMNS($V$1006:AE1006),$V$1006:$AE$1006,0)))),"Fix")))</f>
        <v>0</v>
      </c>
      <c r="O345">
        <v>0</v>
      </c>
      <c r="P345">
        <v>0</v>
      </c>
      <c r="Q345">
        <v>0</v>
      </c>
      <c r="R345">
        <f>IF(S345,TRUE,AND(V345:AE345))</f>
        <v>0</v>
      </c>
      <c r="S345">
        <f>COUNTBLANK(Metadata!B345:K345)=COLUMNS(Metadata!B345:K345)</f>
        <v>0</v>
      </c>
      <c r="T345">
        <v>0</v>
      </c>
      <c r="V345">
        <f>AND(IF(Metadata!B345="",FALSE,TRUE),COUNTIF(Metadata!B:B, Metadata!B345) = 1,NOT(ISERROR(SUMPRODUCT(SEARCH(MID(Metadata!B345,ROW(INDIRECT("1:"&amp;LEN(Metadata!B345))), 1),"0123456789abcdefghijklmnopqrstuvwxyzABCDEFGHIJKLMNOPQRSTUVWXYZ.")))))</f>
        <v>0</v>
      </c>
      <c r="W345">
        <f>AND(IF(Metadata!C345="",FALSE,TRUE),exact(Metadata!C345,"urban biome"))</f>
        <v>0</v>
      </c>
      <c r="X345">
        <f>AND(IF(Metadata!D345="",FALSE,TRUE),exact(Metadata!D345,"animal-associated habitat"))</f>
        <v>0</v>
      </c>
      <c r="Y345">
        <f>OR(AND(IF(Metadata!E345="",FALSE,TRUE),OR(exact(Metadata!E345,"not applicable"),exact(Metadata!E345,"missing: not collected"),exact(Metadata!E345,"missing: not provided"),exact(Metadata!E345,"missing: restricted access"))),AND(IF(Metadata!E345="",FALSE,ISNUMBER(VALUE(Metadata!E345))),Metadata!E345&gt;0))</f>
        <v>0</v>
      </c>
      <c r="Z345">
        <f>AND(IF(Metadata!F345="",FALSE,TRUE),exact(Metadata!F345,"weeks"))</f>
        <v>0</v>
      </c>
      <c r="AA345">
        <f>AND(IF(Metadata!G345="",FALSE,TRUE),exact(Metadata!G345,"mouse"))</f>
        <v>0</v>
      </c>
      <c r="AB345">
        <f>AND(IF(Metadata!H345="",FALSE,TRUE),exact(Metadata!H345,"Mus musculus"))</f>
        <v>0</v>
      </c>
      <c r="AC345">
        <f>AND(IF(Metadata!I345="",FALSE,TRUE),exact(Metadata!I345,"10090"))</f>
        <v>0</v>
      </c>
      <c r="AD345">
        <f>OR(AND(IF(Metadata!J345="",FALSE,TRUE),OR(exact(Metadata!J345,"not applicable"),exact(Metadata!J345,"missing: not collected"),exact(Metadata!J345,"missing: not provided"),exact(Metadata!J345,"missing: restricted access"))),AND(IF(Metadata!J345="",FALSE,ISNUMBER(VALUE(Metadata!J345))),Metadata!J345&gt;0))</f>
        <v>0</v>
      </c>
      <c r="AE345">
        <f>AND(IF(Metadata!K345="",FALSE,TRUE),exact(Metadata!K345,"g"))</f>
        <v>0</v>
      </c>
    </row>
    <row r="346" spans="1:31">
      <c r="A346" s="5">
        <f>IF(B346=" "," ",HYPERLINK(CONCATENATE("#metadata!",ADDRESS(INDEX($Q$2:$Q$1001,MATCH(ROWS($O$2:O346),$O$2:$O$1001,0),0),1)),INDEX($T$2:$T$1001,MATCH(ROWS($O$2:O346),$O$2:$O$1001,0),0)))</f>
        <v>0</v>
      </c>
      <c r="B346" s="4">
        <f>IF(OR(INDEX($P$2:$P$1001,MATCH(ROWS($O$2:O346),$O$2:$O$1001,0),1)&gt;=100000,INDEX($V$1005:$AE$1005,1,MATCH(COLUMNS($V$1006:V1006),$V$1006:$AE$1006,0))&gt;=100000), " ",IF(INDEX($V$2:$AE$1001,MATCH(ROWS($O$2:O346),$O$2:$O$1001,0),MATCH(COLUMNS($V$1006:V1006),$V$1006:$AE$1006,0)), HYPERLINK("#",""), HYPERLINK(CONCATENATE("#Metadata!", ADDRESS(INDEX($Q$2:$Q$1001,MATCH(ROWS($O$2:O346),$O$2:$O$1001,0),0), INDEX($V$1004:$AE$1004,1,MATCH(COLUMNS($V$1006:V1006),$V$1006:$AE$1006,0)))),"Fix")))</f>
        <v>0</v>
      </c>
      <c r="C346" s="4">
        <f>IF(OR(INDEX($P$2:$P$1001,MATCH(ROWS($O$2:O346),$O$2:$O$1001,0),1)&gt;=100000,INDEX($V$1005:$AE$1005,1,MATCH(COLUMNS($V$1006:W1006),$V$1006:$AE$1006,0))&gt;=100000), " ",IF(INDEX($V$2:$AE$1001,MATCH(ROWS($O$2:O346),$O$2:$O$1001,0),MATCH(COLUMNS($V$1006:W1006),$V$1006:$AE$1006,0)), HYPERLINK("#",""), HYPERLINK(CONCATENATE("#Metadata!", ADDRESS(INDEX($Q$2:$Q$1001,MATCH(ROWS($O$2:O346),$O$2:$O$1001,0),0), INDEX($V$1004:$AE$1004,1,MATCH(COLUMNS($V$1006:W1006),$V$1006:$AE$1006,0)))),"Fix")))</f>
        <v>0</v>
      </c>
      <c r="D346" s="4">
        <f>IF(OR(INDEX($P$2:$P$1001,MATCH(ROWS($O$2:O346),$O$2:$O$1001,0),1)&gt;=100000,INDEX($V$1005:$AE$1005,1,MATCH(COLUMNS($V$1006:X1006),$V$1006:$AE$1006,0))&gt;=100000), " ",IF(INDEX($V$2:$AE$1001,MATCH(ROWS($O$2:O346),$O$2:$O$1001,0),MATCH(COLUMNS($V$1006:X1006),$V$1006:$AE$1006,0)), HYPERLINK("#",""), HYPERLINK(CONCATENATE("#Metadata!", ADDRESS(INDEX($Q$2:$Q$1001,MATCH(ROWS($O$2:O346),$O$2:$O$1001,0),0), INDEX($V$1004:$AE$1004,1,MATCH(COLUMNS($V$1006:X1006),$V$1006:$AE$1006,0)))),"Fix")))</f>
        <v>0</v>
      </c>
      <c r="E346" s="4">
        <f>IF(OR(INDEX($P$2:$P$1001,MATCH(ROWS($O$2:O346),$O$2:$O$1001,0),1)&gt;=100000,INDEX($V$1005:$AE$1005,1,MATCH(COLUMNS($V$1006:Y1006),$V$1006:$AE$1006,0))&gt;=100000), " ",IF(INDEX($V$2:$AE$1001,MATCH(ROWS($O$2:O346),$O$2:$O$1001,0),MATCH(COLUMNS($V$1006:Y1006),$V$1006:$AE$1006,0)), HYPERLINK("#",""), HYPERLINK(CONCATENATE("#Metadata!", ADDRESS(INDEX($Q$2:$Q$1001,MATCH(ROWS($O$2:O346),$O$2:$O$1001,0),0), INDEX($V$1004:$AE$1004,1,MATCH(COLUMNS($V$1006:Y1006),$V$1006:$AE$1006,0)))),"Fix")))</f>
        <v>0</v>
      </c>
      <c r="F346" s="4">
        <f>IF(OR(INDEX($P$2:$P$1001,MATCH(ROWS($O$2:O346),$O$2:$O$1001,0),1)&gt;=100000,INDEX($V$1005:$AE$1005,1,MATCH(COLUMNS($V$1006:Z1006),$V$1006:$AE$1006,0))&gt;=100000), " ",IF(INDEX($V$2:$AE$1001,MATCH(ROWS($O$2:O346),$O$2:$O$1001,0),MATCH(COLUMNS($V$1006:Z1006),$V$1006:$AE$1006,0)), HYPERLINK("#",""), HYPERLINK(CONCATENATE("#Metadata!", ADDRESS(INDEX($Q$2:$Q$1001,MATCH(ROWS($O$2:O346),$O$2:$O$1001,0),0), INDEX($V$1004:$AE$1004,1,MATCH(COLUMNS($V$1006:Z1006),$V$1006:$AE$1006,0)))),"Fix")))</f>
        <v>0</v>
      </c>
      <c r="G346" s="4">
        <f>IF(OR(INDEX($P$2:$P$1001,MATCH(ROWS($O$2:O346),$O$2:$O$1001,0),1)&gt;=100000,INDEX($V$1005:$AE$1005,1,MATCH(COLUMNS($V$1006:AA1006),$V$1006:$AE$1006,0))&gt;=100000), " ",IF(INDEX($V$2:$AE$1001,MATCH(ROWS($O$2:O346),$O$2:$O$1001,0),MATCH(COLUMNS($V$1006:AA1006),$V$1006:$AE$1006,0)), HYPERLINK("#",""), HYPERLINK(CONCATENATE("#Metadata!", ADDRESS(INDEX($Q$2:$Q$1001,MATCH(ROWS($O$2:O346),$O$2:$O$1001,0),0), INDEX($V$1004:$AE$1004,1,MATCH(COLUMNS($V$1006:AA1006),$V$1006:$AE$1006,0)))),"Fix")))</f>
        <v>0</v>
      </c>
      <c r="H346" s="4">
        <f>IF(OR(INDEX($P$2:$P$1001,MATCH(ROWS($O$2:O346),$O$2:$O$1001,0),1)&gt;=100000,INDEX($V$1005:$AE$1005,1,MATCH(COLUMNS($V$1006:AB1006),$V$1006:$AE$1006,0))&gt;=100000), " ",IF(INDEX($V$2:$AE$1001,MATCH(ROWS($O$2:O346),$O$2:$O$1001,0),MATCH(COLUMNS($V$1006:AB1006),$V$1006:$AE$1006,0)), HYPERLINK("#",""), HYPERLINK(CONCATENATE("#Metadata!", ADDRESS(INDEX($Q$2:$Q$1001,MATCH(ROWS($O$2:O346),$O$2:$O$1001,0),0), INDEX($V$1004:$AE$1004,1,MATCH(COLUMNS($V$1006:AB1006),$V$1006:$AE$1006,0)))),"Fix")))</f>
        <v>0</v>
      </c>
      <c r="I346" s="4">
        <f>IF(OR(INDEX($P$2:$P$1001,MATCH(ROWS($O$2:O346),$O$2:$O$1001,0),1)&gt;=100000,INDEX($V$1005:$AE$1005,1,MATCH(COLUMNS($V$1006:AC1006),$V$1006:$AE$1006,0))&gt;=100000), " ",IF(INDEX($V$2:$AE$1001,MATCH(ROWS($O$2:O346),$O$2:$O$1001,0),MATCH(COLUMNS($V$1006:AC1006),$V$1006:$AE$1006,0)), HYPERLINK("#",""), HYPERLINK(CONCATENATE("#Metadata!", ADDRESS(INDEX($Q$2:$Q$1001,MATCH(ROWS($O$2:O346),$O$2:$O$1001,0),0), INDEX($V$1004:$AE$1004,1,MATCH(COLUMNS($V$1006:AC1006),$V$1006:$AE$1006,0)))),"Fix")))</f>
        <v>0</v>
      </c>
      <c r="J346" s="4">
        <f>IF(OR(INDEX($P$2:$P$1001,MATCH(ROWS($O$2:O346),$O$2:$O$1001,0),1)&gt;=100000,INDEX($V$1005:$AE$1005,1,MATCH(COLUMNS($V$1006:AD1006),$V$1006:$AE$1006,0))&gt;=100000), " ",IF(INDEX($V$2:$AE$1001,MATCH(ROWS($O$2:O346),$O$2:$O$1001,0),MATCH(COLUMNS($V$1006:AD1006),$V$1006:$AE$1006,0)), HYPERLINK("#",""), HYPERLINK(CONCATENATE("#Metadata!", ADDRESS(INDEX($Q$2:$Q$1001,MATCH(ROWS($O$2:O346),$O$2:$O$1001,0),0), INDEX($V$1004:$AE$1004,1,MATCH(COLUMNS($V$1006:AD1006),$V$1006:$AE$1006,0)))),"Fix")))</f>
        <v>0</v>
      </c>
      <c r="K346" s="4">
        <f>IF(OR(INDEX($P$2:$P$1001,MATCH(ROWS($O$2:O346),$O$2:$O$1001,0),1)&gt;=100000,INDEX($V$1005:$AE$1005,1,MATCH(COLUMNS($V$1006:AE1006),$V$1006:$AE$1006,0))&gt;=100000), " ",IF(INDEX($V$2:$AE$1001,MATCH(ROWS($O$2:O346),$O$2:$O$1001,0),MATCH(COLUMNS($V$1006:AE1006),$V$1006:$AE$1006,0)), HYPERLINK("#",""), HYPERLINK(CONCATENATE("#Metadata!", ADDRESS(INDEX($Q$2:$Q$1001,MATCH(ROWS($O$2:O346),$O$2:$O$1001,0),0), INDEX($V$1004:$AE$1004,1,MATCH(COLUMNS($V$1006:AE1006),$V$1006:$AE$1006,0)))),"Fix")))</f>
        <v>0</v>
      </c>
      <c r="O346">
        <v>0</v>
      </c>
      <c r="P346">
        <v>0</v>
      </c>
      <c r="Q346">
        <v>0</v>
      </c>
      <c r="R346">
        <f>IF(S346,TRUE,AND(V346:AE346))</f>
        <v>0</v>
      </c>
      <c r="S346">
        <f>COUNTBLANK(Metadata!B346:K346)=COLUMNS(Metadata!B346:K346)</f>
        <v>0</v>
      </c>
      <c r="T346">
        <v>0</v>
      </c>
      <c r="V346">
        <f>AND(IF(Metadata!B346="",FALSE,TRUE),COUNTIF(Metadata!B:B, Metadata!B346) = 1,NOT(ISERROR(SUMPRODUCT(SEARCH(MID(Metadata!B346,ROW(INDIRECT("1:"&amp;LEN(Metadata!B346))), 1),"0123456789abcdefghijklmnopqrstuvwxyzABCDEFGHIJKLMNOPQRSTUVWXYZ.")))))</f>
        <v>0</v>
      </c>
      <c r="W346">
        <f>AND(IF(Metadata!C346="",FALSE,TRUE),exact(Metadata!C346,"urban biome"))</f>
        <v>0</v>
      </c>
      <c r="X346">
        <f>AND(IF(Metadata!D346="",FALSE,TRUE),exact(Metadata!D346,"animal-associated habitat"))</f>
        <v>0</v>
      </c>
      <c r="Y346">
        <f>OR(AND(IF(Metadata!E346="",FALSE,TRUE),OR(exact(Metadata!E346,"not applicable"),exact(Metadata!E346,"missing: not collected"),exact(Metadata!E346,"missing: not provided"),exact(Metadata!E346,"missing: restricted access"))),AND(IF(Metadata!E346="",FALSE,ISNUMBER(VALUE(Metadata!E346))),Metadata!E346&gt;0))</f>
        <v>0</v>
      </c>
      <c r="Z346">
        <f>AND(IF(Metadata!F346="",FALSE,TRUE),exact(Metadata!F346,"weeks"))</f>
        <v>0</v>
      </c>
      <c r="AA346">
        <f>AND(IF(Metadata!G346="",FALSE,TRUE),exact(Metadata!G346,"mouse"))</f>
        <v>0</v>
      </c>
      <c r="AB346">
        <f>AND(IF(Metadata!H346="",FALSE,TRUE),exact(Metadata!H346,"Mus musculus"))</f>
        <v>0</v>
      </c>
      <c r="AC346">
        <f>AND(IF(Metadata!I346="",FALSE,TRUE),exact(Metadata!I346,"10090"))</f>
        <v>0</v>
      </c>
      <c r="AD346">
        <f>OR(AND(IF(Metadata!J346="",FALSE,TRUE),OR(exact(Metadata!J346,"not applicable"),exact(Metadata!J346,"missing: not collected"),exact(Metadata!J346,"missing: not provided"),exact(Metadata!J346,"missing: restricted access"))),AND(IF(Metadata!J346="",FALSE,ISNUMBER(VALUE(Metadata!J346))),Metadata!J346&gt;0))</f>
        <v>0</v>
      </c>
      <c r="AE346">
        <f>AND(IF(Metadata!K346="",FALSE,TRUE),exact(Metadata!K346,"g"))</f>
        <v>0</v>
      </c>
    </row>
    <row r="347" spans="1:31">
      <c r="A347" s="5">
        <f>IF(B347=" "," ",HYPERLINK(CONCATENATE("#metadata!",ADDRESS(INDEX($Q$2:$Q$1001,MATCH(ROWS($O$2:O347),$O$2:$O$1001,0),0),1)),INDEX($T$2:$T$1001,MATCH(ROWS($O$2:O347),$O$2:$O$1001,0),0)))</f>
        <v>0</v>
      </c>
      <c r="B347" s="4">
        <f>IF(OR(INDEX($P$2:$P$1001,MATCH(ROWS($O$2:O347),$O$2:$O$1001,0),1)&gt;=100000,INDEX($V$1005:$AE$1005,1,MATCH(COLUMNS($V$1006:V1006),$V$1006:$AE$1006,0))&gt;=100000), " ",IF(INDEX($V$2:$AE$1001,MATCH(ROWS($O$2:O347),$O$2:$O$1001,0),MATCH(COLUMNS($V$1006:V1006),$V$1006:$AE$1006,0)), HYPERLINK("#",""), HYPERLINK(CONCATENATE("#Metadata!", ADDRESS(INDEX($Q$2:$Q$1001,MATCH(ROWS($O$2:O347),$O$2:$O$1001,0),0), INDEX($V$1004:$AE$1004,1,MATCH(COLUMNS($V$1006:V1006),$V$1006:$AE$1006,0)))),"Fix")))</f>
        <v>0</v>
      </c>
      <c r="C347" s="4">
        <f>IF(OR(INDEX($P$2:$P$1001,MATCH(ROWS($O$2:O347),$O$2:$O$1001,0),1)&gt;=100000,INDEX($V$1005:$AE$1005,1,MATCH(COLUMNS($V$1006:W1006),$V$1006:$AE$1006,0))&gt;=100000), " ",IF(INDEX($V$2:$AE$1001,MATCH(ROWS($O$2:O347),$O$2:$O$1001,0),MATCH(COLUMNS($V$1006:W1006),$V$1006:$AE$1006,0)), HYPERLINK("#",""), HYPERLINK(CONCATENATE("#Metadata!", ADDRESS(INDEX($Q$2:$Q$1001,MATCH(ROWS($O$2:O347),$O$2:$O$1001,0),0), INDEX($V$1004:$AE$1004,1,MATCH(COLUMNS($V$1006:W1006),$V$1006:$AE$1006,0)))),"Fix")))</f>
        <v>0</v>
      </c>
      <c r="D347" s="4">
        <f>IF(OR(INDEX($P$2:$P$1001,MATCH(ROWS($O$2:O347),$O$2:$O$1001,0),1)&gt;=100000,INDEX($V$1005:$AE$1005,1,MATCH(COLUMNS($V$1006:X1006),$V$1006:$AE$1006,0))&gt;=100000), " ",IF(INDEX($V$2:$AE$1001,MATCH(ROWS($O$2:O347),$O$2:$O$1001,0),MATCH(COLUMNS($V$1006:X1006),$V$1006:$AE$1006,0)), HYPERLINK("#",""), HYPERLINK(CONCATENATE("#Metadata!", ADDRESS(INDEX($Q$2:$Q$1001,MATCH(ROWS($O$2:O347),$O$2:$O$1001,0),0), INDEX($V$1004:$AE$1004,1,MATCH(COLUMNS($V$1006:X1006),$V$1006:$AE$1006,0)))),"Fix")))</f>
        <v>0</v>
      </c>
      <c r="E347" s="4">
        <f>IF(OR(INDEX($P$2:$P$1001,MATCH(ROWS($O$2:O347),$O$2:$O$1001,0),1)&gt;=100000,INDEX($V$1005:$AE$1005,1,MATCH(COLUMNS($V$1006:Y1006),$V$1006:$AE$1006,0))&gt;=100000), " ",IF(INDEX($V$2:$AE$1001,MATCH(ROWS($O$2:O347),$O$2:$O$1001,0),MATCH(COLUMNS($V$1006:Y1006),$V$1006:$AE$1006,0)), HYPERLINK("#",""), HYPERLINK(CONCATENATE("#Metadata!", ADDRESS(INDEX($Q$2:$Q$1001,MATCH(ROWS($O$2:O347),$O$2:$O$1001,0),0), INDEX($V$1004:$AE$1004,1,MATCH(COLUMNS($V$1006:Y1006),$V$1006:$AE$1006,0)))),"Fix")))</f>
        <v>0</v>
      </c>
      <c r="F347" s="4">
        <f>IF(OR(INDEX($P$2:$P$1001,MATCH(ROWS($O$2:O347),$O$2:$O$1001,0),1)&gt;=100000,INDEX($V$1005:$AE$1005,1,MATCH(COLUMNS($V$1006:Z1006),$V$1006:$AE$1006,0))&gt;=100000), " ",IF(INDEX($V$2:$AE$1001,MATCH(ROWS($O$2:O347),$O$2:$O$1001,0),MATCH(COLUMNS($V$1006:Z1006),$V$1006:$AE$1006,0)), HYPERLINK("#",""), HYPERLINK(CONCATENATE("#Metadata!", ADDRESS(INDEX($Q$2:$Q$1001,MATCH(ROWS($O$2:O347),$O$2:$O$1001,0),0), INDEX($V$1004:$AE$1004,1,MATCH(COLUMNS($V$1006:Z1006),$V$1006:$AE$1006,0)))),"Fix")))</f>
        <v>0</v>
      </c>
      <c r="G347" s="4">
        <f>IF(OR(INDEX($P$2:$P$1001,MATCH(ROWS($O$2:O347),$O$2:$O$1001,0),1)&gt;=100000,INDEX($V$1005:$AE$1005,1,MATCH(COLUMNS($V$1006:AA1006),$V$1006:$AE$1006,0))&gt;=100000), " ",IF(INDEX($V$2:$AE$1001,MATCH(ROWS($O$2:O347),$O$2:$O$1001,0),MATCH(COLUMNS($V$1006:AA1006),$V$1006:$AE$1006,0)), HYPERLINK("#",""), HYPERLINK(CONCATENATE("#Metadata!", ADDRESS(INDEX($Q$2:$Q$1001,MATCH(ROWS($O$2:O347),$O$2:$O$1001,0),0), INDEX($V$1004:$AE$1004,1,MATCH(COLUMNS($V$1006:AA1006),$V$1006:$AE$1006,0)))),"Fix")))</f>
        <v>0</v>
      </c>
      <c r="H347" s="4">
        <f>IF(OR(INDEX($P$2:$P$1001,MATCH(ROWS($O$2:O347),$O$2:$O$1001,0),1)&gt;=100000,INDEX($V$1005:$AE$1005,1,MATCH(COLUMNS($V$1006:AB1006),$V$1006:$AE$1006,0))&gt;=100000), " ",IF(INDEX($V$2:$AE$1001,MATCH(ROWS($O$2:O347),$O$2:$O$1001,0),MATCH(COLUMNS($V$1006:AB1006),$V$1006:$AE$1006,0)), HYPERLINK("#",""), HYPERLINK(CONCATENATE("#Metadata!", ADDRESS(INDEX($Q$2:$Q$1001,MATCH(ROWS($O$2:O347),$O$2:$O$1001,0),0), INDEX($V$1004:$AE$1004,1,MATCH(COLUMNS($V$1006:AB1006),$V$1006:$AE$1006,0)))),"Fix")))</f>
        <v>0</v>
      </c>
      <c r="I347" s="4">
        <f>IF(OR(INDEX($P$2:$P$1001,MATCH(ROWS($O$2:O347),$O$2:$O$1001,0),1)&gt;=100000,INDEX($V$1005:$AE$1005,1,MATCH(COLUMNS($V$1006:AC1006),$V$1006:$AE$1006,0))&gt;=100000), " ",IF(INDEX($V$2:$AE$1001,MATCH(ROWS($O$2:O347),$O$2:$O$1001,0),MATCH(COLUMNS($V$1006:AC1006),$V$1006:$AE$1006,0)), HYPERLINK("#",""), HYPERLINK(CONCATENATE("#Metadata!", ADDRESS(INDEX($Q$2:$Q$1001,MATCH(ROWS($O$2:O347),$O$2:$O$1001,0),0), INDEX($V$1004:$AE$1004,1,MATCH(COLUMNS($V$1006:AC1006),$V$1006:$AE$1006,0)))),"Fix")))</f>
        <v>0</v>
      </c>
      <c r="J347" s="4">
        <f>IF(OR(INDEX($P$2:$P$1001,MATCH(ROWS($O$2:O347),$O$2:$O$1001,0),1)&gt;=100000,INDEX($V$1005:$AE$1005,1,MATCH(COLUMNS($V$1006:AD1006),$V$1006:$AE$1006,0))&gt;=100000), " ",IF(INDEX($V$2:$AE$1001,MATCH(ROWS($O$2:O347),$O$2:$O$1001,0),MATCH(COLUMNS($V$1006:AD1006),$V$1006:$AE$1006,0)), HYPERLINK("#",""), HYPERLINK(CONCATENATE("#Metadata!", ADDRESS(INDEX($Q$2:$Q$1001,MATCH(ROWS($O$2:O347),$O$2:$O$1001,0),0), INDEX($V$1004:$AE$1004,1,MATCH(COLUMNS($V$1006:AD1006),$V$1006:$AE$1006,0)))),"Fix")))</f>
        <v>0</v>
      </c>
      <c r="K347" s="4">
        <f>IF(OR(INDEX($P$2:$P$1001,MATCH(ROWS($O$2:O347),$O$2:$O$1001,0),1)&gt;=100000,INDEX($V$1005:$AE$1005,1,MATCH(COLUMNS($V$1006:AE1006),$V$1006:$AE$1006,0))&gt;=100000), " ",IF(INDEX($V$2:$AE$1001,MATCH(ROWS($O$2:O347),$O$2:$O$1001,0),MATCH(COLUMNS($V$1006:AE1006),$V$1006:$AE$1006,0)), HYPERLINK("#",""), HYPERLINK(CONCATENATE("#Metadata!", ADDRESS(INDEX($Q$2:$Q$1001,MATCH(ROWS($O$2:O347),$O$2:$O$1001,0),0), INDEX($V$1004:$AE$1004,1,MATCH(COLUMNS($V$1006:AE1006),$V$1006:$AE$1006,0)))),"Fix")))</f>
        <v>0</v>
      </c>
      <c r="O347">
        <v>0</v>
      </c>
      <c r="P347">
        <v>0</v>
      </c>
      <c r="Q347">
        <v>0</v>
      </c>
      <c r="R347">
        <f>IF(S347,TRUE,AND(V347:AE347))</f>
        <v>0</v>
      </c>
      <c r="S347">
        <f>COUNTBLANK(Metadata!B347:K347)=COLUMNS(Metadata!B347:K347)</f>
        <v>0</v>
      </c>
      <c r="T347">
        <v>0</v>
      </c>
      <c r="V347">
        <f>AND(IF(Metadata!B347="",FALSE,TRUE),COUNTIF(Metadata!B:B, Metadata!B347) = 1,NOT(ISERROR(SUMPRODUCT(SEARCH(MID(Metadata!B347,ROW(INDIRECT("1:"&amp;LEN(Metadata!B347))), 1),"0123456789abcdefghijklmnopqrstuvwxyzABCDEFGHIJKLMNOPQRSTUVWXYZ.")))))</f>
        <v>0</v>
      </c>
      <c r="W347">
        <f>AND(IF(Metadata!C347="",FALSE,TRUE),exact(Metadata!C347,"urban biome"))</f>
        <v>0</v>
      </c>
      <c r="X347">
        <f>AND(IF(Metadata!D347="",FALSE,TRUE),exact(Metadata!D347,"animal-associated habitat"))</f>
        <v>0</v>
      </c>
      <c r="Y347">
        <f>OR(AND(IF(Metadata!E347="",FALSE,TRUE),OR(exact(Metadata!E347,"not applicable"),exact(Metadata!E347,"missing: not collected"),exact(Metadata!E347,"missing: not provided"),exact(Metadata!E347,"missing: restricted access"))),AND(IF(Metadata!E347="",FALSE,ISNUMBER(VALUE(Metadata!E347))),Metadata!E347&gt;0))</f>
        <v>0</v>
      </c>
      <c r="Z347">
        <f>AND(IF(Metadata!F347="",FALSE,TRUE),exact(Metadata!F347,"weeks"))</f>
        <v>0</v>
      </c>
      <c r="AA347">
        <f>AND(IF(Metadata!G347="",FALSE,TRUE),exact(Metadata!G347,"mouse"))</f>
        <v>0</v>
      </c>
      <c r="AB347">
        <f>AND(IF(Metadata!H347="",FALSE,TRUE),exact(Metadata!H347,"Mus musculus"))</f>
        <v>0</v>
      </c>
      <c r="AC347">
        <f>AND(IF(Metadata!I347="",FALSE,TRUE),exact(Metadata!I347,"10090"))</f>
        <v>0</v>
      </c>
      <c r="AD347">
        <f>OR(AND(IF(Metadata!J347="",FALSE,TRUE),OR(exact(Metadata!J347,"not applicable"),exact(Metadata!J347,"missing: not collected"),exact(Metadata!J347,"missing: not provided"),exact(Metadata!J347,"missing: restricted access"))),AND(IF(Metadata!J347="",FALSE,ISNUMBER(VALUE(Metadata!J347))),Metadata!J347&gt;0))</f>
        <v>0</v>
      </c>
      <c r="AE347">
        <f>AND(IF(Metadata!K347="",FALSE,TRUE),exact(Metadata!K347,"g"))</f>
        <v>0</v>
      </c>
    </row>
    <row r="348" spans="1:31">
      <c r="A348" s="5">
        <f>IF(B348=" "," ",HYPERLINK(CONCATENATE("#metadata!",ADDRESS(INDEX($Q$2:$Q$1001,MATCH(ROWS($O$2:O348),$O$2:$O$1001,0),0),1)),INDEX($T$2:$T$1001,MATCH(ROWS($O$2:O348),$O$2:$O$1001,0),0)))</f>
        <v>0</v>
      </c>
      <c r="B348" s="4">
        <f>IF(OR(INDEX($P$2:$P$1001,MATCH(ROWS($O$2:O348),$O$2:$O$1001,0),1)&gt;=100000,INDEX($V$1005:$AE$1005,1,MATCH(COLUMNS($V$1006:V1006),$V$1006:$AE$1006,0))&gt;=100000), " ",IF(INDEX($V$2:$AE$1001,MATCH(ROWS($O$2:O348),$O$2:$O$1001,0),MATCH(COLUMNS($V$1006:V1006),$V$1006:$AE$1006,0)), HYPERLINK("#",""), HYPERLINK(CONCATENATE("#Metadata!", ADDRESS(INDEX($Q$2:$Q$1001,MATCH(ROWS($O$2:O348),$O$2:$O$1001,0),0), INDEX($V$1004:$AE$1004,1,MATCH(COLUMNS($V$1006:V1006),$V$1006:$AE$1006,0)))),"Fix")))</f>
        <v>0</v>
      </c>
      <c r="C348" s="4">
        <f>IF(OR(INDEX($P$2:$P$1001,MATCH(ROWS($O$2:O348),$O$2:$O$1001,0),1)&gt;=100000,INDEX($V$1005:$AE$1005,1,MATCH(COLUMNS($V$1006:W1006),$V$1006:$AE$1006,0))&gt;=100000), " ",IF(INDEX($V$2:$AE$1001,MATCH(ROWS($O$2:O348),$O$2:$O$1001,0),MATCH(COLUMNS($V$1006:W1006),$V$1006:$AE$1006,0)), HYPERLINK("#",""), HYPERLINK(CONCATENATE("#Metadata!", ADDRESS(INDEX($Q$2:$Q$1001,MATCH(ROWS($O$2:O348),$O$2:$O$1001,0),0), INDEX($V$1004:$AE$1004,1,MATCH(COLUMNS($V$1006:W1006),$V$1006:$AE$1006,0)))),"Fix")))</f>
        <v>0</v>
      </c>
      <c r="D348" s="4">
        <f>IF(OR(INDEX($P$2:$P$1001,MATCH(ROWS($O$2:O348),$O$2:$O$1001,0),1)&gt;=100000,INDEX($V$1005:$AE$1005,1,MATCH(COLUMNS($V$1006:X1006),$V$1006:$AE$1006,0))&gt;=100000), " ",IF(INDEX($V$2:$AE$1001,MATCH(ROWS($O$2:O348),$O$2:$O$1001,0),MATCH(COLUMNS($V$1006:X1006),$V$1006:$AE$1006,0)), HYPERLINK("#",""), HYPERLINK(CONCATENATE("#Metadata!", ADDRESS(INDEX($Q$2:$Q$1001,MATCH(ROWS($O$2:O348),$O$2:$O$1001,0),0), INDEX($V$1004:$AE$1004,1,MATCH(COLUMNS($V$1006:X1006),$V$1006:$AE$1006,0)))),"Fix")))</f>
        <v>0</v>
      </c>
      <c r="E348" s="4">
        <f>IF(OR(INDEX($P$2:$P$1001,MATCH(ROWS($O$2:O348),$O$2:$O$1001,0),1)&gt;=100000,INDEX($V$1005:$AE$1005,1,MATCH(COLUMNS($V$1006:Y1006),$V$1006:$AE$1006,0))&gt;=100000), " ",IF(INDEX($V$2:$AE$1001,MATCH(ROWS($O$2:O348),$O$2:$O$1001,0),MATCH(COLUMNS($V$1006:Y1006),$V$1006:$AE$1006,0)), HYPERLINK("#",""), HYPERLINK(CONCATENATE("#Metadata!", ADDRESS(INDEX($Q$2:$Q$1001,MATCH(ROWS($O$2:O348),$O$2:$O$1001,0),0), INDEX($V$1004:$AE$1004,1,MATCH(COLUMNS($V$1006:Y1006),$V$1006:$AE$1006,0)))),"Fix")))</f>
        <v>0</v>
      </c>
      <c r="F348" s="4">
        <f>IF(OR(INDEX($P$2:$P$1001,MATCH(ROWS($O$2:O348),$O$2:$O$1001,0),1)&gt;=100000,INDEX($V$1005:$AE$1005,1,MATCH(COLUMNS($V$1006:Z1006),$V$1006:$AE$1006,0))&gt;=100000), " ",IF(INDEX($V$2:$AE$1001,MATCH(ROWS($O$2:O348),$O$2:$O$1001,0),MATCH(COLUMNS($V$1006:Z1006),$V$1006:$AE$1006,0)), HYPERLINK("#",""), HYPERLINK(CONCATENATE("#Metadata!", ADDRESS(INDEX($Q$2:$Q$1001,MATCH(ROWS($O$2:O348),$O$2:$O$1001,0),0), INDEX($V$1004:$AE$1004,1,MATCH(COLUMNS($V$1006:Z1006),$V$1006:$AE$1006,0)))),"Fix")))</f>
        <v>0</v>
      </c>
      <c r="G348" s="4">
        <f>IF(OR(INDEX($P$2:$P$1001,MATCH(ROWS($O$2:O348),$O$2:$O$1001,0),1)&gt;=100000,INDEX($V$1005:$AE$1005,1,MATCH(COLUMNS($V$1006:AA1006),$V$1006:$AE$1006,0))&gt;=100000), " ",IF(INDEX($V$2:$AE$1001,MATCH(ROWS($O$2:O348),$O$2:$O$1001,0),MATCH(COLUMNS($V$1006:AA1006),$V$1006:$AE$1006,0)), HYPERLINK("#",""), HYPERLINK(CONCATENATE("#Metadata!", ADDRESS(INDEX($Q$2:$Q$1001,MATCH(ROWS($O$2:O348),$O$2:$O$1001,0),0), INDEX($V$1004:$AE$1004,1,MATCH(COLUMNS($V$1006:AA1006),$V$1006:$AE$1006,0)))),"Fix")))</f>
        <v>0</v>
      </c>
      <c r="H348" s="4">
        <f>IF(OR(INDEX($P$2:$P$1001,MATCH(ROWS($O$2:O348),$O$2:$O$1001,0),1)&gt;=100000,INDEX($V$1005:$AE$1005,1,MATCH(COLUMNS($V$1006:AB1006),$V$1006:$AE$1006,0))&gt;=100000), " ",IF(INDEX($V$2:$AE$1001,MATCH(ROWS($O$2:O348),$O$2:$O$1001,0),MATCH(COLUMNS($V$1006:AB1006),$V$1006:$AE$1006,0)), HYPERLINK("#",""), HYPERLINK(CONCATENATE("#Metadata!", ADDRESS(INDEX($Q$2:$Q$1001,MATCH(ROWS($O$2:O348),$O$2:$O$1001,0),0), INDEX($V$1004:$AE$1004,1,MATCH(COLUMNS($V$1006:AB1006),$V$1006:$AE$1006,0)))),"Fix")))</f>
        <v>0</v>
      </c>
      <c r="I348" s="4">
        <f>IF(OR(INDEX($P$2:$P$1001,MATCH(ROWS($O$2:O348),$O$2:$O$1001,0),1)&gt;=100000,INDEX($V$1005:$AE$1005,1,MATCH(COLUMNS($V$1006:AC1006),$V$1006:$AE$1006,0))&gt;=100000), " ",IF(INDEX($V$2:$AE$1001,MATCH(ROWS($O$2:O348),$O$2:$O$1001,0),MATCH(COLUMNS($V$1006:AC1006),$V$1006:$AE$1006,0)), HYPERLINK("#",""), HYPERLINK(CONCATENATE("#Metadata!", ADDRESS(INDEX($Q$2:$Q$1001,MATCH(ROWS($O$2:O348),$O$2:$O$1001,0),0), INDEX($V$1004:$AE$1004,1,MATCH(COLUMNS($V$1006:AC1006),$V$1006:$AE$1006,0)))),"Fix")))</f>
        <v>0</v>
      </c>
      <c r="J348" s="4">
        <f>IF(OR(INDEX($P$2:$P$1001,MATCH(ROWS($O$2:O348),$O$2:$O$1001,0),1)&gt;=100000,INDEX($V$1005:$AE$1005,1,MATCH(COLUMNS($V$1006:AD1006),$V$1006:$AE$1006,0))&gt;=100000), " ",IF(INDEX($V$2:$AE$1001,MATCH(ROWS($O$2:O348),$O$2:$O$1001,0),MATCH(COLUMNS($V$1006:AD1006),$V$1006:$AE$1006,0)), HYPERLINK("#",""), HYPERLINK(CONCATENATE("#Metadata!", ADDRESS(INDEX($Q$2:$Q$1001,MATCH(ROWS($O$2:O348),$O$2:$O$1001,0),0), INDEX($V$1004:$AE$1004,1,MATCH(COLUMNS($V$1006:AD1006),$V$1006:$AE$1006,0)))),"Fix")))</f>
        <v>0</v>
      </c>
      <c r="K348" s="4">
        <f>IF(OR(INDEX($P$2:$P$1001,MATCH(ROWS($O$2:O348),$O$2:$O$1001,0),1)&gt;=100000,INDEX($V$1005:$AE$1005,1,MATCH(COLUMNS($V$1006:AE1006),$V$1006:$AE$1006,0))&gt;=100000), " ",IF(INDEX($V$2:$AE$1001,MATCH(ROWS($O$2:O348),$O$2:$O$1001,0),MATCH(COLUMNS($V$1006:AE1006),$V$1006:$AE$1006,0)), HYPERLINK("#",""), HYPERLINK(CONCATENATE("#Metadata!", ADDRESS(INDEX($Q$2:$Q$1001,MATCH(ROWS($O$2:O348),$O$2:$O$1001,0),0), INDEX($V$1004:$AE$1004,1,MATCH(COLUMNS($V$1006:AE1006),$V$1006:$AE$1006,0)))),"Fix")))</f>
        <v>0</v>
      </c>
      <c r="O348">
        <v>0</v>
      </c>
      <c r="P348">
        <v>0</v>
      </c>
      <c r="Q348">
        <v>0</v>
      </c>
      <c r="R348">
        <f>IF(S348,TRUE,AND(V348:AE348))</f>
        <v>0</v>
      </c>
      <c r="S348">
        <f>COUNTBLANK(Metadata!B348:K348)=COLUMNS(Metadata!B348:K348)</f>
        <v>0</v>
      </c>
      <c r="T348">
        <v>0</v>
      </c>
      <c r="V348">
        <f>AND(IF(Metadata!B348="",FALSE,TRUE),COUNTIF(Metadata!B:B, Metadata!B348) = 1,NOT(ISERROR(SUMPRODUCT(SEARCH(MID(Metadata!B348,ROW(INDIRECT("1:"&amp;LEN(Metadata!B348))), 1),"0123456789abcdefghijklmnopqrstuvwxyzABCDEFGHIJKLMNOPQRSTUVWXYZ.")))))</f>
        <v>0</v>
      </c>
      <c r="W348">
        <f>AND(IF(Metadata!C348="",FALSE,TRUE),exact(Metadata!C348,"urban biome"))</f>
        <v>0</v>
      </c>
      <c r="X348">
        <f>AND(IF(Metadata!D348="",FALSE,TRUE),exact(Metadata!D348,"animal-associated habitat"))</f>
        <v>0</v>
      </c>
      <c r="Y348">
        <f>OR(AND(IF(Metadata!E348="",FALSE,TRUE),OR(exact(Metadata!E348,"not applicable"),exact(Metadata!E348,"missing: not collected"),exact(Metadata!E348,"missing: not provided"),exact(Metadata!E348,"missing: restricted access"))),AND(IF(Metadata!E348="",FALSE,ISNUMBER(VALUE(Metadata!E348))),Metadata!E348&gt;0))</f>
        <v>0</v>
      </c>
      <c r="Z348">
        <f>AND(IF(Metadata!F348="",FALSE,TRUE),exact(Metadata!F348,"weeks"))</f>
        <v>0</v>
      </c>
      <c r="AA348">
        <f>AND(IF(Metadata!G348="",FALSE,TRUE),exact(Metadata!G348,"mouse"))</f>
        <v>0</v>
      </c>
      <c r="AB348">
        <f>AND(IF(Metadata!H348="",FALSE,TRUE),exact(Metadata!H348,"Mus musculus"))</f>
        <v>0</v>
      </c>
      <c r="AC348">
        <f>AND(IF(Metadata!I348="",FALSE,TRUE),exact(Metadata!I348,"10090"))</f>
        <v>0</v>
      </c>
      <c r="AD348">
        <f>OR(AND(IF(Metadata!J348="",FALSE,TRUE),OR(exact(Metadata!J348,"not applicable"),exact(Metadata!J348,"missing: not collected"),exact(Metadata!J348,"missing: not provided"),exact(Metadata!J348,"missing: restricted access"))),AND(IF(Metadata!J348="",FALSE,ISNUMBER(VALUE(Metadata!J348))),Metadata!J348&gt;0))</f>
        <v>0</v>
      </c>
      <c r="AE348">
        <f>AND(IF(Metadata!K348="",FALSE,TRUE),exact(Metadata!K348,"g"))</f>
        <v>0</v>
      </c>
    </row>
    <row r="349" spans="1:31">
      <c r="A349" s="5">
        <f>IF(B349=" "," ",HYPERLINK(CONCATENATE("#metadata!",ADDRESS(INDEX($Q$2:$Q$1001,MATCH(ROWS($O$2:O349),$O$2:$O$1001,0),0),1)),INDEX($T$2:$T$1001,MATCH(ROWS($O$2:O349),$O$2:$O$1001,0),0)))</f>
        <v>0</v>
      </c>
      <c r="B349" s="4">
        <f>IF(OR(INDEX($P$2:$P$1001,MATCH(ROWS($O$2:O349),$O$2:$O$1001,0),1)&gt;=100000,INDEX($V$1005:$AE$1005,1,MATCH(COLUMNS($V$1006:V1006),$V$1006:$AE$1006,0))&gt;=100000), " ",IF(INDEX($V$2:$AE$1001,MATCH(ROWS($O$2:O349),$O$2:$O$1001,0),MATCH(COLUMNS($V$1006:V1006),$V$1006:$AE$1006,0)), HYPERLINK("#",""), HYPERLINK(CONCATENATE("#Metadata!", ADDRESS(INDEX($Q$2:$Q$1001,MATCH(ROWS($O$2:O349),$O$2:$O$1001,0),0), INDEX($V$1004:$AE$1004,1,MATCH(COLUMNS($V$1006:V1006),$V$1006:$AE$1006,0)))),"Fix")))</f>
        <v>0</v>
      </c>
      <c r="C349" s="4">
        <f>IF(OR(INDEX($P$2:$P$1001,MATCH(ROWS($O$2:O349),$O$2:$O$1001,0),1)&gt;=100000,INDEX($V$1005:$AE$1005,1,MATCH(COLUMNS($V$1006:W1006),$V$1006:$AE$1006,0))&gt;=100000), " ",IF(INDEX($V$2:$AE$1001,MATCH(ROWS($O$2:O349),$O$2:$O$1001,0),MATCH(COLUMNS($V$1006:W1006),$V$1006:$AE$1006,0)), HYPERLINK("#",""), HYPERLINK(CONCATENATE("#Metadata!", ADDRESS(INDEX($Q$2:$Q$1001,MATCH(ROWS($O$2:O349),$O$2:$O$1001,0),0), INDEX($V$1004:$AE$1004,1,MATCH(COLUMNS($V$1006:W1006),$V$1006:$AE$1006,0)))),"Fix")))</f>
        <v>0</v>
      </c>
      <c r="D349" s="4">
        <f>IF(OR(INDEX($P$2:$P$1001,MATCH(ROWS($O$2:O349),$O$2:$O$1001,0),1)&gt;=100000,INDEX($V$1005:$AE$1005,1,MATCH(COLUMNS($V$1006:X1006),$V$1006:$AE$1006,0))&gt;=100000), " ",IF(INDEX($V$2:$AE$1001,MATCH(ROWS($O$2:O349),$O$2:$O$1001,0),MATCH(COLUMNS($V$1006:X1006),$V$1006:$AE$1006,0)), HYPERLINK("#",""), HYPERLINK(CONCATENATE("#Metadata!", ADDRESS(INDEX($Q$2:$Q$1001,MATCH(ROWS($O$2:O349),$O$2:$O$1001,0),0), INDEX($V$1004:$AE$1004,1,MATCH(COLUMNS($V$1006:X1006),$V$1006:$AE$1006,0)))),"Fix")))</f>
        <v>0</v>
      </c>
      <c r="E349" s="4">
        <f>IF(OR(INDEX($P$2:$P$1001,MATCH(ROWS($O$2:O349),$O$2:$O$1001,0),1)&gt;=100000,INDEX($V$1005:$AE$1005,1,MATCH(COLUMNS($V$1006:Y1006),$V$1006:$AE$1006,0))&gt;=100000), " ",IF(INDEX($V$2:$AE$1001,MATCH(ROWS($O$2:O349),$O$2:$O$1001,0),MATCH(COLUMNS($V$1006:Y1006),$V$1006:$AE$1006,0)), HYPERLINK("#",""), HYPERLINK(CONCATENATE("#Metadata!", ADDRESS(INDEX($Q$2:$Q$1001,MATCH(ROWS($O$2:O349),$O$2:$O$1001,0),0), INDEX($V$1004:$AE$1004,1,MATCH(COLUMNS($V$1006:Y1006),$V$1006:$AE$1006,0)))),"Fix")))</f>
        <v>0</v>
      </c>
      <c r="F349" s="4">
        <f>IF(OR(INDEX($P$2:$P$1001,MATCH(ROWS($O$2:O349),$O$2:$O$1001,0),1)&gt;=100000,INDEX($V$1005:$AE$1005,1,MATCH(COLUMNS($V$1006:Z1006),$V$1006:$AE$1006,0))&gt;=100000), " ",IF(INDEX($V$2:$AE$1001,MATCH(ROWS($O$2:O349),$O$2:$O$1001,0),MATCH(COLUMNS($V$1006:Z1006),$V$1006:$AE$1006,0)), HYPERLINK("#",""), HYPERLINK(CONCATENATE("#Metadata!", ADDRESS(INDEX($Q$2:$Q$1001,MATCH(ROWS($O$2:O349),$O$2:$O$1001,0),0), INDEX($V$1004:$AE$1004,1,MATCH(COLUMNS($V$1006:Z1006),$V$1006:$AE$1006,0)))),"Fix")))</f>
        <v>0</v>
      </c>
      <c r="G349" s="4">
        <f>IF(OR(INDEX($P$2:$P$1001,MATCH(ROWS($O$2:O349),$O$2:$O$1001,0),1)&gt;=100000,INDEX($V$1005:$AE$1005,1,MATCH(COLUMNS($V$1006:AA1006),$V$1006:$AE$1006,0))&gt;=100000), " ",IF(INDEX($V$2:$AE$1001,MATCH(ROWS($O$2:O349),$O$2:$O$1001,0),MATCH(COLUMNS($V$1006:AA1006),$V$1006:$AE$1006,0)), HYPERLINK("#",""), HYPERLINK(CONCATENATE("#Metadata!", ADDRESS(INDEX($Q$2:$Q$1001,MATCH(ROWS($O$2:O349),$O$2:$O$1001,0),0), INDEX($V$1004:$AE$1004,1,MATCH(COLUMNS($V$1006:AA1006),$V$1006:$AE$1006,0)))),"Fix")))</f>
        <v>0</v>
      </c>
      <c r="H349" s="4">
        <f>IF(OR(INDEX($P$2:$P$1001,MATCH(ROWS($O$2:O349),$O$2:$O$1001,0),1)&gt;=100000,INDEX($V$1005:$AE$1005,1,MATCH(COLUMNS($V$1006:AB1006),$V$1006:$AE$1006,0))&gt;=100000), " ",IF(INDEX($V$2:$AE$1001,MATCH(ROWS($O$2:O349),$O$2:$O$1001,0),MATCH(COLUMNS($V$1006:AB1006),$V$1006:$AE$1006,0)), HYPERLINK("#",""), HYPERLINK(CONCATENATE("#Metadata!", ADDRESS(INDEX($Q$2:$Q$1001,MATCH(ROWS($O$2:O349),$O$2:$O$1001,0),0), INDEX($V$1004:$AE$1004,1,MATCH(COLUMNS($V$1006:AB1006),$V$1006:$AE$1006,0)))),"Fix")))</f>
        <v>0</v>
      </c>
      <c r="I349" s="4">
        <f>IF(OR(INDEX($P$2:$P$1001,MATCH(ROWS($O$2:O349),$O$2:$O$1001,0),1)&gt;=100000,INDEX($V$1005:$AE$1005,1,MATCH(COLUMNS($V$1006:AC1006),$V$1006:$AE$1006,0))&gt;=100000), " ",IF(INDEX($V$2:$AE$1001,MATCH(ROWS($O$2:O349),$O$2:$O$1001,0),MATCH(COLUMNS($V$1006:AC1006),$V$1006:$AE$1006,0)), HYPERLINK("#",""), HYPERLINK(CONCATENATE("#Metadata!", ADDRESS(INDEX($Q$2:$Q$1001,MATCH(ROWS($O$2:O349),$O$2:$O$1001,0),0), INDEX($V$1004:$AE$1004,1,MATCH(COLUMNS($V$1006:AC1006),$V$1006:$AE$1006,0)))),"Fix")))</f>
        <v>0</v>
      </c>
      <c r="J349" s="4">
        <f>IF(OR(INDEX($P$2:$P$1001,MATCH(ROWS($O$2:O349),$O$2:$O$1001,0),1)&gt;=100000,INDEX($V$1005:$AE$1005,1,MATCH(COLUMNS($V$1006:AD1006),$V$1006:$AE$1006,0))&gt;=100000), " ",IF(INDEX($V$2:$AE$1001,MATCH(ROWS($O$2:O349),$O$2:$O$1001,0),MATCH(COLUMNS($V$1006:AD1006),$V$1006:$AE$1006,0)), HYPERLINK("#",""), HYPERLINK(CONCATENATE("#Metadata!", ADDRESS(INDEX($Q$2:$Q$1001,MATCH(ROWS($O$2:O349),$O$2:$O$1001,0),0), INDEX($V$1004:$AE$1004,1,MATCH(COLUMNS($V$1006:AD1006),$V$1006:$AE$1006,0)))),"Fix")))</f>
        <v>0</v>
      </c>
      <c r="K349" s="4">
        <f>IF(OR(INDEX($P$2:$P$1001,MATCH(ROWS($O$2:O349),$O$2:$O$1001,0),1)&gt;=100000,INDEX($V$1005:$AE$1005,1,MATCH(COLUMNS($V$1006:AE1006),$V$1006:$AE$1006,0))&gt;=100000), " ",IF(INDEX($V$2:$AE$1001,MATCH(ROWS($O$2:O349),$O$2:$O$1001,0),MATCH(COLUMNS($V$1006:AE1006),$V$1006:$AE$1006,0)), HYPERLINK("#",""), HYPERLINK(CONCATENATE("#Metadata!", ADDRESS(INDEX($Q$2:$Q$1001,MATCH(ROWS($O$2:O349),$O$2:$O$1001,0),0), INDEX($V$1004:$AE$1004,1,MATCH(COLUMNS($V$1006:AE1006),$V$1006:$AE$1006,0)))),"Fix")))</f>
        <v>0</v>
      </c>
      <c r="O349">
        <v>0</v>
      </c>
      <c r="P349">
        <v>0</v>
      </c>
      <c r="Q349">
        <v>0</v>
      </c>
      <c r="R349">
        <f>IF(S349,TRUE,AND(V349:AE349))</f>
        <v>0</v>
      </c>
      <c r="S349">
        <f>COUNTBLANK(Metadata!B349:K349)=COLUMNS(Metadata!B349:K349)</f>
        <v>0</v>
      </c>
      <c r="T349">
        <v>0</v>
      </c>
      <c r="V349">
        <f>AND(IF(Metadata!B349="",FALSE,TRUE),COUNTIF(Metadata!B:B, Metadata!B349) = 1,NOT(ISERROR(SUMPRODUCT(SEARCH(MID(Metadata!B349,ROW(INDIRECT("1:"&amp;LEN(Metadata!B349))), 1),"0123456789abcdefghijklmnopqrstuvwxyzABCDEFGHIJKLMNOPQRSTUVWXYZ.")))))</f>
        <v>0</v>
      </c>
      <c r="W349">
        <f>AND(IF(Metadata!C349="",FALSE,TRUE),exact(Metadata!C349,"urban biome"))</f>
        <v>0</v>
      </c>
      <c r="X349">
        <f>AND(IF(Metadata!D349="",FALSE,TRUE),exact(Metadata!D349,"animal-associated habitat"))</f>
        <v>0</v>
      </c>
      <c r="Y349">
        <f>OR(AND(IF(Metadata!E349="",FALSE,TRUE),OR(exact(Metadata!E349,"not applicable"),exact(Metadata!E349,"missing: not collected"),exact(Metadata!E349,"missing: not provided"),exact(Metadata!E349,"missing: restricted access"))),AND(IF(Metadata!E349="",FALSE,ISNUMBER(VALUE(Metadata!E349))),Metadata!E349&gt;0))</f>
        <v>0</v>
      </c>
      <c r="Z349">
        <f>AND(IF(Metadata!F349="",FALSE,TRUE),exact(Metadata!F349,"weeks"))</f>
        <v>0</v>
      </c>
      <c r="AA349">
        <f>AND(IF(Metadata!G349="",FALSE,TRUE),exact(Metadata!G349,"mouse"))</f>
        <v>0</v>
      </c>
      <c r="AB349">
        <f>AND(IF(Metadata!H349="",FALSE,TRUE),exact(Metadata!H349,"Mus musculus"))</f>
        <v>0</v>
      </c>
      <c r="AC349">
        <f>AND(IF(Metadata!I349="",FALSE,TRUE),exact(Metadata!I349,"10090"))</f>
        <v>0</v>
      </c>
      <c r="AD349">
        <f>OR(AND(IF(Metadata!J349="",FALSE,TRUE),OR(exact(Metadata!J349,"not applicable"),exact(Metadata!J349,"missing: not collected"),exact(Metadata!J349,"missing: not provided"),exact(Metadata!J349,"missing: restricted access"))),AND(IF(Metadata!J349="",FALSE,ISNUMBER(VALUE(Metadata!J349))),Metadata!J349&gt;0))</f>
        <v>0</v>
      </c>
      <c r="AE349">
        <f>AND(IF(Metadata!K349="",FALSE,TRUE),exact(Metadata!K349,"g"))</f>
        <v>0</v>
      </c>
    </row>
    <row r="350" spans="1:31">
      <c r="A350" s="5">
        <f>IF(B350=" "," ",HYPERLINK(CONCATENATE("#metadata!",ADDRESS(INDEX($Q$2:$Q$1001,MATCH(ROWS($O$2:O350),$O$2:$O$1001,0),0),1)),INDEX($T$2:$T$1001,MATCH(ROWS($O$2:O350),$O$2:$O$1001,0),0)))</f>
        <v>0</v>
      </c>
      <c r="B350" s="4">
        <f>IF(OR(INDEX($P$2:$P$1001,MATCH(ROWS($O$2:O350),$O$2:$O$1001,0),1)&gt;=100000,INDEX($V$1005:$AE$1005,1,MATCH(COLUMNS($V$1006:V1006),$V$1006:$AE$1006,0))&gt;=100000), " ",IF(INDEX($V$2:$AE$1001,MATCH(ROWS($O$2:O350),$O$2:$O$1001,0),MATCH(COLUMNS($V$1006:V1006),$V$1006:$AE$1006,0)), HYPERLINK("#",""), HYPERLINK(CONCATENATE("#Metadata!", ADDRESS(INDEX($Q$2:$Q$1001,MATCH(ROWS($O$2:O350),$O$2:$O$1001,0),0), INDEX($V$1004:$AE$1004,1,MATCH(COLUMNS($V$1006:V1006),$V$1006:$AE$1006,0)))),"Fix")))</f>
        <v>0</v>
      </c>
      <c r="C350" s="4">
        <f>IF(OR(INDEX($P$2:$P$1001,MATCH(ROWS($O$2:O350),$O$2:$O$1001,0),1)&gt;=100000,INDEX($V$1005:$AE$1005,1,MATCH(COLUMNS($V$1006:W1006),$V$1006:$AE$1006,0))&gt;=100000), " ",IF(INDEX($V$2:$AE$1001,MATCH(ROWS($O$2:O350),$O$2:$O$1001,0),MATCH(COLUMNS($V$1006:W1006),$V$1006:$AE$1006,0)), HYPERLINK("#",""), HYPERLINK(CONCATENATE("#Metadata!", ADDRESS(INDEX($Q$2:$Q$1001,MATCH(ROWS($O$2:O350),$O$2:$O$1001,0),0), INDEX($V$1004:$AE$1004,1,MATCH(COLUMNS($V$1006:W1006),$V$1006:$AE$1006,0)))),"Fix")))</f>
        <v>0</v>
      </c>
      <c r="D350" s="4">
        <f>IF(OR(INDEX($P$2:$P$1001,MATCH(ROWS($O$2:O350),$O$2:$O$1001,0),1)&gt;=100000,INDEX($V$1005:$AE$1005,1,MATCH(COLUMNS($V$1006:X1006),$V$1006:$AE$1006,0))&gt;=100000), " ",IF(INDEX($V$2:$AE$1001,MATCH(ROWS($O$2:O350),$O$2:$O$1001,0),MATCH(COLUMNS($V$1006:X1006),$V$1006:$AE$1006,0)), HYPERLINK("#",""), HYPERLINK(CONCATENATE("#Metadata!", ADDRESS(INDEX($Q$2:$Q$1001,MATCH(ROWS($O$2:O350),$O$2:$O$1001,0),0), INDEX($V$1004:$AE$1004,1,MATCH(COLUMNS($V$1006:X1006),$V$1006:$AE$1006,0)))),"Fix")))</f>
        <v>0</v>
      </c>
      <c r="E350" s="4">
        <f>IF(OR(INDEX($P$2:$P$1001,MATCH(ROWS($O$2:O350),$O$2:$O$1001,0),1)&gt;=100000,INDEX($V$1005:$AE$1005,1,MATCH(COLUMNS($V$1006:Y1006),$V$1006:$AE$1006,0))&gt;=100000), " ",IF(INDEX($V$2:$AE$1001,MATCH(ROWS($O$2:O350),$O$2:$O$1001,0),MATCH(COLUMNS($V$1006:Y1006),$V$1006:$AE$1006,0)), HYPERLINK("#",""), HYPERLINK(CONCATENATE("#Metadata!", ADDRESS(INDEX($Q$2:$Q$1001,MATCH(ROWS($O$2:O350),$O$2:$O$1001,0),0), INDEX($V$1004:$AE$1004,1,MATCH(COLUMNS($V$1006:Y1006),$V$1006:$AE$1006,0)))),"Fix")))</f>
        <v>0</v>
      </c>
      <c r="F350" s="4">
        <f>IF(OR(INDEX($P$2:$P$1001,MATCH(ROWS($O$2:O350),$O$2:$O$1001,0),1)&gt;=100000,INDEX($V$1005:$AE$1005,1,MATCH(COLUMNS($V$1006:Z1006),$V$1006:$AE$1006,0))&gt;=100000), " ",IF(INDEX($V$2:$AE$1001,MATCH(ROWS($O$2:O350),$O$2:$O$1001,0),MATCH(COLUMNS($V$1006:Z1006),$V$1006:$AE$1006,0)), HYPERLINK("#",""), HYPERLINK(CONCATENATE("#Metadata!", ADDRESS(INDEX($Q$2:$Q$1001,MATCH(ROWS($O$2:O350),$O$2:$O$1001,0),0), INDEX($V$1004:$AE$1004,1,MATCH(COLUMNS($V$1006:Z1006),$V$1006:$AE$1006,0)))),"Fix")))</f>
        <v>0</v>
      </c>
      <c r="G350" s="4">
        <f>IF(OR(INDEX($P$2:$P$1001,MATCH(ROWS($O$2:O350),$O$2:$O$1001,0),1)&gt;=100000,INDEX($V$1005:$AE$1005,1,MATCH(COLUMNS($V$1006:AA1006),$V$1006:$AE$1006,0))&gt;=100000), " ",IF(INDEX($V$2:$AE$1001,MATCH(ROWS($O$2:O350),$O$2:$O$1001,0),MATCH(COLUMNS($V$1006:AA1006),$V$1006:$AE$1006,0)), HYPERLINK("#",""), HYPERLINK(CONCATENATE("#Metadata!", ADDRESS(INDEX($Q$2:$Q$1001,MATCH(ROWS($O$2:O350),$O$2:$O$1001,0),0), INDEX($V$1004:$AE$1004,1,MATCH(COLUMNS($V$1006:AA1006),$V$1006:$AE$1006,0)))),"Fix")))</f>
        <v>0</v>
      </c>
      <c r="H350" s="4">
        <f>IF(OR(INDEX($P$2:$P$1001,MATCH(ROWS($O$2:O350),$O$2:$O$1001,0),1)&gt;=100000,INDEX($V$1005:$AE$1005,1,MATCH(COLUMNS($V$1006:AB1006),$V$1006:$AE$1006,0))&gt;=100000), " ",IF(INDEX($V$2:$AE$1001,MATCH(ROWS($O$2:O350),$O$2:$O$1001,0),MATCH(COLUMNS($V$1006:AB1006),$V$1006:$AE$1006,0)), HYPERLINK("#",""), HYPERLINK(CONCATENATE("#Metadata!", ADDRESS(INDEX($Q$2:$Q$1001,MATCH(ROWS($O$2:O350),$O$2:$O$1001,0),0), INDEX($V$1004:$AE$1004,1,MATCH(COLUMNS($V$1006:AB1006),$V$1006:$AE$1006,0)))),"Fix")))</f>
        <v>0</v>
      </c>
      <c r="I350" s="4">
        <f>IF(OR(INDEX($P$2:$P$1001,MATCH(ROWS($O$2:O350),$O$2:$O$1001,0),1)&gt;=100000,INDEX($V$1005:$AE$1005,1,MATCH(COLUMNS($V$1006:AC1006),$V$1006:$AE$1006,0))&gt;=100000), " ",IF(INDEX($V$2:$AE$1001,MATCH(ROWS($O$2:O350),$O$2:$O$1001,0),MATCH(COLUMNS($V$1006:AC1006),$V$1006:$AE$1006,0)), HYPERLINK("#",""), HYPERLINK(CONCATENATE("#Metadata!", ADDRESS(INDEX($Q$2:$Q$1001,MATCH(ROWS($O$2:O350),$O$2:$O$1001,0),0), INDEX($V$1004:$AE$1004,1,MATCH(COLUMNS($V$1006:AC1006),$V$1006:$AE$1006,0)))),"Fix")))</f>
        <v>0</v>
      </c>
      <c r="J350" s="4">
        <f>IF(OR(INDEX($P$2:$P$1001,MATCH(ROWS($O$2:O350),$O$2:$O$1001,0),1)&gt;=100000,INDEX($V$1005:$AE$1005,1,MATCH(COLUMNS($V$1006:AD1006),$V$1006:$AE$1006,0))&gt;=100000), " ",IF(INDEX($V$2:$AE$1001,MATCH(ROWS($O$2:O350),$O$2:$O$1001,0),MATCH(COLUMNS($V$1006:AD1006),$V$1006:$AE$1006,0)), HYPERLINK("#",""), HYPERLINK(CONCATENATE("#Metadata!", ADDRESS(INDEX($Q$2:$Q$1001,MATCH(ROWS($O$2:O350),$O$2:$O$1001,0),0), INDEX($V$1004:$AE$1004,1,MATCH(COLUMNS($V$1006:AD1006),$V$1006:$AE$1006,0)))),"Fix")))</f>
        <v>0</v>
      </c>
      <c r="K350" s="4">
        <f>IF(OR(INDEX($P$2:$P$1001,MATCH(ROWS($O$2:O350),$O$2:$O$1001,0),1)&gt;=100000,INDEX($V$1005:$AE$1005,1,MATCH(COLUMNS($V$1006:AE1006),$V$1006:$AE$1006,0))&gt;=100000), " ",IF(INDEX($V$2:$AE$1001,MATCH(ROWS($O$2:O350),$O$2:$O$1001,0),MATCH(COLUMNS($V$1006:AE1006),$V$1006:$AE$1006,0)), HYPERLINK("#",""), HYPERLINK(CONCATENATE("#Metadata!", ADDRESS(INDEX($Q$2:$Q$1001,MATCH(ROWS($O$2:O350),$O$2:$O$1001,0),0), INDEX($V$1004:$AE$1004,1,MATCH(COLUMNS($V$1006:AE1006),$V$1006:$AE$1006,0)))),"Fix")))</f>
        <v>0</v>
      </c>
      <c r="O350">
        <v>0</v>
      </c>
      <c r="P350">
        <v>0</v>
      </c>
      <c r="Q350">
        <v>0</v>
      </c>
      <c r="R350">
        <f>IF(S350,TRUE,AND(V350:AE350))</f>
        <v>0</v>
      </c>
      <c r="S350">
        <f>COUNTBLANK(Metadata!B350:K350)=COLUMNS(Metadata!B350:K350)</f>
        <v>0</v>
      </c>
      <c r="T350">
        <v>0</v>
      </c>
      <c r="V350">
        <f>AND(IF(Metadata!B350="",FALSE,TRUE),COUNTIF(Metadata!B:B, Metadata!B350) = 1,NOT(ISERROR(SUMPRODUCT(SEARCH(MID(Metadata!B350,ROW(INDIRECT("1:"&amp;LEN(Metadata!B350))), 1),"0123456789abcdefghijklmnopqrstuvwxyzABCDEFGHIJKLMNOPQRSTUVWXYZ.")))))</f>
        <v>0</v>
      </c>
      <c r="W350">
        <f>AND(IF(Metadata!C350="",FALSE,TRUE),exact(Metadata!C350,"urban biome"))</f>
        <v>0</v>
      </c>
      <c r="X350">
        <f>AND(IF(Metadata!D350="",FALSE,TRUE),exact(Metadata!D350,"animal-associated habitat"))</f>
        <v>0</v>
      </c>
      <c r="Y350">
        <f>OR(AND(IF(Metadata!E350="",FALSE,TRUE),OR(exact(Metadata!E350,"not applicable"),exact(Metadata!E350,"missing: not collected"),exact(Metadata!E350,"missing: not provided"),exact(Metadata!E350,"missing: restricted access"))),AND(IF(Metadata!E350="",FALSE,ISNUMBER(VALUE(Metadata!E350))),Metadata!E350&gt;0))</f>
        <v>0</v>
      </c>
      <c r="Z350">
        <f>AND(IF(Metadata!F350="",FALSE,TRUE),exact(Metadata!F350,"weeks"))</f>
        <v>0</v>
      </c>
      <c r="AA350">
        <f>AND(IF(Metadata!G350="",FALSE,TRUE),exact(Metadata!G350,"mouse"))</f>
        <v>0</v>
      </c>
      <c r="AB350">
        <f>AND(IF(Metadata!H350="",FALSE,TRUE),exact(Metadata!H350,"Mus musculus"))</f>
        <v>0</v>
      </c>
      <c r="AC350">
        <f>AND(IF(Metadata!I350="",FALSE,TRUE),exact(Metadata!I350,"10090"))</f>
        <v>0</v>
      </c>
      <c r="AD350">
        <f>OR(AND(IF(Metadata!J350="",FALSE,TRUE),OR(exact(Metadata!J350,"not applicable"),exact(Metadata!J350,"missing: not collected"),exact(Metadata!J350,"missing: not provided"),exact(Metadata!J350,"missing: restricted access"))),AND(IF(Metadata!J350="",FALSE,ISNUMBER(VALUE(Metadata!J350))),Metadata!J350&gt;0))</f>
        <v>0</v>
      </c>
      <c r="AE350">
        <f>AND(IF(Metadata!K350="",FALSE,TRUE),exact(Metadata!K350,"g"))</f>
        <v>0</v>
      </c>
    </row>
    <row r="351" spans="1:31">
      <c r="A351" s="5">
        <f>IF(B351=" "," ",HYPERLINK(CONCATENATE("#metadata!",ADDRESS(INDEX($Q$2:$Q$1001,MATCH(ROWS($O$2:O351),$O$2:$O$1001,0),0),1)),INDEX($T$2:$T$1001,MATCH(ROWS($O$2:O351),$O$2:$O$1001,0),0)))</f>
        <v>0</v>
      </c>
      <c r="B351" s="4">
        <f>IF(OR(INDEX($P$2:$P$1001,MATCH(ROWS($O$2:O351),$O$2:$O$1001,0),1)&gt;=100000,INDEX($V$1005:$AE$1005,1,MATCH(COLUMNS($V$1006:V1006),$V$1006:$AE$1006,0))&gt;=100000), " ",IF(INDEX($V$2:$AE$1001,MATCH(ROWS($O$2:O351),$O$2:$O$1001,0),MATCH(COLUMNS($V$1006:V1006),$V$1006:$AE$1006,0)), HYPERLINK("#",""), HYPERLINK(CONCATENATE("#Metadata!", ADDRESS(INDEX($Q$2:$Q$1001,MATCH(ROWS($O$2:O351),$O$2:$O$1001,0),0), INDEX($V$1004:$AE$1004,1,MATCH(COLUMNS($V$1006:V1006),$V$1006:$AE$1006,0)))),"Fix")))</f>
        <v>0</v>
      </c>
      <c r="C351" s="4">
        <f>IF(OR(INDEX($P$2:$P$1001,MATCH(ROWS($O$2:O351),$O$2:$O$1001,0),1)&gt;=100000,INDEX($V$1005:$AE$1005,1,MATCH(COLUMNS($V$1006:W1006),$V$1006:$AE$1006,0))&gt;=100000), " ",IF(INDEX($V$2:$AE$1001,MATCH(ROWS($O$2:O351),$O$2:$O$1001,0),MATCH(COLUMNS($V$1006:W1006),$V$1006:$AE$1006,0)), HYPERLINK("#",""), HYPERLINK(CONCATENATE("#Metadata!", ADDRESS(INDEX($Q$2:$Q$1001,MATCH(ROWS($O$2:O351),$O$2:$O$1001,0),0), INDEX($V$1004:$AE$1004,1,MATCH(COLUMNS($V$1006:W1006),$V$1006:$AE$1006,0)))),"Fix")))</f>
        <v>0</v>
      </c>
      <c r="D351" s="4">
        <f>IF(OR(INDEX($P$2:$P$1001,MATCH(ROWS($O$2:O351),$O$2:$O$1001,0),1)&gt;=100000,INDEX($V$1005:$AE$1005,1,MATCH(COLUMNS($V$1006:X1006),$V$1006:$AE$1006,0))&gt;=100000), " ",IF(INDEX($V$2:$AE$1001,MATCH(ROWS($O$2:O351),$O$2:$O$1001,0),MATCH(COLUMNS($V$1006:X1006),$V$1006:$AE$1006,0)), HYPERLINK("#",""), HYPERLINK(CONCATENATE("#Metadata!", ADDRESS(INDEX($Q$2:$Q$1001,MATCH(ROWS($O$2:O351),$O$2:$O$1001,0),0), INDEX($V$1004:$AE$1004,1,MATCH(COLUMNS($V$1006:X1006),$V$1006:$AE$1006,0)))),"Fix")))</f>
        <v>0</v>
      </c>
      <c r="E351" s="4">
        <f>IF(OR(INDEX($P$2:$P$1001,MATCH(ROWS($O$2:O351),$O$2:$O$1001,0),1)&gt;=100000,INDEX($V$1005:$AE$1005,1,MATCH(COLUMNS($V$1006:Y1006),$V$1006:$AE$1006,0))&gt;=100000), " ",IF(INDEX($V$2:$AE$1001,MATCH(ROWS($O$2:O351),$O$2:$O$1001,0),MATCH(COLUMNS($V$1006:Y1006),$V$1006:$AE$1006,0)), HYPERLINK("#",""), HYPERLINK(CONCATENATE("#Metadata!", ADDRESS(INDEX($Q$2:$Q$1001,MATCH(ROWS($O$2:O351),$O$2:$O$1001,0),0), INDEX($V$1004:$AE$1004,1,MATCH(COLUMNS($V$1006:Y1006),$V$1006:$AE$1006,0)))),"Fix")))</f>
        <v>0</v>
      </c>
      <c r="F351" s="4">
        <f>IF(OR(INDEX($P$2:$P$1001,MATCH(ROWS($O$2:O351),$O$2:$O$1001,0),1)&gt;=100000,INDEX($V$1005:$AE$1005,1,MATCH(COLUMNS($V$1006:Z1006),$V$1006:$AE$1006,0))&gt;=100000), " ",IF(INDEX($V$2:$AE$1001,MATCH(ROWS($O$2:O351),$O$2:$O$1001,0),MATCH(COLUMNS($V$1006:Z1006),$V$1006:$AE$1006,0)), HYPERLINK("#",""), HYPERLINK(CONCATENATE("#Metadata!", ADDRESS(INDEX($Q$2:$Q$1001,MATCH(ROWS($O$2:O351),$O$2:$O$1001,0),0), INDEX($V$1004:$AE$1004,1,MATCH(COLUMNS($V$1006:Z1006),$V$1006:$AE$1006,0)))),"Fix")))</f>
        <v>0</v>
      </c>
      <c r="G351" s="4">
        <f>IF(OR(INDEX($P$2:$P$1001,MATCH(ROWS($O$2:O351),$O$2:$O$1001,0),1)&gt;=100000,INDEX($V$1005:$AE$1005,1,MATCH(COLUMNS($V$1006:AA1006),$V$1006:$AE$1006,0))&gt;=100000), " ",IF(INDEX($V$2:$AE$1001,MATCH(ROWS($O$2:O351),$O$2:$O$1001,0),MATCH(COLUMNS($V$1006:AA1006),$V$1006:$AE$1006,0)), HYPERLINK("#",""), HYPERLINK(CONCATENATE("#Metadata!", ADDRESS(INDEX($Q$2:$Q$1001,MATCH(ROWS($O$2:O351),$O$2:$O$1001,0),0), INDEX($V$1004:$AE$1004,1,MATCH(COLUMNS($V$1006:AA1006),$V$1006:$AE$1006,0)))),"Fix")))</f>
        <v>0</v>
      </c>
      <c r="H351" s="4">
        <f>IF(OR(INDEX($P$2:$P$1001,MATCH(ROWS($O$2:O351),$O$2:$O$1001,0),1)&gt;=100000,INDEX($V$1005:$AE$1005,1,MATCH(COLUMNS($V$1006:AB1006),$V$1006:$AE$1006,0))&gt;=100000), " ",IF(INDEX($V$2:$AE$1001,MATCH(ROWS($O$2:O351),$O$2:$O$1001,0),MATCH(COLUMNS($V$1006:AB1006),$V$1006:$AE$1006,0)), HYPERLINK("#",""), HYPERLINK(CONCATENATE("#Metadata!", ADDRESS(INDEX($Q$2:$Q$1001,MATCH(ROWS($O$2:O351),$O$2:$O$1001,0),0), INDEX($V$1004:$AE$1004,1,MATCH(COLUMNS($V$1006:AB1006),$V$1006:$AE$1006,0)))),"Fix")))</f>
        <v>0</v>
      </c>
      <c r="I351" s="4">
        <f>IF(OR(INDEX($P$2:$P$1001,MATCH(ROWS($O$2:O351),$O$2:$O$1001,0),1)&gt;=100000,INDEX($V$1005:$AE$1005,1,MATCH(COLUMNS($V$1006:AC1006),$V$1006:$AE$1006,0))&gt;=100000), " ",IF(INDEX($V$2:$AE$1001,MATCH(ROWS($O$2:O351),$O$2:$O$1001,0),MATCH(COLUMNS($V$1006:AC1006),$V$1006:$AE$1006,0)), HYPERLINK("#",""), HYPERLINK(CONCATENATE("#Metadata!", ADDRESS(INDEX($Q$2:$Q$1001,MATCH(ROWS($O$2:O351),$O$2:$O$1001,0),0), INDEX($V$1004:$AE$1004,1,MATCH(COLUMNS($V$1006:AC1006),$V$1006:$AE$1006,0)))),"Fix")))</f>
        <v>0</v>
      </c>
      <c r="J351" s="4">
        <f>IF(OR(INDEX($P$2:$P$1001,MATCH(ROWS($O$2:O351),$O$2:$O$1001,0),1)&gt;=100000,INDEX($V$1005:$AE$1005,1,MATCH(COLUMNS($V$1006:AD1006),$V$1006:$AE$1006,0))&gt;=100000), " ",IF(INDEX($V$2:$AE$1001,MATCH(ROWS($O$2:O351),$O$2:$O$1001,0),MATCH(COLUMNS($V$1006:AD1006),$V$1006:$AE$1006,0)), HYPERLINK("#",""), HYPERLINK(CONCATENATE("#Metadata!", ADDRESS(INDEX($Q$2:$Q$1001,MATCH(ROWS($O$2:O351),$O$2:$O$1001,0),0), INDEX($V$1004:$AE$1004,1,MATCH(COLUMNS($V$1006:AD1006),$V$1006:$AE$1006,0)))),"Fix")))</f>
        <v>0</v>
      </c>
      <c r="K351" s="4">
        <f>IF(OR(INDEX($P$2:$P$1001,MATCH(ROWS($O$2:O351),$O$2:$O$1001,0),1)&gt;=100000,INDEX($V$1005:$AE$1005,1,MATCH(COLUMNS($V$1006:AE1006),$V$1006:$AE$1006,0))&gt;=100000), " ",IF(INDEX($V$2:$AE$1001,MATCH(ROWS($O$2:O351),$O$2:$O$1001,0),MATCH(COLUMNS($V$1006:AE1006),$V$1006:$AE$1006,0)), HYPERLINK("#",""), HYPERLINK(CONCATENATE("#Metadata!", ADDRESS(INDEX($Q$2:$Q$1001,MATCH(ROWS($O$2:O351),$O$2:$O$1001,0),0), INDEX($V$1004:$AE$1004,1,MATCH(COLUMNS($V$1006:AE1006),$V$1006:$AE$1006,0)))),"Fix")))</f>
        <v>0</v>
      </c>
      <c r="O351">
        <v>0</v>
      </c>
      <c r="P351">
        <v>0</v>
      </c>
      <c r="Q351">
        <v>0</v>
      </c>
      <c r="R351">
        <f>IF(S351,TRUE,AND(V351:AE351))</f>
        <v>0</v>
      </c>
      <c r="S351">
        <f>COUNTBLANK(Metadata!B351:K351)=COLUMNS(Metadata!B351:K351)</f>
        <v>0</v>
      </c>
      <c r="T351">
        <v>0</v>
      </c>
      <c r="V351">
        <f>AND(IF(Metadata!B351="",FALSE,TRUE),COUNTIF(Metadata!B:B, Metadata!B351) = 1,NOT(ISERROR(SUMPRODUCT(SEARCH(MID(Metadata!B351,ROW(INDIRECT("1:"&amp;LEN(Metadata!B351))), 1),"0123456789abcdefghijklmnopqrstuvwxyzABCDEFGHIJKLMNOPQRSTUVWXYZ.")))))</f>
        <v>0</v>
      </c>
      <c r="W351">
        <f>AND(IF(Metadata!C351="",FALSE,TRUE),exact(Metadata!C351,"urban biome"))</f>
        <v>0</v>
      </c>
      <c r="X351">
        <f>AND(IF(Metadata!D351="",FALSE,TRUE),exact(Metadata!D351,"animal-associated habitat"))</f>
        <v>0</v>
      </c>
      <c r="Y351">
        <f>OR(AND(IF(Metadata!E351="",FALSE,TRUE),OR(exact(Metadata!E351,"not applicable"),exact(Metadata!E351,"missing: not collected"),exact(Metadata!E351,"missing: not provided"),exact(Metadata!E351,"missing: restricted access"))),AND(IF(Metadata!E351="",FALSE,ISNUMBER(VALUE(Metadata!E351))),Metadata!E351&gt;0))</f>
        <v>0</v>
      </c>
      <c r="Z351">
        <f>AND(IF(Metadata!F351="",FALSE,TRUE),exact(Metadata!F351,"weeks"))</f>
        <v>0</v>
      </c>
      <c r="AA351">
        <f>AND(IF(Metadata!G351="",FALSE,TRUE),exact(Metadata!G351,"mouse"))</f>
        <v>0</v>
      </c>
      <c r="AB351">
        <f>AND(IF(Metadata!H351="",FALSE,TRUE),exact(Metadata!H351,"Mus musculus"))</f>
        <v>0</v>
      </c>
      <c r="AC351">
        <f>AND(IF(Metadata!I351="",FALSE,TRUE),exact(Metadata!I351,"10090"))</f>
        <v>0</v>
      </c>
      <c r="AD351">
        <f>OR(AND(IF(Metadata!J351="",FALSE,TRUE),OR(exact(Metadata!J351,"not applicable"),exact(Metadata!J351,"missing: not collected"),exact(Metadata!J351,"missing: not provided"),exact(Metadata!J351,"missing: restricted access"))),AND(IF(Metadata!J351="",FALSE,ISNUMBER(VALUE(Metadata!J351))),Metadata!J351&gt;0))</f>
        <v>0</v>
      </c>
      <c r="AE351">
        <f>AND(IF(Metadata!K351="",FALSE,TRUE),exact(Metadata!K351,"g"))</f>
        <v>0</v>
      </c>
    </row>
    <row r="352" spans="1:31">
      <c r="A352" s="5">
        <f>IF(B352=" "," ",HYPERLINK(CONCATENATE("#metadata!",ADDRESS(INDEX($Q$2:$Q$1001,MATCH(ROWS($O$2:O352),$O$2:$O$1001,0),0),1)),INDEX($T$2:$T$1001,MATCH(ROWS($O$2:O352),$O$2:$O$1001,0),0)))</f>
        <v>0</v>
      </c>
      <c r="B352" s="4">
        <f>IF(OR(INDEX($P$2:$P$1001,MATCH(ROWS($O$2:O352),$O$2:$O$1001,0),1)&gt;=100000,INDEX($V$1005:$AE$1005,1,MATCH(COLUMNS($V$1006:V1006),$V$1006:$AE$1006,0))&gt;=100000), " ",IF(INDEX($V$2:$AE$1001,MATCH(ROWS($O$2:O352),$O$2:$O$1001,0),MATCH(COLUMNS($V$1006:V1006),$V$1006:$AE$1006,0)), HYPERLINK("#",""), HYPERLINK(CONCATENATE("#Metadata!", ADDRESS(INDEX($Q$2:$Q$1001,MATCH(ROWS($O$2:O352),$O$2:$O$1001,0),0), INDEX($V$1004:$AE$1004,1,MATCH(COLUMNS($V$1006:V1006),$V$1006:$AE$1006,0)))),"Fix")))</f>
        <v>0</v>
      </c>
      <c r="C352" s="4">
        <f>IF(OR(INDEX($P$2:$P$1001,MATCH(ROWS($O$2:O352),$O$2:$O$1001,0),1)&gt;=100000,INDEX($V$1005:$AE$1005,1,MATCH(COLUMNS($V$1006:W1006),$V$1006:$AE$1006,0))&gt;=100000), " ",IF(INDEX($V$2:$AE$1001,MATCH(ROWS($O$2:O352),$O$2:$O$1001,0),MATCH(COLUMNS($V$1006:W1006),$V$1006:$AE$1006,0)), HYPERLINK("#",""), HYPERLINK(CONCATENATE("#Metadata!", ADDRESS(INDEX($Q$2:$Q$1001,MATCH(ROWS($O$2:O352),$O$2:$O$1001,0),0), INDEX($V$1004:$AE$1004,1,MATCH(COLUMNS($V$1006:W1006),$V$1006:$AE$1006,0)))),"Fix")))</f>
        <v>0</v>
      </c>
      <c r="D352" s="4">
        <f>IF(OR(INDEX($P$2:$P$1001,MATCH(ROWS($O$2:O352),$O$2:$O$1001,0),1)&gt;=100000,INDEX($V$1005:$AE$1005,1,MATCH(COLUMNS($V$1006:X1006),$V$1006:$AE$1006,0))&gt;=100000), " ",IF(INDEX($V$2:$AE$1001,MATCH(ROWS($O$2:O352),$O$2:$O$1001,0),MATCH(COLUMNS($V$1006:X1006),$V$1006:$AE$1006,0)), HYPERLINK("#",""), HYPERLINK(CONCATENATE("#Metadata!", ADDRESS(INDEX($Q$2:$Q$1001,MATCH(ROWS($O$2:O352),$O$2:$O$1001,0),0), INDEX($V$1004:$AE$1004,1,MATCH(COLUMNS($V$1006:X1006),$V$1006:$AE$1006,0)))),"Fix")))</f>
        <v>0</v>
      </c>
      <c r="E352" s="4">
        <f>IF(OR(INDEX($P$2:$P$1001,MATCH(ROWS($O$2:O352),$O$2:$O$1001,0),1)&gt;=100000,INDEX($V$1005:$AE$1005,1,MATCH(COLUMNS($V$1006:Y1006),$V$1006:$AE$1006,0))&gt;=100000), " ",IF(INDEX($V$2:$AE$1001,MATCH(ROWS($O$2:O352),$O$2:$O$1001,0),MATCH(COLUMNS($V$1006:Y1006),$V$1006:$AE$1006,0)), HYPERLINK("#",""), HYPERLINK(CONCATENATE("#Metadata!", ADDRESS(INDEX($Q$2:$Q$1001,MATCH(ROWS($O$2:O352),$O$2:$O$1001,0),0), INDEX($V$1004:$AE$1004,1,MATCH(COLUMNS($V$1006:Y1006),$V$1006:$AE$1006,0)))),"Fix")))</f>
        <v>0</v>
      </c>
      <c r="F352" s="4">
        <f>IF(OR(INDEX($P$2:$P$1001,MATCH(ROWS($O$2:O352),$O$2:$O$1001,0),1)&gt;=100000,INDEX($V$1005:$AE$1005,1,MATCH(COLUMNS($V$1006:Z1006),$V$1006:$AE$1006,0))&gt;=100000), " ",IF(INDEX($V$2:$AE$1001,MATCH(ROWS($O$2:O352),$O$2:$O$1001,0),MATCH(COLUMNS($V$1006:Z1006),$V$1006:$AE$1006,0)), HYPERLINK("#",""), HYPERLINK(CONCATENATE("#Metadata!", ADDRESS(INDEX($Q$2:$Q$1001,MATCH(ROWS($O$2:O352),$O$2:$O$1001,0),0), INDEX($V$1004:$AE$1004,1,MATCH(COLUMNS($V$1006:Z1006),$V$1006:$AE$1006,0)))),"Fix")))</f>
        <v>0</v>
      </c>
      <c r="G352" s="4">
        <f>IF(OR(INDEX($P$2:$P$1001,MATCH(ROWS($O$2:O352),$O$2:$O$1001,0),1)&gt;=100000,INDEX($V$1005:$AE$1005,1,MATCH(COLUMNS($V$1006:AA1006),$V$1006:$AE$1006,0))&gt;=100000), " ",IF(INDEX($V$2:$AE$1001,MATCH(ROWS($O$2:O352),$O$2:$O$1001,0),MATCH(COLUMNS($V$1006:AA1006),$V$1006:$AE$1006,0)), HYPERLINK("#",""), HYPERLINK(CONCATENATE("#Metadata!", ADDRESS(INDEX($Q$2:$Q$1001,MATCH(ROWS($O$2:O352),$O$2:$O$1001,0),0), INDEX($V$1004:$AE$1004,1,MATCH(COLUMNS($V$1006:AA1006),$V$1006:$AE$1006,0)))),"Fix")))</f>
        <v>0</v>
      </c>
      <c r="H352" s="4">
        <f>IF(OR(INDEX($P$2:$P$1001,MATCH(ROWS($O$2:O352),$O$2:$O$1001,0),1)&gt;=100000,INDEX($V$1005:$AE$1005,1,MATCH(COLUMNS($V$1006:AB1006),$V$1006:$AE$1006,0))&gt;=100000), " ",IF(INDEX($V$2:$AE$1001,MATCH(ROWS($O$2:O352),$O$2:$O$1001,0),MATCH(COLUMNS($V$1006:AB1006),$V$1006:$AE$1006,0)), HYPERLINK("#",""), HYPERLINK(CONCATENATE("#Metadata!", ADDRESS(INDEX($Q$2:$Q$1001,MATCH(ROWS($O$2:O352),$O$2:$O$1001,0),0), INDEX($V$1004:$AE$1004,1,MATCH(COLUMNS($V$1006:AB1006),$V$1006:$AE$1006,0)))),"Fix")))</f>
        <v>0</v>
      </c>
      <c r="I352" s="4">
        <f>IF(OR(INDEX($P$2:$P$1001,MATCH(ROWS($O$2:O352),$O$2:$O$1001,0),1)&gt;=100000,INDEX($V$1005:$AE$1005,1,MATCH(COLUMNS($V$1006:AC1006),$V$1006:$AE$1006,0))&gt;=100000), " ",IF(INDEX($V$2:$AE$1001,MATCH(ROWS($O$2:O352),$O$2:$O$1001,0),MATCH(COLUMNS($V$1006:AC1006),$V$1006:$AE$1006,0)), HYPERLINK("#",""), HYPERLINK(CONCATENATE("#Metadata!", ADDRESS(INDEX($Q$2:$Q$1001,MATCH(ROWS($O$2:O352),$O$2:$O$1001,0),0), INDEX($V$1004:$AE$1004,1,MATCH(COLUMNS($V$1006:AC1006),$V$1006:$AE$1006,0)))),"Fix")))</f>
        <v>0</v>
      </c>
      <c r="J352" s="4">
        <f>IF(OR(INDEX($P$2:$P$1001,MATCH(ROWS($O$2:O352),$O$2:$O$1001,0),1)&gt;=100000,INDEX($V$1005:$AE$1005,1,MATCH(COLUMNS($V$1006:AD1006),$V$1006:$AE$1006,0))&gt;=100000), " ",IF(INDEX($V$2:$AE$1001,MATCH(ROWS($O$2:O352),$O$2:$O$1001,0),MATCH(COLUMNS($V$1006:AD1006),$V$1006:$AE$1006,0)), HYPERLINK("#",""), HYPERLINK(CONCATENATE("#Metadata!", ADDRESS(INDEX($Q$2:$Q$1001,MATCH(ROWS($O$2:O352),$O$2:$O$1001,0),0), INDEX($V$1004:$AE$1004,1,MATCH(COLUMNS($V$1006:AD1006),$V$1006:$AE$1006,0)))),"Fix")))</f>
        <v>0</v>
      </c>
      <c r="K352" s="4">
        <f>IF(OR(INDEX($P$2:$P$1001,MATCH(ROWS($O$2:O352),$O$2:$O$1001,0),1)&gt;=100000,INDEX($V$1005:$AE$1005,1,MATCH(COLUMNS($V$1006:AE1006),$V$1006:$AE$1006,0))&gt;=100000), " ",IF(INDEX($V$2:$AE$1001,MATCH(ROWS($O$2:O352),$O$2:$O$1001,0),MATCH(COLUMNS($V$1006:AE1006),$V$1006:$AE$1006,0)), HYPERLINK("#",""), HYPERLINK(CONCATENATE("#Metadata!", ADDRESS(INDEX($Q$2:$Q$1001,MATCH(ROWS($O$2:O352),$O$2:$O$1001,0),0), INDEX($V$1004:$AE$1004,1,MATCH(COLUMNS($V$1006:AE1006),$V$1006:$AE$1006,0)))),"Fix")))</f>
        <v>0</v>
      </c>
      <c r="O352">
        <v>0</v>
      </c>
      <c r="P352">
        <v>0</v>
      </c>
      <c r="Q352">
        <v>0</v>
      </c>
      <c r="R352">
        <f>IF(S352,TRUE,AND(V352:AE352))</f>
        <v>0</v>
      </c>
      <c r="S352">
        <f>COUNTBLANK(Metadata!B352:K352)=COLUMNS(Metadata!B352:K352)</f>
        <v>0</v>
      </c>
      <c r="T352">
        <v>0</v>
      </c>
      <c r="V352">
        <f>AND(IF(Metadata!B352="",FALSE,TRUE),COUNTIF(Metadata!B:B, Metadata!B352) = 1,NOT(ISERROR(SUMPRODUCT(SEARCH(MID(Metadata!B352,ROW(INDIRECT("1:"&amp;LEN(Metadata!B352))), 1),"0123456789abcdefghijklmnopqrstuvwxyzABCDEFGHIJKLMNOPQRSTUVWXYZ.")))))</f>
        <v>0</v>
      </c>
      <c r="W352">
        <f>AND(IF(Metadata!C352="",FALSE,TRUE),exact(Metadata!C352,"urban biome"))</f>
        <v>0</v>
      </c>
      <c r="X352">
        <f>AND(IF(Metadata!D352="",FALSE,TRUE),exact(Metadata!D352,"animal-associated habitat"))</f>
        <v>0</v>
      </c>
      <c r="Y352">
        <f>OR(AND(IF(Metadata!E352="",FALSE,TRUE),OR(exact(Metadata!E352,"not applicable"),exact(Metadata!E352,"missing: not collected"),exact(Metadata!E352,"missing: not provided"),exact(Metadata!E352,"missing: restricted access"))),AND(IF(Metadata!E352="",FALSE,ISNUMBER(VALUE(Metadata!E352))),Metadata!E352&gt;0))</f>
        <v>0</v>
      </c>
      <c r="Z352">
        <f>AND(IF(Metadata!F352="",FALSE,TRUE),exact(Metadata!F352,"weeks"))</f>
        <v>0</v>
      </c>
      <c r="AA352">
        <f>AND(IF(Metadata!G352="",FALSE,TRUE),exact(Metadata!G352,"mouse"))</f>
        <v>0</v>
      </c>
      <c r="AB352">
        <f>AND(IF(Metadata!H352="",FALSE,TRUE),exact(Metadata!H352,"Mus musculus"))</f>
        <v>0</v>
      </c>
      <c r="AC352">
        <f>AND(IF(Metadata!I352="",FALSE,TRUE),exact(Metadata!I352,"10090"))</f>
        <v>0</v>
      </c>
      <c r="AD352">
        <f>OR(AND(IF(Metadata!J352="",FALSE,TRUE),OR(exact(Metadata!J352,"not applicable"),exact(Metadata!J352,"missing: not collected"),exact(Metadata!J352,"missing: not provided"),exact(Metadata!J352,"missing: restricted access"))),AND(IF(Metadata!J352="",FALSE,ISNUMBER(VALUE(Metadata!J352))),Metadata!J352&gt;0))</f>
        <v>0</v>
      </c>
      <c r="AE352">
        <f>AND(IF(Metadata!K352="",FALSE,TRUE),exact(Metadata!K352,"g"))</f>
        <v>0</v>
      </c>
    </row>
    <row r="353" spans="1:31">
      <c r="A353" s="5">
        <f>IF(B353=" "," ",HYPERLINK(CONCATENATE("#metadata!",ADDRESS(INDEX($Q$2:$Q$1001,MATCH(ROWS($O$2:O353),$O$2:$O$1001,0),0),1)),INDEX($T$2:$T$1001,MATCH(ROWS($O$2:O353),$O$2:$O$1001,0),0)))</f>
        <v>0</v>
      </c>
      <c r="B353" s="4">
        <f>IF(OR(INDEX($P$2:$P$1001,MATCH(ROWS($O$2:O353),$O$2:$O$1001,0),1)&gt;=100000,INDEX($V$1005:$AE$1005,1,MATCH(COLUMNS($V$1006:V1006),$V$1006:$AE$1006,0))&gt;=100000), " ",IF(INDEX($V$2:$AE$1001,MATCH(ROWS($O$2:O353),$O$2:$O$1001,0),MATCH(COLUMNS($V$1006:V1006),$V$1006:$AE$1006,0)), HYPERLINK("#",""), HYPERLINK(CONCATENATE("#Metadata!", ADDRESS(INDEX($Q$2:$Q$1001,MATCH(ROWS($O$2:O353),$O$2:$O$1001,0),0), INDEX($V$1004:$AE$1004,1,MATCH(COLUMNS($V$1006:V1006),$V$1006:$AE$1006,0)))),"Fix")))</f>
        <v>0</v>
      </c>
      <c r="C353" s="4">
        <f>IF(OR(INDEX($P$2:$P$1001,MATCH(ROWS($O$2:O353),$O$2:$O$1001,0),1)&gt;=100000,INDEX($V$1005:$AE$1005,1,MATCH(COLUMNS($V$1006:W1006),$V$1006:$AE$1006,0))&gt;=100000), " ",IF(INDEX($V$2:$AE$1001,MATCH(ROWS($O$2:O353),$O$2:$O$1001,0),MATCH(COLUMNS($V$1006:W1006),$V$1006:$AE$1006,0)), HYPERLINK("#",""), HYPERLINK(CONCATENATE("#Metadata!", ADDRESS(INDEX($Q$2:$Q$1001,MATCH(ROWS($O$2:O353),$O$2:$O$1001,0),0), INDEX($V$1004:$AE$1004,1,MATCH(COLUMNS($V$1006:W1006),$V$1006:$AE$1006,0)))),"Fix")))</f>
        <v>0</v>
      </c>
      <c r="D353" s="4">
        <f>IF(OR(INDEX($P$2:$P$1001,MATCH(ROWS($O$2:O353),$O$2:$O$1001,0),1)&gt;=100000,INDEX($V$1005:$AE$1005,1,MATCH(COLUMNS($V$1006:X1006),$V$1006:$AE$1006,0))&gt;=100000), " ",IF(INDEX($V$2:$AE$1001,MATCH(ROWS($O$2:O353),$O$2:$O$1001,0),MATCH(COLUMNS($V$1006:X1006),$V$1006:$AE$1006,0)), HYPERLINK("#",""), HYPERLINK(CONCATENATE("#Metadata!", ADDRESS(INDEX($Q$2:$Q$1001,MATCH(ROWS($O$2:O353),$O$2:$O$1001,0),0), INDEX($V$1004:$AE$1004,1,MATCH(COLUMNS($V$1006:X1006),$V$1006:$AE$1006,0)))),"Fix")))</f>
        <v>0</v>
      </c>
      <c r="E353" s="4">
        <f>IF(OR(INDEX($P$2:$P$1001,MATCH(ROWS($O$2:O353),$O$2:$O$1001,0),1)&gt;=100000,INDEX($V$1005:$AE$1005,1,MATCH(COLUMNS($V$1006:Y1006),$V$1006:$AE$1006,0))&gt;=100000), " ",IF(INDEX($V$2:$AE$1001,MATCH(ROWS($O$2:O353),$O$2:$O$1001,0),MATCH(COLUMNS($V$1006:Y1006),$V$1006:$AE$1006,0)), HYPERLINK("#",""), HYPERLINK(CONCATENATE("#Metadata!", ADDRESS(INDEX($Q$2:$Q$1001,MATCH(ROWS($O$2:O353),$O$2:$O$1001,0),0), INDEX($V$1004:$AE$1004,1,MATCH(COLUMNS($V$1006:Y1006),$V$1006:$AE$1006,0)))),"Fix")))</f>
        <v>0</v>
      </c>
      <c r="F353" s="4">
        <f>IF(OR(INDEX($P$2:$P$1001,MATCH(ROWS($O$2:O353),$O$2:$O$1001,0),1)&gt;=100000,INDEX($V$1005:$AE$1005,1,MATCH(COLUMNS($V$1006:Z1006),$V$1006:$AE$1006,0))&gt;=100000), " ",IF(INDEX($V$2:$AE$1001,MATCH(ROWS($O$2:O353),$O$2:$O$1001,0),MATCH(COLUMNS($V$1006:Z1006),$V$1006:$AE$1006,0)), HYPERLINK("#",""), HYPERLINK(CONCATENATE("#Metadata!", ADDRESS(INDEX($Q$2:$Q$1001,MATCH(ROWS($O$2:O353),$O$2:$O$1001,0),0), INDEX($V$1004:$AE$1004,1,MATCH(COLUMNS($V$1006:Z1006),$V$1006:$AE$1006,0)))),"Fix")))</f>
        <v>0</v>
      </c>
      <c r="G353" s="4">
        <f>IF(OR(INDEX($P$2:$P$1001,MATCH(ROWS($O$2:O353),$O$2:$O$1001,0),1)&gt;=100000,INDEX($V$1005:$AE$1005,1,MATCH(COLUMNS($V$1006:AA1006),$V$1006:$AE$1006,0))&gt;=100000), " ",IF(INDEX($V$2:$AE$1001,MATCH(ROWS($O$2:O353),$O$2:$O$1001,0),MATCH(COLUMNS($V$1006:AA1006),$V$1006:$AE$1006,0)), HYPERLINK("#",""), HYPERLINK(CONCATENATE("#Metadata!", ADDRESS(INDEX($Q$2:$Q$1001,MATCH(ROWS($O$2:O353),$O$2:$O$1001,0),0), INDEX($V$1004:$AE$1004,1,MATCH(COLUMNS($V$1006:AA1006),$V$1006:$AE$1006,0)))),"Fix")))</f>
        <v>0</v>
      </c>
      <c r="H353" s="4">
        <f>IF(OR(INDEX($P$2:$P$1001,MATCH(ROWS($O$2:O353),$O$2:$O$1001,0),1)&gt;=100000,INDEX($V$1005:$AE$1005,1,MATCH(COLUMNS($V$1006:AB1006),$V$1006:$AE$1006,0))&gt;=100000), " ",IF(INDEX($V$2:$AE$1001,MATCH(ROWS($O$2:O353),$O$2:$O$1001,0),MATCH(COLUMNS($V$1006:AB1006),$V$1006:$AE$1006,0)), HYPERLINK("#",""), HYPERLINK(CONCATENATE("#Metadata!", ADDRESS(INDEX($Q$2:$Q$1001,MATCH(ROWS($O$2:O353),$O$2:$O$1001,0),0), INDEX($V$1004:$AE$1004,1,MATCH(COLUMNS($V$1006:AB1006),$V$1006:$AE$1006,0)))),"Fix")))</f>
        <v>0</v>
      </c>
      <c r="I353" s="4">
        <f>IF(OR(INDEX($P$2:$P$1001,MATCH(ROWS($O$2:O353),$O$2:$O$1001,0),1)&gt;=100000,INDEX($V$1005:$AE$1005,1,MATCH(COLUMNS($V$1006:AC1006),$V$1006:$AE$1006,0))&gt;=100000), " ",IF(INDEX($V$2:$AE$1001,MATCH(ROWS($O$2:O353),$O$2:$O$1001,0),MATCH(COLUMNS($V$1006:AC1006),$V$1006:$AE$1006,0)), HYPERLINK("#",""), HYPERLINK(CONCATENATE("#Metadata!", ADDRESS(INDEX($Q$2:$Q$1001,MATCH(ROWS($O$2:O353),$O$2:$O$1001,0),0), INDEX($V$1004:$AE$1004,1,MATCH(COLUMNS($V$1006:AC1006),$V$1006:$AE$1006,0)))),"Fix")))</f>
        <v>0</v>
      </c>
      <c r="J353" s="4">
        <f>IF(OR(INDEX($P$2:$P$1001,MATCH(ROWS($O$2:O353),$O$2:$O$1001,0),1)&gt;=100000,INDEX($V$1005:$AE$1005,1,MATCH(COLUMNS($V$1006:AD1006),$V$1006:$AE$1006,0))&gt;=100000), " ",IF(INDEX($V$2:$AE$1001,MATCH(ROWS($O$2:O353),$O$2:$O$1001,0),MATCH(COLUMNS($V$1006:AD1006),$V$1006:$AE$1006,0)), HYPERLINK("#",""), HYPERLINK(CONCATENATE("#Metadata!", ADDRESS(INDEX($Q$2:$Q$1001,MATCH(ROWS($O$2:O353),$O$2:$O$1001,0),0), INDEX($V$1004:$AE$1004,1,MATCH(COLUMNS($V$1006:AD1006),$V$1006:$AE$1006,0)))),"Fix")))</f>
        <v>0</v>
      </c>
      <c r="K353" s="4">
        <f>IF(OR(INDEX($P$2:$P$1001,MATCH(ROWS($O$2:O353),$O$2:$O$1001,0),1)&gt;=100000,INDEX($V$1005:$AE$1005,1,MATCH(COLUMNS($V$1006:AE1006),$V$1006:$AE$1006,0))&gt;=100000), " ",IF(INDEX($V$2:$AE$1001,MATCH(ROWS($O$2:O353),$O$2:$O$1001,0),MATCH(COLUMNS($V$1006:AE1006),$V$1006:$AE$1006,0)), HYPERLINK("#",""), HYPERLINK(CONCATENATE("#Metadata!", ADDRESS(INDEX($Q$2:$Q$1001,MATCH(ROWS($O$2:O353),$O$2:$O$1001,0),0), INDEX($V$1004:$AE$1004,1,MATCH(COLUMNS($V$1006:AE1006),$V$1006:$AE$1006,0)))),"Fix")))</f>
        <v>0</v>
      </c>
      <c r="O353">
        <v>0</v>
      </c>
      <c r="P353">
        <v>0</v>
      </c>
      <c r="Q353">
        <v>0</v>
      </c>
      <c r="R353">
        <f>IF(S353,TRUE,AND(V353:AE353))</f>
        <v>0</v>
      </c>
      <c r="S353">
        <f>COUNTBLANK(Metadata!B353:K353)=COLUMNS(Metadata!B353:K353)</f>
        <v>0</v>
      </c>
      <c r="T353">
        <v>0</v>
      </c>
      <c r="V353">
        <f>AND(IF(Metadata!B353="",FALSE,TRUE),COUNTIF(Metadata!B:B, Metadata!B353) = 1,NOT(ISERROR(SUMPRODUCT(SEARCH(MID(Metadata!B353,ROW(INDIRECT("1:"&amp;LEN(Metadata!B353))), 1),"0123456789abcdefghijklmnopqrstuvwxyzABCDEFGHIJKLMNOPQRSTUVWXYZ.")))))</f>
        <v>0</v>
      </c>
      <c r="W353">
        <f>AND(IF(Metadata!C353="",FALSE,TRUE),exact(Metadata!C353,"urban biome"))</f>
        <v>0</v>
      </c>
      <c r="X353">
        <f>AND(IF(Metadata!D353="",FALSE,TRUE),exact(Metadata!D353,"animal-associated habitat"))</f>
        <v>0</v>
      </c>
      <c r="Y353">
        <f>OR(AND(IF(Metadata!E353="",FALSE,TRUE),OR(exact(Metadata!E353,"not applicable"),exact(Metadata!E353,"missing: not collected"),exact(Metadata!E353,"missing: not provided"),exact(Metadata!E353,"missing: restricted access"))),AND(IF(Metadata!E353="",FALSE,ISNUMBER(VALUE(Metadata!E353))),Metadata!E353&gt;0))</f>
        <v>0</v>
      </c>
      <c r="Z353">
        <f>AND(IF(Metadata!F353="",FALSE,TRUE),exact(Metadata!F353,"weeks"))</f>
        <v>0</v>
      </c>
      <c r="AA353">
        <f>AND(IF(Metadata!G353="",FALSE,TRUE),exact(Metadata!G353,"mouse"))</f>
        <v>0</v>
      </c>
      <c r="AB353">
        <f>AND(IF(Metadata!H353="",FALSE,TRUE),exact(Metadata!H353,"Mus musculus"))</f>
        <v>0</v>
      </c>
      <c r="AC353">
        <f>AND(IF(Metadata!I353="",FALSE,TRUE),exact(Metadata!I353,"10090"))</f>
        <v>0</v>
      </c>
      <c r="AD353">
        <f>OR(AND(IF(Metadata!J353="",FALSE,TRUE),OR(exact(Metadata!J353,"not applicable"),exact(Metadata!J353,"missing: not collected"),exact(Metadata!J353,"missing: not provided"),exact(Metadata!J353,"missing: restricted access"))),AND(IF(Metadata!J353="",FALSE,ISNUMBER(VALUE(Metadata!J353))),Metadata!J353&gt;0))</f>
        <v>0</v>
      </c>
      <c r="AE353">
        <f>AND(IF(Metadata!K353="",FALSE,TRUE),exact(Metadata!K353,"g"))</f>
        <v>0</v>
      </c>
    </row>
    <row r="354" spans="1:31">
      <c r="A354" s="5">
        <f>IF(B354=" "," ",HYPERLINK(CONCATENATE("#metadata!",ADDRESS(INDEX($Q$2:$Q$1001,MATCH(ROWS($O$2:O354),$O$2:$O$1001,0),0),1)),INDEX($T$2:$T$1001,MATCH(ROWS($O$2:O354),$O$2:$O$1001,0),0)))</f>
        <v>0</v>
      </c>
      <c r="B354" s="4">
        <f>IF(OR(INDEX($P$2:$P$1001,MATCH(ROWS($O$2:O354),$O$2:$O$1001,0),1)&gt;=100000,INDEX($V$1005:$AE$1005,1,MATCH(COLUMNS($V$1006:V1006),$V$1006:$AE$1006,0))&gt;=100000), " ",IF(INDEX($V$2:$AE$1001,MATCH(ROWS($O$2:O354),$O$2:$O$1001,0),MATCH(COLUMNS($V$1006:V1006),$V$1006:$AE$1006,0)), HYPERLINK("#",""), HYPERLINK(CONCATENATE("#Metadata!", ADDRESS(INDEX($Q$2:$Q$1001,MATCH(ROWS($O$2:O354),$O$2:$O$1001,0),0), INDEX($V$1004:$AE$1004,1,MATCH(COLUMNS($V$1006:V1006),$V$1006:$AE$1006,0)))),"Fix")))</f>
        <v>0</v>
      </c>
      <c r="C354" s="4">
        <f>IF(OR(INDEX($P$2:$P$1001,MATCH(ROWS($O$2:O354),$O$2:$O$1001,0),1)&gt;=100000,INDEX($V$1005:$AE$1005,1,MATCH(COLUMNS($V$1006:W1006),$V$1006:$AE$1006,0))&gt;=100000), " ",IF(INDEX($V$2:$AE$1001,MATCH(ROWS($O$2:O354),$O$2:$O$1001,0),MATCH(COLUMNS($V$1006:W1006),$V$1006:$AE$1006,0)), HYPERLINK("#",""), HYPERLINK(CONCATENATE("#Metadata!", ADDRESS(INDEX($Q$2:$Q$1001,MATCH(ROWS($O$2:O354),$O$2:$O$1001,0),0), INDEX($V$1004:$AE$1004,1,MATCH(COLUMNS($V$1006:W1006),$V$1006:$AE$1006,0)))),"Fix")))</f>
        <v>0</v>
      </c>
      <c r="D354" s="4">
        <f>IF(OR(INDEX($P$2:$P$1001,MATCH(ROWS($O$2:O354),$O$2:$O$1001,0),1)&gt;=100000,INDEX($V$1005:$AE$1005,1,MATCH(COLUMNS($V$1006:X1006),$V$1006:$AE$1006,0))&gt;=100000), " ",IF(INDEX($V$2:$AE$1001,MATCH(ROWS($O$2:O354),$O$2:$O$1001,0),MATCH(COLUMNS($V$1006:X1006),$V$1006:$AE$1006,0)), HYPERLINK("#",""), HYPERLINK(CONCATENATE("#Metadata!", ADDRESS(INDEX($Q$2:$Q$1001,MATCH(ROWS($O$2:O354),$O$2:$O$1001,0),0), INDEX($V$1004:$AE$1004,1,MATCH(COLUMNS($V$1006:X1006),$V$1006:$AE$1006,0)))),"Fix")))</f>
        <v>0</v>
      </c>
      <c r="E354" s="4">
        <f>IF(OR(INDEX($P$2:$P$1001,MATCH(ROWS($O$2:O354),$O$2:$O$1001,0),1)&gt;=100000,INDEX($V$1005:$AE$1005,1,MATCH(COLUMNS($V$1006:Y1006),$V$1006:$AE$1006,0))&gt;=100000), " ",IF(INDEX($V$2:$AE$1001,MATCH(ROWS($O$2:O354),$O$2:$O$1001,0),MATCH(COLUMNS($V$1006:Y1006),$V$1006:$AE$1006,0)), HYPERLINK("#",""), HYPERLINK(CONCATENATE("#Metadata!", ADDRESS(INDEX($Q$2:$Q$1001,MATCH(ROWS($O$2:O354),$O$2:$O$1001,0),0), INDEX($V$1004:$AE$1004,1,MATCH(COLUMNS($V$1006:Y1006),$V$1006:$AE$1006,0)))),"Fix")))</f>
        <v>0</v>
      </c>
      <c r="F354" s="4">
        <f>IF(OR(INDEX($P$2:$P$1001,MATCH(ROWS($O$2:O354),$O$2:$O$1001,0),1)&gt;=100000,INDEX($V$1005:$AE$1005,1,MATCH(COLUMNS($V$1006:Z1006),$V$1006:$AE$1006,0))&gt;=100000), " ",IF(INDEX($V$2:$AE$1001,MATCH(ROWS($O$2:O354),$O$2:$O$1001,0),MATCH(COLUMNS($V$1006:Z1006),$V$1006:$AE$1006,0)), HYPERLINK("#",""), HYPERLINK(CONCATENATE("#Metadata!", ADDRESS(INDEX($Q$2:$Q$1001,MATCH(ROWS($O$2:O354),$O$2:$O$1001,0),0), INDEX($V$1004:$AE$1004,1,MATCH(COLUMNS($V$1006:Z1006),$V$1006:$AE$1006,0)))),"Fix")))</f>
        <v>0</v>
      </c>
      <c r="G354" s="4">
        <f>IF(OR(INDEX($P$2:$P$1001,MATCH(ROWS($O$2:O354),$O$2:$O$1001,0),1)&gt;=100000,INDEX($V$1005:$AE$1005,1,MATCH(COLUMNS($V$1006:AA1006),$V$1006:$AE$1006,0))&gt;=100000), " ",IF(INDEX($V$2:$AE$1001,MATCH(ROWS($O$2:O354),$O$2:$O$1001,0),MATCH(COLUMNS($V$1006:AA1006),$V$1006:$AE$1006,0)), HYPERLINK("#",""), HYPERLINK(CONCATENATE("#Metadata!", ADDRESS(INDEX($Q$2:$Q$1001,MATCH(ROWS($O$2:O354),$O$2:$O$1001,0),0), INDEX($V$1004:$AE$1004,1,MATCH(COLUMNS($V$1006:AA1006),$V$1006:$AE$1006,0)))),"Fix")))</f>
        <v>0</v>
      </c>
      <c r="H354" s="4">
        <f>IF(OR(INDEX($P$2:$P$1001,MATCH(ROWS($O$2:O354),$O$2:$O$1001,0),1)&gt;=100000,INDEX($V$1005:$AE$1005,1,MATCH(COLUMNS($V$1006:AB1006),$V$1006:$AE$1006,0))&gt;=100000), " ",IF(INDEX($V$2:$AE$1001,MATCH(ROWS($O$2:O354),$O$2:$O$1001,0),MATCH(COLUMNS($V$1006:AB1006),$V$1006:$AE$1006,0)), HYPERLINK("#",""), HYPERLINK(CONCATENATE("#Metadata!", ADDRESS(INDEX($Q$2:$Q$1001,MATCH(ROWS($O$2:O354),$O$2:$O$1001,0),0), INDEX($V$1004:$AE$1004,1,MATCH(COLUMNS($V$1006:AB1006),$V$1006:$AE$1006,0)))),"Fix")))</f>
        <v>0</v>
      </c>
      <c r="I354" s="4">
        <f>IF(OR(INDEX($P$2:$P$1001,MATCH(ROWS($O$2:O354),$O$2:$O$1001,0),1)&gt;=100000,INDEX($V$1005:$AE$1005,1,MATCH(COLUMNS($V$1006:AC1006),$V$1006:$AE$1006,0))&gt;=100000), " ",IF(INDEX($V$2:$AE$1001,MATCH(ROWS($O$2:O354),$O$2:$O$1001,0),MATCH(COLUMNS($V$1006:AC1006),$V$1006:$AE$1006,0)), HYPERLINK("#",""), HYPERLINK(CONCATENATE("#Metadata!", ADDRESS(INDEX($Q$2:$Q$1001,MATCH(ROWS($O$2:O354),$O$2:$O$1001,0),0), INDEX($V$1004:$AE$1004,1,MATCH(COLUMNS($V$1006:AC1006),$V$1006:$AE$1006,0)))),"Fix")))</f>
        <v>0</v>
      </c>
      <c r="J354" s="4">
        <f>IF(OR(INDEX($P$2:$P$1001,MATCH(ROWS($O$2:O354),$O$2:$O$1001,0),1)&gt;=100000,INDEX($V$1005:$AE$1005,1,MATCH(COLUMNS($V$1006:AD1006),$V$1006:$AE$1006,0))&gt;=100000), " ",IF(INDEX($V$2:$AE$1001,MATCH(ROWS($O$2:O354),$O$2:$O$1001,0),MATCH(COLUMNS($V$1006:AD1006),$V$1006:$AE$1006,0)), HYPERLINK("#",""), HYPERLINK(CONCATENATE("#Metadata!", ADDRESS(INDEX($Q$2:$Q$1001,MATCH(ROWS($O$2:O354),$O$2:$O$1001,0),0), INDEX($V$1004:$AE$1004,1,MATCH(COLUMNS($V$1006:AD1006),$V$1006:$AE$1006,0)))),"Fix")))</f>
        <v>0</v>
      </c>
      <c r="K354" s="4">
        <f>IF(OR(INDEX($P$2:$P$1001,MATCH(ROWS($O$2:O354),$O$2:$O$1001,0),1)&gt;=100000,INDEX($V$1005:$AE$1005,1,MATCH(COLUMNS($V$1006:AE1006),$V$1006:$AE$1006,0))&gt;=100000), " ",IF(INDEX($V$2:$AE$1001,MATCH(ROWS($O$2:O354),$O$2:$O$1001,0),MATCH(COLUMNS($V$1006:AE1006),$V$1006:$AE$1006,0)), HYPERLINK("#",""), HYPERLINK(CONCATENATE("#Metadata!", ADDRESS(INDEX($Q$2:$Q$1001,MATCH(ROWS($O$2:O354),$O$2:$O$1001,0),0), INDEX($V$1004:$AE$1004,1,MATCH(COLUMNS($V$1006:AE1006),$V$1006:$AE$1006,0)))),"Fix")))</f>
        <v>0</v>
      </c>
      <c r="O354">
        <v>0</v>
      </c>
      <c r="P354">
        <v>0</v>
      </c>
      <c r="Q354">
        <v>0</v>
      </c>
      <c r="R354">
        <f>IF(S354,TRUE,AND(V354:AE354))</f>
        <v>0</v>
      </c>
      <c r="S354">
        <f>COUNTBLANK(Metadata!B354:K354)=COLUMNS(Metadata!B354:K354)</f>
        <v>0</v>
      </c>
      <c r="T354">
        <v>0</v>
      </c>
      <c r="V354">
        <f>AND(IF(Metadata!B354="",FALSE,TRUE),COUNTIF(Metadata!B:B, Metadata!B354) = 1,NOT(ISERROR(SUMPRODUCT(SEARCH(MID(Metadata!B354,ROW(INDIRECT("1:"&amp;LEN(Metadata!B354))), 1),"0123456789abcdefghijklmnopqrstuvwxyzABCDEFGHIJKLMNOPQRSTUVWXYZ.")))))</f>
        <v>0</v>
      </c>
      <c r="W354">
        <f>AND(IF(Metadata!C354="",FALSE,TRUE),exact(Metadata!C354,"urban biome"))</f>
        <v>0</v>
      </c>
      <c r="X354">
        <f>AND(IF(Metadata!D354="",FALSE,TRUE),exact(Metadata!D354,"animal-associated habitat"))</f>
        <v>0</v>
      </c>
      <c r="Y354">
        <f>OR(AND(IF(Metadata!E354="",FALSE,TRUE),OR(exact(Metadata!E354,"not applicable"),exact(Metadata!E354,"missing: not collected"),exact(Metadata!E354,"missing: not provided"),exact(Metadata!E354,"missing: restricted access"))),AND(IF(Metadata!E354="",FALSE,ISNUMBER(VALUE(Metadata!E354))),Metadata!E354&gt;0))</f>
        <v>0</v>
      </c>
      <c r="Z354">
        <f>AND(IF(Metadata!F354="",FALSE,TRUE),exact(Metadata!F354,"weeks"))</f>
        <v>0</v>
      </c>
      <c r="AA354">
        <f>AND(IF(Metadata!G354="",FALSE,TRUE),exact(Metadata!G354,"mouse"))</f>
        <v>0</v>
      </c>
      <c r="AB354">
        <f>AND(IF(Metadata!H354="",FALSE,TRUE),exact(Metadata!H354,"Mus musculus"))</f>
        <v>0</v>
      </c>
      <c r="AC354">
        <f>AND(IF(Metadata!I354="",FALSE,TRUE),exact(Metadata!I354,"10090"))</f>
        <v>0</v>
      </c>
      <c r="AD354">
        <f>OR(AND(IF(Metadata!J354="",FALSE,TRUE),OR(exact(Metadata!J354,"not applicable"),exact(Metadata!J354,"missing: not collected"),exact(Metadata!J354,"missing: not provided"),exact(Metadata!J354,"missing: restricted access"))),AND(IF(Metadata!J354="",FALSE,ISNUMBER(VALUE(Metadata!J354))),Metadata!J354&gt;0))</f>
        <v>0</v>
      </c>
      <c r="AE354">
        <f>AND(IF(Metadata!K354="",FALSE,TRUE),exact(Metadata!K354,"g"))</f>
        <v>0</v>
      </c>
    </row>
    <row r="355" spans="1:31">
      <c r="A355" s="5">
        <f>IF(B355=" "," ",HYPERLINK(CONCATENATE("#metadata!",ADDRESS(INDEX($Q$2:$Q$1001,MATCH(ROWS($O$2:O355),$O$2:$O$1001,0),0),1)),INDEX($T$2:$T$1001,MATCH(ROWS($O$2:O355),$O$2:$O$1001,0),0)))</f>
        <v>0</v>
      </c>
      <c r="B355" s="4">
        <f>IF(OR(INDEX($P$2:$P$1001,MATCH(ROWS($O$2:O355),$O$2:$O$1001,0),1)&gt;=100000,INDEX($V$1005:$AE$1005,1,MATCH(COLUMNS($V$1006:V1006),$V$1006:$AE$1006,0))&gt;=100000), " ",IF(INDEX($V$2:$AE$1001,MATCH(ROWS($O$2:O355),$O$2:$O$1001,0),MATCH(COLUMNS($V$1006:V1006),$V$1006:$AE$1006,0)), HYPERLINK("#",""), HYPERLINK(CONCATENATE("#Metadata!", ADDRESS(INDEX($Q$2:$Q$1001,MATCH(ROWS($O$2:O355),$O$2:$O$1001,0),0), INDEX($V$1004:$AE$1004,1,MATCH(COLUMNS($V$1006:V1006),$V$1006:$AE$1006,0)))),"Fix")))</f>
        <v>0</v>
      </c>
      <c r="C355" s="4">
        <f>IF(OR(INDEX($P$2:$P$1001,MATCH(ROWS($O$2:O355),$O$2:$O$1001,0),1)&gt;=100000,INDEX($V$1005:$AE$1005,1,MATCH(COLUMNS($V$1006:W1006),$V$1006:$AE$1006,0))&gt;=100000), " ",IF(INDEX($V$2:$AE$1001,MATCH(ROWS($O$2:O355),$O$2:$O$1001,0),MATCH(COLUMNS($V$1006:W1006),$V$1006:$AE$1006,0)), HYPERLINK("#",""), HYPERLINK(CONCATENATE("#Metadata!", ADDRESS(INDEX($Q$2:$Q$1001,MATCH(ROWS($O$2:O355),$O$2:$O$1001,0),0), INDEX($V$1004:$AE$1004,1,MATCH(COLUMNS($V$1006:W1006),$V$1006:$AE$1006,0)))),"Fix")))</f>
        <v>0</v>
      </c>
      <c r="D355" s="4">
        <f>IF(OR(INDEX($P$2:$P$1001,MATCH(ROWS($O$2:O355),$O$2:$O$1001,0),1)&gt;=100000,INDEX($V$1005:$AE$1005,1,MATCH(COLUMNS($V$1006:X1006),$V$1006:$AE$1006,0))&gt;=100000), " ",IF(INDEX($V$2:$AE$1001,MATCH(ROWS($O$2:O355),$O$2:$O$1001,0),MATCH(COLUMNS($V$1006:X1006),$V$1006:$AE$1006,0)), HYPERLINK("#",""), HYPERLINK(CONCATENATE("#Metadata!", ADDRESS(INDEX($Q$2:$Q$1001,MATCH(ROWS($O$2:O355),$O$2:$O$1001,0),0), INDEX($V$1004:$AE$1004,1,MATCH(COLUMNS($V$1006:X1006),$V$1006:$AE$1006,0)))),"Fix")))</f>
        <v>0</v>
      </c>
      <c r="E355" s="4">
        <f>IF(OR(INDEX($P$2:$P$1001,MATCH(ROWS($O$2:O355),$O$2:$O$1001,0),1)&gt;=100000,INDEX($V$1005:$AE$1005,1,MATCH(COLUMNS($V$1006:Y1006),$V$1006:$AE$1006,0))&gt;=100000), " ",IF(INDEX($V$2:$AE$1001,MATCH(ROWS($O$2:O355),$O$2:$O$1001,0),MATCH(COLUMNS($V$1006:Y1006),$V$1006:$AE$1006,0)), HYPERLINK("#",""), HYPERLINK(CONCATENATE("#Metadata!", ADDRESS(INDEX($Q$2:$Q$1001,MATCH(ROWS($O$2:O355),$O$2:$O$1001,0),0), INDEX($V$1004:$AE$1004,1,MATCH(COLUMNS($V$1006:Y1006),$V$1006:$AE$1006,0)))),"Fix")))</f>
        <v>0</v>
      </c>
      <c r="F355" s="4">
        <f>IF(OR(INDEX($P$2:$P$1001,MATCH(ROWS($O$2:O355),$O$2:$O$1001,0),1)&gt;=100000,INDEX($V$1005:$AE$1005,1,MATCH(COLUMNS($V$1006:Z1006),$V$1006:$AE$1006,0))&gt;=100000), " ",IF(INDEX($V$2:$AE$1001,MATCH(ROWS($O$2:O355),$O$2:$O$1001,0),MATCH(COLUMNS($V$1006:Z1006),$V$1006:$AE$1006,0)), HYPERLINK("#",""), HYPERLINK(CONCATENATE("#Metadata!", ADDRESS(INDEX($Q$2:$Q$1001,MATCH(ROWS($O$2:O355),$O$2:$O$1001,0),0), INDEX($V$1004:$AE$1004,1,MATCH(COLUMNS($V$1006:Z1006),$V$1006:$AE$1006,0)))),"Fix")))</f>
        <v>0</v>
      </c>
      <c r="G355" s="4">
        <f>IF(OR(INDEX($P$2:$P$1001,MATCH(ROWS($O$2:O355),$O$2:$O$1001,0),1)&gt;=100000,INDEX($V$1005:$AE$1005,1,MATCH(COLUMNS($V$1006:AA1006),$V$1006:$AE$1006,0))&gt;=100000), " ",IF(INDEX($V$2:$AE$1001,MATCH(ROWS($O$2:O355),$O$2:$O$1001,0),MATCH(COLUMNS($V$1006:AA1006),$V$1006:$AE$1006,0)), HYPERLINK("#",""), HYPERLINK(CONCATENATE("#Metadata!", ADDRESS(INDEX($Q$2:$Q$1001,MATCH(ROWS($O$2:O355),$O$2:$O$1001,0),0), INDEX($V$1004:$AE$1004,1,MATCH(COLUMNS($V$1006:AA1006),$V$1006:$AE$1006,0)))),"Fix")))</f>
        <v>0</v>
      </c>
      <c r="H355" s="4">
        <f>IF(OR(INDEX($P$2:$P$1001,MATCH(ROWS($O$2:O355),$O$2:$O$1001,0),1)&gt;=100000,INDEX($V$1005:$AE$1005,1,MATCH(COLUMNS($V$1006:AB1006),$V$1006:$AE$1006,0))&gt;=100000), " ",IF(INDEX($V$2:$AE$1001,MATCH(ROWS($O$2:O355),$O$2:$O$1001,0),MATCH(COLUMNS($V$1006:AB1006),$V$1006:$AE$1006,0)), HYPERLINK("#",""), HYPERLINK(CONCATENATE("#Metadata!", ADDRESS(INDEX($Q$2:$Q$1001,MATCH(ROWS($O$2:O355),$O$2:$O$1001,0),0), INDEX($V$1004:$AE$1004,1,MATCH(COLUMNS($V$1006:AB1006),$V$1006:$AE$1006,0)))),"Fix")))</f>
        <v>0</v>
      </c>
      <c r="I355" s="4">
        <f>IF(OR(INDEX($P$2:$P$1001,MATCH(ROWS($O$2:O355),$O$2:$O$1001,0),1)&gt;=100000,INDEX($V$1005:$AE$1005,1,MATCH(COLUMNS($V$1006:AC1006),$V$1006:$AE$1006,0))&gt;=100000), " ",IF(INDEX($V$2:$AE$1001,MATCH(ROWS($O$2:O355),$O$2:$O$1001,0),MATCH(COLUMNS($V$1006:AC1006),$V$1006:$AE$1006,0)), HYPERLINK("#",""), HYPERLINK(CONCATENATE("#Metadata!", ADDRESS(INDEX($Q$2:$Q$1001,MATCH(ROWS($O$2:O355),$O$2:$O$1001,0),0), INDEX($V$1004:$AE$1004,1,MATCH(COLUMNS($V$1006:AC1006),$V$1006:$AE$1006,0)))),"Fix")))</f>
        <v>0</v>
      </c>
      <c r="J355" s="4">
        <f>IF(OR(INDEX($P$2:$P$1001,MATCH(ROWS($O$2:O355),$O$2:$O$1001,0),1)&gt;=100000,INDEX($V$1005:$AE$1005,1,MATCH(COLUMNS($V$1006:AD1006),$V$1006:$AE$1006,0))&gt;=100000), " ",IF(INDEX($V$2:$AE$1001,MATCH(ROWS($O$2:O355),$O$2:$O$1001,0),MATCH(COLUMNS($V$1006:AD1006),$V$1006:$AE$1006,0)), HYPERLINK("#",""), HYPERLINK(CONCATENATE("#Metadata!", ADDRESS(INDEX($Q$2:$Q$1001,MATCH(ROWS($O$2:O355),$O$2:$O$1001,0),0), INDEX($V$1004:$AE$1004,1,MATCH(COLUMNS($V$1006:AD1006),$V$1006:$AE$1006,0)))),"Fix")))</f>
        <v>0</v>
      </c>
      <c r="K355" s="4">
        <f>IF(OR(INDEX($P$2:$P$1001,MATCH(ROWS($O$2:O355),$O$2:$O$1001,0),1)&gt;=100000,INDEX($V$1005:$AE$1005,1,MATCH(COLUMNS($V$1006:AE1006),$V$1006:$AE$1006,0))&gt;=100000), " ",IF(INDEX($V$2:$AE$1001,MATCH(ROWS($O$2:O355),$O$2:$O$1001,0),MATCH(COLUMNS($V$1006:AE1006),$V$1006:$AE$1006,0)), HYPERLINK("#",""), HYPERLINK(CONCATENATE("#Metadata!", ADDRESS(INDEX($Q$2:$Q$1001,MATCH(ROWS($O$2:O355),$O$2:$O$1001,0),0), INDEX($V$1004:$AE$1004,1,MATCH(COLUMNS($V$1006:AE1006),$V$1006:$AE$1006,0)))),"Fix")))</f>
        <v>0</v>
      </c>
      <c r="O355">
        <v>0</v>
      </c>
      <c r="P355">
        <v>0</v>
      </c>
      <c r="Q355">
        <v>0</v>
      </c>
      <c r="R355">
        <f>IF(S355,TRUE,AND(V355:AE355))</f>
        <v>0</v>
      </c>
      <c r="S355">
        <f>COUNTBLANK(Metadata!B355:K355)=COLUMNS(Metadata!B355:K355)</f>
        <v>0</v>
      </c>
      <c r="T355">
        <v>0</v>
      </c>
      <c r="V355">
        <f>AND(IF(Metadata!B355="",FALSE,TRUE),COUNTIF(Metadata!B:B, Metadata!B355) = 1,NOT(ISERROR(SUMPRODUCT(SEARCH(MID(Metadata!B355,ROW(INDIRECT("1:"&amp;LEN(Metadata!B355))), 1),"0123456789abcdefghijklmnopqrstuvwxyzABCDEFGHIJKLMNOPQRSTUVWXYZ.")))))</f>
        <v>0</v>
      </c>
      <c r="W355">
        <f>AND(IF(Metadata!C355="",FALSE,TRUE),exact(Metadata!C355,"urban biome"))</f>
        <v>0</v>
      </c>
      <c r="X355">
        <f>AND(IF(Metadata!D355="",FALSE,TRUE),exact(Metadata!D355,"animal-associated habitat"))</f>
        <v>0</v>
      </c>
      <c r="Y355">
        <f>OR(AND(IF(Metadata!E355="",FALSE,TRUE),OR(exact(Metadata!E355,"not applicable"),exact(Metadata!E355,"missing: not collected"),exact(Metadata!E355,"missing: not provided"),exact(Metadata!E355,"missing: restricted access"))),AND(IF(Metadata!E355="",FALSE,ISNUMBER(VALUE(Metadata!E355))),Metadata!E355&gt;0))</f>
        <v>0</v>
      </c>
      <c r="Z355">
        <f>AND(IF(Metadata!F355="",FALSE,TRUE),exact(Metadata!F355,"weeks"))</f>
        <v>0</v>
      </c>
      <c r="AA355">
        <f>AND(IF(Metadata!G355="",FALSE,TRUE),exact(Metadata!G355,"mouse"))</f>
        <v>0</v>
      </c>
      <c r="AB355">
        <f>AND(IF(Metadata!H355="",FALSE,TRUE),exact(Metadata!H355,"Mus musculus"))</f>
        <v>0</v>
      </c>
      <c r="AC355">
        <f>AND(IF(Metadata!I355="",FALSE,TRUE),exact(Metadata!I355,"10090"))</f>
        <v>0</v>
      </c>
      <c r="AD355">
        <f>OR(AND(IF(Metadata!J355="",FALSE,TRUE),OR(exact(Metadata!J355,"not applicable"),exact(Metadata!J355,"missing: not collected"),exact(Metadata!J355,"missing: not provided"),exact(Metadata!J355,"missing: restricted access"))),AND(IF(Metadata!J355="",FALSE,ISNUMBER(VALUE(Metadata!J355))),Metadata!J355&gt;0))</f>
        <v>0</v>
      </c>
      <c r="AE355">
        <f>AND(IF(Metadata!K355="",FALSE,TRUE),exact(Metadata!K355,"g"))</f>
        <v>0</v>
      </c>
    </row>
    <row r="356" spans="1:31">
      <c r="A356" s="5">
        <f>IF(B356=" "," ",HYPERLINK(CONCATENATE("#metadata!",ADDRESS(INDEX($Q$2:$Q$1001,MATCH(ROWS($O$2:O356),$O$2:$O$1001,0),0),1)),INDEX($T$2:$T$1001,MATCH(ROWS($O$2:O356),$O$2:$O$1001,0),0)))</f>
        <v>0</v>
      </c>
      <c r="B356" s="4">
        <f>IF(OR(INDEX($P$2:$P$1001,MATCH(ROWS($O$2:O356),$O$2:$O$1001,0),1)&gt;=100000,INDEX($V$1005:$AE$1005,1,MATCH(COLUMNS($V$1006:V1006),$V$1006:$AE$1006,0))&gt;=100000), " ",IF(INDEX($V$2:$AE$1001,MATCH(ROWS($O$2:O356),$O$2:$O$1001,0),MATCH(COLUMNS($V$1006:V1006),$V$1006:$AE$1006,0)), HYPERLINK("#",""), HYPERLINK(CONCATENATE("#Metadata!", ADDRESS(INDEX($Q$2:$Q$1001,MATCH(ROWS($O$2:O356),$O$2:$O$1001,0),0), INDEX($V$1004:$AE$1004,1,MATCH(COLUMNS($V$1006:V1006),$V$1006:$AE$1006,0)))),"Fix")))</f>
        <v>0</v>
      </c>
      <c r="C356" s="4">
        <f>IF(OR(INDEX($P$2:$P$1001,MATCH(ROWS($O$2:O356),$O$2:$O$1001,0),1)&gt;=100000,INDEX($V$1005:$AE$1005,1,MATCH(COLUMNS($V$1006:W1006),$V$1006:$AE$1006,0))&gt;=100000), " ",IF(INDEX($V$2:$AE$1001,MATCH(ROWS($O$2:O356),$O$2:$O$1001,0),MATCH(COLUMNS($V$1006:W1006),$V$1006:$AE$1006,0)), HYPERLINK("#",""), HYPERLINK(CONCATENATE("#Metadata!", ADDRESS(INDEX($Q$2:$Q$1001,MATCH(ROWS($O$2:O356),$O$2:$O$1001,0),0), INDEX($V$1004:$AE$1004,1,MATCH(COLUMNS($V$1006:W1006),$V$1006:$AE$1006,0)))),"Fix")))</f>
        <v>0</v>
      </c>
      <c r="D356" s="4">
        <f>IF(OR(INDEX($P$2:$P$1001,MATCH(ROWS($O$2:O356),$O$2:$O$1001,0),1)&gt;=100000,INDEX($V$1005:$AE$1005,1,MATCH(COLUMNS($V$1006:X1006),$V$1006:$AE$1006,0))&gt;=100000), " ",IF(INDEX($V$2:$AE$1001,MATCH(ROWS($O$2:O356),$O$2:$O$1001,0),MATCH(COLUMNS($V$1006:X1006),$V$1006:$AE$1006,0)), HYPERLINK("#",""), HYPERLINK(CONCATENATE("#Metadata!", ADDRESS(INDEX($Q$2:$Q$1001,MATCH(ROWS($O$2:O356),$O$2:$O$1001,0),0), INDEX($V$1004:$AE$1004,1,MATCH(COLUMNS($V$1006:X1006),$V$1006:$AE$1006,0)))),"Fix")))</f>
        <v>0</v>
      </c>
      <c r="E356" s="4">
        <f>IF(OR(INDEX($P$2:$P$1001,MATCH(ROWS($O$2:O356),$O$2:$O$1001,0),1)&gt;=100000,INDEX($V$1005:$AE$1005,1,MATCH(COLUMNS($V$1006:Y1006),$V$1006:$AE$1006,0))&gt;=100000), " ",IF(INDEX($V$2:$AE$1001,MATCH(ROWS($O$2:O356),$O$2:$O$1001,0),MATCH(COLUMNS($V$1006:Y1006),$V$1006:$AE$1006,0)), HYPERLINK("#",""), HYPERLINK(CONCATENATE("#Metadata!", ADDRESS(INDEX($Q$2:$Q$1001,MATCH(ROWS($O$2:O356),$O$2:$O$1001,0),0), INDEX($V$1004:$AE$1004,1,MATCH(COLUMNS($V$1006:Y1006),$V$1006:$AE$1006,0)))),"Fix")))</f>
        <v>0</v>
      </c>
      <c r="F356" s="4">
        <f>IF(OR(INDEX($P$2:$P$1001,MATCH(ROWS($O$2:O356),$O$2:$O$1001,0),1)&gt;=100000,INDEX($V$1005:$AE$1005,1,MATCH(COLUMNS($V$1006:Z1006),$V$1006:$AE$1006,0))&gt;=100000), " ",IF(INDEX($V$2:$AE$1001,MATCH(ROWS($O$2:O356),$O$2:$O$1001,0),MATCH(COLUMNS($V$1006:Z1006),$V$1006:$AE$1006,0)), HYPERLINK("#",""), HYPERLINK(CONCATENATE("#Metadata!", ADDRESS(INDEX($Q$2:$Q$1001,MATCH(ROWS($O$2:O356),$O$2:$O$1001,0),0), INDEX($V$1004:$AE$1004,1,MATCH(COLUMNS($V$1006:Z1006),$V$1006:$AE$1006,0)))),"Fix")))</f>
        <v>0</v>
      </c>
      <c r="G356" s="4">
        <f>IF(OR(INDEX($P$2:$P$1001,MATCH(ROWS($O$2:O356),$O$2:$O$1001,0),1)&gt;=100000,INDEX($V$1005:$AE$1005,1,MATCH(COLUMNS($V$1006:AA1006),$V$1006:$AE$1006,0))&gt;=100000), " ",IF(INDEX($V$2:$AE$1001,MATCH(ROWS($O$2:O356),$O$2:$O$1001,0),MATCH(COLUMNS($V$1006:AA1006),$V$1006:$AE$1006,0)), HYPERLINK("#",""), HYPERLINK(CONCATENATE("#Metadata!", ADDRESS(INDEX($Q$2:$Q$1001,MATCH(ROWS($O$2:O356),$O$2:$O$1001,0),0), INDEX($V$1004:$AE$1004,1,MATCH(COLUMNS($V$1006:AA1006),$V$1006:$AE$1006,0)))),"Fix")))</f>
        <v>0</v>
      </c>
      <c r="H356" s="4">
        <f>IF(OR(INDEX($P$2:$P$1001,MATCH(ROWS($O$2:O356),$O$2:$O$1001,0),1)&gt;=100000,INDEX($V$1005:$AE$1005,1,MATCH(COLUMNS($V$1006:AB1006),$V$1006:$AE$1006,0))&gt;=100000), " ",IF(INDEX($V$2:$AE$1001,MATCH(ROWS($O$2:O356),$O$2:$O$1001,0),MATCH(COLUMNS($V$1006:AB1006),$V$1006:$AE$1006,0)), HYPERLINK("#",""), HYPERLINK(CONCATENATE("#Metadata!", ADDRESS(INDEX($Q$2:$Q$1001,MATCH(ROWS($O$2:O356),$O$2:$O$1001,0),0), INDEX($V$1004:$AE$1004,1,MATCH(COLUMNS($V$1006:AB1006),$V$1006:$AE$1006,0)))),"Fix")))</f>
        <v>0</v>
      </c>
      <c r="I356" s="4">
        <f>IF(OR(INDEX($P$2:$P$1001,MATCH(ROWS($O$2:O356),$O$2:$O$1001,0),1)&gt;=100000,INDEX($V$1005:$AE$1005,1,MATCH(COLUMNS($V$1006:AC1006),$V$1006:$AE$1006,0))&gt;=100000), " ",IF(INDEX($V$2:$AE$1001,MATCH(ROWS($O$2:O356),$O$2:$O$1001,0),MATCH(COLUMNS($V$1006:AC1006),$V$1006:$AE$1006,0)), HYPERLINK("#",""), HYPERLINK(CONCATENATE("#Metadata!", ADDRESS(INDEX($Q$2:$Q$1001,MATCH(ROWS($O$2:O356),$O$2:$O$1001,0),0), INDEX($V$1004:$AE$1004,1,MATCH(COLUMNS($V$1006:AC1006),$V$1006:$AE$1006,0)))),"Fix")))</f>
        <v>0</v>
      </c>
      <c r="J356" s="4">
        <f>IF(OR(INDEX($P$2:$P$1001,MATCH(ROWS($O$2:O356),$O$2:$O$1001,0),1)&gt;=100000,INDEX($V$1005:$AE$1005,1,MATCH(COLUMNS($V$1006:AD1006),$V$1006:$AE$1006,0))&gt;=100000), " ",IF(INDEX($V$2:$AE$1001,MATCH(ROWS($O$2:O356),$O$2:$O$1001,0),MATCH(COLUMNS($V$1006:AD1006),$V$1006:$AE$1006,0)), HYPERLINK("#",""), HYPERLINK(CONCATENATE("#Metadata!", ADDRESS(INDEX($Q$2:$Q$1001,MATCH(ROWS($O$2:O356),$O$2:$O$1001,0),0), INDEX($V$1004:$AE$1004,1,MATCH(COLUMNS($V$1006:AD1006),$V$1006:$AE$1006,0)))),"Fix")))</f>
        <v>0</v>
      </c>
      <c r="K356" s="4">
        <f>IF(OR(INDEX($P$2:$P$1001,MATCH(ROWS($O$2:O356),$O$2:$O$1001,0),1)&gt;=100000,INDEX($V$1005:$AE$1005,1,MATCH(COLUMNS($V$1006:AE1006),$V$1006:$AE$1006,0))&gt;=100000), " ",IF(INDEX($V$2:$AE$1001,MATCH(ROWS($O$2:O356),$O$2:$O$1001,0),MATCH(COLUMNS($V$1006:AE1006),$V$1006:$AE$1006,0)), HYPERLINK("#",""), HYPERLINK(CONCATENATE("#Metadata!", ADDRESS(INDEX($Q$2:$Q$1001,MATCH(ROWS($O$2:O356),$O$2:$O$1001,0),0), INDEX($V$1004:$AE$1004,1,MATCH(COLUMNS($V$1006:AE1006),$V$1006:$AE$1006,0)))),"Fix")))</f>
        <v>0</v>
      </c>
      <c r="O356">
        <v>0</v>
      </c>
      <c r="P356">
        <v>0</v>
      </c>
      <c r="Q356">
        <v>0</v>
      </c>
      <c r="R356">
        <f>IF(S356,TRUE,AND(V356:AE356))</f>
        <v>0</v>
      </c>
      <c r="S356">
        <f>COUNTBLANK(Metadata!B356:K356)=COLUMNS(Metadata!B356:K356)</f>
        <v>0</v>
      </c>
      <c r="T356">
        <v>0</v>
      </c>
      <c r="V356">
        <f>AND(IF(Metadata!B356="",FALSE,TRUE),COUNTIF(Metadata!B:B, Metadata!B356) = 1,NOT(ISERROR(SUMPRODUCT(SEARCH(MID(Metadata!B356,ROW(INDIRECT("1:"&amp;LEN(Metadata!B356))), 1),"0123456789abcdefghijklmnopqrstuvwxyzABCDEFGHIJKLMNOPQRSTUVWXYZ.")))))</f>
        <v>0</v>
      </c>
      <c r="W356">
        <f>AND(IF(Metadata!C356="",FALSE,TRUE),exact(Metadata!C356,"urban biome"))</f>
        <v>0</v>
      </c>
      <c r="X356">
        <f>AND(IF(Metadata!D356="",FALSE,TRUE),exact(Metadata!D356,"animal-associated habitat"))</f>
        <v>0</v>
      </c>
      <c r="Y356">
        <f>OR(AND(IF(Metadata!E356="",FALSE,TRUE),OR(exact(Metadata!E356,"not applicable"),exact(Metadata!E356,"missing: not collected"),exact(Metadata!E356,"missing: not provided"),exact(Metadata!E356,"missing: restricted access"))),AND(IF(Metadata!E356="",FALSE,ISNUMBER(VALUE(Metadata!E356))),Metadata!E356&gt;0))</f>
        <v>0</v>
      </c>
      <c r="Z356">
        <f>AND(IF(Metadata!F356="",FALSE,TRUE),exact(Metadata!F356,"weeks"))</f>
        <v>0</v>
      </c>
      <c r="AA356">
        <f>AND(IF(Metadata!G356="",FALSE,TRUE),exact(Metadata!G356,"mouse"))</f>
        <v>0</v>
      </c>
      <c r="AB356">
        <f>AND(IF(Metadata!H356="",FALSE,TRUE),exact(Metadata!H356,"Mus musculus"))</f>
        <v>0</v>
      </c>
      <c r="AC356">
        <f>AND(IF(Metadata!I356="",FALSE,TRUE),exact(Metadata!I356,"10090"))</f>
        <v>0</v>
      </c>
      <c r="AD356">
        <f>OR(AND(IF(Metadata!J356="",FALSE,TRUE),OR(exact(Metadata!J356,"not applicable"),exact(Metadata!J356,"missing: not collected"),exact(Metadata!J356,"missing: not provided"),exact(Metadata!J356,"missing: restricted access"))),AND(IF(Metadata!J356="",FALSE,ISNUMBER(VALUE(Metadata!J356))),Metadata!J356&gt;0))</f>
        <v>0</v>
      </c>
      <c r="AE356">
        <f>AND(IF(Metadata!K356="",FALSE,TRUE),exact(Metadata!K356,"g"))</f>
        <v>0</v>
      </c>
    </row>
    <row r="357" spans="1:31">
      <c r="A357" s="5">
        <f>IF(B357=" "," ",HYPERLINK(CONCATENATE("#metadata!",ADDRESS(INDEX($Q$2:$Q$1001,MATCH(ROWS($O$2:O357),$O$2:$O$1001,0),0),1)),INDEX($T$2:$T$1001,MATCH(ROWS($O$2:O357),$O$2:$O$1001,0),0)))</f>
        <v>0</v>
      </c>
      <c r="B357" s="4">
        <f>IF(OR(INDEX($P$2:$P$1001,MATCH(ROWS($O$2:O357),$O$2:$O$1001,0),1)&gt;=100000,INDEX($V$1005:$AE$1005,1,MATCH(COLUMNS($V$1006:V1006),$V$1006:$AE$1006,0))&gt;=100000), " ",IF(INDEX($V$2:$AE$1001,MATCH(ROWS($O$2:O357),$O$2:$O$1001,0),MATCH(COLUMNS($V$1006:V1006),$V$1006:$AE$1006,0)), HYPERLINK("#",""), HYPERLINK(CONCATENATE("#Metadata!", ADDRESS(INDEX($Q$2:$Q$1001,MATCH(ROWS($O$2:O357),$O$2:$O$1001,0),0), INDEX($V$1004:$AE$1004,1,MATCH(COLUMNS($V$1006:V1006),$V$1006:$AE$1006,0)))),"Fix")))</f>
        <v>0</v>
      </c>
      <c r="C357" s="4">
        <f>IF(OR(INDEX($P$2:$P$1001,MATCH(ROWS($O$2:O357),$O$2:$O$1001,0),1)&gt;=100000,INDEX($V$1005:$AE$1005,1,MATCH(COLUMNS($V$1006:W1006),$V$1006:$AE$1006,0))&gt;=100000), " ",IF(INDEX($V$2:$AE$1001,MATCH(ROWS($O$2:O357),$O$2:$O$1001,0),MATCH(COLUMNS($V$1006:W1006),$V$1006:$AE$1006,0)), HYPERLINK("#",""), HYPERLINK(CONCATENATE("#Metadata!", ADDRESS(INDEX($Q$2:$Q$1001,MATCH(ROWS($O$2:O357),$O$2:$O$1001,0),0), INDEX($V$1004:$AE$1004,1,MATCH(COLUMNS($V$1006:W1006),$V$1006:$AE$1006,0)))),"Fix")))</f>
        <v>0</v>
      </c>
      <c r="D357" s="4">
        <f>IF(OR(INDEX($P$2:$P$1001,MATCH(ROWS($O$2:O357),$O$2:$O$1001,0),1)&gt;=100000,INDEX($V$1005:$AE$1005,1,MATCH(COLUMNS($V$1006:X1006),$V$1006:$AE$1006,0))&gt;=100000), " ",IF(INDEX($V$2:$AE$1001,MATCH(ROWS($O$2:O357),$O$2:$O$1001,0),MATCH(COLUMNS($V$1006:X1006),$V$1006:$AE$1006,0)), HYPERLINK("#",""), HYPERLINK(CONCATENATE("#Metadata!", ADDRESS(INDEX($Q$2:$Q$1001,MATCH(ROWS($O$2:O357),$O$2:$O$1001,0),0), INDEX($V$1004:$AE$1004,1,MATCH(COLUMNS($V$1006:X1006),$V$1006:$AE$1006,0)))),"Fix")))</f>
        <v>0</v>
      </c>
      <c r="E357" s="4">
        <f>IF(OR(INDEX($P$2:$P$1001,MATCH(ROWS($O$2:O357),$O$2:$O$1001,0),1)&gt;=100000,INDEX($V$1005:$AE$1005,1,MATCH(COLUMNS($V$1006:Y1006),$V$1006:$AE$1006,0))&gt;=100000), " ",IF(INDEX($V$2:$AE$1001,MATCH(ROWS($O$2:O357),$O$2:$O$1001,0),MATCH(COLUMNS($V$1006:Y1006),$V$1006:$AE$1006,0)), HYPERLINK("#",""), HYPERLINK(CONCATENATE("#Metadata!", ADDRESS(INDEX($Q$2:$Q$1001,MATCH(ROWS($O$2:O357),$O$2:$O$1001,0),0), INDEX($V$1004:$AE$1004,1,MATCH(COLUMNS($V$1006:Y1006),$V$1006:$AE$1006,0)))),"Fix")))</f>
        <v>0</v>
      </c>
      <c r="F357" s="4">
        <f>IF(OR(INDEX($P$2:$P$1001,MATCH(ROWS($O$2:O357),$O$2:$O$1001,0),1)&gt;=100000,INDEX($V$1005:$AE$1005,1,MATCH(COLUMNS($V$1006:Z1006),$V$1006:$AE$1006,0))&gt;=100000), " ",IF(INDEX($V$2:$AE$1001,MATCH(ROWS($O$2:O357),$O$2:$O$1001,0),MATCH(COLUMNS($V$1006:Z1006),$V$1006:$AE$1006,0)), HYPERLINK("#",""), HYPERLINK(CONCATENATE("#Metadata!", ADDRESS(INDEX($Q$2:$Q$1001,MATCH(ROWS($O$2:O357),$O$2:$O$1001,0),0), INDEX($V$1004:$AE$1004,1,MATCH(COLUMNS($V$1006:Z1006),$V$1006:$AE$1006,0)))),"Fix")))</f>
        <v>0</v>
      </c>
      <c r="G357" s="4">
        <f>IF(OR(INDEX($P$2:$P$1001,MATCH(ROWS($O$2:O357),$O$2:$O$1001,0),1)&gt;=100000,INDEX($V$1005:$AE$1005,1,MATCH(COLUMNS($V$1006:AA1006),$V$1006:$AE$1006,0))&gt;=100000), " ",IF(INDEX($V$2:$AE$1001,MATCH(ROWS($O$2:O357),$O$2:$O$1001,0),MATCH(COLUMNS($V$1006:AA1006),$V$1006:$AE$1006,0)), HYPERLINK("#",""), HYPERLINK(CONCATENATE("#Metadata!", ADDRESS(INDEX($Q$2:$Q$1001,MATCH(ROWS($O$2:O357),$O$2:$O$1001,0),0), INDEX($V$1004:$AE$1004,1,MATCH(COLUMNS($V$1006:AA1006),$V$1006:$AE$1006,0)))),"Fix")))</f>
        <v>0</v>
      </c>
      <c r="H357" s="4">
        <f>IF(OR(INDEX($P$2:$P$1001,MATCH(ROWS($O$2:O357),$O$2:$O$1001,0),1)&gt;=100000,INDEX($V$1005:$AE$1005,1,MATCH(COLUMNS($V$1006:AB1006),$V$1006:$AE$1006,0))&gt;=100000), " ",IF(INDEX($V$2:$AE$1001,MATCH(ROWS($O$2:O357),$O$2:$O$1001,0),MATCH(COLUMNS($V$1006:AB1006),$V$1006:$AE$1006,0)), HYPERLINK("#",""), HYPERLINK(CONCATENATE("#Metadata!", ADDRESS(INDEX($Q$2:$Q$1001,MATCH(ROWS($O$2:O357),$O$2:$O$1001,0),0), INDEX($V$1004:$AE$1004,1,MATCH(COLUMNS($V$1006:AB1006),$V$1006:$AE$1006,0)))),"Fix")))</f>
        <v>0</v>
      </c>
      <c r="I357" s="4">
        <f>IF(OR(INDEX($P$2:$P$1001,MATCH(ROWS($O$2:O357),$O$2:$O$1001,0),1)&gt;=100000,INDEX($V$1005:$AE$1005,1,MATCH(COLUMNS($V$1006:AC1006),$V$1006:$AE$1006,0))&gt;=100000), " ",IF(INDEX($V$2:$AE$1001,MATCH(ROWS($O$2:O357),$O$2:$O$1001,0),MATCH(COLUMNS($V$1006:AC1006),$V$1006:$AE$1006,0)), HYPERLINK("#",""), HYPERLINK(CONCATENATE("#Metadata!", ADDRESS(INDEX($Q$2:$Q$1001,MATCH(ROWS($O$2:O357),$O$2:$O$1001,0),0), INDEX($V$1004:$AE$1004,1,MATCH(COLUMNS($V$1006:AC1006),$V$1006:$AE$1006,0)))),"Fix")))</f>
        <v>0</v>
      </c>
      <c r="J357" s="4">
        <f>IF(OR(INDEX($P$2:$P$1001,MATCH(ROWS($O$2:O357),$O$2:$O$1001,0),1)&gt;=100000,INDEX($V$1005:$AE$1005,1,MATCH(COLUMNS($V$1006:AD1006),$V$1006:$AE$1006,0))&gt;=100000), " ",IF(INDEX($V$2:$AE$1001,MATCH(ROWS($O$2:O357),$O$2:$O$1001,0),MATCH(COLUMNS($V$1006:AD1006),$V$1006:$AE$1006,0)), HYPERLINK("#",""), HYPERLINK(CONCATENATE("#Metadata!", ADDRESS(INDEX($Q$2:$Q$1001,MATCH(ROWS($O$2:O357),$O$2:$O$1001,0),0), INDEX($V$1004:$AE$1004,1,MATCH(COLUMNS($V$1006:AD1006),$V$1006:$AE$1006,0)))),"Fix")))</f>
        <v>0</v>
      </c>
      <c r="K357" s="4">
        <f>IF(OR(INDEX($P$2:$P$1001,MATCH(ROWS($O$2:O357),$O$2:$O$1001,0),1)&gt;=100000,INDEX($V$1005:$AE$1005,1,MATCH(COLUMNS($V$1006:AE1006),$V$1006:$AE$1006,0))&gt;=100000), " ",IF(INDEX($V$2:$AE$1001,MATCH(ROWS($O$2:O357),$O$2:$O$1001,0),MATCH(COLUMNS($V$1006:AE1006),$V$1006:$AE$1006,0)), HYPERLINK("#",""), HYPERLINK(CONCATENATE("#Metadata!", ADDRESS(INDEX($Q$2:$Q$1001,MATCH(ROWS($O$2:O357),$O$2:$O$1001,0),0), INDEX($V$1004:$AE$1004,1,MATCH(COLUMNS($V$1006:AE1006),$V$1006:$AE$1006,0)))),"Fix")))</f>
        <v>0</v>
      </c>
      <c r="O357">
        <v>0</v>
      </c>
      <c r="P357">
        <v>0</v>
      </c>
      <c r="Q357">
        <v>0</v>
      </c>
      <c r="R357">
        <f>IF(S357,TRUE,AND(V357:AE357))</f>
        <v>0</v>
      </c>
      <c r="S357">
        <f>COUNTBLANK(Metadata!B357:K357)=COLUMNS(Metadata!B357:K357)</f>
        <v>0</v>
      </c>
      <c r="T357">
        <v>0</v>
      </c>
      <c r="V357">
        <f>AND(IF(Metadata!B357="",FALSE,TRUE),COUNTIF(Metadata!B:B, Metadata!B357) = 1,NOT(ISERROR(SUMPRODUCT(SEARCH(MID(Metadata!B357,ROW(INDIRECT("1:"&amp;LEN(Metadata!B357))), 1),"0123456789abcdefghijklmnopqrstuvwxyzABCDEFGHIJKLMNOPQRSTUVWXYZ.")))))</f>
        <v>0</v>
      </c>
      <c r="W357">
        <f>AND(IF(Metadata!C357="",FALSE,TRUE),exact(Metadata!C357,"urban biome"))</f>
        <v>0</v>
      </c>
      <c r="X357">
        <f>AND(IF(Metadata!D357="",FALSE,TRUE),exact(Metadata!D357,"animal-associated habitat"))</f>
        <v>0</v>
      </c>
      <c r="Y357">
        <f>OR(AND(IF(Metadata!E357="",FALSE,TRUE),OR(exact(Metadata!E357,"not applicable"),exact(Metadata!E357,"missing: not collected"),exact(Metadata!E357,"missing: not provided"),exact(Metadata!E357,"missing: restricted access"))),AND(IF(Metadata!E357="",FALSE,ISNUMBER(VALUE(Metadata!E357))),Metadata!E357&gt;0))</f>
        <v>0</v>
      </c>
      <c r="Z357">
        <f>AND(IF(Metadata!F357="",FALSE,TRUE),exact(Metadata!F357,"weeks"))</f>
        <v>0</v>
      </c>
      <c r="AA357">
        <f>AND(IF(Metadata!G357="",FALSE,TRUE),exact(Metadata!G357,"mouse"))</f>
        <v>0</v>
      </c>
      <c r="AB357">
        <f>AND(IF(Metadata!H357="",FALSE,TRUE),exact(Metadata!H357,"Mus musculus"))</f>
        <v>0</v>
      </c>
      <c r="AC357">
        <f>AND(IF(Metadata!I357="",FALSE,TRUE),exact(Metadata!I357,"10090"))</f>
        <v>0</v>
      </c>
      <c r="AD357">
        <f>OR(AND(IF(Metadata!J357="",FALSE,TRUE),OR(exact(Metadata!J357,"not applicable"),exact(Metadata!J357,"missing: not collected"),exact(Metadata!J357,"missing: not provided"),exact(Metadata!J357,"missing: restricted access"))),AND(IF(Metadata!J357="",FALSE,ISNUMBER(VALUE(Metadata!J357))),Metadata!J357&gt;0))</f>
        <v>0</v>
      </c>
      <c r="AE357">
        <f>AND(IF(Metadata!K357="",FALSE,TRUE),exact(Metadata!K357,"g"))</f>
        <v>0</v>
      </c>
    </row>
    <row r="358" spans="1:31">
      <c r="A358" s="5">
        <f>IF(B358=" "," ",HYPERLINK(CONCATENATE("#metadata!",ADDRESS(INDEX($Q$2:$Q$1001,MATCH(ROWS($O$2:O358),$O$2:$O$1001,0),0),1)),INDEX($T$2:$T$1001,MATCH(ROWS($O$2:O358),$O$2:$O$1001,0),0)))</f>
        <v>0</v>
      </c>
      <c r="B358" s="4">
        <f>IF(OR(INDEX($P$2:$P$1001,MATCH(ROWS($O$2:O358),$O$2:$O$1001,0),1)&gt;=100000,INDEX($V$1005:$AE$1005,1,MATCH(COLUMNS($V$1006:V1006),$V$1006:$AE$1006,0))&gt;=100000), " ",IF(INDEX($V$2:$AE$1001,MATCH(ROWS($O$2:O358),$O$2:$O$1001,0),MATCH(COLUMNS($V$1006:V1006),$V$1006:$AE$1006,0)), HYPERLINK("#",""), HYPERLINK(CONCATENATE("#Metadata!", ADDRESS(INDEX($Q$2:$Q$1001,MATCH(ROWS($O$2:O358),$O$2:$O$1001,0),0), INDEX($V$1004:$AE$1004,1,MATCH(COLUMNS($V$1006:V1006),$V$1006:$AE$1006,0)))),"Fix")))</f>
        <v>0</v>
      </c>
      <c r="C358" s="4">
        <f>IF(OR(INDEX($P$2:$P$1001,MATCH(ROWS($O$2:O358),$O$2:$O$1001,0),1)&gt;=100000,INDEX($V$1005:$AE$1005,1,MATCH(COLUMNS($V$1006:W1006),$V$1006:$AE$1006,0))&gt;=100000), " ",IF(INDEX($V$2:$AE$1001,MATCH(ROWS($O$2:O358),$O$2:$O$1001,0),MATCH(COLUMNS($V$1006:W1006),$V$1006:$AE$1006,0)), HYPERLINK("#",""), HYPERLINK(CONCATENATE("#Metadata!", ADDRESS(INDEX($Q$2:$Q$1001,MATCH(ROWS($O$2:O358),$O$2:$O$1001,0),0), INDEX($V$1004:$AE$1004,1,MATCH(COLUMNS($V$1006:W1006),$V$1006:$AE$1006,0)))),"Fix")))</f>
        <v>0</v>
      </c>
      <c r="D358" s="4">
        <f>IF(OR(INDEX($P$2:$P$1001,MATCH(ROWS($O$2:O358),$O$2:$O$1001,0),1)&gt;=100000,INDEX($V$1005:$AE$1005,1,MATCH(COLUMNS($V$1006:X1006),$V$1006:$AE$1006,0))&gt;=100000), " ",IF(INDEX($V$2:$AE$1001,MATCH(ROWS($O$2:O358),$O$2:$O$1001,0),MATCH(COLUMNS($V$1006:X1006),$V$1006:$AE$1006,0)), HYPERLINK("#",""), HYPERLINK(CONCATENATE("#Metadata!", ADDRESS(INDEX($Q$2:$Q$1001,MATCH(ROWS($O$2:O358),$O$2:$O$1001,0),0), INDEX($V$1004:$AE$1004,1,MATCH(COLUMNS($V$1006:X1006),$V$1006:$AE$1006,0)))),"Fix")))</f>
        <v>0</v>
      </c>
      <c r="E358" s="4">
        <f>IF(OR(INDEX($P$2:$P$1001,MATCH(ROWS($O$2:O358),$O$2:$O$1001,0),1)&gt;=100000,INDEX($V$1005:$AE$1005,1,MATCH(COLUMNS($V$1006:Y1006),$V$1006:$AE$1006,0))&gt;=100000), " ",IF(INDEX($V$2:$AE$1001,MATCH(ROWS($O$2:O358),$O$2:$O$1001,0),MATCH(COLUMNS($V$1006:Y1006),$V$1006:$AE$1006,0)), HYPERLINK("#",""), HYPERLINK(CONCATENATE("#Metadata!", ADDRESS(INDEX($Q$2:$Q$1001,MATCH(ROWS($O$2:O358),$O$2:$O$1001,0),0), INDEX($V$1004:$AE$1004,1,MATCH(COLUMNS($V$1006:Y1006),$V$1006:$AE$1006,0)))),"Fix")))</f>
        <v>0</v>
      </c>
      <c r="F358" s="4">
        <f>IF(OR(INDEX($P$2:$P$1001,MATCH(ROWS($O$2:O358),$O$2:$O$1001,0),1)&gt;=100000,INDEX($V$1005:$AE$1005,1,MATCH(COLUMNS($V$1006:Z1006),$V$1006:$AE$1006,0))&gt;=100000), " ",IF(INDEX($V$2:$AE$1001,MATCH(ROWS($O$2:O358),$O$2:$O$1001,0),MATCH(COLUMNS($V$1006:Z1006),$V$1006:$AE$1006,0)), HYPERLINK("#",""), HYPERLINK(CONCATENATE("#Metadata!", ADDRESS(INDEX($Q$2:$Q$1001,MATCH(ROWS($O$2:O358),$O$2:$O$1001,0),0), INDEX($V$1004:$AE$1004,1,MATCH(COLUMNS($V$1006:Z1006),$V$1006:$AE$1006,0)))),"Fix")))</f>
        <v>0</v>
      </c>
      <c r="G358" s="4">
        <f>IF(OR(INDEX($P$2:$P$1001,MATCH(ROWS($O$2:O358),$O$2:$O$1001,0),1)&gt;=100000,INDEX($V$1005:$AE$1005,1,MATCH(COLUMNS($V$1006:AA1006),$V$1006:$AE$1006,0))&gt;=100000), " ",IF(INDEX($V$2:$AE$1001,MATCH(ROWS($O$2:O358),$O$2:$O$1001,0),MATCH(COLUMNS($V$1006:AA1006),$V$1006:$AE$1006,0)), HYPERLINK("#",""), HYPERLINK(CONCATENATE("#Metadata!", ADDRESS(INDEX($Q$2:$Q$1001,MATCH(ROWS($O$2:O358),$O$2:$O$1001,0),0), INDEX($V$1004:$AE$1004,1,MATCH(COLUMNS($V$1006:AA1006),$V$1006:$AE$1006,0)))),"Fix")))</f>
        <v>0</v>
      </c>
      <c r="H358" s="4">
        <f>IF(OR(INDEX($P$2:$P$1001,MATCH(ROWS($O$2:O358),$O$2:$O$1001,0),1)&gt;=100000,INDEX($V$1005:$AE$1005,1,MATCH(COLUMNS($V$1006:AB1006),$V$1006:$AE$1006,0))&gt;=100000), " ",IF(INDEX($V$2:$AE$1001,MATCH(ROWS($O$2:O358),$O$2:$O$1001,0),MATCH(COLUMNS($V$1006:AB1006),$V$1006:$AE$1006,0)), HYPERLINK("#",""), HYPERLINK(CONCATENATE("#Metadata!", ADDRESS(INDEX($Q$2:$Q$1001,MATCH(ROWS($O$2:O358),$O$2:$O$1001,0),0), INDEX($V$1004:$AE$1004,1,MATCH(COLUMNS($V$1006:AB1006),$V$1006:$AE$1006,0)))),"Fix")))</f>
        <v>0</v>
      </c>
      <c r="I358" s="4">
        <f>IF(OR(INDEX($P$2:$P$1001,MATCH(ROWS($O$2:O358),$O$2:$O$1001,0),1)&gt;=100000,INDEX($V$1005:$AE$1005,1,MATCH(COLUMNS($V$1006:AC1006),$V$1006:$AE$1006,0))&gt;=100000), " ",IF(INDEX($V$2:$AE$1001,MATCH(ROWS($O$2:O358),$O$2:$O$1001,0),MATCH(COLUMNS($V$1006:AC1006),$V$1006:$AE$1006,0)), HYPERLINK("#",""), HYPERLINK(CONCATENATE("#Metadata!", ADDRESS(INDEX($Q$2:$Q$1001,MATCH(ROWS($O$2:O358),$O$2:$O$1001,0),0), INDEX($V$1004:$AE$1004,1,MATCH(COLUMNS($V$1006:AC1006),$V$1006:$AE$1006,0)))),"Fix")))</f>
        <v>0</v>
      </c>
      <c r="J358" s="4">
        <f>IF(OR(INDEX($P$2:$P$1001,MATCH(ROWS($O$2:O358),$O$2:$O$1001,0),1)&gt;=100000,INDEX($V$1005:$AE$1005,1,MATCH(COLUMNS($V$1006:AD1006),$V$1006:$AE$1006,0))&gt;=100000), " ",IF(INDEX($V$2:$AE$1001,MATCH(ROWS($O$2:O358),$O$2:$O$1001,0),MATCH(COLUMNS($V$1006:AD1006),$V$1006:$AE$1006,0)), HYPERLINK("#",""), HYPERLINK(CONCATENATE("#Metadata!", ADDRESS(INDEX($Q$2:$Q$1001,MATCH(ROWS($O$2:O358),$O$2:$O$1001,0),0), INDEX($V$1004:$AE$1004,1,MATCH(COLUMNS($V$1006:AD1006),$V$1006:$AE$1006,0)))),"Fix")))</f>
        <v>0</v>
      </c>
      <c r="K358" s="4">
        <f>IF(OR(INDEX($P$2:$P$1001,MATCH(ROWS($O$2:O358),$O$2:$O$1001,0),1)&gt;=100000,INDEX($V$1005:$AE$1005,1,MATCH(COLUMNS($V$1006:AE1006),$V$1006:$AE$1006,0))&gt;=100000), " ",IF(INDEX($V$2:$AE$1001,MATCH(ROWS($O$2:O358),$O$2:$O$1001,0),MATCH(COLUMNS($V$1006:AE1006),$V$1006:$AE$1006,0)), HYPERLINK("#",""), HYPERLINK(CONCATENATE("#Metadata!", ADDRESS(INDEX($Q$2:$Q$1001,MATCH(ROWS($O$2:O358),$O$2:$O$1001,0),0), INDEX($V$1004:$AE$1004,1,MATCH(COLUMNS($V$1006:AE1006),$V$1006:$AE$1006,0)))),"Fix")))</f>
        <v>0</v>
      </c>
      <c r="O358">
        <v>0</v>
      </c>
      <c r="P358">
        <v>0</v>
      </c>
      <c r="Q358">
        <v>0</v>
      </c>
      <c r="R358">
        <f>IF(S358,TRUE,AND(V358:AE358))</f>
        <v>0</v>
      </c>
      <c r="S358">
        <f>COUNTBLANK(Metadata!B358:K358)=COLUMNS(Metadata!B358:K358)</f>
        <v>0</v>
      </c>
      <c r="T358">
        <v>0</v>
      </c>
      <c r="V358">
        <f>AND(IF(Metadata!B358="",FALSE,TRUE),COUNTIF(Metadata!B:B, Metadata!B358) = 1,NOT(ISERROR(SUMPRODUCT(SEARCH(MID(Metadata!B358,ROW(INDIRECT("1:"&amp;LEN(Metadata!B358))), 1),"0123456789abcdefghijklmnopqrstuvwxyzABCDEFGHIJKLMNOPQRSTUVWXYZ.")))))</f>
        <v>0</v>
      </c>
      <c r="W358">
        <f>AND(IF(Metadata!C358="",FALSE,TRUE),exact(Metadata!C358,"urban biome"))</f>
        <v>0</v>
      </c>
      <c r="X358">
        <f>AND(IF(Metadata!D358="",FALSE,TRUE),exact(Metadata!D358,"animal-associated habitat"))</f>
        <v>0</v>
      </c>
      <c r="Y358">
        <f>OR(AND(IF(Metadata!E358="",FALSE,TRUE),OR(exact(Metadata!E358,"not applicable"),exact(Metadata!E358,"missing: not collected"),exact(Metadata!E358,"missing: not provided"),exact(Metadata!E358,"missing: restricted access"))),AND(IF(Metadata!E358="",FALSE,ISNUMBER(VALUE(Metadata!E358))),Metadata!E358&gt;0))</f>
        <v>0</v>
      </c>
      <c r="Z358">
        <f>AND(IF(Metadata!F358="",FALSE,TRUE),exact(Metadata!F358,"weeks"))</f>
        <v>0</v>
      </c>
      <c r="AA358">
        <f>AND(IF(Metadata!G358="",FALSE,TRUE),exact(Metadata!G358,"mouse"))</f>
        <v>0</v>
      </c>
      <c r="AB358">
        <f>AND(IF(Metadata!H358="",FALSE,TRUE),exact(Metadata!H358,"Mus musculus"))</f>
        <v>0</v>
      </c>
      <c r="AC358">
        <f>AND(IF(Metadata!I358="",FALSE,TRUE),exact(Metadata!I358,"10090"))</f>
        <v>0</v>
      </c>
      <c r="AD358">
        <f>OR(AND(IF(Metadata!J358="",FALSE,TRUE),OR(exact(Metadata!J358,"not applicable"),exact(Metadata!J358,"missing: not collected"),exact(Metadata!J358,"missing: not provided"),exact(Metadata!J358,"missing: restricted access"))),AND(IF(Metadata!J358="",FALSE,ISNUMBER(VALUE(Metadata!J358))),Metadata!J358&gt;0))</f>
        <v>0</v>
      </c>
      <c r="AE358">
        <f>AND(IF(Metadata!K358="",FALSE,TRUE),exact(Metadata!K358,"g"))</f>
        <v>0</v>
      </c>
    </row>
    <row r="359" spans="1:31">
      <c r="A359" s="5">
        <f>IF(B359=" "," ",HYPERLINK(CONCATENATE("#metadata!",ADDRESS(INDEX($Q$2:$Q$1001,MATCH(ROWS($O$2:O359),$O$2:$O$1001,0),0),1)),INDEX($T$2:$T$1001,MATCH(ROWS($O$2:O359),$O$2:$O$1001,0),0)))</f>
        <v>0</v>
      </c>
      <c r="B359" s="4">
        <f>IF(OR(INDEX($P$2:$P$1001,MATCH(ROWS($O$2:O359),$O$2:$O$1001,0),1)&gt;=100000,INDEX($V$1005:$AE$1005,1,MATCH(COLUMNS($V$1006:V1006),$V$1006:$AE$1006,0))&gt;=100000), " ",IF(INDEX($V$2:$AE$1001,MATCH(ROWS($O$2:O359),$O$2:$O$1001,0),MATCH(COLUMNS($V$1006:V1006),$V$1006:$AE$1006,0)), HYPERLINK("#",""), HYPERLINK(CONCATENATE("#Metadata!", ADDRESS(INDEX($Q$2:$Q$1001,MATCH(ROWS($O$2:O359),$O$2:$O$1001,0),0), INDEX($V$1004:$AE$1004,1,MATCH(COLUMNS($V$1006:V1006),$V$1006:$AE$1006,0)))),"Fix")))</f>
        <v>0</v>
      </c>
      <c r="C359" s="4">
        <f>IF(OR(INDEX($P$2:$P$1001,MATCH(ROWS($O$2:O359),$O$2:$O$1001,0),1)&gt;=100000,INDEX($V$1005:$AE$1005,1,MATCH(COLUMNS($V$1006:W1006),$V$1006:$AE$1006,0))&gt;=100000), " ",IF(INDEX($V$2:$AE$1001,MATCH(ROWS($O$2:O359),$O$2:$O$1001,0),MATCH(COLUMNS($V$1006:W1006),$V$1006:$AE$1006,0)), HYPERLINK("#",""), HYPERLINK(CONCATENATE("#Metadata!", ADDRESS(INDEX($Q$2:$Q$1001,MATCH(ROWS($O$2:O359),$O$2:$O$1001,0),0), INDEX($V$1004:$AE$1004,1,MATCH(COLUMNS($V$1006:W1006),$V$1006:$AE$1006,0)))),"Fix")))</f>
        <v>0</v>
      </c>
      <c r="D359" s="4">
        <f>IF(OR(INDEX($P$2:$P$1001,MATCH(ROWS($O$2:O359),$O$2:$O$1001,0),1)&gt;=100000,INDEX($V$1005:$AE$1005,1,MATCH(COLUMNS($V$1006:X1006),$V$1006:$AE$1006,0))&gt;=100000), " ",IF(INDEX($V$2:$AE$1001,MATCH(ROWS($O$2:O359),$O$2:$O$1001,0),MATCH(COLUMNS($V$1006:X1006),$V$1006:$AE$1006,0)), HYPERLINK("#",""), HYPERLINK(CONCATENATE("#Metadata!", ADDRESS(INDEX($Q$2:$Q$1001,MATCH(ROWS($O$2:O359),$O$2:$O$1001,0),0), INDEX($V$1004:$AE$1004,1,MATCH(COLUMNS($V$1006:X1006),$V$1006:$AE$1006,0)))),"Fix")))</f>
        <v>0</v>
      </c>
      <c r="E359" s="4">
        <f>IF(OR(INDEX($P$2:$P$1001,MATCH(ROWS($O$2:O359),$O$2:$O$1001,0),1)&gt;=100000,INDEX($V$1005:$AE$1005,1,MATCH(COLUMNS($V$1006:Y1006),$V$1006:$AE$1006,0))&gt;=100000), " ",IF(INDEX($V$2:$AE$1001,MATCH(ROWS($O$2:O359),$O$2:$O$1001,0),MATCH(COLUMNS($V$1006:Y1006),$V$1006:$AE$1006,0)), HYPERLINK("#",""), HYPERLINK(CONCATENATE("#Metadata!", ADDRESS(INDEX($Q$2:$Q$1001,MATCH(ROWS($O$2:O359),$O$2:$O$1001,0),0), INDEX($V$1004:$AE$1004,1,MATCH(COLUMNS($V$1006:Y1006),$V$1006:$AE$1006,0)))),"Fix")))</f>
        <v>0</v>
      </c>
      <c r="F359" s="4">
        <f>IF(OR(INDEX($P$2:$P$1001,MATCH(ROWS($O$2:O359),$O$2:$O$1001,0),1)&gt;=100000,INDEX($V$1005:$AE$1005,1,MATCH(COLUMNS($V$1006:Z1006),$V$1006:$AE$1006,0))&gt;=100000), " ",IF(INDEX($V$2:$AE$1001,MATCH(ROWS($O$2:O359),$O$2:$O$1001,0),MATCH(COLUMNS($V$1006:Z1006),$V$1006:$AE$1006,0)), HYPERLINK("#",""), HYPERLINK(CONCATENATE("#Metadata!", ADDRESS(INDEX($Q$2:$Q$1001,MATCH(ROWS($O$2:O359),$O$2:$O$1001,0),0), INDEX($V$1004:$AE$1004,1,MATCH(COLUMNS($V$1006:Z1006),$V$1006:$AE$1006,0)))),"Fix")))</f>
        <v>0</v>
      </c>
      <c r="G359" s="4">
        <f>IF(OR(INDEX($P$2:$P$1001,MATCH(ROWS($O$2:O359),$O$2:$O$1001,0),1)&gt;=100000,INDEX($V$1005:$AE$1005,1,MATCH(COLUMNS($V$1006:AA1006),$V$1006:$AE$1006,0))&gt;=100000), " ",IF(INDEX($V$2:$AE$1001,MATCH(ROWS($O$2:O359),$O$2:$O$1001,0),MATCH(COLUMNS($V$1006:AA1006),$V$1006:$AE$1006,0)), HYPERLINK("#",""), HYPERLINK(CONCATENATE("#Metadata!", ADDRESS(INDEX($Q$2:$Q$1001,MATCH(ROWS($O$2:O359),$O$2:$O$1001,0),0), INDEX($V$1004:$AE$1004,1,MATCH(COLUMNS($V$1006:AA1006),$V$1006:$AE$1006,0)))),"Fix")))</f>
        <v>0</v>
      </c>
      <c r="H359" s="4">
        <f>IF(OR(INDEX($P$2:$P$1001,MATCH(ROWS($O$2:O359),$O$2:$O$1001,0),1)&gt;=100000,INDEX($V$1005:$AE$1005,1,MATCH(COLUMNS($V$1006:AB1006),$V$1006:$AE$1006,0))&gt;=100000), " ",IF(INDEX($V$2:$AE$1001,MATCH(ROWS($O$2:O359),$O$2:$O$1001,0),MATCH(COLUMNS($V$1006:AB1006),$V$1006:$AE$1006,0)), HYPERLINK("#",""), HYPERLINK(CONCATENATE("#Metadata!", ADDRESS(INDEX($Q$2:$Q$1001,MATCH(ROWS($O$2:O359),$O$2:$O$1001,0),0), INDEX($V$1004:$AE$1004,1,MATCH(COLUMNS($V$1006:AB1006),$V$1006:$AE$1006,0)))),"Fix")))</f>
        <v>0</v>
      </c>
      <c r="I359" s="4">
        <f>IF(OR(INDEX($P$2:$P$1001,MATCH(ROWS($O$2:O359),$O$2:$O$1001,0),1)&gt;=100000,INDEX($V$1005:$AE$1005,1,MATCH(COLUMNS($V$1006:AC1006),$V$1006:$AE$1006,0))&gt;=100000), " ",IF(INDEX($V$2:$AE$1001,MATCH(ROWS($O$2:O359),$O$2:$O$1001,0),MATCH(COLUMNS($V$1006:AC1006),$V$1006:$AE$1006,0)), HYPERLINK("#",""), HYPERLINK(CONCATENATE("#Metadata!", ADDRESS(INDEX($Q$2:$Q$1001,MATCH(ROWS($O$2:O359),$O$2:$O$1001,0),0), INDEX($V$1004:$AE$1004,1,MATCH(COLUMNS($V$1006:AC1006),$V$1006:$AE$1006,0)))),"Fix")))</f>
        <v>0</v>
      </c>
      <c r="J359" s="4">
        <f>IF(OR(INDEX($P$2:$P$1001,MATCH(ROWS($O$2:O359),$O$2:$O$1001,0),1)&gt;=100000,INDEX($V$1005:$AE$1005,1,MATCH(COLUMNS($V$1006:AD1006),$V$1006:$AE$1006,0))&gt;=100000), " ",IF(INDEX($V$2:$AE$1001,MATCH(ROWS($O$2:O359),$O$2:$O$1001,0),MATCH(COLUMNS($V$1006:AD1006),$V$1006:$AE$1006,0)), HYPERLINK("#",""), HYPERLINK(CONCATENATE("#Metadata!", ADDRESS(INDEX($Q$2:$Q$1001,MATCH(ROWS($O$2:O359),$O$2:$O$1001,0),0), INDEX($V$1004:$AE$1004,1,MATCH(COLUMNS($V$1006:AD1006),$V$1006:$AE$1006,0)))),"Fix")))</f>
        <v>0</v>
      </c>
      <c r="K359" s="4">
        <f>IF(OR(INDEX($P$2:$P$1001,MATCH(ROWS($O$2:O359),$O$2:$O$1001,0),1)&gt;=100000,INDEX($V$1005:$AE$1005,1,MATCH(COLUMNS($V$1006:AE1006),$V$1006:$AE$1006,0))&gt;=100000), " ",IF(INDEX($V$2:$AE$1001,MATCH(ROWS($O$2:O359),$O$2:$O$1001,0),MATCH(COLUMNS($V$1006:AE1006),$V$1006:$AE$1006,0)), HYPERLINK("#",""), HYPERLINK(CONCATENATE("#Metadata!", ADDRESS(INDEX($Q$2:$Q$1001,MATCH(ROWS($O$2:O359),$O$2:$O$1001,0),0), INDEX($V$1004:$AE$1004,1,MATCH(COLUMNS($V$1006:AE1006),$V$1006:$AE$1006,0)))),"Fix")))</f>
        <v>0</v>
      </c>
      <c r="O359">
        <v>0</v>
      </c>
      <c r="P359">
        <v>0</v>
      </c>
      <c r="Q359">
        <v>0</v>
      </c>
      <c r="R359">
        <f>IF(S359,TRUE,AND(V359:AE359))</f>
        <v>0</v>
      </c>
      <c r="S359">
        <f>COUNTBLANK(Metadata!B359:K359)=COLUMNS(Metadata!B359:K359)</f>
        <v>0</v>
      </c>
      <c r="T359">
        <v>0</v>
      </c>
      <c r="V359">
        <f>AND(IF(Metadata!B359="",FALSE,TRUE),COUNTIF(Metadata!B:B, Metadata!B359) = 1,NOT(ISERROR(SUMPRODUCT(SEARCH(MID(Metadata!B359,ROW(INDIRECT("1:"&amp;LEN(Metadata!B359))), 1),"0123456789abcdefghijklmnopqrstuvwxyzABCDEFGHIJKLMNOPQRSTUVWXYZ.")))))</f>
        <v>0</v>
      </c>
      <c r="W359">
        <f>AND(IF(Metadata!C359="",FALSE,TRUE),exact(Metadata!C359,"urban biome"))</f>
        <v>0</v>
      </c>
      <c r="X359">
        <f>AND(IF(Metadata!D359="",FALSE,TRUE),exact(Metadata!D359,"animal-associated habitat"))</f>
        <v>0</v>
      </c>
      <c r="Y359">
        <f>OR(AND(IF(Metadata!E359="",FALSE,TRUE),OR(exact(Metadata!E359,"not applicable"),exact(Metadata!E359,"missing: not collected"),exact(Metadata!E359,"missing: not provided"),exact(Metadata!E359,"missing: restricted access"))),AND(IF(Metadata!E359="",FALSE,ISNUMBER(VALUE(Metadata!E359))),Metadata!E359&gt;0))</f>
        <v>0</v>
      </c>
      <c r="Z359">
        <f>AND(IF(Metadata!F359="",FALSE,TRUE),exact(Metadata!F359,"weeks"))</f>
        <v>0</v>
      </c>
      <c r="AA359">
        <f>AND(IF(Metadata!G359="",FALSE,TRUE),exact(Metadata!G359,"mouse"))</f>
        <v>0</v>
      </c>
      <c r="AB359">
        <f>AND(IF(Metadata!H359="",FALSE,TRUE),exact(Metadata!H359,"Mus musculus"))</f>
        <v>0</v>
      </c>
      <c r="AC359">
        <f>AND(IF(Metadata!I359="",FALSE,TRUE),exact(Metadata!I359,"10090"))</f>
        <v>0</v>
      </c>
      <c r="AD359">
        <f>OR(AND(IF(Metadata!J359="",FALSE,TRUE),OR(exact(Metadata!J359,"not applicable"),exact(Metadata!J359,"missing: not collected"),exact(Metadata!J359,"missing: not provided"),exact(Metadata!J359,"missing: restricted access"))),AND(IF(Metadata!J359="",FALSE,ISNUMBER(VALUE(Metadata!J359))),Metadata!J359&gt;0))</f>
        <v>0</v>
      </c>
      <c r="AE359">
        <f>AND(IF(Metadata!K359="",FALSE,TRUE),exact(Metadata!K359,"g"))</f>
        <v>0</v>
      </c>
    </row>
    <row r="360" spans="1:31">
      <c r="A360" s="5">
        <f>IF(B360=" "," ",HYPERLINK(CONCATENATE("#metadata!",ADDRESS(INDEX($Q$2:$Q$1001,MATCH(ROWS($O$2:O360),$O$2:$O$1001,0),0),1)),INDEX($T$2:$T$1001,MATCH(ROWS($O$2:O360),$O$2:$O$1001,0),0)))</f>
        <v>0</v>
      </c>
      <c r="B360" s="4">
        <f>IF(OR(INDEX($P$2:$P$1001,MATCH(ROWS($O$2:O360),$O$2:$O$1001,0),1)&gt;=100000,INDEX($V$1005:$AE$1005,1,MATCH(COLUMNS($V$1006:V1006),$V$1006:$AE$1006,0))&gt;=100000), " ",IF(INDEX($V$2:$AE$1001,MATCH(ROWS($O$2:O360),$O$2:$O$1001,0),MATCH(COLUMNS($V$1006:V1006),$V$1006:$AE$1006,0)), HYPERLINK("#",""), HYPERLINK(CONCATENATE("#Metadata!", ADDRESS(INDEX($Q$2:$Q$1001,MATCH(ROWS($O$2:O360),$O$2:$O$1001,0),0), INDEX($V$1004:$AE$1004,1,MATCH(COLUMNS($V$1006:V1006),$V$1006:$AE$1006,0)))),"Fix")))</f>
        <v>0</v>
      </c>
      <c r="C360" s="4">
        <f>IF(OR(INDEX($P$2:$P$1001,MATCH(ROWS($O$2:O360),$O$2:$O$1001,0),1)&gt;=100000,INDEX($V$1005:$AE$1005,1,MATCH(COLUMNS($V$1006:W1006),$V$1006:$AE$1006,0))&gt;=100000), " ",IF(INDEX($V$2:$AE$1001,MATCH(ROWS($O$2:O360),$O$2:$O$1001,0),MATCH(COLUMNS($V$1006:W1006),$V$1006:$AE$1006,0)), HYPERLINK("#",""), HYPERLINK(CONCATENATE("#Metadata!", ADDRESS(INDEX($Q$2:$Q$1001,MATCH(ROWS($O$2:O360),$O$2:$O$1001,0),0), INDEX($V$1004:$AE$1004,1,MATCH(COLUMNS($V$1006:W1006),$V$1006:$AE$1006,0)))),"Fix")))</f>
        <v>0</v>
      </c>
      <c r="D360" s="4">
        <f>IF(OR(INDEX($P$2:$P$1001,MATCH(ROWS($O$2:O360),$O$2:$O$1001,0),1)&gt;=100000,INDEX($V$1005:$AE$1005,1,MATCH(COLUMNS($V$1006:X1006),$V$1006:$AE$1006,0))&gt;=100000), " ",IF(INDEX($V$2:$AE$1001,MATCH(ROWS($O$2:O360),$O$2:$O$1001,0),MATCH(COLUMNS($V$1006:X1006),$V$1006:$AE$1006,0)), HYPERLINK("#",""), HYPERLINK(CONCATENATE("#Metadata!", ADDRESS(INDEX($Q$2:$Q$1001,MATCH(ROWS($O$2:O360),$O$2:$O$1001,0),0), INDEX($V$1004:$AE$1004,1,MATCH(COLUMNS($V$1006:X1006),$V$1006:$AE$1006,0)))),"Fix")))</f>
        <v>0</v>
      </c>
      <c r="E360" s="4">
        <f>IF(OR(INDEX($P$2:$P$1001,MATCH(ROWS($O$2:O360),$O$2:$O$1001,0),1)&gt;=100000,INDEX($V$1005:$AE$1005,1,MATCH(COLUMNS($V$1006:Y1006),$V$1006:$AE$1006,0))&gt;=100000), " ",IF(INDEX($V$2:$AE$1001,MATCH(ROWS($O$2:O360),$O$2:$O$1001,0),MATCH(COLUMNS($V$1006:Y1006),$V$1006:$AE$1006,0)), HYPERLINK("#",""), HYPERLINK(CONCATENATE("#Metadata!", ADDRESS(INDEX($Q$2:$Q$1001,MATCH(ROWS($O$2:O360),$O$2:$O$1001,0),0), INDEX($V$1004:$AE$1004,1,MATCH(COLUMNS($V$1006:Y1006),$V$1006:$AE$1006,0)))),"Fix")))</f>
        <v>0</v>
      </c>
      <c r="F360" s="4">
        <f>IF(OR(INDEX($P$2:$P$1001,MATCH(ROWS($O$2:O360),$O$2:$O$1001,0),1)&gt;=100000,INDEX($V$1005:$AE$1005,1,MATCH(COLUMNS($V$1006:Z1006),$V$1006:$AE$1006,0))&gt;=100000), " ",IF(INDEX($V$2:$AE$1001,MATCH(ROWS($O$2:O360),$O$2:$O$1001,0),MATCH(COLUMNS($V$1006:Z1006),$V$1006:$AE$1006,0)), HYPERLINK("#",""), HYPERLINK(CONCATENATE("#Metadata!", ADDRESS(INDEX($Q$2:$Q$1001,MATCH(ROWS($O$2:O360),$O$2:$O$1001,0),0), INDEX($V$1004:$AE$1004,1,MATCH(COLUMNS($V$1006:Z1006),$V$1006:$AE$1006,0)))),"Fix")))</f>
        <v>0</v>
      </c>
      <c r="G360" s="4">
        <f>IF(OR(INDEX($P$2:$P$1001,MATCH(ROWS($O$2:O360),$O$2:$O$1001,0),1)&gt;=100000,INDEX($V$1005:$AE$1005,1,MATCH(COLUMNS($V$1006:AA1006),$V$1006:$AE$1006,0))&gt;=100000), " ",IF(INDEX($V$2:$AE$1001,MATCH(ROWS($O$2:O360),$O$2:$O$1001,0),MATCH(COLUMNS($V$1006:AA1006),$V$1006:$AE$1006,0)), HYPERLINK("#",""), HYPERLINK(CONCATENATE("#Metadata!", ADDRESS(INDEX($Q$2:$Q$1001,MATCH(ROWS($O$2:O360),$O$2:$O$1001,0),0), INDEX($V$1004:$AE$1004,1,MATCH(COLUMNS($V$1006:AA1006),$V$1006:$AE$1006,0)))),"Fix")))</f>
        <v>0</v>
      </c>
      <c r="H360" s="4">
        <f>IF(OR(INDEX($P$2:$P$1001,MATCH(ROWS($O$2:O360),$O$2:$O$1001,0),1)&gt;=100000,INDEX($V$1005:$AE$1005,1,MATCH(COLUMNS($V$1006:AB1006),$V$1006:$AE$1006,0))&gt;=100000), " ",IF(INDEX($V$2:$AE$1001,MATCH(ROWS($O$2:O360),$O$2:$O$1001,0),MATCH(COLUMNS($V$1006:AB1006),$V$1006:$AE$1006,0)), HYPERLINK("#",""), HYPERLINK(CONCATENATE("#Metadata!", ADDRESS(INDEX($Q$2:$Q$1001,MATCH(ROWS($O$2:O360),$O$2:$O$1001,0),0), INDEX($V$1004:$AE$1004,1,MATCH(COLUMNS($V$1006:AB1006),$V$1006:$AE$1006,0)))),"Fix")))</f>
        <v>0</v>
      </c>
      <c r="I360" s="4">
        <f>IF(OR(INDEX($P$2:$P$1001,MATCH(ROWS($O$2:O360),$O$2:$O$1001,0),1)&gt;=100000,INDEX($V$1005:$AE$1005,1,MATCH(COLUMNS($V$1006:AC1006),$V$1006:$AE$1006,0))&gt;=100000), " ",IF(INDEX($V$2:$AE$1001,MATCH(ROWS($O$2:O360),$O$2:$O$1001,0),MATCH(COLUMNS($V$1006:AC1006),$V$1006:$AE$1006,0)), HYPERLINK("#",""), HYPERLINK(CONCATENATE("#Metadata!", ADDRESS(INDEX($Q$2:$Q$1001,MATCH(ROWS($O$2:O360),$O$2:$O$1001,0),0), INDEX($V$1004:$AE$1004,1,MATCH(COLUMNS($V$1006:AC1006),$V$1006:$AE$1006,0)))),"Fix")))</f>
        <v>0</v>
      </c>
      <c r="J360" s="4">
        <f>IF(OR(INDEX($P$2:$P$1001,MATCH(ROWS($O$2:O360),$O$2:$O$1001,0),1)&gt;=100000,INDEX($V$1005:$AE$1005,1,MATCH(COLUMNS($V$1006:AD1006),$V$1006:$AE$1006,0))&gt;=100000), " ",IF(INDEX($V$2:$AE$1001,MATCH(ROWS($O$2:O360),$O$2:$O$1001,0),MATCH(COLUMNS($V$1006:AD1006),$V$1006:$AE$1006,0)), HYPERLINK("#",""), HYPERLINK(CONCATENATE("#Metadata!", ADDRESS(INDEX($Q$2:$Q$1001,MATCH(ROWS($O$2:O360),$O$2:$O$1001,0),0), INDEX($V$1004:$AE$1004,1,MATCH(COLUMNS($V$1006:AD1006),$V$1006:$AE$1006,0)))),"Fix")))</f>
        <v>0</v>
      </c>
      <c r="K360" s="4">
        <f>IF(OR(INDEX($P$2:$P$1001,MATCH(ROWS($O$2:O360),$O$2:$O$1001,0),1)&gt;=100000,INDEX($V$1005:$AE$1005,1,MATCH(COLUMNS($V$1006:AE1006),$V$1006:$AE$1006,0))&gt;=100000), " ",IF(INDEX($V$2:$AE$1001,MATCH(ROWS($O$2:O360),$O$2:$O$1001,0),MATCH(COLUMNS($V$1006:AE1006),$V$1006:$AE$1006,0)), HYPERLINK("#",""), HYPERLINK(CONCATENATE("#Metadata!", ADDRESS(INDEX($Q$2:$Q$1001,MATCH(ROWS($O$2:O360),$O$2:$O$1001,0),0), INDEX($V$1004:$AE$1004,1,MATCH(COLUMNS($V$1006:AE1006),$V$1006:$AE$1006,0)))),"Fix")))</f>
        <v>0</v>
      </c>
      <c r="O360">
        <v>0</v>
      </c>
      <c r="P360">
        <v>0</v>
      </c>
      <c r="Q360">
        <v>0</v>
      </c>
      <c r="R360">
        <f>IF(S360,TRUE,AND(V360:AE360))</f>
        <v>0</v>
      </c>
      <c r="S360">
        <f>COUNTBLANK(Metadata!B360:K360)=COLUMNS(Metadata!B360:K360)</f>
        <v>0</v>
      </c>
      <c r="T360">
        <v>0</v>
      </c>
      <c r="V360">
        <f>AND(IF(Metadata!B360="",FALSE,TRUE),COUNTIF(Metadata!B:B, Metadata!B360) = 1,NOT(ISERROR(SUMPRODUCT(SEARCH(MID(Metadata!B360,ROW(INDIRECT("1:"&amp;LEN(Metadata!B360))), 1),"0123456789abcdefghijklmnopqrstuvwxyzABCDEFGHIJKLMNOPQRSTUVWXYZ.")))))</f>
        <v>0</v>
      </c>
      <c r="W360">
        <f>AND(IF(Metadata!C360="",FALSE,TRUE),exact(Metadata!C360,"urban biome"))</f>
        <v>0</v>
      </c>
      <c r="X360">
        <f>AND(IF(Metadata!D360="",FALSE,TRUE),exact(Metadata!D360,"animal-associated habitat"))</f>
        <v>0</v>
      </c>
      <c r="Y360">
        <f>OR(AND(IF(Metadata!E360="",FALSE,TRUE),OR(exact(Metadata!E360,"not applicable"),exact(Metadata!E360,"missing: not collected"),exact(Metadata!E360,"missing: not provided"),exact(Metadata!E360,"missing: restricted access"))),AND(IF(Metadata!E360="",FALSE,ISNUMBER(VALUE(Metadata!E360))),Metadata!E360&gt;0))</f>
        <v>0</v>
      </c>
      <c r="Z360">
        <f>AND(IF(Metadata!F360="",FALSE,TRUE),exact(Metadata!F360,"weeks"))</f>
        <v>0</v>
      </c>
      <c r="AA360">
        <f>AND(IF(Metadata!G360="",FALSE,TRUE),exact(Metadata!G360,"mouse"))</f>
        <v>0</v>
      </c>
      <c r="AB360">
        <f>AND(IF(Metadata!H360="",FALSE,TRUE),exact(Metadata!H360,"Mus musculus"))</f>
        <v>0</v>
      </c>
      <c r="AC360">
        <f>AND(IF(Metadata!I360="",FALSE,TRUE),exact(Metadata!I360,"10090"))</f>
        <v>0</v>
      </c>
      <c r="AD360">
        <f>OR(AND(IF(Metadata!J360="",FALSE,TRUE),OR(exact(Metadata!J360,"not applicable"),exact(Metadata!J360,"missing: not collected"),exact(Metadata!J360,"missing: not provided"),exact(Metadata!J360,"missing: restricted access"))),AND(IF(Metadata!J360="",FALSE,ISNUMBER(VALUE(Metadata!J360))),Metadata!J360&gt;0))</f>
        <v>0</v>
      </c>
      <c r="AE360">
        <f>AND(IF(Metadata!K360="",FALSE,TRUE),exact(Metadata!K360,"g"))</f>
        <v>0</v>
      </c>
    </row>
    <row r="361" spans="1:31">
      <c r="A361" s="5">
        <f>IF(B361=" "," ",HYPERLINK(CONCATENATE("#metadata!",ADDRESS(INDEX($Q$2:$Q$1001,MATCH(ROWS($O$2:O361),$O$2:$O$1001,0),0),1)),INDEX($T$2:$T$1001,MATCH(ROWS($O$2:O361),$O$2:$O$1001,0),0)))</f>
        <v>0</v>
      </c>
      <c r="B361" s="4">
        <f>IF(OR(INDEX($P$2:$P$1001,MATCH(ROWS($O$2:O361),$O$2:$O$1001,0),1)&gt;=100000,INDEX($V$1005:$AE$1005,1,MATCH(COLUMNS($V$1006:V1006),$V$1006:$AE$1006,0))&gt;=100000), " ",IF(INDEX($V$2:$AE$1001,MATCH(ROWS($O$2:O361),$O$2:$O$1001,0),MATCH(COLUMNS($V$1006:V1006),$V$1006:$AE$1006,0)), HYPERLINK("#",""), HYPERLINK(CONCATENATE("#Metadata!", ADDRESS(INDEX($Q$2:$Q$1001,MATCH(ROWS($O$2:O361),$O$2:$O$1001,0),0), INDEX($V$1004:$AE$1004,1,MATCH(COLUMNS($V$1006:V1006),$V$1006:$AE$1006,0)))),"Fix")))</f>
        <v>0</v>
      </c>
      <c r="C361" s="4">
        <f>IF(OR(INDEX($P$2:$P$1001,MATCH(ROWS($O$2:O361),$O$2:$O$1001,0),1)&gt;=100000,INDEX($V$1005:$AE$1005,1,MATCH(COLUMNS($V$1006:W1006),$V$1006:$AE$1006,0))&gt;=100000), " ",IF(INDEX($V$2:$AE$1001,MATCH(ROWS($O$2:O361),$O$2:$O$1001,0),MATCH(COLUMNS($V$1006:W1006),$V$1006:$AE$1006,0)), HYPERLINK("#",""), HYPERLINK(CONCATENATE("#Metadata!", ADDRESS(INDEX($Q$2:$Q$1001,MATCH(ROWS($O$2:O361),$O$2:$O$1001,0),0), INDEX($V$1004:$AE$1004,1,MATCH(COLUMNS($V$1006:W1006),$V$1006:$AE$1006,0)))),"Fix")))</f>
        <v>0</v>
      </c>
      <c r="D361" s="4">
        <f>IF(OR(INDEX($P$2:$P$1001,MATCH(ROWS($O$2:O361),$O$2:$O$1001,0),1)&gt;=100000,INDEX($V$1005:$AE$1005,1,MATCH(COLUMNS($V$1006:X1006),$V$1006:$AE$1006,0))&gt;=100000), " ",IF(INDEX($V$2:$AE$1001,MATCH(ROWS($O$2:O361),$O$2:$O$1001,0),MATCH(COLUMNS($V$1006:X1006),$V$1006:$AE$1006,0)), HYPERLINK("#",""), HYPERLINK(CONCATENATE("#Metadata!", ADDRESS(INDEX($Q$2:$Q$1001,MATCH(ROWS($O$2:O361),$O$2:$O$1001,0),0), INDEX($V$1004:$AE$1004,1,MATCH(COLUMNS($V$1006:X1006),$V$1006:$AE$1006,0)))),"Fix")))</f>
        <v>0</v>
      </c>
      <c r="E361" s="4">
        <f>IF(OR(INDEX($P$2:$P$1001,MATCH(ROWS($O$2:O361),$O$2:$O$1001,0),1)&gt;=100000,INDEX($V$1005:$AE$1005,1,MATCH(COLUMNS($V$1006:Y1006),$V$1006:$AE$1006,0))&gt;=100000), " ",IF(INDEX($V$2:$AE$1001,MATCH(ROWS($O$2:O361),$O$2:$O$1001,0),MATCH(COLUMNS($V$1006:Y1006),$V$1006:$AE$1006,0)), HYPERLINK("#",""), HYPERLINK(CONCATENATE("#Metadata!", ADDRESS(INDEX($Q$2:$Q$1001,MATCH(ROWS($O$2:O361),$O$2:$O$1001,0),0), INDEX($V$1004:$AE$1004,1,MATCH(COLUMNS($V$1006:Y1006),$V$1006:$AE$1006,0)))),"Fix")))</f>
        <v>0</v>
      </c>
      <c r="F361" s="4">
        <f>IF(OR(INDEX($P$2:$P$1001,MATCH(ROWS($O$2:O361),$O$2:$O$1001,0),1)&gt;=100000,INDEX($V$1005:$AE$1005,1,MATCH(COLUMNS($V$1006:Z1006),$V$1006:$AE$1006,0))&gt;=100000), " ",IF(INDEX($V$2:$AE$1001,MATCH(ROWS($O$2:O361),$O$2:$O$1001,0),MATCH(COLUMNS($V$1006:Z1006),$V$1006:$AE$1006,0)), HYPERLINK("#",""), HYPERLINK(CONCATENATE("#Metadata!", ADDRESS(INDEX($Q$2:$Q$1001,MATCH(ROWS($O$2:O361),$O$2:$O$1001,0),0), INDEX($V$1004:$AE$1004,1,MATCH(COLUMNS($V$1006:Z1006),$V$1006:$AE$1006,0)))),"Fix")))</f>
        <v>0</v>
      </c>
      <c r="G361" s="4">
        <f>IF(OR(INDEX($P$2:$P$1001,MATCH(ROWS($O$2:O361),$O$2:$O$1001,0),1)&gt;=100000,INDEX($V$1005:$AE$1005,1,MATCH(COLUMNS($V$1006:AA1006),$V$1006:$AE$1006,0))&gt;=100000), " ",IF(INDEX($V$2:$AE$1001,MATCH(ROWS($O$2:O361),$O$2:$O$1001,0),MATCH(COLUMNS($V$1006:AA1006),$V$1006:$AE$1006,0)), HYPERLINK("#",""), HYPERLINK(CONCATENATE("#Metadata!", ADDRESS(INDEX($Q$2:$Q$1001,MATCH(ROWS($O$2:O361),$O$2:$O$1001,0),0), INDEX($V$1004:$AE$1004,1,MATCH(COLUMNS($V$1006:AA1006),$V$1006:$AE$1006,0)))),"Fix")))</f>
        <v>0</v>
      </c>
      <c r="H361" s="4">
        <f>IF(OR(INDEX($P$2:$P$1001,MATCH(ROWS($O$2:O361),$O$2:$O$1001,0),1)&gt;=100000,INDEX($V$1005:$AE$1005,1,MATCH(COLUMNS($V$1006:AB1006),$V$1006:$AE$1006,0))&gt;=100000), " ",IF(INDEX($V$2:$AE$1001,MATCH(ROWS($O$2:O361),$O$2:$O$1001,0),MATCH(COLUMNS($V$1006:AB1006),$V$1006:$AE$1006,0)), HYPERLINK("#",""), HYPERLINK(CONCATENATE("#Metadata!", ADDRESS(INDEX($Q$2:$Q$1001,MATCH(ROWS($O$2:O361),$O$2:$O$1001,0),0), INDEX($V$1004:$AE$1004,1,MATCH(COLUMNS($V$1006:AB1006),$V$1006:$AE$1006,0)))),"Fix")))</f>
        <v>0</v>
      </c>
      <c r="I361" s="4">
        <f>IF(OR(INDEX($P$2:$P$1001,MATCH(ROWS($O$2:O361),$O$2:$O$1001,0),1)&gt;=100000,INDEX($V$1005:$AE$1005,1,MATCH(COLUMNS($V$1006:AC1006),$V$1006:$AE$1006,0))&gt;=100000), " ",IF(INDEX($V$2:$AE$1001,MATCH(ROWS($O$2:O361),$O$2:$O$1001,0),MATCH(COLUMNS($V$1006:AC1006),$V$1006:$AE$1006,0)), HYPERLINK("#",""), HYPERLINK(CONCATENATE("#Metadata!", ADDRESS(INDEX($Q$2:$Q$1001,MATCH(ROWS($O$2:O361),$O$2:$O$1001,0),0), INDEX($V$1004:$AE$1004,1,MATCH(COLUMNS($V$1006:AC1006),$V$1006:$AE$1006,0)))),"Fix")))</f>
        <v>0</v>
      </c>
      <c r="J361" s="4">
        <f>IF(OR(INDEX($P$2:$P$1001,MATCH(ROWS($O$2:O361),$O$2:$O$1001,0),1)&gt;=100000,INDEX($V$1005:$AE$1005,1,MATCH(COLUMNS($V$1006:AD1006),$V$1006:$AE$1006,0))&gt;=100000), " ",IF(INDEX($V$2:$AE$1001,MATCH(ROWS($O$2:O361),$O$2:$O$1001,0),MATCH(COLUMNS($V$1006:AD1006),$V$1006:$AE$1006,0)), HYPERLINK("#",""), HYPERLINK(CONCATENATE("#Metadata!", ADDRESS(INDEX($Q$2:$Q$1001,MATCH(ROWS($O$2:O361),$O$2:$O$1001,0),0), INDEX($V$1004:$AE$1004,1,MATCH(COLUMNS($V$1006:AD1006),$V$1006:$AE$1006,0)))),"Fix")))</f>
        <v>0</v>
      </c>
      <c r="K361" s="4">
        <f>IF(OR(INDEX($P$2:$P$1001,MATCH(ROWS($O$2:O361),$O$2:$O$1001,0),1)&gt;=100000,INDEX($V$1005:$AE$1005,1,MATCH(COLUMNS($V$1006:AE1006),$V$1006:$AE$1006,0))&gt;=100000), " ",IF(INDEX($V$2:$AE$1001,MATCH(ROWS($O$2:O361),$O$2:$O$1001,0),MATCH(COLUMNS($V$1006:AE1006),$V$1006:$AE$1006,0)), HYPERLINK("#",""), HYPERLINK(CONCATENATE("#Metadata!", ADDRESS(INDEX($Q$2:$Q$1001,MATCH(ROWS($O$2:O361),$O$2:$O$1001,0),0), INDEX($V$1004:$AE$1004,1,MATCH(COLUMNS($V$1006:AE1006),$V$1006:$AE$1006,0)))),"Fix")))</f>
        <v>0</v>
      </c>
      <c r="O361">
        <v>0</v>
      </c>
      <c r="P361">
        <v>0</v>
      </c>
      <c r="Q361">
        <v>0</v>
      </c>
      <c r="R361">
        <f>IF(S361,TRUE,AND(V361:AE361))</f>
        <v>0</v>
      </c>
      <c r="S361">
        <f>COUNTBLANK(Metadata!B361:K361)=COLUMNS(Metadata!B361:K361)</f>
        <v>0</v>
      </c>
      <c r="T361">
        <v>0</v>
      </c>
      <c r="V361">
        <f>AND(IF(Metadata!B361="",FALSE,TRUE),COUNTIF(Metadata!B:B, Metadata!B361) = 1,NOT(ISERROR(SUMPRODUCT(SEARCH(MID(Metadata!B361,ROW(INDIRECT("1:"&amp;LEN(Metadata!B361))), 1),"0123456789abcdefghijklmnopqrstuvwxyzABCDEFGHIJKLMNOPQRSTUVWXYZ.")))))</f>
        <v>0</v>
      </c>
      <c r="W361">
        <f>AND(IF(Metadata!C361="",FALSE,TRUE),exact(Metadata!C361,"urban biome"))</f>
        <v>0</v>
      </c>
      <c r="X361">
        <f>AND(IF(Metadata!D361="",FALSE,TRUE),exact(Metadata!D361,"animal-associated habitat"))</f>
        <v>0</v>
      </c>
      <c r="Y361">
        <f>OR(AND(IF(Metadata!E361="",FALSE,TRUE),OR(exact(Metadata!E361,"not applicable"),exact(Metadata!E361,"missing: not collected"),exact(Metadata!E361,"missing: not provided"),exact(Metadata!E361,"missing: restricted access"))),AND(IF(Metadata!E361="",FALSE,ISNUMBER(VALUE(Metadata!E361))),Metadata!E361&gt;0))</f>
        <v>0</v>
      </c>
      <c r="Z361">
        <f>AND(IF(Metadata!F361="",FALSE,TRUE),exact(Metadata!F361,"weeks"))</f>
        <v>0</v>
      </c>
      <c r="AA361">
        <f>AND(IF(Metadata!G361="",FALSE,TRUE),exact(Metadata!G361,"mouse"))</f>
        <v>0</v>
      </c>
      <c r="AB361">
        <f>AND(IF(Metadata!H361="",FALSE,TRUE),exact(Metadata!H361,"Mus musculus"))</f>
        <v>0</v>
      </c>
      <c r="AC361">
        <f>AND(IF(Metadata!I361="",FALSE,TRUE),exact(Metadata!I361,"10090"))</f>
        <v>0</v>
      </c>
      <c r="AD361">
        <f>OR(AND(IF(Metadata!J361="",FALSE,TRUE),OR(exact(Metadata!J361,"not applicable"),exact(Metadata!J361,"missing: not collected"),exact(Metadata!J361,"missing: not provided"),exact(Metadata!J361,"missing: restricted access"))),AND(IF(Metadata!J361="",FALSE,ISNUMBER(VALUE(Metadata!J361))),Metadata!J361&gt;0))</f>
        <v>0</v>
      </c>
      <c r="AE361">
        <f>AND(IF(Metadata!K361="",FALSE,TRUE),exact(Metadata!K361,"g"))</f>
        <v>0</v>
      </c>
    </row>
    <row r="362" spans="1:31">
      <c r="A362" s="5">
        <f>IF(B362=" "," ",HYPERLINK(CONCATENATE("#metadata!",ADDRESS(INDEX($Q$2:$Q$1001,MATCH(ROWS($O$2:O362),$O$2:$O$1001,0),0),1)),INDEX($T$2:$T$1001,MATCH(ROWS($O$2:O362),$O$2:$O$1001,0),0)))</f>
        <v>0</v>
      </c>
      <c r="B362" s="4">
        <f>IF(OR(INDEX($P$2:$P$1001,MATCH(ROWS($O$2:O362),$O$2:$O$1001,0),1)&gt;=100000,INDEX($V$1005:$AE$1005,1,MATCH(COLUMNS($V$1006:V1006),$V$1006:$AE$1006,0))&gt;=100000), " ",IF(INDEX($V$2:$AE$1001,MATCH(ROWS($O$2:O362),$O$2:$O$1001,0),MATCH(COLUMNS($V$1006:V1006),$V$1006:$AE$1006,0)), HYPERLINK("#",""), HYPERLINK(CONCATENATE("#Metadata!", ADDRESS(INDEX($Q$2:$Q$1001,MATCH(ROWS($O$2:O362),$O$2:$O$1001,0),0), INDEX($V$1004:$AE$1004,1,MATCH(COLUMNS($V$1006:V1006),$V$1006:$AE$1006,0)))),"Fix")))</f>
        <v>0</v>
      </c>
      <c r="C362" s="4">
        <f>IF(OR(INDEX($P$2:$P$1001,MATCH(ROWS($O$2:O362),$O$2:$O$1001,0),1)&gt;=100000,INDEX($V$1005:$AE$1005,1,MATCH(COLUMNS($V$1006:W1006),$V$1006:$AE$1006,0))&gt;=100000), " ",IF(INDEX($V$2:$AE$1001,MATCH(ROWS($O$2:O362),$O$2:$O$1001,0),MATCH(COLUMNS($V$1006:W1006),$V$1006:$AE$1006,0)), HYPERLINK("#",""), HYPERLINK(CONCATENATE("#Metadata!", ADDRESS(INDEX($Q$2:$Q$1001,MATCH(ROWS($O$2:O362),$O$2:$O$1001,0),0), INDEX($V$1004:$AE$1004,1,MATCH(COLUMNS($V$1006:W1006),$V$1006:$AE$1006,0)))),"Fix")))</f>
        <v>0</v>
      </c>
      <c r="D362" s="4">
        <f>IF(OR(INDEX($P$2:$P$1001,MATCH(ROWS($O$2:O362),$O$2:$O$1001,0),1)&gt;=100000,INDEX($V$1005:$AE$1005,1,MATCH(COLUMNS($V$1006:X1006),$V$1006:$AE$1006,0))&gt;=100000), " ",IF(INDEX($V$2:$AE$1001,MATCH(ROWS($O$2:O362),$O$2:$O$1001,0),MATCH(COLUMNS($V$1006:X1006),$V$1006:$AE$1006,0)), HYPERLINK("#",""), HYPERLINK(CONCATENATE("#Metadata!", ADDRESS(INDEX($Q$2:$Q$1001,MATCH(ROWS($O$2:O362),$O$2:$O$1001,0),0), INDEX($V$1004:$AE$1004,1,MATCH(COLUMNS($V$1006:X1006),$V$1006:$AE$1006,0)))),"Fix")))</f>
        <v>0</v>
      </c>
      <c r="E362" s="4">
        <f>IF(OR(INDEX($P$2:$P$1001,MATCH(ROWS($O$2:O362),$O$2:$O$1001,0),1)&gt;=100000,INDEX($V$1005:$AE$1005,1,MATCH(COLUMNS($V$1006:Y1006),$V$1006:$AE$1006,0))&gt;=100000), " ",IF(INDEX($V$2:$AE$1001,MATCH(ROWS($O$2:O362),$O$2:$O$1001,0),MATCH(COLUMNS($V$1006:Y1006),$V$1006:$AE$1006,0)), HYPERLINK("#",""), HYPERLINK(CONCATENATE("#Metadata!", ADDRESS(INDEX($Q$2:$Q$1001,MATCH(ROWS($O$2:O362),$O$2:$O$1001,0),0), INDEX($V$1004:$AE$1004,1,MATCH(COLUMNS($V$1006:Y1006),$V$1006:$AE$1006,0)))),"Fix")))</f>
        <v>0</v>
      </c>
      <c r="F362" s="4">
        <f>IF(OR(INDEX($P$2:$P$1001,MATCH(ROWS($O$2:O362),$O$2:$O$1001,0),1)&gt;=100000,INDEX($V$1005:$AE$1005,1,MATCH(COLUMNS($V$1006:Z1006),$V$1006:$AE$1006,0))&gt;=100000), " ",IF(INDEX($V$2:$AE$1001,MATCH(ROWS($O$2:O362),$O$2:$O$1001,0),MATCH(COLUMNS($V$1006:Z1006),$V$1006:$AE$1006,0)), HYPERLINK("#",""), HYPERLINK(CONCATENATE("#Metadata!", ADDRESS(INDEX($Q$2:$Q$1001,MATCH(ROWS($O$2:O362),$O$2:$O$1001,0),0), INDEX($V$1004:$AE$1004,1,MATCH(COLUMNS($V$1006:Z1006),$V$1006:$AE$1006,0)))),"Fix")))</f>
        <v>0</v>
      </c>
      <c r="G362" s="4">
        <f>IF(OR(INDEX($P$2:$P$1001,MATCH(ROWS($O$2:O362),$O$2:$O$1001,0),1)&gt;=100000,INDEX($V$1005:$AE$1005,1,MATCH(COLUMNS($V$1006:AA1006),$V$1006:$AE$1006,0))&gt;=100000), " ",IF(INDEX($V$2:$AE$1001,MATCH(ROWS($O$2:O362),$O$2:$O$1001,0),MATCH(COLUMNS($V$1006:AA1006),$V$1006:$AE$1006,0)), HYPERLINK("#",""), HYPERLINK(CONCATENATE("#Metadata!", ADDRESS(INDEX($Q$2:$Q$1001,MATCH(ROWS($O$2:O362),$O$2:$O$1001,0),0), INDEX($V$1004:$AE$1004,1,MATCH(COLUMNS($V$1006:AA1006),$V$1006:$AE$1006,0)))),"Fix")))</f>
        <v>0</v>
      </c>
      <c r="H362" s="4">
        <f>IF(OR(INDEX($P$2:$P$1001,MATCH(ROWS($O$2:O362),$O$2:$O$1001,0),1)&gt;=100000,INDEX($V$1005:$AE$1005,1,MATCH(COLUMNS($V$1006:AB1006),$V$1006:$AE$1006,0))&gt;=100000), " ",IF(INDEX($V$2:$AE$1001,MATCH(ROWS($O$2:O362),$O$2:$O$1001,0),MATCH(COLUMNS($V$1006:AB1006),$V$1006:$AE$1006,0)), HYPERLINK("#",""), HYPERLINK(CONCATENATE("#Metadata!", ADDRESS(INDEX($Q$2:$Q$1001,MATCH(ROWS($O$2:O362),$O$2:$O$1001,0),0), INDEX($V$1004:$AE$1004,1,MATCH(COLUMNS($V$1006:AB1006),$V$1006:$AE$1006,0)))),"Fix")))</f>
        <v>0</v>
      </c>
      <c r="I362" s="4">
        <f>IF(OR(INDEX($P$2:$P$1001,MATCH(ROWS($O$2:O362),$O$2:$O$1001,0),1)&gt;=100000,INDEX($V$1005:$AE$1005,1,MATCH(COLUMNS($V$1006:AC1006),$V$1006:$AE$1006,0))&gt;=100000), " ",IF(INDEX($V$2:$AE$1001,MATCH(ROWS($O$2:O362),$O$2:$O$1001,0),MATCH(COLUMNS($V$1006:AC1006),$V$1006:$AE$1006,0)), HYPERLINK("#",""), HYPERLINK(CONCATENATE("#Metadata!", ADDRESS(INDEX($Q$2:$Q$1001,MATCH(ROWS($O$2:O362),$O$2:$O$1001,0),0), INDEX($V$1004:$AE$1004,1,MATCH(COLUMNS($V$1006:AC1006),$V$1006:$AE$1006,0)))),"Fix")))</f>
        <v>0</v>
      </c>
      <c r="J362" s="4">
        <f>IF(OR(INDEX($P$2:$P$1001,MATCH(ROWS($O$2:O362),$O$2:$O$1001,0),1)&gt;=100000,INDEX($V$1005:$AE$1005,1,MATCH(COLUMNS($V$1006:AD1006),$V$1006:$AE$1006,0))&gt;=100000), " ",IF(INDEX($V$2:$AE$1001,MATCH(ROWS($O$2:O362),$O$2:$O$1001,0),MATCH(COLUMNS($V$1006:AD1006),$V$1006:$AE$1006,0)), HYPERLINK("#",""), HYPERLINK(CONCATENATE("#Metadata!", ADDRESS(INDEX($Q$2:$Q$1001,MATCH(ROWS($O$2:O362),$O$2:$O$1001,0),0), INDEX($V$1004:$AE$1004,1,MATCH(COLUMNS($V$1006:AD1006),$V$1006:$AE$1006,0)))),"Fix")))</f>
        <v>0</v>
      </c>
      <c r="K362" s="4">
        <f>IF(OR(INDEX($P$2:$P$1001,MATCH(ROWS($O$2:O362),$O$2:$O$1001,0),1)&gt;=100000,INDEX($V$1005:$AE$1005,1,MATCH(COLUMNS($V$1006:AE1006),$V$1006:$AE$1006,0))&gt;=100000), " ",IF(INDEX($V$2:$AE$1001,MATCH(ROWS($O$2:O362),$O$2:$O$1001,0),MATCH(COLUMNS($V$1006:AE1006),$V$1006:$AE$1006,0)), HYPERLINK("#",""), HYPERLINK(CONCATENATE("#Metadata!", ADDRESS(INDEX($Q$2:$Q$1001,MATCH(ROWS($O$2:O362),$O$2:$O$1001,0),0), INDEX($V$1004:$AE$1004,1,MATCH(COLUMNS($V$1006:AE1006),$V$1006:$AE$1006,0)))),"Fix")))</f>
        <v>0</v>
      </c>
      <c r="O362">
        <v>0</v>
      </c>
      <c r="P362">
        <v>0</v>
      </c>
      <c r="Q362">
        <v>0</v>
      </c>
      <c r="R362">
        <f>IF(S362,TRUE,AND(V362:AE362))</f>
        <v>0</v>
      </c>
      <c r="S362">
        <f>COUNTBLANK(Metadata!B362:K362)=COLUMNS(Metadata!B362:K362)</f>
        <v>0</v>
      </c>
      <c r="T362">
        <v>0</v>
      </c>
      <c r="V362">
        <f>AND(IF(Metadata!B362="",FALSE,TRUE),COUNTIF(Metadata!B:B, Metadata!B362) = 1,NOT(ISERROR(SUMPRODUCT(SEARCH(MID(Metadata!B362,ROW(INDIRECT("1:"&amp;LEN(Metadata!B362))), 1),"0123456789abcdefghijklmnopqrstuvwxyzABCDEFGHIJKLMNOPQRSTUVWXYZ.")))))</f>
        <v>0</v>
      </c>
      <c r="W362">
        <f>AND(IF(Metadata!C362="",FALSE,TRUE),exact(Metadata!C362,"urban biome"))</f>
        <v>0</v>
      </c>
      <c r="X362">
        <f>AND(IF(Metadata!D362="",FALSE,TRUE),exact(Metadata!D362,"animal-associated habitat"))</f>
        <v>0</v>
      </c>
      <c r="Y362">
        <f>OR(AND(IF(Metadata!E362="",FALSE,TRUE),OR(exact(Metadata!E362,"not applicable"),exact(Metadata!E362,"missing: not collected"),exact(Metadata!E362,"missing: not provided"),exact(Metadata!E362,"missing: restricted access"))),AND(IF(Metadata!E362="",FALSE,ISNUMBER(VALUE(Metadata!E362))),Metadata!E362&gt;0))</f>
        <v>0</v>
      </c>
      <c r="Z362">
        <f>AND(IF(Metadata!F362="",FALSE,TRUE),exact(Metadata!F362,"weeks"))</f>
        <v>0</v>
      </c>
      <c r="AA362">
        <f>AND(IF(Metadata!G362="",FALSE,TRUE),exact(Metadata!G362,"mouse"))</f>
        <v>0</v>
      </c>
      <c r="AB362">
        <f>AND(IF(Metadata!H362="",FALSE,TRUE),exact(Metadata!H362,"Mus musculus"))</f>
        <v>0</v>
      </c>
      <c r="AC362">
        <f>AND(IF(Metadata!I362="",FALSE,TRUE),exact(Metadata!I362,"10090"))</f>
        <v>0</v>
      </c>
      <c r="AD362">
        <f>OR(AND(IF(Metadata!J362="",FALSE,TRUE),OR(exact(Metadata!J362,"not applicable"),exact(Metadata!J362,"missing: not collected"),exact(Metadata!J362,"missing: not provided"),exact(Metadata!J362,"missing: restricted access"))),AND(IF(Metadata!J362="",FALSE,ISNUMBER(VALUE(Metadata!J362))),Metadata!J362&gt;0))</f>
        <v>0</v>
      </c>
      <c r="AE362">
        <f>AND(IF(Metadata!K362="",FALSE,TRUE),exact(Metadata!K362,"g"))</f>
        <v>0</v>
      </c>
    </row>
    <row r="363" spans="1:31">
      <c r="A363" s="5">
        <f>IF(B363=" "," ",HYPERLINK(CONCATENATE("#metadata!",ADDRESS(INDEX($Q$2:$Q$1001,MATCH(ROWS($O$2:O363),$O$2:$O$1001,0),0),1)),INDEX($T$2:$T$1001,MATCH(ROWS($O$2:O363),$O$2:$O$1001,0),0)))</f>
        <v>0</v>
      </c>
      <c r="B363" s="4">
        <f>IF(OR(INDEX($P$2:$P$1001,MATCH(ROWS($O$2:O363),$O$2:$O$1001,0),1)&gt;=100000,INDEX($V$1005:$AE$1005,1,MATCH(COLUMNS($V$1006:V1006),$V$1006:$AE$1006,0))&gt;=100000), " ",IF(INDEX($V$2:$AE$1001,MATCH(ROWS($O$2:O363),$O$2:$O$1001,0),MATCH(COLUMNS($V$1006:V1006),$V$1006:$AE$1006,0)), HYPERLINK("#",""), HYPERLINK(CONCATENATE("#Metadata!", ADDRESS(INDEX($Q$2:$Q$1001,MATCH(ROWS($O$2:O363),$O$2:$O$1001,0),0), INDEX($V$1004:$AE$1004,1,MATCH(COLUMNS($V$1006:V1006),$V$1006:$AE$1006,0)))),"Fix")))</f>
        <v>0</v>
      </c>
      <c r="C363" s="4">
        <f>IF(OR(INDEX($P$2:$P$1001,MATCH(ROWS($O$2:O363),$O$2:$O$1001,0),1)&gt;=100000,INDEX($V$1005:$AE$1005,1,MATCH(COLUMNS($V$1006:W1006),$V$1006:$AE$1006,0))&gt;=100000), " ",IF(INDEX($V$2:$AE$1001,MATCH(ROWS($O$2:O363),$O$2:$O$1001,0),MATCH(COLUMNS($V$1006:W1006),$V$1006:$AE$1006,0)), HYPERLINK("#",""), HYPERLINK(CONCATENATE("#Metadata!", ADDRESS(INDEX($Q$2:$Q$1001,MATCH(ROWS($O$2:O363),$O$2:$O$1001,0),0), INDEX($V$1004:$AE$1004,1,MATCH(COLUMNS($V$1006:W1006),$V$1006:$AE$1006,0)))),"Fix")))</f>
        <v>0</v>
      </c>
      <c r="D363" s="4">
        <f>IF(OR(INDEX($P$2:$P$1001,MATCH(ROWS($O$2:O363),$O$2:$O$1001,0),1)&gt;=100000,INDEX($V$1005:$AE$1005,1,MATCH(COLUMNS($V$1006:X1006),$V$1006:$AE$1006,0))&gt;=100000), " ",IF(INDEX($V$2:$AE$1001,MATCH(ROWS($O$2:O363),$O$2:$O$1001,0),MATCH(COLUMNS($V$1006:X1006),$V$1006:$AE$1006,0)), HYPERLINK("#",""), HYPERLINK(CONCATENATE("#Metadata!", ADDRESS(INDEX($Q$2:$Q$1001,MATCH(ROWS($O$2:O363),$O$2:$O$1001,0),0), INDEX($V$1004:$AE$1004,1,MATCH(COLUMNS($V$1006:X1006),$V$1006:$AE$1006,0)))),"Fix")))</f>
        <v>0</v>
      </c>
      <c r="E363" s="4">
        <f>IF(OR(INDEX($P$2:$P$1001,MATCH(ROWS($O$2:O363),$O$2:$O$1001,0),1)&gt;=100000,INDEX($V$1005:$AE$1005,1,MATCH(COLUMNS($V$1006:Y1006),$V$1006:$AE$1006,0))&gt;=100000), " ",IF(INDEX($V$2:$AE$1001,MATCH(ROWS($O$2:O363),$O$2:$O$1001,0),MATCH(COLUMNS($V$1006:Y1006),$V$1006:$AE$1006,0)), HYPERLINK("#",""), HYPERLINK(CONCATENATE("#Metadata!", ADDRESS(INDEX($Q$2:$Q$1001,MATCH(ROWS($O$2:O363),$O$2:$O$1001,0),0), INDEX($V$1004:$AE$1004,1,MATCH(COLUMNS($V$1006:Y1006),$V$1006:$AE$1006,0)))),"Fix")))</f>
        <v>0</v>
      </c>
      <c r="F363" s="4">
        <f>IF(OR(INDEX($P$2:$P$1001,MATCH(ROWS($O$2:O363),$O$2:$O$1001,0),1)&gt;=100000,INDEX($V$1005:$AE$1005,1,MATCH(COLUMNS($V$1006:Z1006),$V$1006:$AE$1006,0))&gt;=100000), " ",IF(INDEX($V$2:$AE$1001,MATCH(ROWS($O$2:O363),$O$2:$O$1001,0),MATCH(COLUMNS($V$1006:Z1006),$V$1006:$AE$1006,0)), HYPERLINK("#",""), HYPERLINK(CONCATENATE("#Metadata!", ADDRESS(INDEX($Q$2:$Q$1001,MATCH(ROWS($O$2:O363),$O$2:$O$1001,0),0), INDEX($V$1004:$AE$1004,1,MATCH(COLUMNS($V$1006:Z1006),$V$1006:$AE$1006,0)))),"Fix")))</f>
        <v>0</v>
      </c>
      <c r="G363" s="4">
        <f>IF(OR(INDEX($P$2:$P$1001,MATCH(ROWS($O$2:O363),$O$2:$O$1001,0),1)&gt;=100000,INDEX($V$1005:$AE$1005,1,MATCH(COLUMNS($V$1006:AA1006),$V$1006:$AE$1006,0))&gt;=100000), " ",IF(INDEX($V$2:$AE$1001,MATCH(ROWS($O$2:O363),$O$2:$O$1001,0),MATCH(COLUMNS($V$1006:AA1006),$V$1006:$AE$1006,0)), HYPERLINK("#",""), HYPERLINK(CONCATENATE("#Metadata!", ADDRESS(INDEX($Q$2:$Q$1001,MATCH(ROWS($O$2:O363),$O$2:$O$1001,0),0), INDEX($V$1004:$AE$1004,1,MATCH(COLUMNS($V$1006:AA1006),$V$1006:$AE$1006,0)))),"Fix")))</f>
        <v>0</v>
      </c>
      <c r="H363" s="4">
        <f>IF(OR(INDEX($P$2:$P$1001,MATCH(ROWS($O$2:O363),$O$2:$O$1001,0),1)&gt;=100000,INDEX($V$1005:$AE$1005,1,MATCH(COLUMNS($V$1006:AB1006),$V$1006:$AE$1006,0))&gt;=100000), " ",IF(INDEX($V$2:$AE$1001,MATCH(ROWS($O$2:O363),$O$2:$O$1001,0),MATCH(COLUMNS($V$1006:AB1006),$V$1006:$AE$1006,0)), HYPERLINK("#",""), HYPERLINK(CONCATENATE("#Metadata!", ADDRESS(INDEX($Q$2:$Q$1001,MATCH(ROWS($O$2:O363),$O$2:$O$1001,0),0), INDEX($V$1004:$AE$1004,1,MATCH(COLUMNS($V$1006:AB1006),$V$1006:$AE$1006,0)))),"Fix")))</f>
        <v>0</v>
      </c>
      <c r="I363" s="4">
        <f>IF(OR(INDEX($P$2:$P$1001,MATCH(ROWS($O$2:O363),$O$2:$O$1001,0),1)&gt;=100000,INDEX($V$1005:$AE$1005,1,MATCH(COLUMNS($V$1006:AC1006),$V$1006:$AE$1006,0))&gt;=100000), " ",IF(INDEX($V$2:$AE$1001,MATCH(ROWS($O$2:O363),$O$2:$O$1001,0),MATCH(COLUMNS($V$1006:AC1006),$V$1006:$AE$1006,0)), HYPERLINK("#",""), HYPERLINK(CONCATENATE("#Metadata!", ADDRESS(INDEX($Q$2:$Q$1001,MATCH(ROWS($O$2:O363),$O$2:$O$1001,0),0), INDEX($V$1004:$AE$1004,1,MATCH(COLUMNS($V$1006:AC1006),$V$1006:$AE$1006,0)))),"Fix")))</f>
        <v>0</v>
      </c>
      <c r="J363" s="4">
        <f>IF(OR(INDEX($P$2:$P$1001,MATCH(ROWS($O$2:O363),$O$2:$O$1001,0),1)&gt;=100000,INDEX($V$1005:$AE$1005,1,MATCH(COLUMNS($V$1006:AD1006),$V$1006:$AE$1006,0))&gt;=100000), " ",IF(INDEX($V$2:$AE$1001,MATCH(ROWS($O$2:O363),$O$2:$O$1001,0),MATCH(COLUMNS($V$1006:AD1006),$V$1006:$AE$1006,0)), HYPERLINK("#",""), HYPERLINK(CONCATENATE("#Metadata!", ADDRESS(INDEX($Q$2:$Q$1001,MATCH(ROWS($O$2:O363),$O$2:$O$1001,0),0), INDEX($V$1004:$AE$1004,1,MATCH(COLUMNS($V$1006:AD1006),$V$1006:$AE$1006,0)))),"Fix")))</f>
        <v>0</v>
      </c>
      <c r="K363" s="4">
        <f>IF(OR(INDEX($P$2:$P$1001,MATCH(ROWS($O$2:O363),$O$2:$O$1001,0),1)&gt;=100000,INDEX($V$1005:$AE$1005,1,MATCH(COLUMNS($V$1006:AE1006),$V$1006:$AE$1006,0))&gt;=100000), " ",IF(INDEX($V$2:$AE$1001,MATCH(ROWS($O$2:O363),$O$2:$O$1001,0),MATCH(COLUMNS($V$1006:AE1006),$V$1006:$AE$1006,0)), HYPERLINK("#",""), HYPERLINK(CONCATENATE("#Metadata!", ADDRESS(INDEX($Q$2:$Q$1001,MATCH(ROWS($O$2:O363),$O$2:$O$1001,0),0), INDEX($V$1004:$AE$1004,1,MATCH(COLUMNS($V$1006:AE1006),$V$1006:$AE$1006,0)))),"Fix")))</f>
        <v>0</v>
      </c>
      <c r="O363">
        <v>0</v>
      </c>
      <c r="P363">
        <v>0</v>
      </c>
      <c r="Q363">
        <v>0</v>
      </c>
      <c r="R363">
        <f>IF(S363,TRUE,AND(V363:AE363))</f>
        <v>0</v>
      </c>
      <c r="S363">
        <f>COUNTBLANK(Metadata!B363:K363)=COLUMNS(Metadata!B363:K363)</f>
        <v>0</v>
      </c>
      <c r="T363">
        <v>0</v>
      </c>
      <c r="V363">
        <f>AND(IF(Metadata!B363="",FALSE,TRUE),COUNTIF(Metadata!B:B, Metadata!B363) = 1,NOT(ISERROR(SUMPRODUCT(SEARCH(MID(Metadata!B363,ROW(INDIRECT("1:"&amp;LEN(Metadata!B363))), 1),"0123456789abcdefghijklmnopqrstuvwxyzABCDEFGHIJKLMNOPQRSTUVWXYZ.")))))</f>
        <v>0</v>
      </c>
      <c r="W363">
        <f>AND(IF(Metadata!C363="",FALSE,TRUE),exact(Metadata!C363,"urban biome"))</f>
        <v>0</v>
      </c>
      <c r="X363">
        <f>AND(IF(Metadata!D363="",FALSE,TRUE),exact(Metadata!D363,"animal-associated habitat"))</f>
        <v>0</v>
      </c>
      <c r="Y363">
        <f>OR(AND(IF(Metadata!E363="",FALSE,TRUE),OR(exact(Metadata!E363,"not applicable"),exact(Metadata!E363,"missing: not collected"),exact(Metadata!E363,"missing: not provided"),exact(Metadata!E363,"missing: restricted access"))),AND(IF(Metadata!E363="",FALSE,ISNUMBER(VALUE(Metadata!E363))),Metadata!E363&gt;0))</f>
        <v>0</v>
      </c>
      <c r="Z363">
        <f>AND(IF(Metadata!F363="",FALSE,TRUE),exact(Metadata!F363,"weeks"))</f>
        <v>0</v>
      </c>
      <c r="AA363">
        <f>AND(IF(Metadata!G363="",FALSE,TRUE),exact(Metadata!G363,"mouse"))</f>
        <v>0</v>
      </c>
      <c r="AB363">
        <f>AND(IF(Metadata!H363="",FALSE,TRUE),exact(Metadata!H363,"Mus musculus"))</f>
        <v>0</v>
      </c>
      <c r="AC363">
        <f>AND(IF(Metadata!I363="",FALSE,TRUE),exact(Metadata!I363,"10090"))</f>
        <v>0</v>
      </c>
      <c r="AD363">
        <f>OR(AND(IF(Metadata!J363="",FALSE,TRUE),OR(exact(Metadata!J363,"not applicable"),exact(Metadata!J363,"missing: not collected"),exact(Metadata!J363,"missing: not provided"),exact(Metadata!J363,"missing: restricted access"))),AND(IF(Metadata!J363="",FALSE,ISNUMBER(VALUE(Metadata!J363))),Metadata!J363&gt;0))</f>
        <v>0</v>
      </c>
      <c r="AE363">
        <f>AND(IF(Metadata!K363="",FALSE,TRUE),exact(Metadata!K363,"g"))</f>
        <v>0</v>
      </c>
    </row>
    <row r="364" spans="1:31">
      <c r="A364" s="5">
        <f>IF(B364=" "," ",HYPERLINK(CONCATENATE("#metadata!",ADDRESS(INDEX($Q$2:$Q$1001,MATCH(ROWS($O$2:O364),$O$2:$O$1001,0),0),1)),INDEX($T$2:$T$1001,MATCH(ROWS($O$2:O364),$O$2:$O$1001,0),0)))</f>
        <v>0</v>
      </c>
      <c r="B364" s="4">
        <f>IF(OR(INDEX($P$2:$P$1001,MATCH(ROWS($O$2:O364),$O$2:$O$1001,0),1)&gt;=100000,INDEX($V$1005:$AE$1005,1,MATCH(COLUMNS($V$1006:V1006),$V$1006:$AE$1006,0))&gt;=100000), " ",IF(INDEX($V$2:$AE$1001,MATCH(ROWS($O$2:O364),$O$2:$O$1001,0),MATCH(COLUMNS($V$1006:V1006),$V$1006:$AE$1006,0)), HYPERLINK("#",""), HYPERLINK(CONCATENATE("#Metadata!", ADDRESS(INDEX($Q$2:$Q$1001,MATCH(ROWS($O$2:O364),$O$2:$O$1001,0),0), INDEX($V$1004:$AE$1004,1,MATCH(COLUMNS($V$1006:V1006),$V$1006:$AE$1006,0)))),"Fix")))</f>
        <v>0</v>
      </c>
      <c r="C364" s="4">
        <f>IF(OR(INDEX($P$2:$P$1001,MATCH(ROWS($O$2:O364),$O$2:$O$1001,0),1)&gt;=100000,INDEX($V$1005:$AE$1005,1,MATCH(COLUMNS($V$1006:W1006),$V$1006:$AE$1006,0))&gt;=100000), " ",IF(INDEX($V$2:$AE$1001,MATCH(ROWS($O$2:O364),$O$2:$O$1001,0),MATCH(COLUMNS($V$1006:W1006),$V$1006:$AE$1006,0)), HYPERLINK("#",""), HYPERLINK(CONCATENATE("#Metadata!", ADDRESS(INDEX($Q$2:$Q$1001,MATCH(ROWS($O$2:O364),$O$2:$O$1001,0),0), INDEX($V$1004:$AE$1004,1,MATCH(COLUMNS($V$1006:W1006),$V$1006:$AE$1006,0)))),"Fix")))</f>
        <v>0</v>
      </c>
      <c r="D364" s="4">
        <f>IF(OR(INDEX($P$2:$P$1001,MATCH(ROWS($O$2:O364),$O$2:$O$1001,0),1)&gt;=100000,INDEX($V$1005:$AE$1005,1,MATCH(COLUMNS($V$1006:X1006),$V$1006:$AE$1006,0))&gt;=100000), " ",IF(INDEX($V$2:$AE$1001,MATCH(ROWS($O$2:O364),$O$2:$O$1001,0),MATCH(COLUMNS($V$1006:X1006),$V$1006:$AE$1006,0)), HYPERLINK("#",""), HYPERLINK(CONCATENATE("#Metadata!", ADDRESS(INDEX($Q$2:$Q$1001,MATCH(ROWS($O$2:O364),$O$2:$O$1001,0),0), INDEX($V$1004:$AE$1004,1,MATCH(COLUMNS($V$1006:X1006),$V$1006:$AE$1006,0)))),"Fix")))</f>
        <v>0</v>
      </c>
      <c r="E364" s="4">
        <f>IF(OR(INDEX($P$2:$P$1001,MATCH(ROWS($O$2:O364),$O$2:$O$1001,0),1)&gt;=100000,INDEX($V$1005:$AE$1005,1,MATCH(COLUMNS($V$1006:Y1006),$V$1006:$AE$1006,0))&gt;=100000), " ",IF(INDEX($V$2:$AE$1001,MATCH(ROWS($O$2:O364),$O$2:$O$1001,0),MATCH(COLUMNS($V$1006:Y1006),$V$1006:$AE$1006,0)), HYPERLINK("#",""), HYPERLINK(CONCATENATE("#Metadata!", ADDRESS(INDEX($Q$2:$Q$1001,MATCH(ROWS($O$2:O364),$O$2:$O$1001,0),0), INDEX($V$1004:$AE$1004,1,MATCH(COLUMNS($V$1006:Y1006),$V$1006:$AE$1006,0)))),"Fix")))</f>
        <v>0</v>
      </c>
      <c r="F364" s="4">
        <f>IF(OR(INDEX($P$2:$P$1001,MATCH(ROWS($O$2:O364),$O$2:$O$1001,0),1)&gt;=100000,INDEX($V$1005:$AE$1005,1,MATCH(COLUMNS($V$1006:Z1006),$V$1006:$AE$1006,0))&gt;=100000), " ",IF(INDEX($V$2:$AE$1001,MATCH(ROWS($O$2:O364),$O$2:$O$1001,0),MATCH(COLUMNS($V$1006:Z1006),$V$1006:$AE$1006,0)), HYPERLINK("#",""), HYPERLINK(CONCATENATE("#Metadata!", ADDRESS(INDEX($Q$2:$Q$1001,MATCH(ROWS($O$2:O364),$O$2:$O$1001,0),0), INDEX($V$1004:$AE$1004,1,MATCH(COLUMNS($V$1006:Z1006),$V$1006:$AE$1006,0)))),"Fix")))</f>
        <v>0</v>
      </c>
      <c r="G364" s="4">
        <f>IF(OR(INDEX($P$2:$P$1001,MATCH(ROWS($O$2:O364),$O$2:$O$1001,0),1)&gt;=100000,INDEX($V$1005:$AE$1005,1,MATCH(COLUMNS($V$1006:AA1006),$V$1006:$AE$1006,0))&gt;=100000), " ",IF(INDEX($V$2:$AE$1001,MATCH(ROWS($O$2:O364),$O$2:$O$1001,0),MATCH(COLUMNS($V$1006:AA1006),$V$1006:$AE$1006,0)), HYPERLINK("#",""), HYPERLINK(CONCATENATE("#Metadata!", ADDRESS(INDEX($Q$2:$Q$1001,MATCH(ROWS($O$2:O364),$O$2:$O$1001,0),0), INDEX($V$1004:$AE$1004,1,MATCH(COLUMNS($V$1006:AA1006),$V$1006:$AE$1006,0)))),"Fix")))</f>
        <v>0</v>
      </c>
      <c r="H364" s="4">
        <f>IF(OR(INDEX($P$2:$P$1001,MATCH(ROWS($O$2:O364),$O$2:$O$1001,0),1)&gt;=100000,INDEX($V$1005:$AE$1005,1,MATCH(COLUMNS($V$1006:AB1006),$V$1006:$AE$1006,0))&gt;=100000), " ",IF(INDEX($V$2:$AE$1001,MATCH(ROWS($O$2:O364),$O$2:$O$1001,0),MATCH(COLUMNS($V$1006:AB1006),$V$1006:$AE$1006,0)), HYPERLINK("#",""), HYPERLINK(CONCATENATE("#Metadata!", ADDRESS(INDEX($Q$2:$Q$1001,MATCH(ROWS($O$2:O364),$O$2:$O$1001,0),0), INDEX($V$1004:$AE$1004,1,MATCH(COLUMNS($V$1006:AB1006),$V$1006:$AE$1006,0)))),"Fix")))</f>
        <v>0</v>
      </c>
      <c r="I364" s="4">
        <f>IF(OR(INDEX($P$2:$P$1001,MATCH(ROWS($O$2:O364),$O$2:$O$1001,0),1)&gt;=100000,INDEX($V$1005:$AE$1005,1,MATCH(COLUMNS($V$1006:AC1006),$V$1006:$AE$1006,0))&gt;=100000), " ",IF(INDEX($V$2:$AE$1001,MATCH(ROWS($O$2:O364),$O$2:$O$1001,0),MATCH(COLUMNS($V$1006:AC1006),$V$1006:$AE$1006,0)), HYPERLINK("#",""), HYPERLINK(CONCATENATE("#Metadata!", ADDRESS(INDEX($Q$2:$Q$1001,MATCH(ROWS($O$2:O364),$O$2:$O$1001,0),0), INDEX($V$1004:$AE$1004,1,MATCH(COLUMNS($V$1006:AC1006),$V$1006:$AE$1006,0)))),"Fix")))</f>
        <v>0</v>
      </c>
      <c r="J364" s="4">
        <f>IF(OR(INDEX($P$2:$P$1001,MATCH(ROWS($O$2:O364),$O$2:$O$1001,0),1)&gt;=100000,INDEX($V$1005:$AE$1005,1,MATCH(COLUMNS($V$1006:AD1006),$V$1006:$AE$1006,0))&gt;=100000), " ",IF(INDEX($V$2:$AE$1001,MATCH(ROWS($O$2:O364),$O$2:$O$1001,0),MATCH(COLUMNS($V$1006:AD1006),$V$1006:$AE$1006,0)), HYPERLINK("#",""), HYPERLINK(CONCATENATE("#Metadata!", ADDRESS(INDEX($Q$2:$Q$1001,MATCH(ROWS($O$2:O364),$O$2:$O$1001,0),0), INDEX($V$1004:$AE$1004,1,MATCH(COLUMNS($V$1006:AD1006),$V$1006:$AE$1006,0)))),"Fix")))</f>
        <v>0</v>
      </c>
      <c r="K364" s="4">
        <f>IF(OR(INDEX($P$2:$P$1001,MATCH(ROWS($O$2:O364),$O$2:$O$1001,0),1)&gt;=100000,INDEX($V$1005:$AE$1005,1,MATCH(COLUMNS($V$1006:AE1006),$V$1006:$AE$1006,0))&gt;=100000), " ",IF(INDEX($V$2:$AE$1001,MATCH(ROWS($O$2:O364),$O$2:$O$1001,0),MATCH(COLUMNS($V$1006:AE1006),$V$1006:$AE$1006,0)), HYPERLINK("#",""), HYPERLINK(CONCATENATE("#Metadata!", ADDRESS(INDEX($Q$2:$Q$1001,MATCH(ROWS($O$2:O364),$O$2:$O$1001,0),0), INDEX($V$1004:$AE$1004,1,MATCH(COLUMNS($V$1006:AE1006),$V$1006:$AE$1006,0)))),"Fix")))</f>
        <v>0</v>
      </c>
      <c r="O364">
        <v>0</v>
      </c>
      <c r="P364">
        <v>0</v>
      </c>
      <c r="Q364">
        <v>0</v>
      </c>
      <c r="R364">
        <f>IF(S364,TRUE,AND(V364:AE364))</f>
        <v>0</v>
      </c>
      <c r="S364">
        <f>COUNTBLANK(Metadata!B364:K364)=COLUMNS(Metadata!B364:K364)</f>
        <v>0</v>
      </c>
      <c r="T364">
        <v>0</v>
      </c>
      <c r="V364">
        <f>AND(IF(Metadata!B364="",FALSE,TRUE),COUNTIF(Metadata!B:B, Metadata!B364) = 1,NOT(ISERROR(SUMPRODUCT(SEARCH(MID(Metadata!B364,ROW(INDIRECT("1:"&amp;LEN(Metadata!B364))), 1),"0123456789abcdefghijklmnopqrstuvwxyzABCDEFGHIJKLMNOPQRSTUVWXYZ.")))))</f>
        <v>0</v>
      </c>
      <c r="W364">
        <f>AND(IF(Metadata!C364="",FALSE,TRUE),exact(Metadata!C364,"urban biome"))</f>
        <v>0</v>
      </c>
      <c r="X364">
        <f>AND(IF(Metadata!D364="",FALSE,TRUE),exact(Metadata!D364,"animal-associated habitat"))</f>
        <v>0</v>
      </c>
      <c r="Y364">
        <f>OR(AND(IF(Metadata!E364="",FALSE,TRUE),OR(exact(Metadata!E364,"not applicable"),exact(Metadata!E364,"missing: not collected"),exact(Metadata!E364,"missing: not provided"),exact(Metadata!E364,"missing: restricted access"))),AND(IF(Metadata!E364="",FALSE,ISNUMBER(VALUE(Metadata!E364))),Metadata!E364&gt;0))</f>
        <v>0</v>
      </c>
      <c r="Z364">
        <f>AND(IF(Metadata!F364="",FALSE,TRUE),exact(Metadata!F364,"weeks"))</f>
        <v>0</v>
      </c>
      <c r="AA364">
        <f>AND(IF(Metadata!G364="",FALSE,TRUE),exact(Metadata!G364,"mouse"))</f>
        <v>0</v>
      </c>
      <c r="AB364">
        <f>AND(IF(Metadata!H364="",FALSE,TRUE),exact(Metadata!H364,"Mus musculus"))</f>
        <v>0</v>
      </c>
      <c r="AC364">
        <f>AND(IF(Metadata!I364="",FALSE,TRUE),exact(Metadata!I364,"10090"))</f>
        <v>0</v>
      </c>
      <c r="AD364">
        <f>OR(AND(IF(Metadata!J364="",FALSE,TRUE),OR(exact(Metadata!J364,"not applicable"),exact(Metadata!J364,"missing: not collected"),exact(Metadata!J364,"missing: not provided"),exact(Metadata!J364,"missing: restricted access"))),AND(IF(Metadata!J364="",FALSE,ISNUMBER(VALUE(Metadata!J364))),Metadata!J364&gt;0))</f>
        <v>0</v>
      </c>
      <c r="AE364">
        <f>AND(IF(Metadata!K364="",FALSE,TRUE),exact(Metadata!K364,"g"))</f>
        <v>0</v>
      </c>
    </row>
    <row r="365" spans="1:31">
      <c r="A365" s="5">
        <f>IF(B365=" "," ",HYPERLINK(CONCATENATE("#metadata!",ADDRESS(INDEX($Q$2:$Q$1001,MATCH(ROWS($O$2:O365),$O$2:$O$1001,0),0),1)),INDEX($T$2:$T$1001,MATCH(ROWS($O$2:O365),$O$2:$O$1001,0),0)))</f>
        <v>0</v>
      </c>
      <c r="B365" s="4">
        <f>IF(OR(INDEX($P$2:$P$1001,MATCH(ROWS($O$2:O365),$O$2:$O$1001,0),1)&gt;=100000,INDEX($V$1005:$AE$1005,1,MATCH(COLUMNS($V$1006:V1006),$V$1006:$AE$1006,0))&gt;=100000), " ",IF(INDEX($V$2:$AE$1001,MATCH(ROWS($O$2:O365),$O$2:$O$1001,0),MATCH(COLUMNS($V$1006:V1006),$V$1006:$AE$1006,0)), HYPERLINK("#",""), HYPERLINK(CONCATENATE("#Metadata!", ADDRESS(INDEX($Q$2:$Q$1001,MATCH(ROWS($O$2:O365),$O$2:$O$1001,0),0), INDEX($V$1004:$AE$1004,1,MATCH(COLUMNS($V$1006:V1006),$V$1006:$AE$1006,0)))),"Fix")))</f>
        <v>0</v>
      </c>
      <c r="C365" s="4">
        <f>IF(OR(INDEX($P$2:$P$1001,MATCH(ROWS($O$2:O365),$O$2:$O$1001,0),1)&gt;=100000,INDEX($V$1005:$AE$1005,1,MATCH(COLUMNS($V$1006:W1006),$V$1006:$AE$1006,0))&gt;=100000), " ",IF(INDEX($V$2:$AE$1001,MATCH(ROWS($O$2:O365),$O$2:$O$1001,0),MATCH(COLUMNS($V$1006:W1006),$V$1006:$AE$1006,0)), HYPERLINK("#",""), HYPERLINK(CONCATENATE("#Metadata!", ADDRESS(INDEX($Q$2:$Q$1001,MATCH(ROWS($O$2:O365),$O$2:$O$1001,0),0), INDEX($V$1004:$AE$1004,1,MATCH(COLUMNS($V$1006:W1006),$V$1006:$AE$1006,0)))),"Fix")))</f>
        <v>0</v>
      </c>
      <c r="D365" s="4">
        <f>IF(OR(INDEX($P$2:$P$1001,MATCH(ROWS($O$2:O365),$O$2:$O$1001,0),1)&gt;=100000,INDEX($V$1005:$AE$1005,1,MATCH(COLUMNS($V$1006:X1006),$V$1006:$AE$1006,0))&gt;=100000), " ",IF(INDEX($V$2:$AE$1001,MATCH(ROWS($O$2:O365),$O$2:$O$1001,0),MATCH(COLUMNS($V$1006:X1006),$V$1006:$AE$1006,0)), HYPERLINK("#",""), HYPERLINK(CONCATENATE("#Metadata!", ADDRESS(INDEX($Q$2:$Q$1001,MATCH(ROWS($O$2:O365),$O$2:$O$1001,0),0), INDEX($V$1004:$AE$1004,1,MATCH(COLUMNS($V$1006:X1006),$V$1006:$AE$1006,0)))),"Fix")))</f>
        <v>0</v>
      </c>
      <c r="E365" s="4">
        <f>IF(OR(INDEX($P$2:$P$1001,MATCH(ROWS($O$2:O365),$O$2:$O$1001,0),1)&gt;=100000,INDEX($V$1005:$AE$1005,1,MATCH(COLUMNS($V$1006:Y1006),$V$1006:$AE$1006,0))&gt;=100000), " ",IF(INDEX($V$2:$AE$1001,MATCH(ROWS($O$2:O365),$O$2:$O$1001,0),MATCH(COLUMNS($V$1006:Y1006),$V$1006:$AE$1006,0)), HYPERLINK("#",""), HYPERLINK(CONCATENATE("#Metadata!", ADDRESS(INDEX($Q$2:$Q$1001,MATCH(ROWS($O$2:O365),$O$2:$O$1001,0),0), INDEX($V$1004:$AE$1004,1,MATCH(COLUMNS($V$1006:Y1006),$V$1006:$AE$1006,0)))),"Fix")))</f>
        <v>0</v>
      </c>
      <c r="F365" s="4">
        <f>IF(OR(INDEX($P$2:$P$1001,MATCH(ROWS($O$2:O365),$O$2:$O$1001,0),1)&gt;=100000,INDEX($V$1005:$AE$1005,1,MATCH(COLUMNS($V$1006:Z1006),$V$1006:$AE$1006,0))&gt;=100000), " ",IF(INDEX($V$2:$AE$1001,MATCH(ROWS($O$2:O365),$O$2:$O$1001,0),MATCH(COLUMNS($V$1006:Z1006),$V$1006:$AE$1006,0)), HYPERLINK("#",""), HYPERLINK(CONCATENATE("#Metadata!", ADDRESS(INDEX($Q$2:$Q$1001,MATCH(ROWS($O$2:O365),$O$2:$O$1001,0),0), INDEX($V$1004:$AE$1004,1,MATCH(COLUMNS($V$1006:Z1006),$V$1006:$AE$1006,0)))),"Fix")))</f>
        <v>0</v>
      </c>
      <c r="G365" s="4">
        <f>IF(OR(INDEX($P$2:$P$1001,MATCH(ROWS($O$2:O365),$O$2:$O$1001,0),1)&gt;=100000,INDEX($V$1005:$AE$1005,1,MATCH(COLUMNS($V$1006:AA1006),$V$1006:$AE$1006,0))&gt;=100000), " ",IF(INDEX($V$2:$AE$1001,MATCH(ROWS($O$2:O365),$O$2:$O$1001,0),MATCH(COLUMNS($V$1006:AA1006),$V$1006:$AE$1006,0)), HYPERLINK("#",""), HYPERLINK(CONCATENATE("#Metadata!", ADDRESS(INDEX($Q$2:$Q$1001,MATCH(ROWS($O$2:O365),$O$2:$O$1001,0),0), INDEX($V$1004:$AE$1004,1,MATCH(COLUMNS($V$1006:AA1006),$V$1006:$AE$1006,0)))),"Fix")))</f>
        <v>0</v>
      </c>
      <c r="H365" s="4">
        <f>IF(OR(INDEX($P$2:$P$1001,MATCH(ROWS($O$2:O365),$O$2:$O$1001,0),1)&gt;=100000,INDEX($V$1005:$AE$1005,1,MATCH(COLUMNS($V$1006:AB1006),$V$1006:$AE$1006,0))&gt;=100000), " ",IF(INDEX($V$2:$AE$1001,MATCH(ROWS($O$2:O365),$O$2:$O$1001,0),MATCH(COLUMNS($V$1006:AB1006),$V$1006:$AE$1006,0)), HYPERLINK("#",""), HYPERLINK(CONCATENATE("#Metadata!", ADDRESS(INDEX($Q$2:$Q$1001,MATCH(ROWS($O$2:O365),$O$2:$O$1001,0),0), INDEX($V$1004:$AE$1004,1,MATCH(COLUMNS($V$1006:AB1006),$V$1006:$AE$1006,0)))),"Fix")))</f>
        <v>0</v>
      </c>
      <c r="I365" s="4">
        <f>IF(OR(INDEX($P$2:$P$1001,MATCH(ROWS($O$2:O365),$O$2:$O$1001,0),1)&gt;=100000,INDEX($V$1005:$AE$1005,1,MATCH(COLUMNS($V$1006:AC1006),$V$1006:$AE$1006,0))&gt;=100000), " ",IF(INDEX($V$2:$AE$1001,MATCH(ROWS($O$2:O365),$O$2:$O$1001,0),MATCH(COLUMNS($V$1006:AC1006),$V$1006:$AE$1006,0)), HYPERLINK("#",""), HYPERLINK(CONCATENATE("#Metadata!", ADDRESS(INDEX($Q$2:$Q$1001,MATCH(ROWS($O$2:O365),$O$2:$O$1001,0),0), INDEX($V$1004:$AE$1004,1,MATCH(COLUMNS($V$1006:AC1006),$V$1006:$AE$1006,0)))),"Fix")))</f>
        <v>0</v>
      </c>
      <c r="J365" s="4">
        <f>IF(OR(INDEX($P$2:$P$1001,MATCH(ROWS($O$2:O365),$O$2:$O$1001,0),1)&gt;=100000,INDEX($V$1005:$AE$1005,1,MATCH(COLUMNS($V$1006:AD1006),$V$1006:$AE$1006,0))&gt;=100000), " ",IF(INDEX($V$2:$AE$1001,MATCH(ROWS($O$2:O365),$O$2:$O$1001,0),MATCH(COLUMNS($V$1006:AD1006),$V$1006:$AE$1006,0)), HYPERLINK("#",""), HYPERLINK(CONCATENATE("#Metadata!", ADDRESS(INDEX($Q$2:$Q$1001,MATCH(ROWS($O$2:O365),$O$2:$O$1001,0),0), INDEX($V$1004:$AE$1004,1,MATCH(COLUMNS($V$1006:AD1006),$V$1006:$AE$1006,0)))),"Fix")))</f>
        <v>0</v>
      </c>
      <c r="K365" s="4">
        <f>IF(OR(INDEX($P$2:$P$1001,MATCH(ROWS($O$2:O365),$O$2:$O$1001,0),1)&gt;=100000,INDEX($V$1005:$AE$1005,1,MATCH(COLUMNS($V$1006:AE1006),$V$1006:$AE$1006,0))&gt;=100000), " ",IF(INDEX($V$2:$AE$1001,MATCH(ROWS($O$2:O365),$O$2:$O$1001,0),MATCH(COLUMNS($V$1006:AE1006),$V$1006:$AE$1006,0)), HYPERLINK("#",""), HYPERLINK(CONCATENATE("#Metadata!", ADDRESS(INDEX($Q$2:$Q$1001,MATCH(ROWS($O$2:O365),$O$2:$O$1001,0),0), INDEX($V$1004:$AE$1004,1,MATCH(COLUMNS($V$1006:AE1006),$V$1006:$AE$1006,0)))),"Fix")))</f>
        <v>0</v>
      </c>
      <c r="O365">
        <v>0</v>
      </c>
      <c r="P365">
        <v>0</v>
      </c>
      <c r="Q365">
        <v>0</v>
      </c>
      <c r="R365">
        <f>IF(S365,TRUE,AND(V365:AE365))</f>
        <v>0</v>
      </c>
      <c r="S365">
        <f>COUNTBLANK(Metadata!B365:K365)=COLUMNS(Metadata!B365:K365)</f>
        <v>0</v>
      </c>
      <c r="T365">
        <v>0</v>
      </c>
      <c r="V365">
        <f>AND(IF(Metadata!B365="",FALSE,TRUE),COUNTIF(Metadata!B:B, Metadata!B365) = 1,NOT(ISERROR(SUMPRODUCT(SEARCH(MID(Metadata!B365,ROW(INDIRECT("1:"&amp;LEN(Metadata!B365))), 1),"0123456789abcdefghijklmnopqrstuvwxyzABCDEFGHIJKLMNOPQRSTUVWXYZ.")))))</f>
        <v>0</v>
      </c>
      <c r="W365">
        <f>AND(IF(Metadata!C365="",FALSE,TRUE),exact(Metadata!C365,"urban biome"))</f>
        <v>0</v>
      </c>
      <c r="X365">
        <f>AND(IF(Metadata!D365="",FALSE,TRUE),exact(Metadata!D365,"animal-associated habitat"))</f>
        <v>0</v>
      </c>
      <c r="Y365">
        <f>OR(AND(IF(Metadata!E365="",FALSE,TRUE),OR(exact(Metadata!E365,"not applicable"),exact(Metadata!E365,"missing: not collected"),exact(Metadata!E365,"missing: not provided"),exact(Metadata!E365,"missing: restricted access"))),AND(IF(Metadata!E365="",FALSE,ISNUMBER(VALUE(Metadata!E365))),Metadata!E365&gt;0))</f>
        <v>0</v>
      </c>
      <c r="Z365">
        <f>AND(IF(Metadata!F365="",FALSE,TRUE),exact(Metadata!F365,"weeks"))</f>
        <v>0</v>
      </c>
      <c r="AA365">
        <f>AND(IF(Metadata!G365="",FALSE,TRUE),exact(Metadata!G365,"mouse"))</f>
        <v>0</v>
      </c>
      <c r="AB365">
        <f>AND(IF(Metadata!H365="",FALSE,TRUE),exact(Metadata!H365,"Mus musculus"))</f>
        <v>0</v>
      </c>
      <c r="AC365">
        <f>AND(IF(Metadata!I365="",FALSE,TRUE),exact(Metadata!I365,"10090"))</f>
        <v>0</v>
      </c>
      <c r="AD365">
        <f>OR(AND(IF(Metadata!J365="",FALSE,TRUE),OR(exact(Metadata!J365,"not applicable"),exact(Metadata!J365,"missing: not collected"),exact(Metadata!J365,"missing: not provided"),exact(Metadata!J365,"missing: restricted access"))),AND(IF(Metadata!J365="",FALSE,ISNUMBER(VALUE(Metadata!J365))),Metadata!J365&gt;0))</f>
        <v>0</v>
      </c>
      <c r="AE365">
        <f>AND(IF(Metadata!K365="",FALSE,TRUE),exact(Metadata!K365,"g"))</f>
        <v>0</v>
      </c>
    </row>
    <row r="366" spans="1:31">
      <c r="A366" s="5">
        <f>IF(B366=" "," ",HYPERLINK(CONCATENATE("#metadata!",ADDRESS(INDEX($Q$2:$Q$1001,MATCH(ROWS($O$2:O366),$O$2:$O$1001,0),0),1)),INDEX($T$2:$T$1001,MATCH(ROWS($O$2:O366),$O$2:$O$1001,0),0)))</f>
        <v>0</v>
      </c>
      <c r="B366" s="4">
        <f>IF(OR(INDEX($P$2:$P$1001,MATCH(ROWS($O$2:O366),$O$2:$O$1001,0),1)&gt;=100000,INDEX($V$1005:$AE$1005,1,MATCH(COLUMNS($V$1006:V1006),$V$1006:$AE$1006,0))&gt;=100000), " ",IF(INDEX($V$2:$AE$1001,MATCH(ROWS($O$2:O366),$O$2:$O$1001,0),MATCH(COLUMNS($V$1006:V1006),$V$1006:$AE$1006,0)), HYPERLINK("#",""), HYPERLINK(CONCATENATE("#Metadata!", ADDRESS(INDEX($Q$2:$Q$1001,MATCH(ROWS($O$2:O366),$O$2:$O$1001,0),0), INDEX($V$1004:$AE$1004,1,MATCH(COLUMNS($V$1006:V1006),$V$1006:$AE$1006,0)))),"Fix")))</f>
        <v>0</v>
      </c>
      <c r="C366" s="4">
        <f>IF(OR(INDEX($P$2:$P$1001,MATCH(ROWS($O$2:O366),$O$2:$O$1001,0),1)&gt;=100000,INDEX($V$1005:$AE$1005,1,MATCH(COLUMNS($V$1006:W1006),$V$1006:$AE$1006,0))&gt;=100000), " ",IF(INDEX($V$2:$AE$1001,MATCH(ROWS($O$2:O366),$O$2:$O$1001,0),MATCH(COLUMNS($V$1006:W1006),$V$1006:$AE$1006,0)), HYPERLINK("#",""), HYPERLINK(CONCATENATE("#Metadata!", ADDRESS(INDEX($Q$2:$Q$1001,MATCH(ROWS($O$2:O366),$O$2:$O$1001,0),0), INDEX($V$1004:$AE$1004,1,MATCH(COLUMNS($V$1006:W1006),$V$1006:$AE$1006,0)))),"Fix")))</f>
        <v>0</v>
      </c>
      <c r="D366" s="4">
        <f>IF(OR(INDEX($P$2:$P$1001,MATCH(ROWS($O$2:O366),$O$2:$O$1001,0),1)&gt;=100000,INDEX($V$1005:$AE$1005,1,MATCH(COLUMNS($V$1006:X1006),$V$1006:$AE$1006,0))&gt;=100000), " ",IF(INDEX($V$2:$AE$1001,MATCH(ROWS($O$2:O366),$O$2:$O$1001,0),MATCH(COLUMNS($V$1006:X1006),$V$1006:$AE$1006,0)), HYPERLINK("#",""), HYPERLINK(CONCATENATE("#Metadata!", ADDRESS(INDEX($Q$2:$Q$1001,MATCH(ROWS($O$2:O366),$O$2:$O$1001,0),0), INDEX($V$1004:$AE$1004,1,MATCH(COLUMNS($V$1006:X1006),$V$1006:$AE$1006,0)))),"Fix")))</f>
        <v>0</v>
      </c>
      <c r="E366" s="4">
        <f>IF(OR(INDEX($P$2:$P$1001,MATCH(ROWS($O$2:O366),$O$2:$O$1001,0),1)&gt;=100000,INDEX($V$1005:$AE$1005,1,MATCH(COLUMNS($V$1006:Y1006),$V$1006:$AE$1006,0))&gt;=100000), " ",IF(INDEX($V$2:$AE$1001,MATCH(ROWS($O$2:O366),$O$2:$O$1001,0),MATCH(COLUMNS($V$1006:Y1006),$V$1006:$AE$1006,0)), HYPERLINK("#",""), HYPERLINK(CONCATENATE("#Metadata!", ADDRESS(INDEX($Q$2:$Q$1001,MATCH(ROWS($O$2:O366),$O$2:$O$1001,0),0), INDEX($V$1004:$AE$1004,1,MATCH(COLUMNS($V$1006:Y1006),$V$1006:$AE$1006,0)))),"Fix")))</f>
        <v>0</v>
      </c>
      <c r="F366" s="4">
        <f>IF(OR(INDEX($P$2:$P$1001,MATCH(ROWS($O$2:O366),$O$2:$O$1001,0),1)&gt;=100000,INDEX($V$1005:$AE$1005,1,MATCH(COLUMNS($V$1006:Z1006),$V$1006:$AE$1006,0))&gt;=100000), " ",IF(INDEX($V$2:$AE$1001,MATCH(ROWS($O$2:O366),$O$2:$O$1001,0),MATCH(COLUMNS($V$1006:Z1006),$V$1006:$AE$1006,0)), HYPERLINK("#",""), HYPERLINK(CONCATENATE("#Metadata!", ADDRESS(INDEX($Q$2:$Q$1001,MATCH(ROWS($O$2:O366),$O$2:$O$1001,0),0), INDEX($V$1004:$AE$1004,1,MATCH(COLUMNS($V$1006:Z1006),$V$1006:$AE$1006,0)))),"Fix")))</f>
        <v>0</v>
      </c>
      <c r="G366" s="4">
        <f>IF(OR(INDEX($P$2:$P$1001,MATCH(ROWS($O$2:O366),$O$2:$O$1001,0),1)&gt;=100000,INDEX($V$1005:$AE$1005,1,MATCH(COLUMNS($V$1006:AA1006),$V$1006:$AE$1006,0))&gt;=100000), " ",IF(INDEX($V$2:$AE$1001,MATCH(ROWS($O$2:O366),$O$2:$O$1001,0),MATCH(COLUMNS($V$1006:AA1006),$V$1006:$AE$1006,0)), HYPERLINK("#",""), HYPERLINK(CONCATENATE("#Metadata!", ADDRESS(INDEX($Q$2:$Q$1001,MATCH(ROWS($O$2:O366),$O$2:$O$1001,0),0), INDEX($V$1004:$AE$1004,1,MATCH(COLUMNS($V$1006:AA1006),$V$1006:$AE$1006,0)))),"Fix")))</f>
        <v>0</v>
      </c>
      <c r="H366" s="4">
        <f>IF(OR(INDEX($P$2:$P$1001,MATCH(ROWS($O$2:O366),$O$2:$O$1001,0),1)&gt;=100000,INDEX($V$1005:$AE$1005,1,MATCH(COLUMNS($V$1006:AB1006),$V$1006:$AE$1006,0))&gt;=100000), " ",IF(INDEX($V$2:$AE$1001,MATCH(ROWS($O$2:O366),$O$2:$O$1001,0),MATCH(COLUMNS($V$1006:AB1006),$V$1006:$AE$1006,0)), HYPERLINK("#",""), HYPERLINK(CONCATENATE("#Metadata!", ADDRESS(INDEX($Q$2:$Q$1001,MATCH(ROWS($O$2:O366),$O$2:$O$1001,0),0), INDEX($V$1004:$AE$1004,1,MATCH(COLUMNS($V$1006:AB1006),$V$1006:$AE$1006,0)))),"Fix")))</f>
        <v>0</v>
      </c>
      <c r="I366" s="4">
        <f>IF(OR(INDEX($P$2:$P$1001,MATCH(ROWS($O$2:O366),$O$2:$O$1001,0),1)&gt;=100000,INDEX($V$1005:$AE$1005,1,MATCH(COLUMNS($V$1006:AC1006),$V$1006:$AE$1006,0))&gt;=100000), " ",IF(INDEX($V$2:$AE$1001,MATCH(ROWS($O$2:O366),$O$2:$O$1001,0),MATCH(COLUMNS($V$1006:AC1006),$V$1006:$AE$1006,0)), HYPERLINK("#",""), HYPERLINK(CONCATENATE("#Metadata!", ADDRESS(INDEX($Q$2:$Q$1001,MATCH(ROWS($O$2:O366),$O$2:$O$1001,0),0), INDEX($V$1004:$AE$1004,1,MATCH(COLUMNS($V$1006:AC1006),$V$1006:$AE$1006,0)))),"Fix")))</f>
        <v>0</v>
      </c>
      <c r="J366" s="4">
        <f>IF(OR(INDEX($P$2:$P$1001,MATCH(ROWS($O$2:O366),$O$2:$O$1001,0),1)&gt;=100000,INDEX($V$1005:$AE$1005,1,MATCH(COLUMNS($V$1006:AD1006),$V$1006:$AE$1006,0))&gt;=100000), " ",IF(INDEX($V$2:$AE$1001,MATCH(ROWS($O$2:O366),$O$2:$O$1001,0),MATCH(COLUMNS($V$1006:AD1006),$V$1006:$AE$1006,0)), HYPERLINK("#",""), HYPERLINK(CONCATENATE("#Metadata!", ADDRESS(INDEX($Q$2:$Q$1001,MATCH(ROWS($O$2:O366),$O$2:$O$1001,0),0), INDEX($V$1004:$AE$1004,1,MATCH(COLUMNS($V$1006:AD1006),$V$1006:$AE$1006,0)))),"Fix")))</f>
        <v>0</v>
      </c>
      <c r="K366" s="4">
        <f>IF(OR(INDEX($P$2:$P$1001,MATCH(ROWS($O$2:O366),$O$2:$O$1001,0),1)&gt;=100000,INDEX($V$1005:$AE$1005,1,MATCH(COLUMNS($V$1006:AE1006),$V$1006:$AE$1006,0))&gt;=100000), " ",IF(INDEX($V$2:$AE$1001,MATCH(ROWS($O$2:O366),$O$2:$O$1001,0),MATCH(COLUMNS($V$1006:AE1006),$V$1006:$AE$1006,0)), HYPERLINK("#",""), HYPERLINK(CONCATENATE("#Metadata!", ADDRESS(INDEX($Q$2:$Q$1001,MATCH(ROWS($O$2:O366),$O$2:$O$1001,0),0), INDEX($V$1004:$AE$1004,1,MATCH(COLUMNS($V$1006:AE1006),$V$1006:$AE$1006,0)))),"Fix")))</f>
        <v>0</v>
      </c>
      <c r="O366">
        <v>0</v>
      </c>
      <c r="P366">
        <v>0</v>
      </c>
      <c r="Q366">
        <v>0</v>
      </c>
      <c r="R366">
        <f>IF(S366,TRUE,AND(V366:AE366))</f>
        <v>0</v>
      </c>
      <c r="S366">
        <f>COUNTBLANK(Metadata!B366:K366)=COLUMNS(Metadata!B366:K366)</f>
        <v>0</v>
      </c>
      <c r="T366">
        <v>0</v>
      </c>
      <c r="V366">
        <f>AND(IF(Metadata!B366="",FALSE,TRUE),COUNTIF(Metadata!B:B, Metadata!B366) = 1,NOT(ISERROR(SUMPRODUCT(SEARCH(MID(Metadata!B366,ROW(INDIRECT("1:"&amp;LEN(Metadata!B366))), 1),"0123456789abcdefghijklmnopqrstuvwxyzABCDEFGHIJKLMNOPQRSTUVWXYZ.")))))</f>
        <v>0</v>
      </c>
      <c r="W366">
        <f>AND(IF(Metadata!C366="",FALSE,TRUE),exact(Metadata!C366,"urban biome"))</f>
        <v>0</v>
      </c>
      <c r="X366">
        <f>AND(IF(Metadata!D366="",FALSE,TRUE),exact(Metadata!D366,"animal-associated habitat"))</f>
        <v>0</v>
      </c>
      <c r="Y366">
        <f>OR(AND(IF(Metadata!E366="",FALSE,TRUE),OR(exact(Metadata!E366,"not applicable"),exact(Metadata!E366,"missing: not collected"),exact(Metadata!E366,"missing: not provided"),exact(Metadata!E366,"missing: restricted access"))),AND(IF(Metadata!E366="",FALSE,ISNUMBER(VALUE(Metadata!E366))),Metadata!E366&gt;0))</f>
        <v>0</v>
      </c>
      <c r="Z366">
        <f>AND(IF(Metadata!F366="",FALSE,TRUE),exact(Metadata!F366,"weeks"))</f>
        <v>0</v>
      </c>
      <c r="AA366">
        <f>AND(IF(Metadata!G366="",FALSE,TRUE),exact(Metadata!G366,"mouse"))</f>
        <v>0</v>
      </c>
      <c r="AB366">
        <f>AND(IF(Metadata!H366="",FALSE,TRUE),exact(Metadata!H366,"Mus musculus"))</f>
        <v>0</v>
      </c>
      <c r="AC366">
        <f>AND(IF(Metadata!I366="",FALSE,TRUE),exact(Metadata!I366,"10090"))</f>
        <v>0</v>
      </c>
      <c r="AD366">
        <f>OR(AND(IF(Metadata!J366="",FALSE,TRUE),OR(exact(Metadata!J366,"not applicable"),exact(Metadata!J366,"missing: not collected"),exact(Metadata!J366,"missing: not provided"),exact(Metadata!J366,"missing: restricted access"))),AND(IF(Metadata!J366="",FALSE,ISNUMBER(VALUE(Metadata!J366))),Metadata!J366&gt;0))</f>
        <v>0</v>
      </c>
      <c r="AE366">
        <f>AND(IF(Metadata!K366="",FALSE,TRUE),exact(Metadata!K366,"g"))</f>
        <v>0</v>
      </c>
    </row>
    <row r="367" spans="1:31">
      <c r="A367" s="5">
        <f>IF(B367=" "," ",HYPERLINK(CONCATENATE("#metadata!",ADDRESS(INDEX($Q$2:$Q$1001,MATCH(ROWS($O$2:O367),$O$2:$O$1001,0),0),1)),INDEX($T$2:$T$1001,MATCH(ROWS($O$2:O367),$O$2:$O$1001,0),0)))</f>
        <v>0</v>
      </c>
      <c r="B367" s="4">
        <f>IF(OR(INDEX($P$2:$P$1001,MATCH(ROWS($O$2:O367),$O$2:$O$1001,0),1)&gt;=100000,INDEX($V$1005:$AE$1005,1,MATCH(COLUMNS($V$1006:V1006),$V$1006:$AE$1006,0))&gt;=100000), " ",IF(INDEX($V$2:$AE$1001,MATCH(ROWS($O$2:O367),$O$2:$O$1001,0),MATCH(COLUMNS($V$1006:V1006),$V$1006:$AE$1006,0)), HYPERLINK("#",""), HYPERLINK(CONCATENATE("#Metadata!", ADDRESS(INDEX($Q$2:$Q$1001,MATCH(ROWS($O$2:O367),$O$2:$O$1001,0),0), INDEX($V$1004:$AE$1004,1,MATCH(COLUMNS($V$1006:V1006),$V$1006:$AE$1006,0)))),"Fix")))</f>
        <v>0</v>
      </c>
      <c r="C367" s="4">
        <f>IF(OR(INDEX($P$2:$P$1001,MATCH(ROWS($O$2:O367),$O$2:$O$1001,0),1)&gt;=100000,INDEX($V$1005:$AE$1005,1,MATCH(COLUMNS($V$1006:W1006),$V$1006:$AE$1006,0))&gt;=100000), " ",IF(INDEX($V$2:$AE$1001,MATCH(ROWS($O$2:O367),$O$2:$O$1001,0),MATCH(COLUMNS($V$1006:W1006),$V$1006:$AE$1006,0)), HYPERLINK("#",""), HYPERLINK(CONCATENATE("#Metadata!", ADDRESS(INDEX($Q$2:$Q$1001,MATCH(ROWS($O$2:O367),$O$2:$O$1001,0),0), INDEX($V$1004:$AE$1004,1,MATCH(COLUMNS($V$1006:W1006),$V$1006:$AE$1006,0)))),"Fix")))</f>
        <v>0</v>
      </c>
      <c r="D367" s="4">
        <f>IF(OR(INDEX($P$2:$P$1001,MATCH(ROWS($O$2:O367),$O$2:$O$1001,0),1)&gt;=100000,INDEX($V$1005:$AE$1005,1,MATCH(COLUMNS($V$1006:X1006),$V$1006:$AE$1006,0))&gt;=100000), " ",IF(INDEX($V$2:$AE$1001,MATCH(ROWS($O$2:O367),$O$2:$O$1001,0),MATCH(COLUMNS($V$1006:X1006),$V$1006:$AE$1006,0)), HYPERLINK("#",""), HYPERLINK(CONCATENATE("#Metadata!", ADDRESS(INDEX($Q$2:$Q$1001,MATCH(ROWS($O$2:O367),$O$2:$O$1001,0),0), INDEX($V$1004:$AE$1004,1,MATCH(COLUMNS($V$1006:X1006),$V$1006:$AE$1006,0)))),"Fix")))</f>
        <v>0</v>
      </c>
      <c r="E367" s="4">
        <f>IF(OR(INDEX($P$2:$P$1001,MATCH(ROWS($O$2:O367),$O$2:$O$1001,0),1)&gt;=100000,INDEX($V$1005:$AE$1005,1,MATCH(COLUMNS($V$1006:Y1006),$V$1006:$AE$1006,0))&gt;=100000), " ",IF(INDEX($V$2:$AE$1001,MATCH(ROWS($O$2:O367),$O$2:$O$1001,0),MATCH(COLUMNS($V$1006:Y1006),$V$1006:$AE$1006,0)), HYPERLINK("#",""), HYPERLINK(CONCATENATE("#Metadata!", ADDRESS(INDEX($Q$2:$Q$1001,MATCH(ROWS($O$2:O367),$O$2:$O$1001,0),0), INDEX($V$1004:$AE$1004,1,MATCH(COLUMNS($V$1006:Y1006),$V$1006:$AE$1006,0)))),"Fix")))</f>
        <v>0</v>
      </c>
      <c r="F367" s="4">
        <f>IF(OR(INDEX($P$2:$P$1001,MATCH(ROWS($O$2:O367),$O$2:$O$1001,0),1)&gt;=100000,INDEX($V$1005:$AE$1005,1,MATCH(COLUMNS($V$1006:Z1006),$V$1006:$AE$1006,0))&gt;=100000), " ",IF(INDEX($V$2:$AE$1001,MATCH(ROWS($O$2:O367),$O$2:$O$1001,0),MATCH(COLUMNS($V$1006:Z1006),$V$1006:$AE$1006,0)), HYPERLINK("#",""), HYPERLINK(CONCATENATE("#Metadata!", ADDRESS(INDEX($Q$2:$Q$1001,MATCH(ROWS($O$2:O367),$O$2:$O$1001,0),0), INDEX($V$1004:$AE$1004,1,MATCH(COLUMNS($V$1006:Z1006),$V$1006:$AE$1006,0)))),"Fix")))</f>
        <v>0</v>
      </c>
      <c r="G367" s="4">
        <f>IF(OR(INDEX($P$2:$P$1001,MATCH(ROWS($O$2:O367),$O$2:$O$1001,0),1)&gt;=100000,INDEX($V$1005:$AE$1005,1,MATCH(COLUMNS($V$1006:AA1006),$V$1006:$AE$1006,0))&gt;=100000), " ",IF(INDEX($V$2:$AE$1001,MATCH(ROWS($O$2:O367),$O$2:$O$1001,0),MATCH(COLUMNS($V$1006:AA1006),$V$1006:$AE$1006,0)), HYPERLINK("#",""), HYPERLINK(CONCATENATE("#Metadata!", ADDRESS(INDEX($Q$2:$Q$1001,MATCH(ROWS($O$2:O367),$O$2:$O$1001,0),0), INDEX($V$1004:$AE$1004,1,MATCH(COLUMNS($V$1006:AA1006),$V$1006:$AE$1006,0)))),"Fix")))</f>
        <v>0</v>
      </c>
      <c r="H367" s="4">
        <f>IF(OR(INDEX($P$2:$P$1001,MATCH(ROWS($O$2:O367),$O$2:$O$1001,0),1)&gt;=100000,INDEX($V$1005:$AE$1005,1,MATCH(COLUMNS($V$1006:AB1006),$V$1006:$AE$1006,0))&gt;=100000), " ",IF(INDEX($V$2:$AE$1001,MATCH(ROWS($O$2:O367),$O$2:$O$1001,0),MATCH(COLUMNS($V$1006:AB1006),$V$1006:$AE$1006,0)), HYPERLINK("#",""), HYPERLINK(CONCATENATE("#Metadata!", ADDRESS(INDEX($Q$2:$Q$1001,MATCH(ROWS($O$2:O367),$O$2:$O$1001,0),0), INDEX($V$1004:$AE$1004,1,MATCH(COLUMNS($V$1006:AB1006),$V$1006:$AE$1006,0)))),"Fix")))</f>
        <v>0</v>
      </c>
      <c r="I367" s="4">
        <f>IF(OR(INDEX($P$2:$P$1001,MATCH(ROWS($O$2:O367),$O$2:$O$1001,0),1)&gt;=100000,INDEX($V$1005:$AE$1005,1,MATCH(COLUMNS($V$1006:AC1006),$V$1006:$AE$1006,0))&gt;=100000), " ",IF(INDEX($V$2:$AE$1001,MATCH(ROWS($O$2:O367),$O$2:$O$1001,0),MATCH(COLUMNS($V$1006:AC1006),$V$1006:$AE$1006,0)), HYPERLINK("#",""), HYPERLINK(CONCATENATE("#Metadata!", ADDRESS(INDEX($Q$2:$Q$1001,MATCH(ROWS($O$2:O367),$O$2:$O$1001,0),0), INDEX($V$1004:$AE$1004,1,MATCH(COLUMNS($V$1006:AC1006),$V$1006:$AE$1006,0)))),"Fix")))</f>
        <v>0</v>
      </c>
      <c r="J367" s="4">
        <f>IF(OR(INDEX($P$2:$P$1001,MATCH(ROWS($O$2:O367),$O$2:$O$1001,0),1)&gt;=100000,INDEX($V$1005:$AE$1005,1,MATCH(COLUMNS($V$1006:AD1006),$V$1006:$AE$1006,0))&gt;=100000), " ",IF(INDEX($V$2:$AE$1001,MATCH(ROWS($O$2:O367),$O$2:$O$1001,0),MATCH(COLUMNS($V$1006:AD1006),$V$1006:$AE$1006,0)), HYPERLINK("#",""), HYPERLINK(CONCATENATE("#Metadata!", ADDRESS(INDEX($Q$2:$Q$1001,MATCH(ROWS($O$2:O367),$O$2:$O$1001,0),0), INDEX($V$1004:$AE$1004,1,MATCH(COLUMNS($V$1006:AD1006),$V$1006:$AE$1006,0)))),"Fix")))</f>
        <v>0</v>
      </c>
      <c r="K367" s="4">
        <f>IF(OR(INDEX($P$2:$P$1001,MATCH(ROWS($O$2:O367),$O$2:$O$1001,0),1)&gt;=100000,INDEX($V$1005:$AE$1005,1,MATCH(COLUMNS($V$1006:AE1006),$V$1006:$AE$1006,0))&gt;=100000), " ",IF(INDEX($V$2:$AE$1001,MATCH(ROWS($O$2:O367),$O$2:$O$1001,0),MATCH(COLUMNS($V$1006:AE1006),$V$1006:$AE$1006,0)), HYPERLINK("#",""), HYPERLINK(CONCATENATE("#Metadata!", ADDRESS(INDEX($Q$2:$Q$1001,MATCH(ROWS($O$2:O367),$O$2:$O$1001,0),0), INDEX($V$1004:$AE$1004,1,MATCH(COLUMNS($V$1006:AE1006),$V$1006:$AE$1006,0)))),"Fix")))</f>
        <v>0</v>
      </c>
      <c r="O367">
        <v>0</v>
      </c>
      <c r="P367">
        <v>0</v>
      </c>
      <c r="Q367">
        <v>0</v>
      </c>
      <c r="R367">
        <f>IF(S367,TRUE,AND(V367:AE367))</f>
        <v>0</v>
      </c>
      <c r="S367">
        <f>COUNTBLANK(Metadata!B367:K367)=COLUMNS(Metadata!B367:K367)</f>
        <v>0</v>
      </c>
      <c r="T367">
        <v>0</v>
      </c>
      <c r="V367">
        <f>AND(IF(Metadata!B367="",FALSE,TRUE),COUNTIF(Metadata!B:B, Metadata!B367) = 1,NOT(ISERROR(SUMPRODUCT(SEARCH(MID(Metadata!B367,ROW(INDIRECT("1:"&amp;LEN(Metadata!B367))), 1),"0123456789abcdefghijklmnopqrstuvwxyzABCDEFGHIJKLMNOPQRSTUVWXYZ.")))))</f>
        <v>0</v>
      </c>
      <c r="W367">
        <f>AND(IF(Metadata!C367="",FALSE,TRUE),exact(Metadata!C367,"urban biome"))</f>
        <v>0</v>
      </c>
      <c r="X367">
        <f>AND(IF(Metadata!D367="",FALSE,TRUE),exact(Metadata!D367,"animal-associated habitat"))</f>
        <v>0</v>
      </c>
      <c r="Y367">
        <f>OR(AND(IF(Metadata!E367="",FALSE,TRUE),OR(exact(Metadata!E367,"not applicable"),exact(Metadata!E367,"missing: not collected"),exact(Metadata!E367,"missing: not provided"),exact(Metadata!E367,"missing: restricted access"))),AND(IF(Metadata!E367="",FALSE,ISNUMBER(VALUE(Metadata!E367))),Metadata!E367&gt;0))</f>
        <v>0</v>
      </c>
      <c r="Z367">
        <f>AND(IF(Metadata!F367="",FALSE,TRUE),exact(Metadata!F367,"weeks"))</f>
        <v>0</v>
      </c>
      <c r="AA367">
        <f>AND(IF(Metadata!G367="",FALSE,TRUE),exact(Metadata!G367,"mouse"))</f>
        <v>0</v>
      </c>
      <c r="AB367">
        <f>AND(IF(Metadata!H367="",FALSE,TRUE),exact(Metadata!H367,"Mus musculus"))</f>
        <v>0</v>
      </c>
      <c r="AC367">
        <f>AND(IF(Metadata!I367="",FALSE,TRUE),exact(Metadata!I367,"10090"))</f>
        <v>0</v>
      </c>
      <c r="AD367">
        <f>OR(AND(IF(Metadata!J367="",FALSE,TRUE),OR(exact(Metadata!J367,"not applicable"),exact(Metadata!J367,"missing: not collected"),exact(Metadata!J367,"missing: not provided"),exact(Metadata!J367,"missing: restricted access"))),AND(IF(Metadata!J367="",FALSE,ISNUMBER(VALUE(Metadata!J367))),Metadata!J367&gt;0))</f>
        <v>0</v>
      </c>
      <c r="AE367">
        <f>AND(IF(Metadata!K367="",FALSE,TRUE),exact(Metadata!K367,"g"))</f>
        <v>0</v>
      </c>
    </row>
    <row r="368" spans="1:31">
      <c r="A368" s="5">
        <f>IF(B368=" "," ",HYPERLINK(CONCATENATE("#metadata!",ADDRESS(INDEX($Q$2:$Q$1001,MATCH(ROWS($O$2:O368),$O$2:$O$1001,0),0),1)),INDEX($T$2:$T$1001,MATCH(ROWS($O$2:O368),$O$2:$O$1001,0),0)))</f>
        <v>0</v>
      </c>
      <c r="B368" s="4">
        <f>IF(OR(INDEX($P$2:$P$1001,MATCH(ROWS($O$2:O368),$O$2:$O$1001,0),1)&gt;=100000,INDEX($V$1005:$AE$1005,1,MATCH(COLUMNS($V$1006:V1006),$V$1006:$AE$1006,0))&gt;=100000), " ",IF(INDEX($V$2:$AE$1001,MATCH(ROWS($O$2:O368),$O$2:$O$1001,0),MATCH(COLUMNS($V$1006:V1006),$V$1006:$AE$1006,0)), HYPERLINK("#",""), HYPERLINK(CONCATENATE("#Metadata!", ADDRESS(INDEX($Q$2:$Q$1001,MATCH(ROWS($O$2:O368),$O$2:$O$1001,0),0), INDEX($V$1004:$AE$1004,1,MATCH(COLUMNS($V$1006:V1006),$V$1006:$AE$1006,0)))),"Fix")))</f>
        <v>0</v>
      </c>
      <c r="C368" s="4">
        <f>IF(OR(INDEX($P$2:$P$1001,MATCH(ROWS($O$2:O368),$O$2:$O$1001,0),1)&gt;=100000,INDEX($V$1005:$AE$1005,1,MATCH(COLUMNS($V$1006:W1006),$V$1006:$AE$1006,0))&gt;=100000), " ",IF(INDEX($V$2:$AE$1001,MATCH(ROWS($O$2:O368),$O$2:$O$1001,0),MATCH(COLUMNS($V$1006:W1006),$V$1006:$AE$1006,0)), HYPERLINK("#",""), HYPERLINK(CONCATENATE("#Metadata!", ADDRESS(INDEX($Q$2:$Q$1001,MATCH(ROWS($O$2:O368),$O$2:$O$1001,0),0), INDEX($V$1004:$AE$1004,1,MATCH(COLUMNS($V$1006:W1006),$V$1006:$AE$1006,0)))),"Fix")))</f>
        <v>0</v>
      </c>
      <c r="D368" s="4">
        <f>IF(OR(INDEX($P$2:$P$1001,MATCH(ROWS($O$2:O368),$O$2:$O$1001,0),1)&gt;=100000,INDEX($V$1005:$AE$1005,1,MATCH(COLUMNS($V$1006:X1006),$V$1006:$AE$1006,0))&gt;=100000), " ",IF(INDEX($V$2:$AE$1001,MATCH(ROWS($O$2:O368),$O$2:$O$1001,0),MATCH(COLUMNS($V$1006:X1006),$V$1006:$AE$1006,0)), HYPERLINK("#",""), HYPERLINK(CONCATENATE("#Metadata!", ADDRESS(INDEX($Q$2:$Q$1001,MATCH(ROWS($O$2:O368),$O$2:$O$1001,0),0), INDEX($V$1004:$AE$1004,1,MATCH(COLUMNS($V$1006:X1006),$V$1006:$AE$1006,0)))),"Fix")))</f>
        <v>0</v>
      </c>
      <c r="E368" s="4">
        <f>IF(OR(INDEX($P$2:$P$1001,MATCH(ROWS($O$2:O368),$O$2:$O$1001,0),1)&gt;=100000,INDEX($V$1005:$AE$1005,1,MATCH(COLUMNS($V$1006:Y1006),$V$1006:$AE$1006,0))&gt;=100000), " ",IF(INDEX($V$2:$AE$1001,MATCH(ROWS($O$2:O368),$O$2:$O$1001,0),MATCH(COLUMNS($V$1006:Y1006),$V$1006:$AE$1006,0)), HYPERLINK("#",""), HYPERLINK(CONCATENATE("#Metadata!", ADDRESS(INDEX($Q$2:$Q$1001,MATCH(ROWS($O$2:O368),$O$2:$O$1001,0),0), INDEX($V$1004:$AE$1004,1,MATCH(COLUMNS($V$1006:Y1006),$V$1006:$AE$1006,0)))),"Fix")))</f>
        <v>0</v>
      </c>
      <c r="F368" s="4">
        <f>IF(OR(INDEX($P$2:$P$1001,MATCH(ROWS($O$2:O368),$O$2:$O$1001,0),1)&gt;=100000,INDEX($V$1005:$AE$1005,1,MATCH(COLUMNS($V$1006:Z1006),$V$1006:$AE$1006,0))&gt;=100000), " ",IF(INDEX($V$2:$AE$1001,MATCH(ROWS($O$2:O368),$O$2:$O$1001,0),MATCH(COLUMNS($V$1006:Z1006),$V$1006:$AE$1006,0)), HYPERLINK("#",""), HYPERLINK(CONCATENATE("#Metadata!", ADDRESS(INDEX($Q$2:$Q$1001,MATCH(ROWS($O$2:O368),$O$2:$O$1001,0),0), INDEX($V$1004:$AE$1004,1,MATCH(COLUMNS($V$1006:Z1006),$V$1006:$AE$1006,0)))),"Fix")))</f>
        <v>0</v>
      </c>
      <c r="G368" s="4">
        <f>IF(OR(INDEX($P$2:$P$1001,MATCH(ROWS($O$2:O368),$O$2:$O$1001,0),1)&gt;=100000,INDEX($V$1005:$AE$1005,1,MATCH(COLUMNS($V$1006:AA1006),$V$1006:$AE$1006,0))&gt;=100000), " ",IF(INDEX($V$2:$AE$1001,MATCH(ROWS($O$2:O368),$O$2:$O$1001,0),MATCH(COLUMNS($V$1006:AA1006),$V$1006:$AE$1006,0)), HYPERLINK("#",""), HYPERLINK(CONCATENATE("#Metadata!", ADDRESS(INDEX($Q$2:$Q$1001,MATCH(ROWS($O$2:O368),$O$2:$O$1001,0),0), INDEX($V$1004:$AE$1004,1,MATCH(COLUMNS($V$1006:AA1006),$V$1006:$AE$1006,0)))),"Fix")))</f>
        <v>0</v>
      </c>
      <c r="H368" s="4">
        <f>IF(OR(INDEX($P$2:$P$1001,MATCH(ROWS($O$2:O368),$O$2:$O$1001,0),1)&gt;=100000,INDEX($V$1005:$AE$1005,1,MATCH(COLUMNS($V$1006:AB1006),$V$1006:$AE$1006,0))&gt;=100000), " ",IF(INDEX($V$2:$AE$1001,MATCH(ROWS($O$2:O368),$O$2:$O$1001,0),MATCH(COLUMNS($V$1006:AB1006),$V$1006:$AE$1006,0)), HYPERLINK("#",""), HYPERLINK(CONCATENATE("#Metadata!", ADDRESS(INDEX($Q$2:$Q$1001,MATCH(ROWS($O$2:O368),$O$2:$O$1001,0),0), INDEX($V$1004:$AE$1004,1,MATCH(COLUMNS($V$1006:AB1006),$V$1006:$AE$1006,0)))),"Fix")))</f>
        <v>0</v>
      </c>
      <c r="I368" s="4">
        <f>IF(OR(INDEX($P$2:$P$1001,MATCH(ROWS($O$2:O368),$O$2:$O$1001,0),1)&gt;=100000,INDEX($V$1005:$AE$1005,1,MATCH(COLUMNS($V$1006:AC1006),$V$1006:$AE$1006,0))&gt;=100000), " ",IF(INDEX($V$2:$AE$1001,MATCH(ROWS($O$2:O368),$O$2:$O$1001,0),MATCH(COLUMNS($V$1006:AC1006),$V$1006:$AE$1006,0)), HYPERLINK("#",""), HYPERLINK(CONCATENATE("#Metadata!", ADDRESS(INDEX($Q$2:$Q$1001,MATCH(ROWS($O$2:O368),$O$2:$O$1001,0),0), INDEX($V$1004:$AE$1004,1,MATCH(COLUMNS($V$1006:AC1006),$V$1006:$AE$1006,0)))),"Fix")))</f>
        <v>0</v>
      </c>
      <c r="J368" s="4">
        <f>IF(OR(INDEX($P$2:$P$1001,MATCH(ROWS($O$2:O368),$O$2:$O$1001,0),1)&gt;=100000,INDEX($V$1005:$AE$1005,1,MATCH(COLUMNS($V$1006:AD1006),$V$1006:$AE$1006,0))&gt;=100000), " ",IF(INDEX($V$2:$AE$1001,MATCH(ROWS($O$2:O368),$O$2:$O$1001,0),MATCH(COLUMNS($V$1006:AD1006),$V$1006:$AE$1006,0)), HYPERLINK("#",""), HYPERLINK(CONCATENATE("#Metadata!", ADDRESS(INDEX($Q$2:$Q$1001,MATCH(ROWS($O$2:O368),$O$2:$O$1001,0),0), INDEX($V$1004:$AE$1004,1,MATCH(COLUMNS($V$1006:AD1006),$V$1006:$AE$1006,0)))),"Fix")))</f>
        <v>0</v>
      </c>
      <c r="K368" s="4">
        <f>IF(OR(INDEX($P$2:$P$1001,MATCH(ROWS($O$2:O368),$O$2:$O$1001,0),1)&gt;=100000,INDEX($V$1005:$AE$1005,1,MATCH(COLUMNS($V$1006:AE1006),$V$1006:$AE$1006,0))&gt;=100000), " ",IF(INDEX($V$2:$AE$1001,MATCH(ROWS($O$2:O368),$O$2:$O$1001,0),MATCH(COLUMNS($V$1006:AE1006),$V$1006:$AE$1006,0)), HYPERLINK("#",""), HYPERLINK(CONCATENATE("#Metadata!", ADDRESS(INDEX($Q$2:$Q$1001,MATCH(ROWS($O$2:O368),$O$2:$O$1001,0),0), INDEX($V$1004:$AE$1004,1,MATCH(COLUMNS($V$1006:AE1006),$V$1006:$AE$1006,0)))),"Fix")))</f>
        <v>0</v>
      </c>
      <c r="O368">
        <v>0</v>
      </c>
      <c r="P368">
        <v>0</v>
      </c>
      <c r="Q368">
        <v>0</v>
      </c>
      <c r="R368">
        <f>IF(S368,TRUE,AND(V368:AE368))</f>
        <v>0</v>
      </c>
      <c r="S368">
        <f>COUNTBLANK(Metadata!B368:K368)=COLUMNS(Metadata!B368:K368)</f>
        <v>0</v>
      </c>
      <c r="T368">
        <v>0</v>
      </c>
      <c r="V368">
        <f>AND(IF(Metadata!B368="",FALSE,TRUE),COUNTIF(Metadata!B:B, Metadata!B368) = 1,NOT(ISERROR(SUMPRODUCT(SEARCH(MID(Metadata!B368,ROW(INDIRECT("1:"&amp;LEN(Metadata!B368))), 1),"0123456789abcdefghijklmnopqrstuvwxyzABCDEFGHIJKLMNOPQRSTUVWXYZ.")))))</f>
        <v>0</v>
      </c>
      <c r="W368">
        <f>AND(IF(Metadata!C368="",FALSE,TRUE),exact(Metadata!C368,"urban biome"))</f>
        <v>0</v>
      </c>
      <c r="X368">
        <f>AND(IF(Metadata!D368="",FALSE,TRUE),exact(Metadata!D368,"animal-associated habitat"))</f>
        <v>0</v>
      </c>
      <c r="Y368">
        <f>OR(AND(IF(Metadata!E368="",FALSE,TRUE),OR(exact(Metadata!E368,"not applicable"),exact(Metadata!E368,"missing: not collected"),exact(Metadata!E368,"missing: not provided"),exact(Metadata!E368,"missing: restricted access"))),AND(IF(Metadata!E368="",FALSE,ISNUMBER(VALUE(Metadata!E368))),Metadata!E368&gt;0))</f>
        <v>0</v>
      </c>
      <c r="Z368">
        <f>AND(IF(Metadata!F368="",FALSE,TRUE),exact(Metadata!F368,"weeks"))</f>
        <v>0</v>
      </c>
      <c r="AA368">
        <f>AND(IF(Metadata!G368="",FALSE,TRUE),exact(Metadata!G368,"mouse"))</f>
        <v>0</v>
      </c>
      <c r="AB368">
        <f>AND(IF(Metadata!H368="",FALSE,TRUE),exact(Metadata!H368,"Mus musculus"))</f>
        <v>0</v>
      </c>
      <c r="AC368">
        <f>AND(IF(Metadata!I368="",FALSE,TRUE),exact(Metadata!I368,"10090"))</f>
        <v>0</v>
      </c>
      <c r="AD368">
        <f>OR(AND(IF(Metadata!J368="",FALSE,TRUE),OR(exact(Metadata!J368,"not applicable"),exact(Metadata!J368,"missing: not collected"),exact(Metadata!J368,"missing: not provided"),exact(Metadata!J368,"missing: restricted access"))),AND(IF(Metadata!J368="",FALSE,ISNUMBER(VALUE(Metadata!J368))),Metadata!J368&gt;0))</f>
        <v>0</v>
      </c>
      <c r="AE368">
        <f>AND(IF(Metadata!K368="",FALSE,TRUE),exact(Metadata!K368,"g"))</f>
        <v>0</v>
      </c>
    </row>
    <row r="369" spans="1:31">
      <c r="A369" s="5">
        <f>IF(B369=" "," ",HYPERLINK(CONCATENATE("#metadata!",ADDRESS(INDEX($Q$2:$Q$1001,MATCH(ROWS($O$2:O369),$O$2:$O$1001,0),0),1)),INDEX($T$2:$T$1001,MATCH(ROWS($O$2:O369),$O$2:$O$1001,0),0)))</f>
        <v>0</v>
      </c>
      <c r="B369" s="4">
        <f>IF(OR(INDEX($P$2:$P$1001,MATCH(ROWS($O$2:O369),$O$2:$O$1001,0),1)&gt;=100000,INDEX($V$1005:$AE$1005,1,MATCH(COLUMNS($V$1006:V1006),$V$1006:$AE$1006,0))&gt;=100000), " ",IF(INDEX($V$2:$AE$1001,MATCH(ROWS($O$2:O369),$O$2:$O$1001,0),MATCH(COLUMNS($V$1006:V1006),$V$1006:$AE$1006,0)), HYPERLINK("#",""), HYPERLINK(CONCATENATE("#Metadata!", ADDRESS(INDEX($Q$2:$Q$1001,MATCH(ROWS($O$2:O369),$O$2:$O$1001,0),0), INDEX($V$1004:$AE$1004,1,MATCH(COLUMNS($V$1006:V1006),$V$1006:$AE$1006,0)))),"Fix")))</f>
        <v>0</v>
      </c>
      <c r="C369" s="4">
        <f>IF(OR(INDEX($P$2:$P$1001,MATCH(ROWS($O$2:O369),$O$2:$O$1001,0),1)&gt;=100000,INDEX($V$1005:$AE$1005,1,MATCH(COLUMNS($V$1006:W1006),$V$1006:$AE$1006,0))&gt;=100000), " ",IF(INDEX($V$2:$AE$1001,MATCH(ROWS($O$2:O369),$O$2:$O$1001,0),MATCH(COLUMNS($V$1006:W1006),$V$1006:$AE$1006,0)), HYPERLINK("#",""), HYPERLINK(CONCATENATE("#Metadata!", ADDRESS(INDEX($Q$2:$Q$1001,MATCH(ROWS($O$2:O369),$O$2:$O$1001,0),0), INDEX($V$1004:$AE$1004,1,MATCH(COLUMNS($V$1006:W1006),$V$1006:$AE$1006,0)))),"Fix")))</f>
        <v>0</v>
      </c>
      <c r="D369" s="4">
        <f>IF(OR(INDEX($P$2:$P$1001,MATCH(ROWS($O$2:O369),$O$2:$O$1001,0),1)&gt;=100000,INDEX($V$1005:$AE$1005,1,MATCH(COLUMNS($V$1006:X1006),$V$1006:$AE$1006,0))&gt;=100000), " ",IF(INDEX($V$2:$AE$1001,MATCH(ROWS($O$2:O369),$O$2:$O$1001,0),MATCH(COLUMNS($V$1006:X1006),$V$1006:$AE$1006,0)), HYPERLINK("#",""), HYPERLINK(CONCATENATE("#Metadata!", ADDRESS(INDEX($Q$2:$Q$1001,MATCH(ROWS($O$2:O369),$O$2:$O$1001,0),0), INDEX($V$1004:$AE$1004,1,MATCH(COLUMNS($V$1006:X1006),$V$1006:$AE$1006,0)))),"Fix")))</f>
        <v>0</v>
      </c>
      <c r="E369" s="4">
        <f>IF(OR(INDEX($P$2:$P$1001,MATCH(ROWS($O$2:O369),$O$2:$O$1001,0),1)&gt;=100000,INDEX($V$1005:$AE$1005,1,MATCH(COLUMNS($V$1006:Y1006),$V$1006:$AE$1006,0))&gt;=100000), " ",IF(INDEX($V$2:$AE$1001,MATCH(ROWS($O$2:O369),$O$2:$O$1001,0),MATCH(COLUMNS($V$1006:Y1006),$V$1006:$AE$1006,0)), HYPERLINK("#",""), HYPERLINK(CONCATENATE("#Metadata!", ADDRESS(INDEX($Q$2:$Q$1001,MATCH(ROWS($O$2:O369),$O$2:$O$1001,0),0), INDEX($V$1004:$AE$1004,1,MATCH(COLUMNS($V$1006:Y1006),$V$1006:$AE$1006,0)))),"Fix")))</f>
        <v>0</v>
      </c>
      <c r="F369" s="4">
        <f>IF(OR(INDEX($P$2:$P$1001,MATCH(ROWS($O$2:O369),$O$2:$O$1001,0),1)&gt;=100000,INDEX($V$1005:$AE$1005,1,MATCH(COLUMNS($V$1006:Z1006),$V$1006:$AE$1006,0))&gt;=100000), " ",IF(INDEX($V$2:$AE$1001,MATCH(ROWS($O$2:O369),$O$2:$O$1001,0),MATCH(COLUMNS($V$1006:Z1006),$V$1006:$AE$1006,0)), HYPERLINK("#",""), HYPERLINK(CONCATENATE("#Metadata!", ADDRESS(INDEX($Q$2:$Q$1001,MATCH(ROWS($O$2:O369),$O$2:$O$1001,0),0), INDEX($V$1004:$AE$1004,1,MATCH(COLUMNS($V$1006:Z1006),$V$1006:$AE$1006,0)))),"Fix")))</f>
        <v>0</v>
      </c>
      <c r="G369" s="4">
        <f>IF(OR(INDEX($P$2:$P$1001,MATCH(ROWS($O$2:O369),$O$2:$O$1001,0),1)&gt;=100000,INDEX($V$1005:$AE$1005,1,MATCH(COLUMNS($V$1006:AA1006),$V$1006:$AE$1006,0))&gt;=100000), " ",IF(INDEX($V$2:$AE$1001,MATCH(ROWS($O$2:O369),$O$2:$O$1001,0),MATCH(COLUMNS($V$1006:AA1006),$V$1006:$AE$1006,0)), HYPERLINK("#",""), HYPERLINK(CONCATENATE("#Metadata!", ADDRESS(INDEX($Q$2:$Q$1001,MATCH(ROWS($O$2:O369),$O$2:$O$1001,0),0), INDEX($V$1004:$AE$1004,1,MATCH(COLUMNS($V$1006:AA1006),$V$1006:$AE$1006,0)))),"Fix")))</f>
        <v>0</v>
      </c>
      <c r="H369" s="4">
        <f>IF(OR(INDEX($P$2:$P$1001,MATCH(ROWS($O$2:O369),$O$2:$O$1001,0),1)&gt;=100000,INDEX($V$1005:$AE$1005,1,MATCH(COLUMNS($V$1006:AB1006),$V$1006:$AE$1006,0))&gt;=100000), " ",IF(INDEX($V$2:$AE$1001,MATCH(ROWS($O$2:O369),$O$2:$O$1001,0),MATCH(COLUMNS($V$1006:AB1006),$V$1006:$AE$1006,0)), HYPERLINK("#",""), HYPERLINK(CONCATENATE("#Metadata!", ADDRESS(INDEX($Q$2:$Q$1001,MATCH(ROWS($O$2:O369),$O$2:$O$1001,0),0), INDEX($V$1004:$AE$1004,1,MATCH(COLUMNS($V$1006:AB1006),$V$1006:$AE$1006,0)))),"Fix")))</f>
        <v>0</v>
      </c>
      <c r="I369" s="4">
        <f>IF(OR(INDEX($P$2:$P$1001,MATCH(ROWS($O$2:O369),$O$2:$O$1001,0),1)&gt;=100000,INDEX($V$1005:$AE$1005,1,MATCH(COLUMNS($V$1006:AC1006),$V$1006:$AE$1006,0))&gt;=100000), " ",IF(INDEX($V$2:$AE$1001,MATCH(ROWS($O$2:O369),$O$2:$O$1001,0),MATCH(COLUMNS($V$1006:AC1006),$V$1006:$AE$1006,0)), HYPERLINK("#",""), HYPERLINK(CONCATENATE("#Metadata!", ADDRESS(INDEX($Q$2:$Q$1001,MATCH(ROWS($O$2:O369),$O$2:$O$1001,0),0), INDEX($V$1004:$AE$1004,1,MATCH(COLUMNS($V$1006:AC1006),$V$1006:$AE$1006,0)))),"Fix")))</f>
        <v>0</v>
      </c>
      <c r="J369" s="4">
        <f>IF(OR(INDEX($P$2:$P$1001,MATCH(ROWS($O$2:O369),$O$2:$O$1001,0),1)&gt;=100000,INDEX($V$1005:$AE$1005,1,MATCH(COLUMNS($V$1006:AD1006),$V$1006:$AE$1006,0))&gt;=100000), " ",IF(INDEX($V$2:$AE$1001,MATCH(ROWS($O$2:O369),$O$2:$O$1001,0),MATCH(COLUMNS($V$1006:AD1006),$V$1006:$AE$1006,0)), HYPERLINK("#",""), HYPERLINK(CONCATENATE("#Metadata!", ADDRESS(INDEX($Q$2:$Q$1001,MATCH(ROWS($O$2:O369),$O$2:$O$1001,0),0), INDEX($V$1004:$AE$1004,1,MATCH(COLUMNS($V$1006:AD1006),$V$1006:$AE$1006,0)))),"Fix")))</f>
        <v>0</v>
      </c>
      <c r="K369" s="4">
        <f>IF(OR(INDEX($P$2:$P$1001,MATCH(ROWS($O$2:O369),$O$2:$O$1001,0),1)&gt;=100000,INDEX($V$1005:$AE$1005,1,MATCH(COLUMNS($V$1006:AE1006),$V$1006:$AE$1006,0))&gt;=100000), " ",IF(INDEX($V$2:$AE$1001,MATCH(ROWS($O$2:O369),$O$2:$O$1001,0),MATCH(COLUMNS($V$1006:AE1006),$V$1006:$AE$1006,0)), HYPERLINK("#",""), HYPERLINK(CONCATENATE("#Metadata!", ADDRESS(INDEX($Q$2:$Q$1001,MATCH(ROWS($O$2:O369),$O$2:$O$1001,0),0), INDEX($V$1004:$AE$1004,1,MATCH(COLUMNS($V$1006:AE1006),$V$1006:$AE$1006,0)))),"Fix")))</f>
        <v>0</v>
      </c>
      <c r="O369">
        <v>0</v>
      </c>
      <c r="P369">
        <v>0</v>
      </c>
      <c r="Q369">
        <v>0</v>
      </c>
      <c r="R369">
        <f>IF(S369,TRUE,AND(V369:AE369))</f>
        <v>0</v>
      </c>
      <c r="S369">
        <f>COUNTBLANK(Metadata!B369:K369)=COLUMNS(Metadata!B369:K369)</f>
        <v>0</v>
      </c>
      <c r="T369">
        <v>0</v>
      </c>
      <c r="V369">
        <f>AND(IF(Metadata!B369="",FALSE,TRUE),COUNTIF(Metadata!B:B, Metadata!B369) = 1,NOT(ISERROR(SUMPRODUCT(SEARCH(MID(Metadata!B369,ROW(INDIRECT("1:"&amp;LEN(Metadata!B369))), 1),"0123456789abcdefghijklmnopqrstuvwxyzABCDEFGHIJKLMNOPQRSTUVWXYZ.")))))</f>
        <v>0</v>
      </c>
      <c r="W369">
        <f>AND(IF(Metadata!C369="",FALSE,TRUE),exact(Metadata!C369,"urban biome"))</f>
        <v>0</v>
      </c>
      <c r="X369">
        <f>AND(IF(Metadata!D369="",FALSE,TRUE),exact(Metadata!D369,"animal-associated habitat"))</f>
        <v>0</v>
      </c>
      <c r="Y369">
        <f>OR(AND(IF(Metadata!E369="",FALSE,TRUE),OR(exact(Metadata!E369,"not applicable"),exact(Metadata!E369,"missing: not collected"),exact(Metadata!E369,"missing: not provided"),exact(Metadata!E369,"missing: restricted access"))),AND(IF(Metadata!E369="",FALSE,ISNUMBER(VALUE(Metadata!E369))),Metadata!E369&gt;0))</f>
        <v>0</v>
      </c>
      <c r="Z369">
        <f>AND(IF(Metadata!F369="",FALSE,TRUE),exact(Metadata!F369,"weeks"))</f>
        <v>0</v>
      </c>
      <c r="AA369">
        <f>AND(IF(Metadata!G369="",FALSE,TRUE),exact(Metadata!G369,"mouse"))</f>
        <v>0</v>
      </c>
      <c r="AB369">
        <f>AND(IF(Metadata!H369="",FALSE,TRUE),exact(Metadata!H369,"Mus musculus"))</f>
        <v>0</v>
      </c>
      <c r="AC369">
        <f>AND(IF(Metadata!I369="",FALSE,TRUE),exact(Metadata!I369,"10090"))</f>
        <v>0</v>
      </c>
      <c r="AD369">
        <f>OR(AND(IF(Metadata!J369="",FALSE,TRUE),OR(exact(Metadata!J369,"not applicable"),exact(Metadata!J369,"missing: not collected"),exact(Metadata!J369,"missing: not provided"),exact(Metadata!J369,"missing: restricted access"))),AND(IF(Metadata!J369="",FALSE,ISNUMBER(VALUE(Metadata!J369))),Metadata!J369&gt;0))</f>
        <v>0</v>
      </c>
      <c r="AE369">
        <f>AND(IF(Metadata!K369="",FALSE,TRUE),exact(Metadata!K369,"g"))</f>
        <v>0</v>
      </c>
    </row>
    <row r="370" spans="1:31">
      <c r="A370" s="5">
        <f>IF(B370=" "," ",HYPERLINK(CONCATENATE("#metadata!",ADDRESS(INDEX($Q$2:$Q$1001,MATCH(ROWS($O$2:O370),$O$2:$O$1001,0),0),1)),INDEX($T$2:$T$1001,MATCH(ROWS($O$2:O370),$O$2:$O$1001,0),0)))</f>
        <v>0</v>
      </c>
      <c r="B370" s="4">
        <f>IF(OR(INDEX($P$2:$P$1001,MATCH(ROWS($O$2:O370),$O$2:$O$1001,0),1)&gt;=100000,INDEX($V$1005:$AE$1005,1,MATCH(COLUMNS($V$1006:V1006),$V$1006:$AE$1006,0))&gt;=100000), " ",IF(INDEX($V$2:$AE$1001,MATCH(ROWS($O$2:O370),$O$2:$O$1001,0),MATCH(COLUMNS($V$1006:V1006),$V$1006:$AE$1006,0)), HYPERLINK("#",""), HYPERLINK(CONCATENATE("#Metadata!", ADDRESS(INDEX($Q$2:$Q$1001,MATCH(ROWS($O$2:O370),$O$2:$O$1001,0),0), INDEX($V$1004:$AE$1004,1,MATCH(COLUMNS($V$1006:V1006),$V$1006:$AE$1006,0)))),"Fix")))</f>
        <v>0</v>
      </c>
      <c r="C370" s="4">
        <f>IF(OR(INDEX($P$2:$P$1001,MATCH(ROWS($O$2:O370),$O$2:$O$1001,0),1)&gt;=100000,INDEX($V$1005:$AE$1005,1,MATCH(COLUMNS($V$1006:W1006),$V$1006:$AE$1006,0))&gt;=100000), " ",IF(INDEX($V$2:$AE$1001,MATCH(ROWS($O$2:O370),$O$2:$O$1001,0),MATCH(COLUMNS($V$1006:W1006),$V$1006:$AE$1006,0)), HYPERLINK("#",""), HYPERLINK(CONCATENATE("#Metadata!", ADDRESS(INDEX($Q$2:$Q$1001,MATCH(ROWS($O$2:O370),$O$2:$O$1001,0),0), INDEX($V$1004:$AE$1004,1,MATCH(COLUMNS($V$1006:W1006),$V$1006:$AE$1006,0)))),"Fix")))</f>
        <v>0</v>
      </c>
      <c r="D370" s="4">
        <f>IF(OR(INDEX($P$2:$P$1001,MATCH(ROWS($O$2:O370),$O$2:$O$1001,0),1)&gt;=100000,INDEX($V$1005:$AE$1005,1,MATCH(COLUMNS($V$1006:X1006),$V$1006:$AE$1006,0))&gt;=100000), " ",IF(INDEX($V$2:$AE$1001,MATCH(ROWS($O$2:O370),$O$2:$O$1001,0),MATCH(COLUMNS($V$1006:X1006),$V$1006:$AE$1006,0)), HYPERLINK("#",""), HYPERLINK(CONCATENATE("#Metadata!", ADDRESS(INDEX($Q$2:$Q$1001,MATCH(ROWS($O$2:O370),$O$2:$O$1001,0),0), INDEX($V$1004:$AE$1004,1,MATCH(COLUMNS($V$1006:X1006),$V$1006:$AE$1006,0)))),"Fix")))</f>
        <v>0</v>
      </c>
      <c r="E370" s="4">
        <f>IF(OR(INDEX($P$2:$P$1001,MATCH(ROWS($O$2:O370),$O$2:$O$1001,0),1)&gt;=100000,INDEX($V$1005:$AE$1005,1,MATCH(COLUMNS($V$1006:Y1006),$V$1006:$AE$1006,0))&gt;=100000), " ",IF(INDEX($V$2:$AE$1001,MATCH(ROWS($O$2:O370),$O$2:$O$1001,0),MATCH(COLUMNS($V$1006:Y1006),$V$1006:$AE$1006,0)), HYPERLINK("#",""), HYPERLINK(CONCATENATE("#Metadata!", ADDRESS(INDEX($Q$2:$Q$1001,MATCH(ROWS($O$2:O370),$O$2:$O$1001,0),0), INDEX($V$1004:$AE$1004,1,MATCH(COLUMNS($V$1006:Y1006),$V$1006:$AE$1006,0)))),"Fix")))</f>
        <v>0</v>
      </c>
      <c r="F370" s="4">
        <f>IF(OR(INDEX($P$2:$P$1001,MATCH(ROWS($O$2:O370),$O$2:$O$1001,0),1)&gt;=100000,INDEX($V$1005:$AE$1005,1,MATCH(COLUMNS($V$1006:Z1006),$V$1006:$AE$1006,0))&gt;=100000), " ",IF(INDEX($V$2:$AE$1001,MATCH(ROWS($O$2:O370),$O$2:$O$1001,0),MATCH(COLUMNS($V$1006:Z1006),$V$1006:$AE$1006,0)), HYPERLINK("#",""), HYPERLINK(CONCATENATE("#Metadata!", ADDRESS(INDEX($Q$2:$Q$1001,MATCH(ROWS($O$2:O370),$O$2:$O$1001,0),0), INDEX($V$1004:$AE$1004,1,MATCH(COLUMNS($V$1006:Z1006),$V$1006:$AE$1006,0)))),"Fix")))</f>
        <v>0</v>
      </c>
      <c r="G370" s="4">
        <f>IF(OR(INDEX($P$2:$P$1001,MATCH(ROWS($O$2:O370),$O$2:$O$1001,0),1)&gt;=100000,INDEX($V$1005:$AE$1005,1,MATCH(COLUMNS($V$1006:AA1006),$V$1006:$AE$1006,0))&gt;=100000), " ",IF(INDEX($V$2:$AE$1001,MATCH(ROWS($O$2:O370),$O$2:$O$1001,0),MATCH(COLUMNS($V$1006:AA1006),$V$1006:$AE$1006,0)), HYPERLINK("#",""), HYPERLINK(CONCATENATE("#Metadata!", ADDRESS(INDEX($Q$2:$Q$1001,MATCH(ROWS($O$2:O370),$O$2:$O$1001,0),0), INDEX($V$1004:$AE$1004,1,MATCH(COLUMNS($V$1006:AA1006),$V$1006:$AE$1006,0)))),"Fix")))</f>
        <v>0</v>
      </c>
      <c r="H370" s="4">
        <f>IF(OR(INDEX($P$2:$P$1001,MATCH(ROWS($O$2:O370),$O$2:$O$1001,0),1)&gt;=100000,INDEX($V$1005:$AE$1005,1,MATCH(COLUMNS($V$1006:AB1006),$V$1006:$AE$1006,0))&gt;=100000), " ",IF(INDEX($V$2:$AE$1001,MATCH(ROWS($O$2:O370),$O$2:$O$1001,0),MATCH(COLUMNS($V$1006:AB1006),$V$1006:$AE$1006,0)), HYPERLINK("#",""), HYPERLINK(CONCATENATE("#Metadata!", ADDRESS(INDEX($Q$2:$Q$1001,MATCH(ROWS($O$2:O370),$O$2:$O$1001,0),0), INDEX($V$1004:$AE$1004,1,MATCH(COLUMNS($V$1006:AB1006),$V$1006:$AE$1006,0)))),"Fix")))</f>
        <v>0</v>
      </c>
      <c r="I370" s="4">
        <f>IF(OR(INDEX($P$2:$P$1001,MATCH(ROWS($O$2:O370),$O$2:$O$1001,0),1)&gt;=100000,INDEX($V$1005:$AE$1005,1,MATCH(COLUMNS($V$1006:AC1006),$V$1006:$AE$1006,0))&gt;=100000), " ",IF(INDEX($V$2:$AE$1001,MATCH(ROWS($O$2:O370),$O$2:$O$1001,0),MATCH(COLUMNS($V$1006:AC1006),$V$1006:$AE$1006,0)), HYPERLINK("#",""), HYPERLINK(CONCATENATE("#Metadata!", ADDRESS(INDEX($Q$2:$Q$1001,MATCH(ROWS($O$2:O370),$O$2:$O$1001,0),0), INDEX($V$1004:$AE$1004,1,MATCH(COLUMNS($V$1006:AC1006),$V$1006:$AE$1006,0)))),"Fix")))</f>
        <v>0</v>
      </c>
      <c r="J370" s="4">
        <f>IF(OR(INDEX($P$2:$P$1001,MATCH(ROWS($O$2:O370),$O$2:$O$1001,0),1)&gt;=100000,INDEX($V$1005:$AE$1005,1,MATCH(COLUMNS($V$1006:AD1006),$V$1006:$AE$1006,0))&gt;=100000), " ",IF(INDEX($V$2:$AE$1001,MATCH(ROWS($O$2:O370),$O$2:$O$1001,0),MATCH(COLUMNS($V$1006:AD1006),$V$1006:$AE$1006,0)), HYPERLINK("#",""), HYPERLINK(CONCATENATE("#Metadata!", ADDRESS(INDEX($Q$2:$Q$1001,MATCH(ROWS($O$2:O370),$O$2:$O$1001,0),0), INDEX($V$1004:$AE$1004,1,MATCH(COLUMNS($V$1006:AD1006),$V$1006:$AE$1006,0)))),"Fix")))</f>
        <v>0</v>
      </c>
      <c r="K370" s="4">
        <f>IF(OR(INDEX($P$2:$P$1001,MATCH(ROWS($O$2:O370),$O$2:$O$1001,0),1)&gt;=100000,INDEX($V$1005:$AE$1005,1,MATCH(COLUMNS($V$1006:AE1006),$V$1006:$AE$1006,0))&gt;=100000), " ",IF(INDEX($V$2:$AE$1001,MATCH(ROWS($O$2:O370),$O$2:$O$1001,0),MATCH(COLUMNS($V$1006:AE1006),$V$1006:$AE$1006,0)), HYPERLINK("#",""), HYPERLINK(CONCATENATE("#Metadata!", ADDRESS(INDEX($Q$2:$Q$1001,MATCH(ROWS($O$2:O370),$O$2:$O$1001,0),0), INDEX($V$1004:$AE$1004,1,MATCH(COLUMNS($V$1006:AE1006),$V$1006:$AE$1006,0)))),"Fix")))</f>
        <v>0</v>
      </c>
      <c r="O370">
        <v>0</v>
      </c>
      <c r="P370">
        <v>0</v>
      </c>
      <c r="Q370">
        <v>0</v>
      </c>
      <c r="R370">
        <f>IF(S370,TRUE,AND(V370:AE370))</f>
        <v>0</v>
      </c>
      <c r="S370">
        <f>COUNTBLANK(Metadata!B370:K370)=COLUMNS(Metadata!B370:K370)</f>
        <v>0</v>
      </c>
      <c r="T370">
        <v>0</v>
      </c>
      <c r="V370">
        <f>AND(IF(Metadata!B370="",FALSE,TRUE),COUNTIF(Metadata!B:B, Metadata!B370) = 1,NOT(ISERROR(SUMPRODUCT(SEARCH(MID(Metadata!B370,ROW(INDIRECT("1:"&amp;LEN(Metadata!B370))), 1),"0123456789abcdefghijklmnopqrstuvwxyzABCDEFGHIJKLMNOPQRSTUVWXYZ.")))))</f>
        <v>0</v>
      </c>
      <c r="W370">
        <f>AND(IF(Metadata!C370="",FALSE,TRUE),exact(Metadata!C370,"urban biome"))</f>
        <v>0</v>
      </c>
      <c r="X370">
        <f>AND(IF(Metadata!D370="",FALSE,TRUE),exact(Metadata!D370,"animal-associated habitat"))</f>
        <v>0</v>
      </c>
      <c r="Y370">
        <f>OR(AND(IF(Metadata!E370="",FALSE,TRUE),OR(exact(Metadata!E370,"not applicable"),exact(Metadata!E370,"missing: not collected"),exact(Metadata!E370,"missing: not provided"),exact(Metadata!E370,"missing: restricted access"))),AND(IF(Metadata!E370="",FALSE,ISNUMBER(VALUE(Metadata!E370))),Metadata!E370&gt;0))</f>
        <v>0</v>
      </c>
      <c r="Z370">
        <f>AND(IF(Metadata!F370="",FALSE,TRUE),exact(Metadata!F370,"weeks"))</f>
        <v>0</v>
      </c>
      <c r="AA370">
        <f>AND(IF(Metadata!G370="",FALSE,TRUE),exact(Metadata!G370,"mouse"))</f>
        <v>0</v>
      </c>
      <c r="AB370">
        <f>AND(IF(Metadata!H370="",FALSE,TRUE),exact(Metadata!H370,"Mus musculus"))</f>
        <v>0</v>
      </c>
      <c r="AC370">
        <f>AND(IF(Metadata!I370="",FALSE,TRUE),exact(Metadata!I370,"10090"))</f>
        <v>0</v>
      </c>
      <c r="AD370">
        <f>OR(AND(IF(Metadata!J370="",FALSE,TRUE),OR(exact(Metadata!J370,"not applicable"),exact(Metadata!J370,"missing: not collected"),exact(Metadata!J370,"missing: not provided"),exact(Metadata!J370,"missing: restricted access"))),AND(IF(Metadata!J370="",FALSE,ISNUMBER(VALUE(Metadata!J370))),Metadata!J370&gt;0))</f>
        <v>0</v>
      </c>
      <c r="AE370">
        <f>AND(IF(Metadata!K370="",FALSE,TRUE),exact(Metadata!K370,"g"))</f>
        <v>0</v>
      </c>
    </row>
    <row r="371" spans="1:31">
      <c r="A371" s="5">
        <f>IF(B371=" "," ",HYPERLINK(CONCATENATE("#metadata!",ADDRESS(INDEX($Q$2:$Q$1001,MATCH(ROWS($O$2:O371),$O$2:$O$1001,0),0),1)),INDEX($T$2:$T$1001,MATCH(ROWS($O$2:O371),$O$2:$O$1001,0),0)))</f>
        <v>0</v>
      </c>
      <c r="B371" s="4">
        <f>IF(OR(INDEX($P$2:$P$1001,MATCH(ROWS($O$2:O371),$O$2:$O$1001,0),1)&gt;=100000,INDEX($V$1005:$AE$1005,1,MATCH(COLUMNS($V$1006:V1006),$V$1006:$AE$1006,0))&gt;=100000), " ",IF(INDEX($V$2:$AE$1001,MATCH(ROWS($O$2:O371),$O$2:$O$1001,0),MATCH(COLUMNS($V$1006:V1006),$V$1006:$AE$1006,0)), HYPERLINK("#",""), HYPERLINK(CONCATENATE("#Metadata!", ADDRESS(INDEX($Q$2:$Q$1001,MATCH(ROWS($O$2:O371),$O$2:$O$1001,0),0), INDEX($V$1004:$AE$1004,1,MATCH(COLUMNS($V$1006:V1006),$V$1006:$AE$1006,0)))),"Fix")))</f>
        <v>0</v>
      </c>
      <c r="C371" s="4">
        <f>IF(OR(INDEX($P$2:$P$1001,MATCH(ROWS($O$2:O371),$O$2:$O$1001,0),1)&gt;=100000,INDEX($V$1005:$AE$1005,1,MATCH(COLUMNS($V$1006:W1006),$V$1006:$AE$1006,0))&gt;=100000), " ",IF(INDEX($V$2:$AE$1001,MATCH(ROWS($O$2:O371),$O$2:$O$1001,0),MATCH(COLUMNS($V$1006:W1006),$V$1006:$AE$1006,0)), HYPERLINK("#",""), HYPERLINK(CONCATENATE("#Metadata!", ADDRESS(INDEX($Q$2:$Q$1001,MATCH(ROWS($O$2:O371),$O$2:$O$1001,0),0), INDEX($V$1004:$AE$1004,1,MATCH(COLUMNS($V$1006:W1006),$V$1006:$AE$1006,0)))),"Fix")))</f>
        <v>0</v>
      </c>
      <c r="D371" s="4">
        <f>IF(OR(INDEX($P$2:$P$1001,MATCH(ROWS($O$2:O371),$O$2:$O$1001,0),1)&gt;=100000,INDEX($V$1005:$AE$1005,1,MATCH(COLUMNS($V$1006:X1006),$V$1006:$AE$1006,0))&gt;=100000), " ",IF(INDEX($V$2:$AE$1001,MATCH(ROWS($O$2:O371),$O$2:$O$1001,0),MATCH(COLUMNS($V$1006:X1006),$V$1006:$AE$1006,0)), HYPERLINK("#",""), HYPERLINK(CONCATENATE("#Metadata!", ADDRESS(INDEX($Q$2:$Q$1001,MATCH(ROWS($O$2:O371),$O$2:$O$1001,0),0), INDEX($V$1004:$AE$1004,1,MATCH(COLUMNS($V$1006:X1006),$V$1006:$AE$1006,0)))),"Fix")))</f>
        <v>0</v>
      </c>
      <c r="E371" s="4">
        <f>IF(OR(INDEX($P$2:$P$1001,MATCH(ROWS($O$2:O371),$O$2:$O$1001,0),1)&gt;=100000,INDEX($V$1005:$AE$1005,1,MATCH(COLUMNS($V$1006:Y1006),$V$1006:$AE$1006,0))&gt;=100000), " ",IF(INDEX($V$2:$AE$1001,MATCH(ROWS($O$2:O371),$O$2:$O$1001,0),MATCH(COLUMNS($V$1006:Y1006),$V$1006:$AE$1006,0)), HYPERLINK("#",""), HYPERLINK(CONCATENATE("#Metadata!", ADDRESS(INDEX($Q$2:$Q$1001,MATCH(ROWS($O$2:O371),$O$2:$O$1001,0),0), INDEX($V$1004:$AE$1004,1,MATCH(COLUMNS($V$1006:Y1006),$V$1006:$AE$1006,0)))),"Fix")))</f>
        <v>0</v>
      </c>
      <c r="F371" s="4">
        <f>IF(OR(INDEX($P$2:$P$1001,MATCH(ROWS($O$2:O371),$O$2:$O$1001,0),1)&gt;=100000,INDEX($V$1005:$AE$1005,1,MATCH(COLUMNS($V$1006:Z1006),$V$1006:$AE$1006,0))&gt;=100000), " ",IF(INDEX($V$2:$AE$1001,MATCH(ROWS($O$2:O371),$O$2:$O$1001,0),MATCH(COLUMNS($V$1006:Z1006),$V$1006:$AE$1006,0)), HYPERLINK("#",""), HYPERLINK(CONCATENATE("#Metadata!", ADDRESS(INDEX($Q$2:$Q$1001,MATCH(ROWS($O$2:O371),$O$2:$O$1001,0),0), INDEX($V$1004:$AE$1004,1,MATCH(COLUMNS($V$1006:Z1006),$V$1006:$AE$1006,0)))),"Fix")))</f>
        <v>0</v>
      </c>
      <c r="G371" s="4">
        <f>IF(OR(INDEX($P$2:$P$1001,MATCH(ROWS($O$2:O371),$O$2:$O$1001,0),1)&gt;=100000,INDEX($V$1005:$AE$1005,1,MATCH(COLUMNS($V$1006:AA1006),$V$1006:$AE$1006,0))&gt;=100000), " ",IF(INDEX($V$2:$AE$1001,MATCH(ROWS($O$2:O371),$O$2:$O$1001,0),MATCH(COLUMNS($V$1006:AA1006),$V$1006:$AE$1006,0)), HYPERLINK("#",""), HYPERLINK(CONCATENATE("#Metadata!", ADDRESS(INDEX($Q$2:$Q$1001,MATCH(ROWS($O$2:O371),$O$2:$O$1001,0),0), INDEX($V$1004:$AE$1004,1,MATCH(COLUMNS($V$1006:AA1006),$V$1006:$AE$1006,0)))),"Fix")))</f>
        <v>0</v>
      </c>
      <c r="H371" s="4">
        <f>IF(OR(INDEX($P$2:$P$1001,MATCH(ROWS($O$2:O371),$O$2:$O$1001,0),1)&gt;=100000,INDEX($V$1005:$AE$1005,1,MATCH(COLUMNS($V$1006:AB1006),$V$1006:$AE$1006,0))&gt;=100000), " ",IF(INDEX($V$2:$AE$1001,MATCH(ROWS($O$2:O371),$O$2:$O$1001,0),MATCH(COLUMNS($V$1006:AB1006),$V$1006:$AE$1006,0)), HYPERLINK("#",""), HYPERLINK(CONCATENATE("#Metadata!", ADDRESS(INDEX($Q$2:$Q$1001,MATCH(ROWS($O$2:O371),$O$2:$O$1001,0),0), INDEX($V$1004:$AE$1004,1,MATCH(COLUMNS($V$1006:AB1006),$V$1006:$AE$1006,0)))),"Fix")))</f>
        <v>0</v>
      </c>
      <c r="I371" s="4">
        <f>IF(OR(INDEX($P$2:$P$1001,MATCH(ROWS($O$2:O371),$O$2:$O$1001,0),1)&gt;=100000,INDEX($V$1005:$AE$1005,1,MATCH(COLUMNS($V$1006:AC1006),$V$1006:$AE$1006,0))&gt;=100000), " ",IF(INDEX($V$2:$AE$1001,MATCH(ROWS($O$2:O371),$O$2:$O$1001,0),MATCH(COLUMNS($V$1006:AC1006),$V$1006:$AE$1006,0)), HYPERLINK("#",""), HYPERLINK(CONCATENATE("#Metadata!", ADDRESS(INDEX($Q$2:$Q$1001,MATCH(ROWS($O$2:O371),$O$2:$O$1001,0),0), INDEX($V$1004:$AE$1004,1,MATCH(COLUMNS($V$1006:AC1006),$V$1006:$AE$1006,0)))),"Fix")))</f>
        <v>0</v>
      </c>
      <c r="J371" s="4">
        <f>IF(OR(INDEX($P$2:$P$1001,MATCH(ROWS($O$2:O371),$O$2:$O$1001,0),1)&gt;=100000,INDEX($V$1005:$AE$1005,1,MATCH(COLUMNS($V$1006:AD1006),$V$1006:$AE$1006,0))&gt;=100000), " ",IF(INDEX($V$2:$AE$1001,MATCH(ROWS($O$2:O371),$O$2:$O$1001,0),MATCH(COLUMNS($V$1006:AD1006),$V$1006:$AE$1006,0)), HYPERLINK("#",""), HYPERLINK(CONCATENATE("#Metadata!", ADDRESS(INDEX($Q$2:$Q$1001,MATCH(ROWS($O$2:O371),$O$2:$O$1001,0),0), INDEX($V$1004:$AE$1004,1,MATCH(COLUMNS($V$1006:AD1006),$V$1006:$AE$1006,0)))),"Fix")))</f>
        <v>0</v>
      </c>
      <c r="K371" s="4">
        <f>IF(OR(INDEX($P$2:$P$1001,MATCH(ROWS($O$2:O371),$O$2:$O$1001,0),1)&gt;=100000,INDEX($V$1005:$AE$1005,1,MATCH(COLUMNS($V$1006:AE1006),$V$1006:$AE$1006,0))&gt;=100000), " ",IF(INDEX($V$2:$AE$1001,MATCH(ROWS($O$2:O371),$O$2:$O$1001,0),MATCH(COLUMNS($V$1006:AE1006),$V$1006:$AE$1006,0)), HYPERLINK("#",""), HYPERLINK(CONCATENATE("#Metadata!", ADDRESS(INDEX($Q$2:$Q$1001,MATCH(ROWS($O$2:O371),$O$2:$O$1001,0),0), INDEX($V$1004:$AE$1004,1,MATCH(COLUMNS($V$1006:AE1006),$V$1006:$AE$1006,0)))),"Fix")))</f>
        <v>0</v>
      </c>
      <c r="O371">
        <v>0</v>
      </c>
      <c r="P371">
        <v>0</v>
      </c>
      <c r="Q371">
        <v>0</v>
      </c>
      <c r="R371">
        <f>IF(S371,TRUE,AND(V371:AE371))</f>
        <v>0</v>
      </c>
      <c r="S371">
        <f>COUNTBLANK(Metadata!B371:K371)=COLUMNS(Metadata!B371:K371)</f>
        <v>0</v>
      </c>
      <c r="T371">
        <v>0</v>
      </c>
      <c r="V371">
        <f>AND(IF(Metadata!B371="",FALSE,TRUE),COUNTIF(Metadata!B:B, Metadata!B371) = 1,NOT(ISERROR(SUMPRODUCT(SEARCH(MID(Metadata!B371,ROW(INDIRECT("1:"&amp;LEN(Metadata!B371))), 1),"0123456789abcdefghijklmnopqrstuvwxyzABCDEFGHIJKLMNOPQRSTUVWXYZ.")))))</f>
        <v>0</v>
      </c>
      <c r="W371">
        <f>AND(IF(Metadata!C371="",FALSE,TRUE),exact(Metadata!C371,"urban biome"))</f>
        <v>0</v>
      </c>
      <c r="X371">
        <f>AND(IF(Metadata!D371="",FALSE,TRUE),exact(Metadata!D371,"animal-associated habitat"))</f>
        <v>0</v>
      </c>
      <c r="Y371">
        <f>OR(AND(IF(Metadata!E371="",FALSE,TRUE),OR(exact(Metadata!E371,"not applicable"),exact(Metadata!E371,"missing: not collected"),exact(Metadata!E371,"missing: not provided"),exact(Metadata!E371,"missing: restricted access"))),AND(IF(Metadata!E371="",FALSE,ISNUMBER(VALUE(Metadata!E371))),Metadata!E371&gt;0))</f>
        <v>0</v>
      </c>
      <c r="Z371">
        <f>AND(IF(Metadata!F371="",FALSE,TRUE),exact(Metadata!F371,"weeks"))</f>
        <v>0</v>
      </c>
      <c r="AA371">
        <f>AND(IF(Metadata!G371="",FALSE,TRUE),exact(Metadata!G371,"mouse"))</f>
        <v>0</v>
      </c>
      <c r="AB371">
        <f>AND(IF(Metadata!H371="",FALSE,TRUE),exact(Metadata!H371,"Mus musculus"))</f>
        <v>0</v>
      </c>
      <c r="AC371">
        <f>AND(IF(Metadata!I371="",FALSE,TRUE),exact(Metadata!I371,"10090"))</f>
        <v>0</v>
      </c>
      <c r="AD371">
        <f>OR(AND(IF(Metadata!J371="",FALSE,TRUE),OR(exact(Metadata!J371,"not applicable"),exact(Metadata!J371,"missing: not collected"),exact(Metadata!J371,"missing: not provided"),exact(Metadata!J371,"missing: restricted access"))),AND(IF(Metadata!J371="",FALSE,ISNUMBER(VALUE(Metadata!J371))),Metadata!J371&gt;0))</f>
        <v>0</v>
      </c>
      <c r="AE371">
        <f>AND(IF(Metadata!K371="",FALSE,TRUE),exact(Metadata!K371,"g"))</f>
        <v>0</v>
      </c>
    </row>
    <row r="372" spans="1:31">
      <c r="A372" s="5">
        <f>IF(B372=" "," ",HYPERLINK(CONCATENATE("#metadata!",ADDRESS(INDEX($Q$2:$Q$1001,MATCH(ROWS($O$2:O372),$O$2:$O$1001,0),0),1)),INDEX($T$2:$T$1001,MATCH(ROWS($O$2:O372),$O$2:$O$1001,0),0)))</f>
        <v>0</v>
      </c>
      <c r="B372" s="4">
        <f>IF(OR(INDEX($P$2:$P$1001,MATCH(ROWS($O$2:O372),$O$2:$O$1001,0),1)&gt;=100000,INDEX($V$1005:$AE$1005,1,MATCH(COLUMNS($V$1006:V1006),$V$1006:$AE$1006,0))&gt;=100000), " ",IF(INDEX($V$2:$AE$1001,MATCH(ROWS($O$2:O372),$O$2:$O$1001,0),MATCH(COLUMNS($V$1006:V1006),$V$1006:$AE$1006,0)), HYPERLINK("#",""), HYPERLINK(CONCATENATE("#Metadata!", ADDRESS(INDEX($Q$2:$Q$1001,MATCH(ROWS($O$2:O372),$O$2:$O$1001,0),0), INDEX($V$1004:$AE$1004,1,MATCH(COLUMNS($V$1006:V1006),$V$1006:$AE$1006,0)))),"Fix")))</f>
        <v>0</v>
      </c>
      <c r="C372" s="4">
        <f>IF(OR(INDEX($P$2:$P$1001,MATCH(ROWS($O$2:O372),$O$2:$O$1001,0),1)&gt;=100000,INDEX($V$1005:$AE$1005,1,MATCH(COLUMNS($V$1006:W1006),$V$1006:$AE$1006,0))&gt;=100000), " ",IF(INDEX($V$2:$AE$1001,MATCH(ROWS($O$2:O372),$O$2:$O$1001,0),MATCH(COLUMNS($V$1006:W1006),$V$1006:$AE$1006,0)), HYPERLINK("#",""), HYPERLINK(CONCATENATE("#Metadata!", ADDRESS(INDEX($Q$2:$Q$1001,MATCH(ROWS($O$2:O372),$O$2:$O$1001,0),0), INDEX($V$1004:$AE$1004,1,MATCH(COLUMNS($V$1006:W1006),$V$1006:$AE$1006,0)))),"Fix")))</f>
        <v>0</v>
      </c>
      <c r="D372" s="4">
        <f>IF(OR(INDEX($P$2:$P$1001,MATCH(ROWS($O$2:O372),$O$2:$O$1001,0),1)&gt;=100000,INDEX($V$1005:$AE$1005,1,MATCH(COLUMNS($V$1006:X1006),$V$1006:$AE$1006,0))&gt;=100000), " ",IF(INDEX($V$2:$AE$1001,MATCH(ROWS($O$2:O372),$O$2:$O$1001,0),MATCH(COLUMNS($V$1006:X1006),$V$1006:$AE$1006,0)), HYPERLINK("#",""), HYPERLINK(CONCATENATE("#Metadata!", ADDRESS(INDEX($Q$2:$Q$1001,MATCH(ROWS($O$2:O372),$O$2:$O$1001,0),0), INDEX($V$1004:$AE$1004,1,MATCH(COLUMNS($V$1006:X1006),$V$1006:$AE$1006,0)))),"Fix")))</f>
        <v>0</v>
      </c>
      <c r="E372" s="4">
        <f>IF(OR(INDEX($P$2:$P$1001,MATCH(ROWS($O$2:O372),$O$2:$O$1001,0),1)&gt;=100000,INDEX($V$1005:$AE$1005,1,MATCH(COLUMNS($V$1006:Y1006),$V$1006:$AE$1006,0))&gt;=100000), " ",IF(INDEX($V$2:$AE$1001,MATCH(ROWS($O$2:O372),$O$2:$O$1001,0),MATCH(COLUMNS($V$1006:Y1006),$V$1006:$AE$1006,0)), HYPERLINK("#",""), HYPERLINK(CONCATENATE("#Metadata!", ADDRESS(INDEX($Q$2:$Q$1001,MATCH(ROWS($O$2:O372),$O$2:$O$1001,0),0), INDEX($V$1004:$AE$1004,1,MATCH(COLUMNS($V$1006:Y1006),$V$1006:$AE$1006,0)))),"Fix")))</f>
        <v>0</v>
      </c>
      <c r="F372" s="4">
        <f>IF(OR(INDEX($P$2:$P$1001,MATCH(ROWS($O$2:O372),$O$2:$O$1001,0),1)&gt;=100000,INDEX($V$1005:$AE$1005,1,MATCH(COLUMNS($V$1006:Z1006),$V$1006:$AE$1006,0))&gt;=100000), " ",IF(INDEX($V$2:$AE$1001,MATCH(ROWS($O$2:O372),$O$2:$O$1001,0),MATCH(COLUMNS($V$1006:Z1006),$V$1006:$AE$1006,0)), HYPERLINK("#",""), HYPERLINK(CONCATENATE("#Metadata!", ADDRESS(INDEX($Q$2:$Q$1001,MATCH(ROWS($O$2:O372),$O$2:$O$1001,0),0), INDEX($V$1004:$AE$1004,1,MATCH(COLUMNS($V$1006:Z1006),$V$1006:$AE$1006,0)))),"Fix")))</f>
        <v>0</v>
      </c>
      <c r="G372" s="4">
        <f>IF(OR(INDEX($P$2:$P$1001,MATCH(ROWS($O$2:O372),$O$2:$O$1001,0),1)&gt;=100000,INDEX($V$1005:$AE$1005,1,MATCH(COLUMNS($V$1006:AA1006),$V$1006:$AE$1006,0))&gt;=100000), " ",IF(INDEX($V$2:$AE$1001,MATCH(ROWS($O$2:O372),$O$2:$O$1001,0),MATCH(COLUMNS($V$1006:AA1006),$V$1006:$AE$1006,0)), HYPERLINK("#",""), HYPERLINK(CONCATENATE("#Metadata!", ADDRESS(INDEX($Q$2:$Q$1001,MATCH(ROWS($O$2:O372),$O$2:$O$1001,0),0), INDEX($V$1004:$AE$1004,1,MATCH(COLUMNS($V$1006:AA1006),$V$1006:$AE$1006,0)))),"Fix")))</f>
        <v>0</v>
      </c>
      <c r="H372" s="4">
        <f>IF(OR(INDEX($P$2:$P$1001,MATCH(ROWS($O$2:O372),$O$2:$O$1001,0),1)&gt;=100000,INDEX($V$1005:$AE$1005,1,MATCH(COLUMNS($V$1006:AB1006),$V$1006:$AE$1006,0))&gt;=100000), " ",IF(INDEX($V$2:$AE$1001,MATCH(ROWS($O$2:O372),$O$2:$O$1001,0),MATCH(COLUMNS($V$1006:AB1006),$V$1006:$AE$1006,0)), HYPERLINK("#",""), HYPERLINK(CONCATENATE("#Metadata!", ADDRESS(INDEX($Q$2:$Q$1001,MATCH(ROWS($O$2:O372),$O$2:$O$1001,0),0), INDEX($V$1004:$AE$1004,1,MATCH(COLUMNS($V$1006:AB1006),$V$1006:$AE$1006,0)))),"Fix")))</f>
        <v>0</v>
      </c>
      <c r="I372" s="4">
        <f>IF(OR(INDEX($P$2:$P$1001,MATCH(ROWS($O$2:O372),$O$2:$O$1001,0),1)&gt;=100000,INDEX($V$1005:$AE$1005,1,MATCH(COLUMNS($V$1006:AC1006),$V$1006:$AE$1006,0))&gt;=100000), " ",IF(INDEX($V$2:$AE$1001,MATCH(ROWS($O$2:O372),$O$2:$O$1001,0),MATCH(COLUMNS($V$1006:AC1006),$V$1006:$AE$1006,0)), HYPERLINK("#",""), HYPERLINK(CONCATENATE("#Metadata!", ADDRESS(INDEX($Q$2:$Q$1001,MATCH(ROWS($O$2:O372),$O$2:$O$1001,0),0), INDEX($V$1004:$AE$1004,1,MATCH(COLUMNS($V$1006:AC1006),$V$1006:$AE$1006,0)))),"Fix")))</f>
        <v>0</v>
      </c>
      <c r="J372" s="4">
        <f>IF(OR(INDEX($P$2:$P$1001,MATCH(ROWS($O$2:O372),$O$2:$O$1001,0),1)&gt;=100000,INDEX($V$1005:$AE$1005,1,MATCH(COLUMNS($V$1006:AD1006),$V$1006:$AE$1006,0))&gt;=100000), " ",IF(INDEX($V$2:$AE$1001,MATCH(ROWS($O$2:O372),$O$2:$O$1001,0),MATCH(COLUMNS($V$1006:AD1006),$V$1006:$AE$1006,0)), HYPERLINK("#",""), HYPERLINK(CONCATENATE("#Metadata!", ADDRESS(INDEX($Q$2:$Q$1001,MATCH(ROWS($O$2:O372),$O$2:$O$1001,0),0), INDEX($V$1004:$AE$1004,1,MATCH(COLUMNS($V$1006:AD1006),$V$1006:$AE$1006,0)))),"Fix")))</f>
        <v>0</v>
      </c>
      <c r="K372" s="4">
        <f>IF(OR(INDEX($P$2:$P$1001,MATCH(ROWS($O$2:O372),$O$2:$O$1001,0),1)&gt;=100000,INDEX($V$1005:$AE$1005,1,MATCH(COLUMNS($V$1006:AE1006),$V$1006:$AE$1006,0))&gt;=100000), " ",IF(INDEX($V$2:$AE$1001,MATCH(ROWS($O$2:O372),$O$2:$O$1001,0),MATCH(COLUMNS($V$1006:AE1006),$V$1006:$AE$1006,0)), HYPERLINK("#",""), HYPERLINK(CONCATENATE("#Metadata!", ADDRESS(INDEX($Q$2:$Q$1001,MATCH(ROWS($O$2:O372),$O$2:$O$1001,0),0), INDEX($V$1004:$AE$1004,1,MATCH(COLUMNS($V$1006:AE1006),$V$1006:$AE$1006,0)))),"Fix")))</f>
        <v>0</v>
      </c>
      <c r="O372">
        <v>0</v>
      </c>
      <c r="P372">
        <v>0</v>
      </c>
      <c r="Q372">
        <v>0</v>
      </c>
      <c r="R372">
        <f>IF(S372,TRUE,AND(V372:AE372))</f>
        <v>0</v>
      </c>
      <c r="S372">
        <f>COUNTBLANK(Metadata!B372:K372)=COLUMNS(Metadata!B372:K372)</f>
        <v>0</v>
      </c>
      <c r="T372">
        <v>0</v>
      </c>
      <c r="V372">
        <f>AND(IF(Metadata!B372="",FALSE,TRUE),COUNTIF(Metadata!B:B, Metadata!B372) = 1,NOT(ISERROR(SUMPRODUCT(SEARCH(MID(Metadata!B372,ROW(INDIRECT("1:"&amp;LEN(Metadata!B372))), 1),"0123456789abcdefghijklmnopqrstuvwxyzABCDEFGHIJKLMNOPQRSTUVWXYZ.")))))</f>
        <v>0</v>
      </c>
      <c r="W372">
        <f>AND(IF(Metadata!C372="",FALSE,TRUE),exact(Metadata!C372,"urban biome"))</f>
        <v>0</v>
      </c>
      <c r="X372">
        <f>AND(IF(Metadata!D372="",FALSE,TRUE),exact(Metadata!D372,"animal-associated habitat"))</f>
        <v>0</v>
      </c>
      <c r="Y372">
        <f>OR(AND(IF(Metadata!E372="",FALSE,TRUE),OR(exact(Metadata!E372,"not applicable"),exact(Metadata!E372,"missing: not collected"),exact(Metadata!E372,"missing: not provided"),exact(Metadata!E372,"missing: restricted access"))),AND(IF(Metadata!E372="",FALSE,ISNUMBER(VALUE(Metadata!E372))),Metadata!E372&gt;0))</f>
        <v>0</v>
      </c>
      <c r="Z372">
        <f>AND(IF(Metadata!F372="",FALSE,TRUE),exact(Metadata!F372,"weeks"))</f>
        <v>0</v>
      </c>
      <c r="AA372">
        <f>AND(IF(Metadata!G372="",FALSE,TRUE),exact(Metadata!G372,"mouse"))</f>
        <v>0</v>
      </c>
      <c r="AB372">
        <f>AND(IF(Metadata!H372="",FALSE,TRUE),exact(Metadata!H372,"Mus musculus"))</f>
        <v>0</v>
      </c>
      <c r="AC372">
        <f>AND(IF(Metadata!I372="",FALSE,TRUE),exact(Metadata!I372,"10090"))</f>
        <v>0</v>
      </c>
      <c r="AD372">
        <f>OR(AND(IF(Metadata!J372="",FALSE,TRUE),OR(exact(Metadata!J372,"not applicable"),exact(Metadata!J372,"missing: not collected"),exact(Metadata!J372,"missing: not provided"),exact(Metadata!J372,"missing: restricted access"))),AND(IF(Metadata!J372="",FALSE,ISNUMBER(VALUE(Metadata!J372))),Metadata!J372&gt;0))</f>
        <v>0</v>
      </c>
      <c r="AE372">
        <f>AND(IF(Metadata!K372="",FALSE,TRUE),exact(Metadata!K372,"g"))</f>
        <v>0</v>
      </c>
    </row>
    <row r="373" spans="1:31">
      <c r="A373" s="5">
        <f>IF(B373=" "," ",HYPERLINK(CONCATENATE("#metadata!",ADDRESS(INDEX($Q$2:$Q$1001,MATCH(ROWS($O$2:O373),$O$2:$O$1001,0),0),1)),INDEX($T$2:$T$1001,MATCH(ROWS($O$2:O373),$O$2:$O$1001,0),0)))</f>
        <v>0</v>
      </c>
      <c r="B373" s="4">
        <f>IF(OR(INDEX($P$2:$P$1001,MATCH(ROWS($O$2:O373),$O$2:$O$1001,0),1)&gt;=100000,INDEX($V$1005:$AE$1005,1,MATCH(COLUMNS($V$1006:V1006),$V$1006:$AE$1006,0))&gt;=100000), " ",IF(INDEX($V$2:$AE$1001,MATCH(ROWS($O$2:O373),$O$2:$O$1001,0),MATCH(COLUMNS($V$1006:V1006),$V$1006:$AE$1006,0)), HYPERLINK("#",""), HYPERLINK(CONCATENATE("#Metadata!", ADDRESS(INDEX($Q$2:$Q$1001,MATCH(ROWS($O$2:O373),$O$2:$O$1001,0),0), INDEX($V$1004:$AE$1004,1,MATCH(COLUMNS($V$1006:V1006),$V$1006:$AE$1006,0)))),"Fix")))</f>
        <v>0</v>
      </c>
      <c r="C373" s="4">
        <f>IF(OR(INDEX($P$2:$P$1001,MATCH(ROWS($O$2:O373),$O$2:$O$1001,0),1)&gt;=100000,INDEX($V$1005:$AE$1005,1,MATCH(COLUMNS($V$1006:W1006),$V$1006:$AE$1006,0))&gt;=100000), " ",IF(INDEX($V$2:$AE$1001,MATCH(ROWS($O$2:O373),$O$2:$O$1001,0),MATCH(COLUMNS($V$1006:W1006),$V$1006:$AE$1006,0)), HYPERLINK("#",""), HYPERLINK(CONCATENATE("#Metadata!", ADDRESS(INDEX($Q$2:$Q$1001,MATCH(ROWS($O$2:O373),$O$2:$O$1001,0),0), INDEX($V$1004:$AE$1004,1,MATCH(COLUMNS($V$1006:W1006),$V$1006:$AE$1006,0)))),"Fix")))</f>
        <v>0</v>
      </c>
      <c r="D373" s="4">
        <f>IF(OR(INDEX($P$2:$P$1001,MATCH(ROWS($O$2:O373),$O$2:$O$1001,0),1)&gt;=100000,INDEX($V$1005:$AE$1005,1,MATCH(COLUMNS($V$1006:X1006),$V$1006:$AE$1006,0))&gt;=100000), " ",IF(INDEX($V$2:$AE$1001,MATCH(ROWS($O$2:O373),$O$2:$O$1001,0),MATCH(COLUMNS($V$1006:X1006),$V$1006:$AE$1006,0)), HYPERLINK("#",""), HYPERLINK(CONCATENATE("#Metadata!", ADDRESS(INDEX($Q$2:$Q$1001,MATCH(ROWS($O$2:O373),$O$2:$O$1001,0),0), INDEX($V$1004:$AE$1004,1,MATCH(COLUMNS($V$1006:X1006),$V$1006:$AE$1006,0)))),"Fix")))</f>
        <v>0</v>
      </c>
      <c r="E373" s="4">
        <f>IF(OR(INDEX($P$2:$P$1001,MATCH(ROWS($O$2:O373),$O$2:$O$1001,0),1)&gt;=100000,INDEX($V$1005:$AE$1005,1,MATCH(COLUMNS($V$1006:Y1006),$V$1006:$AE$1006,0))&gt;=100000), " ",IF(INDEX($V$2:$AE$1001,MATCH(ROWS($O$2:O373),$O$2:$O$1001,0),MATCH(COLUMNS($V$1006:Y1006),$V$1006:$AE$1006,0)), HYPERLINK("#",""), HYPERLINK(CONCATENATE("#Metadata!", ADDRESS(INDEX($Q$2:$Q$1001,MATCH(ROWS($O$2:O373),$O$2:$O$1001,0),0), INDEX($V$1004:$AE$1004,1,MATCH(COLUMNS($V$1006:Y1006),$V$1006:$AE$1006,0)))),"Fix")))</f>
        <v>0</v>
      </c>
      <c r="F373" s="4">
        <f>IF(OR(INDEX($P$2:$P$1001,MATCH(ROWS($O$2:O373),$O$2:$O$1001,0),1)&gt;=100000,INDEX($V$1005:$AE$1005,1,MATCH(COLUMNS($V$1006:Z1006),$V$1006:$AE$1006,0))&gt;=100000), " ",IF(INDEX($V$2:$AE$1001,MATCH(ROWS($O$2:O373),$O$2:$O$1001,0),MATCH(COLUMNS($V$1006:Z1006),$V$1006:$AE$1006,0)), HYPERLINK("#",""), HYPERLINK(CONCATENATE("#Metadata!", ADDRESS(INDEX($Q$2:$Q$1001,MATCH(ROWS($O$2:O373),$O$2:$O$1001,0),0), INDEX($V$1004:$AE$1004,1,MATCH(COLUMNS($V$1006:Z1006),$V$1006:$AE$1006,0)))),"Fix")))</f>
        <v>0</v>
      </c>
      <c r="G373" s="4">
        <f>IF(OR(INDEX($P$2:$P$1001,MATCH(ROWS($O$2:O373),$O$2:$O$1001,0),1)&gt;=100000,INDEX($V$1005:$AE$1005,1,MATCH(COLUMNS($V$1006:AA1006),$V$1006:$AE$1006,0))&gt;=100000), " ",IF(INDEX($V$2:$AE$1001,MATCH(ROWS($O$2:O373),$O$2:$O$1001,0),MATCH(COLUMNS($V$1006:AA1006),$V$1006:$AE$1006,0)), HYPERLINK("#",""), HYPERLINK(CONCATENATE("#Metadata!", ADDRESS(INDEX($Q$2:$Q$1001,MATCH(ROWS($O$2:O373),$O$2:$O$1001,0),0), INDEX($V$1004:$AE$1004,1,MATCH(COLUMNS($V$1006:AA1006),$V$1006:$AE$1006,0)))),"Fix")))</f>
        <v>0</v>
      </c>
      <c r="H373" s="4">
        <f>IF(OR(INDEX($P$2:$P$1001,MATCH(ROWS($O$2:O373),$O$2:$O$1001,0),1)&gt;=100000,INDEX($V$1005:$AE$1005,1,MATCH(COLUMNS($V$1006:AB1006),$V$1006:$AE$1006,0))&gt;=100000), " ",IF(INDEX($V$2:$AE$1001,MATCH(ROWS($O$2:O373),$O$2:$O$1001,0),MATCH(COLUMNS($V$1006:AB1006),$V$1006:$AE$1006,0)), HYPERLINK("#",""), HYPERLINK(CONCATENATE("#Metadata!", ADDRESS(INDEX($Q$2:$Q$1001,MATCH(ROWS($O$2:O373),$O$2:$O$1001,0),0), INDEX($V$1004:$AE$1004,1,MATCH(COLUMNS($V$1006:AB1006),$V$1006:$AE$1006,0)))),"Fix")))</f>
        <v>0</v>
      </c>
      <c r="I373" s="4">
        <f>IF(OR(INDEX($P$2:$P$1001,MATCH(ROWS($O$2:O373),$O$2:$O$1001,0),1)&gt;=100000,INDEX($V$1005:$AE$1005,1,MATCH(COLUMNS($V$1006:AC1006),$V$1006:$AE$1006,0))&gt;=100000), " ",IF(INDEX($V$2:$AE$1001,MATCH(ROWS($O$2:O373),$O$2:$O$1001,0),MATCH(COLUMNS($V$1006:AC1006),$V$1006:$AE$1006,0)), HYPERLINK("#",""), HYPERLINK(CONCATENATE("#Metadata!", ADDRESS(INDEX($Q$2:$Q$1001,MATCH(ROWS($O$2:O373),$O$2:$O$1001,0),0), INDEX($V$1004:$AE$1004,1,MATCH(COLUMNS($V$1006:AC1006),$V$1006:$AE$1006,0)))),"Fix")))</f>
        <v>0</v>
      </c>
      <c r="J373" s="4">
        <f>IF(OR(INDEX($P$2:$P$1001,MATCH(ROWS($O$2:O373),$O$2:$O$1001,0),1)&gt;=100000,INDEX($V$1005:$AE$1005,1,MATCH(COLUMNS($V$1006:AD1006),$V$1006:$AE$1006,0))&gt;=100000), " ",IF(INDEX($V$2:$AE$1001,MATCH(ROWS($O$2:O373),$O$2:$O$1001,0),MATCH(COLUMNS($V$1006:AD1006),$V$1006:$AE$1006,0)), HYPERLINK("#",""), HYPERLINK(CONCATENATE("#Metadata!", ADDRESS(INDEX($Q$2:$Q$1001,MATCH(ROWS($O$2:O373),$O$2:$O$1001,0),0), INDEX($V$1004:$AE$1004,1,MATCH(COLUMNS($V$1006:AD1006),$V$1006:$AE$1006,0)))),"Fix")))</f>
        <v>0</v>
      </c>
      <c r="K373" s="4">
        <f>IF(OR(INDEX($P$2:$P$1001,MATCH(ROWS($O$2:O373),$O$2:$O$1001,0),1)&gt;=100000,INDEX($V$1005:$AE$1005,1,MATCH(COLUMNS($V$1006:AE1006),$V$1006:$AE$1006,0))&gt;=100000), " ",IF(INDEX($V$2:$AE$1001,MATCH(ROWS($O$2:O373),$O$2:$O$1001,0),MATCH(COLUMNS($V$1006:AE1006),$V$1006:$AE$1006,0)), HYPERLINK("#",""), HYPERLINK(CONCATENATE("#Metadata!", ADDRESS(INDEX($Q$2:$Q$1001,MATCH(ROWS($O$2:O373),$O$2:$O$1001,0),0), INDEX($V$1004:$AE$1004,1,MATCH(COLUMNS($V$1006:AE1006),$V$1006:$AE$1006,0)))),"Fix")))</f>
        <v>0</v>
      </c>
      <c r="O373">
        <v>0</v>
      </c>
      <c r="P373">
        <v>0</v>
      </c>
      <c r="Q373">
        <v>0</v>
      </c>
      <c r="R373">
        <f>IF(S373,TRUE,AND(V373:AE373))</f>
        <v>0</v>
      </c>
      <c r="S373">
        <f>COUNTBLANK(Metadata!B373:K373)=COLUMNS(Metadata!B373:K373)</f>
        <v>0</v>
      </c>
      <c r="T373">
        <v>0</v>
      </c>
      <c r="V373">
        <f>AND(IF(Metadata!B373="",FALSE,TRUE),COUNTIF(Metadata!B:B, Metadata!B373) = 1,NOT(ISERROR(SUMPRODUCT(SEARCH(MID(Metadata!B373,ROW(INDIRECT("1:"&amp;LEN(Metadata!B373))), 1),"0123456789abcdefghijklmnopqrstuvwxyzABCDEFGHIJKLMNOPQRSTUVWXYZ.")))))</f>
        <v>0</v>
      </c>
      <c r="W373">
        <f>AND(IF(Metadata!C373="",FALSE,TRUE),exact(Metadata!C373,"urban biome"))</f>
        <v>0</v>
      </c>
      <c r="X373">
        <f>AND(IF(Metadata!D373="",FALSE,TRUE),exact(Metadata!D373,"animal-associated habitat"))</f>
        <v>0</v>
      </c>
      <c r="Y373">
        <f>OR(AND(IF(Metadata!E373="",FALSE,TRUE),OR(exact(Metadata!E373,"not applicable"),exact(Metadata!E373,"missing: not collected"),exact(Metadata!E373,"missing: not provided"),exact(Metadata!E373,"missing: restricted access"))),AND(IF(Metadata!E373="",FALSE,ISNUMBER(VALUE(Metadata!E373))),Metadata!E373&gt;0))</f>
        <v>0</v>
      </c>
      <c r="Z373">
        <f>AND(IF(Metadata!F373="",FALSE,TRUE),exact(Metadata!F373,"weeks"))</f>
        <v>0</v>
      </c>
      <c r="AA373">
        <f>AND(IF(Metadata!G373="",FALSE,TRUE),exact(Metadata!G373,"mouse"))</f>
        <v>0</v>
      </c>
      <c r="AB373">
        <f>AND(IF(Metadata!H373="",FALSE,TRUE),exact(Metadata!H373,"Mus musculus"))</f>
        <v>0</v>
      </c>
      <c r="AC373">
        <f>AND(IF(Metadata!I373="",FALSE,TRUE),exact(Metadata!I373,"10090"))</f>
        <v>0</v>
      </c>
      <c r="AD373">
        <f>OR(AND(IF(Metadata!J373="",FALSE,TRUE),OR(exact(Metadata!J373,"not applicable"),exact(Metadata!J373,"missing: not collected"),exact(Metadata!J373,"missing: not provided"),exact(Metadata!J373,"missing: restricted access"))),AND(IF(Metadata!J373="",FALSE,ISNUMBER(VALUE(Metadata!J373))),Metadata!J373&gt;0))</f>
        <v>0</v>
      </c>
      <c r="AE373">
        <f>AND(IF(Metadata!K373="",FALSE,TRUE),exact(Metadata!K373,"g"))</f>
        <v>0</v>
      </c>
    </row>
    <row r="374" spans="1:31">
      <c r="A374" s="5">
        <f>IF(B374=" "," ",HYPERLINK(CONCATENATE("#metadata!",ADDRESS(INDEX($Q$2:$Q$1001,MATCH(ROWS($O$2:O374),$O$2:$O$1001,0),0),1)),INDEX($T$2:$T$1001,MATCH(ROWS($O$2:O374),$O$2:$O$1001,0),0)))</f>
        <v>0</v>
      </c>
      <c r="B374" s="4">
        <f>IF(OR(INDEX($P$2:$P$1001,MATCH(ROWS($O$2:O374),$O$2:$O$1001,0),1)&gt;=100000,INDEX($V$1005:$AE$1005,1,MATCH(COLUMNS($V$1006:V1006),$V$1006:$AE$1006,0))&gt;=100000), " ",IF(INDEX($V$2:$AE$1001,MATCH(ROWS($O$2:O374),$O$2:$O$1001,0),MATCH(COLUMNS($V$1006:V1006),$V$1006:$AE$1006,0)), HYPERLINK("#",""), HYPERLINK(CONCATENATE("#Metadata!", ADDRESS(INDEX($Q$2:$Q$1001,MATCH(ROWS($O$2:O374),$O$2:$O$1001,0),0), INDEX($V$1004:$AE$1004,1,MATCH(COLUMNS($V$1006:V1006),$V$1006:$AE$1006,0)))),"Fix")))</f>
        <v>0</v>
      </c>
      <c r="C374" s="4">
        <f>IF(OR(INDEX($P$2:$P$1001,MATCH(ROWS($O$2:O374),$O$2:$O$1001,0),1)&gt;=100000,INDEX($V$1005:$AE$1005,1,MATCH(COLUMNS($V$1006:W1006),$V$1006:$AE$1006,0))&gt;=100000), " ",IF(INDEX($V$2:$AE$1001,MATCH(ROWS($O$2:O374),$O$2:$O$1001,0),MATCH(COLUMNS($V$1006:W1006),$V$1006:$AE$1006,0)), HYPERLINK("#",""), HYPERLINK(CONCATENATE("#Metadata!", ADDRESS(INDEX($Q$2:$Q$1001,MATCH(ROWS($O$2:O374),$O$2:$O$1001,0),0), INDEX($V$1004:$AE$1004,1,MATCH(COLUMNS($V$1006:W1006),$V$1006:$AE$1006,0)))),"Fix")))</f>
        <v>0</v>
      </c>
      <c r="D374" s="4">
        <f>IF(OR(INDEX($P$2:$P$1001,MATCH(ROWS($O$2:O374),$O$2:$O$1001,0),1)&gt;=100000,INDEX($V$1005:$AE$1005,1,MATCH(COLUMNS($V$1006:X1006),$V$1006:$AE$1006,0))&gt;=100000), " ",IF(INDEX($V$2:$AE$1001,MATCH(ROWS($O$2:O374),$O$2:$O$1001,0),MATCH(COLUMNS($V$1006:X1006),$V$1006:$AE$1006,0)), HYPERLINK("#",""), HYPERLINK(CONCATENATE("#Metadata!", ADDRESS(INDEX($Q$2:$Q$1001,MATCH(ROWS($O$2:O374),$O$2:$O$1001,0),0), INDEX($V$1004:$AE$1004,1,MATCH(COLUMNS($V$1006:X1006),$V$1006:$AE$1006,0)))),"Fix")))</f>
        <v>0</v>
      </c>
      <c r="E374" s="4">
        <f>IF(OR(INDEX($P$2:$P$1001,MATCH(ROWS($O$2:O374),$O$2:$O$1001,0),1)&gt;=100000,INDEX($V$1005:$AE$1005,1,MATCH(COLUMNS($V$1006:Y1006),$V$1006:$AE$1006,0))&gt;=100000), " ",IF(INDEX($V$2:$AE$1001,MATCH(ROWS($O$2:O374),$O$2:$O$1001,0),MATCH(COLUMNS($V$1006:Y1006),$V$1006:$AE$1006,0)), HYPERLINK("#",""), HYPERLINK(CONCATENATE("#Metadata!", ADDRESS(INDEX($Q$2:$Q$1001,MATCH(ROWS($O$2:O374),$O$2:$O$1001,0),0), INDEX($V$1004:$AE$1004,1,MATCH(COLUMNS($V$1006:Y1006),$V$1006:$AE$1006,0)))),"Fix")))</f>
        <v>0</v>
      </c>
      <c r="F374" s="4">
        <f>IF(OR(INDEX($P$2:$P$1001,MATCH(ROWS($O$2:O374),$O$2:$O$1001,0),1)&gt;=100000,INDEX($V$1005:$AE$1005,1,MATCH(COLUMNS($V$1006:Z1006),$V$1006:$AE$1006,0))&gt;=100000), " ",IF(INDEX($V$2:$AE$1001,MATCH(ROWS($O$2:O374),$O$2:$O$1001,0),MATCH(COLUMNS($V$1006:Z1006),$V$1006:$AE$1006,0)), HYPERLINK("#",""), HYPERLINK(CONCATENATE("#Metadata!", ADDRESS(INDEX($Q$2:$Q$1001,MATCH(ROWS($O$2:O374),$O$2:$O$1001,0),0), INDEX($V$1004:$AE$1004,1,MATCH(COLUMNS($V$1006:Z1006),$V$1006:$AE$1006,0)))),"Fix")))</f>
        <v>0</v>
      </c>
      <c r="G374" s="4">
        <f>IF(OR(INDEX($P$2:$P$1001,MATCH(ROWS($O$2:O374),$O$2:$O$1001,0),1)&gt;=100000,INDEX($V$1005:$AE$1005,1,MATCH(COLUMNS($V$1006:AA1006),$V$1006:$AE$1006,0))&gt;=100000), " ",IF(INDEX($V$2:$AE$1001,MATCH(ROWS($O$2:O374),$O$2:$O$1001,0),MATCH(COLUMNS($V$1006:AA1006),$V$1006:$AE$1006,0)), HYPERLINK("#",""), HYPERLINK(CONCATENATE("#Metadata!", ADDRESS(INDEX($Q$2:$Q$1001,MATCH(ROWS($O$2:O374),$O$2:$O$1001,0),0), INDEX($V$1004:$AE$1004,1,MATCH(COLUMNS($V$1006:AA1006),$V$1006:$AE$1006,0)))),"Fix")))</f>
        <v>0</v>
      </c>
      <c r="H374" s="4">
        <f>IF(OR(INDEX($P$2:$P$1001,MATCH(ROWS($O$2:O374),$O$2:$O$1001,0),1)&gt;=100000,INDEX($V$1005:$AE$1005,1,MATCH(COLUMNS($V$1006:AB1006),$V$1006:$AE$1006,0))&gt;=100000), " ",IF(INDEX($V$2:$AE$1001,MATCH(ROWS($O$2:O374),$O$2:$O$1001,0),MATCH(COLUMNS($V$1006:AB1006),$V$1006:$AE$1006,0)), HYPERLINK("#",""), HYPERLINK(CONCATENATE("#Metadata!", ADDRESS(INDEX($Q$2:$Q$1001,MATCH(ROWS($O$2:O374),$O$2:$O$1001,0),0), INDEX($V$1004:$AE$1004,1,MATCH(COLUMNS($V$1006:AB1006),$V$1006:$AE$1006,0)))),"Fix")))</f>
        <v>0</v>
      </c>
      <c r="I374" s="4">
        <f>IF(OR(INDEX($P$2:$P$1001,MATCH(ROWS($O$2:O374),$O$2:$O$1001,0),1)&gt;=100000,INDEX($V$1005:$AE$1005,1,MATCH(COLUMNS($V$1006:AC1006),$V$1006:$AE$1006,0))&gt;=100000), " ",IF(INDEX($V$2:$AE$1001,MATCH(ROWS($O$2:O374),$O$2:$O$1001,0),MATCH(COLUMNS($V$1006:AC1006),$V$1006:$AE$1006,0)), HYPERLINK("#",""), HYPERLINK(CONCATENATE("#Metadata!", ADDRESS(INDEX($Q$2:$Q$1001,MATCH(ROWS($O$2:O374),$O$2:$O$1001,0),0), INDEX($V$1004:$AE$1004,1,MATCH(COLUMNS($V$1006:AC1006),$V$1006:$AE$1006,0)))),"Fix")))</f>
        <v>0</v>
      </c>
      <c r="J374" s="4">
        <f>IF(OR(INDEX($P$2:$P$1001,MATCH(ROWS($O$2:O374),$O$2:$O$1001,0),1)&gt;=100000,INDEX($V$1005:$AE$1005,1,MATCH(COLUMNS($V$1006:AD1006),$V$1006:$AE$1006,0))&gt;=100000), " ",IF(INDEX($V$2:$AE$1001,MATCH(ROWS($O$2:O374),$O$2:$O$1001,0),MATCH(COLUMNS($V$1006:AD1006),$V$1006:$AE$1006,0)), HYPERLINK("#",""), HYPERLINK(CONCATENATE("#Metadata!", ADDRESS(INDEX($Q$2:$Q$1001,MATCH(ROWS($O$2:O374),$O$2:$O$1001,0),0), INDEX($V$1004:$AE$1004,1,MATCH(COLUMNS($V$1006:AD1006),$V$1006:$AE$1006,0)))),"Fix")))</f>
        <v>0</v>
      </c>
      <c r="K374" s="4">
        <f>IF(OR(INDEX($P$2:$P$1001,MATCH(ROWS($O$2:O374),$O$2:$O$1001,0),1)&gt;=100000,INDEX($V$1005:$AE$1005,1,MATCH(COLUMNS($V$1006:AE1006),$V$1006:$AE$1006,0))&gt;=100000), " ",IF(INDEX($V$2:$AE$1001,MATCH(ROWS($O$2:O374),$O$2:$O$1001,0),MATCH(COLUMNS($V$1006:AE1006),$V$1006:$AE$1006,0)), HYPERLINK("#",""), HYPERLINK(CONCATENATE("#Metadata!", ADDRESS(INDEX($Q$2:$Q$1001,MATCH(ROWS($O$2:O374),$O$2:$O$1001,0),0), INDEX($V$1004:$AE$1004,1,MATCH(COLUMNS($V$1006:AE1006),$V$1006:$AE$1006,0)))),"Fix")))</f>
        <v>0</v>
      </c>
      <c r="O374">
        <v>0</v>
      </c>
      <c r="P374">
        <v>0</v>
      </c>
      <c r="Q374">
        <v>0</v>
      </c>
      <c r="R374">
        <f>IF(S374,TRUE,AND(V374:AE374))</f>
        <v>0</v>
      </c>
      <c r="S374">
        <f>COUNTBLANK(Metadata!B374:K374)=COLUMNS(Metadata!B374:K374)</f>
        <v>0</v>
      </c>
      <c r="T374">
        <v>0</v>
      </c>
      <c r="V374">
        <f>AND(IF(Metadata!B374="",FALSE,TRUE),COUNTIF(Metadata!B:B, Metadata!B374) = 1,NOT(ISERROR(SUMPRODUCT(SEARCH(MID(Metadata!B374,ROW(INDIRECT("1:"&amp;LEN(Metadata!B374))), 1),"0123456789abcdefghijklmnopqrstuvwxyzABCDEFGHIJKLMNOPQRSTUVWXYZ.")))))</f>
        <v>0</v>
      </c>
      <c r="W374">
        <f>AND(IF(Metadata!C374="",FALSE,TRUE),exact(Metadata!C374,"urban biome"))</f>
        <v>0</v>
      </c>
      <c r="X374">
        <f>AND(IF(Metadata!D374="",FALSE,TRUE),exact(Metadata!D374,"animal-associated habitat"))</f>
        <v>0</v>
      </c>
      <c r="Y374">
        <f>OR(AND(IF(Metadata!E374="",FALSE,TRUE),OR(exact(Metadata!E374,"not applicable"),exact(Metadata!E374,"missing: not collected"),exact(Metadata!E374,"missing: not provided"),exact(Metadata!E374,"missing: restricted access"))),AND(IF(Metadata!E374="",FALSE,ISNUMBER(VALUE(Metadata!E374))),Metadata!E374&gt;0))</f>
        <v>0</v>
      </c>
      <c r="Z374">
        <f>AND(IF(Metadata!F374="",FALSE,TRUE),exact(Metadata!F374,"weeks"))</f>
        <v>0</v>
      </c>
      <c r="AA374">
        <f>AND(IF(Metadata!G374="",FALSE,TRUE),exact(Metadata!G374,"mouse"))</f>
        <v>0</v>
      </c>
      <c r="AB374">
        <f>AND(IF(Metadata!H374="",FALSE,TRUE),exact(Metadata!H374,"Mus musculus"))</f>
        <v>0</v>
      </c>
      <c r="AC374">
        <f>AND(IF(Metadata!I374="",FALSE,TRUE),exact(Metadata!I374,"10090"))</f>
        <v>0</v>
      </c>
      <c r="AD374">
        <f>OR(AND(IF(Metadata!J374="",FALSE,TRUE),OR(exact(Metadata!J374,"not applicable"),exact(Metadata!J374,"missing: not collected"),exact(Metadata!J374,"missing: not provided"),exact(Metadata!J374,"missing: restricted access"))),AND(IF(Metadata!J374="",FALSE,ISNUMBER(VALUE(Metadata!J374))),Metadata!J374&gt;0))</f>
        <v>0</v>
      </c>
      <c r="AE374">
        <f>AND(IF(Metadata!K374="",FALSE,TRUE),exact(Metadata!K374,"g"))</f>
        <v>0</v>
      </c>
    </row>
    <row r="375" spans="1:31">
      <c r="A375" s="5">
        <f>IF(B375=" "," ",HYPERLINK(CONCATENATE("#metadata!",ADDRESS(INDEX($Q$2:$Q$1001,MATCH(ROWS($O$2:O375),$O$2:$O$1001,0),0),1)),INDEX($T$2:$T$1001,MATCH(ROWS($O$2:O375),$O$2:$O$1001,0),0)))</f>
        <v>0</v>
      </c>
      <c r="B375" s="4">
        <f>IF(OR(INDEX($P$2:$P$1001,MATCH(ROWS($O$2:O375),$O$2:$O$1001,0),1)&gt;=100000,INDEX($V$1005:$AE$1005,1,MATCH(COLUMNS($V$1006:V1006),$V$1006:$AE$1006,0))&gt;=100000), " ",IF(INDEX($V$2:$AE$1001,MATCH(ROWS($O$2:O375),$O$2:$O$1001,0),MATCH(COLUMNS($V$1006:V1006),$V$1006:$AE$1006,0)), HYPERLINK("#",""), HYPERLINK(CONCATENATE("#Metadata!", ADDRESS(INDEX($Q$2:$Q$1001,MATCH(ROWS($O$2:O375),$O$2:$O$1001,0),0), INDEX($V$1004:$AE$1004,1,MATCH(COLUMNS($V$1006:V1006),$V$1006:$AE$1006,0)))),"Fix")))</f>
        <v>0</v>
      </c>
      <c r="C375" s="4">
        <f>IF(OR(INDEX($P$2:$P$1001,MATCH(ROWS($O$2:O375),$O$2:$O$1001,0),1)&gt;=100000,INDEX($V$1005:$AE$1005,1,MATCH(COLUMNS($V$1006:W1006),$V$1006:$AE$1006,0))&gt;=100000), " ",IF(INDEX($V$2:$AE$1001,MATCH(ROWS($O$2:O375),$O$2:$O$1001,0),MATCH(COLUMNS($V$1006:W1006),$V$1006:$AE$1006,0)), HYPERLINK("#",""), HYPERLINK(CONCATENATE("#Metadata!", ADDRESS(INDEX($Q$2:$Q$1001,MATCH(ROWS($O$2:O375),$O$2:$O$1001,0),0), INDEX($V$1004:$AE$1004,1,MATCH(COLUMNS($V$1006:W1006),$V$1006:$AE$1006,0)))),"Fix")))</f>
        <v>0</v>
      </c>
      <c r="D375" s="4">
        <f>IF(OR(INDEX($P$2:$P$1001,MATCH(ROWS($O$2:O375),$O$2:$O$1001,0),1)&gt;=100000,INDEX($V$1005:$AE$1005,1,MATCH(COLUMNS($V$1006:X1006),$V$1006:$AE$1006,0))&gt;=100000), " ",IF(INDEX($V$2:$AE$1001,MATCH(ROWS($O$2:O375),$O$2:$O$1001,0),MATCH(COLUMNS($V$1006:X1006),$V$1006:$AE$1006,0)), HYPERLINK("#",""), HYPERLINK(CONCATENATE("#Metadata!", ADDRESS(INDEX($Q$2:$Q$1001,MATCH(ROWS($O$2:O375),$O$2:$O$1001,0),0), INDEX($V$1004:$AE$1004,1,MATCH(COLUMNS($V$1006:X1006),$V$1006:$AE$1006,0)))),"Fix")))</f>
        <v>0</v>
      </c>
      <c r="E375" s="4">
        <f>IF(OR(INDEX($P$2:$P$1001,MATCH(ROWS($O$2:O375),$O$2:$O$1001,0),1)&gt;=100000,INDEX($V$1005:$AE$1005,1,MATCH(COLUMNS($V$1006:Y1006),$V$1006:$AE$1006,0))&gt;=100000), " ",IF(INDEX($V$2:$AE$1001,MATCH(ROWS($O$2:O375),$O$2:$O$1001,0),MATCH(COLUMNS($V$1006:Y1006),$V$1006:$AE$1006,0)), HYPERLINK("#",""), HYPERLINK(CONCATENATE("#Metadata!", ADDRESS(INDEX($Q$2:$Q$1001,MATCH(ROWS($O$2:O375),$O$2:$O$1001,0),0), INDEX($V$1004:$AE$1004,1,MATCH(COLUMNS($V$1006:Y1006),$V$1006:$AE$1006,0)))),"Fix")))</f>
        <v>0</v>
      </c>
      <c r="F375" s="4">
        <f>IF(OR(INDEX($P$2:$P$1001,MATCH(ROWS($O$2:O375),$O$2:$O$1001,0),1)&gt;=100000,INDEX($V$1005:$AE$1005,1,MATCH(COLUMNS($V$1006:Z1006),$V$1006:$AE$1006,0))&gt;=100000), " ",IF(INDEX($V$2:$AE$1001,MATCH(ROWS($O$2:O375),$O$2:$O$1001,0),MATCH(COLUMNS($V$1006:Z1006),$V$1006:$AE$1006,0)), HYPERLINK("#",""), HYPERLINK(CONCATENATE("#Metadata!", ADDRESS(INDEX($Q$2:$Q$1001,MATCH(ROWS($O$2:O375),$O$2:$O$1001,0),0), INDEX($V$1004:$AE$1004,1,MATCH(COLUMNS($V$1006:Z1006),$V$1006:$AE$1006,0)))),"Fix")))</f>
        <v>0</v>
      </c>
      <c r="G375" s="4">
        <f>IF(OR(INDEX($P$2:$P$1001,MATCH(ROWS($O$2:O375),$O$2:$O$1001,0),1)&gt;=100000,INDEX($V$1005:$AE$1005,1,MATCH(COLUMNS($V$1006:AA1006),$V$1006:$AE$1006,0))&gt;=100000), " ",IF(INDEX($V$2:$AE$1001,MATCH(ROWS($O$2:O375),$O$2:$O$1001,0),MATCH(COLUMNS($V$1006:AA1006),$V$1006:$AE$1006,0)), HYPERLINK("#",""), HYPERLINK(CONCATENATE("#Metadata!", ADDRESS(INDEX($Q$2:$Q$1001,MATCH(ROWS($O$2:O375),$O$2:$O$1001,0),0), INDEX($V$1004:$AE$1004,1,MATCH(COLUMNS($V$1006:AA1006),$V$1006:$AE$1006,0)))),"Fix")))</f>
        <v>0</v>
      </c>
      <c r="H375" s="4">
        <f>IF(OR(INDEX($P$2:$P$1001,MATCH(ROWS($O$2:O375),$O$2:$O$1001,0),1)&gt;=100000,INDEX($V$1005:$AE$1005,1,MATCH(COLUMNS($V$1006:AB1006),$V$1006:$AE$1006,0))&gt;=100000), " ",IF(INDEX($V$2:$AE$1001,MATCH(ROWS($O$2:O375),$O$2:$O$1001,0),MATCH(COLUMNS($V$1006:AB1006),$V$1006:$AE$1006,0)), HYPERLINK("#",""), HYPERLINK(CONCATENATE("#Metadata!", ADDRESS(INDEX($Q$2:$Q$1001,MATCH(ROWS($O$2:O375),$O$2:$O$1001,0),0), INDEX($V$1004:$AE$1004,1,MATCH(COLUMNS($V$1006:AB1006),$V$1006:$AE$1006,0)))),"Fix")))</f>
        <v>0</v>
      </c>
      <c r="I375" s="4">
        <f>IF(OR(INDEX($P$2:$P$1001,MATCH(ROWS($O$2:O375),$O$2:$O$1001,0),1)&gt;=100000,INDEX($V$1005:$AE$1005,1,MATCH(COLUMNS($V$1006:AC1006),$V$1006:$AE$1006,0))&gt;=100000), " ",IF(INDEX($V$2:$AE$1001,MATCH(ROWS($O$2:O375),$O$2:$O$1001,0),MATCH(COLUMNS($V$1006:AC1006),$V$1006:$AE$1006,0)), HYPERLINK("#",""), HYPERLINK(CONCATENATE("#Metadata!", ADDRESS(INDEX($Q$2:$Q$1001,MATCH(ROWS($O$2:O375),$O$2:$O$1001,0),0), INDEX($V$1004:$AE$1004,1,MATCH(COLUMNS($V$1006:AC1006),$V$1006:$AE$1006,0)))),"Fix")))</f>
        <v>0</v>
      </c>
      <c r="J375" s="4">
        <f>IF(OR(INDEX($P$2:$P$1001,MATCH(ROWS($O$2:O375),$O$2:$O$1001,0),1)&gt;=100000,INDEX($V$1005:$AE$1005,1,MATCH(COLUMNS($V$1006:AD1006),$V$1006:$AE$1006,0))&gt;=100000), " ",IF(INDEX($V$2:$AE$1001,MATCH(ROWS($O$2:O375),$O$2:$O$1001,0),MATCH(COLUMNS($V$1006:AD1006),$V$1006:$AE$1006,0)), HYPERLINK("#",""), HYPERLINK(CONCATENATE("#Metadata!", ADDRESS(INDEX($Q$2:$Q$1001,MATCH(ROWS($O$2:O375),$O$2:$O$1001,0),0), INDEX($V$1004:$AE$1004,1,MATCH(COLUMNS($V$1006:AD1006),$V$1006:$AE$1006,0)))),"Fix")))</f>
        <v>0</v>
      </c>
      <c r="K375" s="4">
        <f>IF(OR(INDEX($P$2:$P$1001,MATCH(ROWS($O$2:O375),$O$2:$O$1001,0),1)&gt;=100000,INDEX($V$1005:$AE$1005,1,MATCH(COLUMNS($V$1006:AE1006),$V$1006:$AE$1006,0))&gt;=100000), " ",IF(INDEX($V$2:$AE$1001,MATCH(ROWS($O$2:O375),$O$2:$O$1001,0),MATCH(COLUMNS($V$1006:AE1006),$V$1006:$AE$1006,0)), HYPERLINK("#",""), HYPERLINK(CONCATENATE("#Metadata!", ADDRESS(INDEX($Q$2:$Q$1001,MATCH(ROWS($O$2:O375),$O$2:$O$1001,0),0), INDEX($V$1004:$AE$1004,1,MATCH(COLUMNS($V$1006:AE1006),$V$1006:$AE$1006,0)))),"Fix")))</f>
        <v>0</v>
      </c>
      <c r="O375">
        <v>0</v>
      </c>
      <c r="P375">
        <v>0</v>
      </c>
      <c r="Q375">
        <v>0</v>
      </c>
      <c r="R375">
        <f>IF(S375,TRUE,AND(V375:AE375))</f>
        <v>0</v>
      </c>
      <c r="S375">
        <f>COUNTBLANK(Metadata!B375:K375)=COLUMNS(Metadata!B375:K375)</f>
        <v>0</v>
      </c>
      <c r="T375">
        <v>0</v>
      </c>
      <c r="V375">
        <f>AND(IF(Metadata!B375="",FALSE,TRUE),COUNTIF(Metadata!B:B, Metadata!B375) = 1,NOT(ISERROR(SUMPRODUCT(SEARCH(MID(Metadata!B375,ROW(INDIRECT("1:"&amp;LEN(Metadata!B375))), 1),"0123456789abcdefghijklmnopqrstuvwxyzABCDEFGHIJKLMNOPQRSTUVWXYZ.")))))</f>
        <v>0</v>
      </c>
      <c r="W375">
        <f>AND(IF(Metadata!C375="",FALSE,TRUE),exact(Metadata!C375,"urban biome"))</f>
        <v>0</v>
      </c>
      <c r="X375">
        <f>AND(IF(Metadata!D375="",FALSE,TRUE),exact(Metadata!D375,"animal-associated habitat"))</f>
        <v>0</v>
      </c>
      <c r="Y375">
        <f>OR(AND(IF(Metadata!E375="",FALSE,TRUE),OR(exact(Metadata!E375,"not applicable"),exact(Metadata!E375,"missing: not collected"),exact(Metadata!E375,"missing: not provided"),exact(Metadata!E375,"missing: restricted access"))),AND(IF(Metadata!E375="",FALSE,ISNUMBER(VALUE(Metadata!E375))),Metadata!E375&gt;0))</f>
        <v>0</v>
      </c>
      <c r="Z375">
        <f>AND(IF(Metadata!F375="",FALSE,TRUE),exact(Metadata!F375,"weeks"))</f>
        <v>0</v>
      </c>
      <c r="AA375">
        <f>AND(IF(Metadata!G375="",FALSE,TRUE),exact(Metadata!G375,"mouse"))</f>
        <v>0</v>
      </c>
      <c r="AB375">
        <f>AND(IF(Metadata!H375="",FALSE,TRUE),exact(Metadata!H375,"Mus musculus"))</f>
        <v>0</v>
      </c>
      <c r="AC375">
        <f>AND(IF(Metadata!I375="",FALSE,TRUE),exact(Metadata!I375,"10090"))</f>
        <v>0</v>
      </c>
      <c r="AD375">
        <f>OR(AND(IF(Metadata!J375="",FALSE,TRUE),OR(exact(Metadata!J375,"not applicable"),exact(Metadata!J375,"missing: not collected"),exact(Metadata!J375,"missing: not provided"),exact(Metadata!J375,"missing: restricted access"))),AND(IF(Metadata!J375="",FALSE,ISNUMBER(VALUE(Metadata!J375))),Metadata!J375&gt;0))</f>
        <v>0</v>
      </c>
      <c r="AE375">
        <f>AND(IF(Metadata!K375="",FALSE,TRUE),exact(Metadata!K375,"g"))</f>
        <v>0</v>
      </c>
    </row>
    <row r="376" spans="1:31">
      <c r="A376" s="5">
        <f>IF(B376=" "," ",HYPERLINK(CONCATENATE("#metadata!",ADDRESS(INDEX($Q$2:$Q$1001,MATCH(ROWS($O$2:O376),$O$2:$O$1001,0),0),1)),INDEX($T$2:$T$1001,MATCH(ROWS($O$2:O376),$O$2:$O$1001,0),0)))</f>
        <v>0</v>
      </c>
      <c r="B376" s="4">
        <f>IF(OR(INDEX($P$2:$P$1001,MATCH(ROWS($O$2:O376),$O$2:$O$1001,0),1)&gt;=100000,INDEX($V$1005:$AE$1005,1,MATCH(COLUMNS($V$1006:V1006),$V$1006:$AE$1006,0))&gt;=100000), " ",IF(INDEX($V$2:$AE$1001,MATCH(ROWS($O$2:O376),$O$2:$O$1001,0),MATCH(COLUMNS($V$1006:V1006),$V$1006:$AE$1006,0)), HYPERLINK("#",""), HYPERLINK(CONCATENATE("#Metadata!", ADDRESS(INDEX($Q$2:$Q$1001,MATCH(ROWS($O$2:O376),$O$2:$O$1001,0),0), INDEX($V$1004:$AE$1004,1,MATCH(COLUMNS($V$1006:V1006),$V$1006:$AE$1006,0)))),"Fix")))</f>
        <v>0</v>
      </c>
      <c r="C376" s="4">
        <f>IF(OR(INDEX($P$2:$P$1001,MATCH(ROWS($O$2:O376),$O$2:$O$1001,0),1)&gt;=100000,INDEX($V$1005:$AE$1005,1,MATCH(COLUMNS($V$1006:W1006),$V$1006:$AE$1006,0))&gt;=100000), " ",IF(INDEX($V$2:$AE$1001,MATCH(ROWS($O$2:O376),$O$2:$O$1001,0),MATCH(COLUMNS($V$1006:W1006),$V$1006:$AE$1006,0)), HYPERLINK("#",""), HYPERLINK(CONCATENATE("#Metadata!", ADDRESS(INDEX($Q$2:$Q$1001,MATCH(ROWS($O$2:O376),$O$2:$O$1001,0),0), INDEX($V$1004:$AE$1004,1,MATCH(COLUMNS($V$1006:W1006),$V$1006:$AE$1006,0)))),"Fix")))</f>
        <v>0</v>
      </c>
      <c r="D376" s="4">
        <f>IF(OR(INDEX($P$2:$P$1001,MATCH(ROWS($O$2:O376),$O$2:$O$1001,0),1)&gt;=100000,INDEX($V$1005:$AE$1005,1,MATCH(COLUMNS($V$1006:X1006),$V$1006:$AE$1006,0))&gt;=100000), " ",IF(INDEX($V$2:$AE$1001,MATCH(ROWS($O$2:O376),$O$2:$O$1001,0),MATCH(COLUMNS($V$1006:X1006),$V$1006:$AE$1006,0)), HYPERLINK("#",""), HYPERLINK(CONCATENATE("#Metadata!", ADDRESS(INDEX($Q$2:$Q$1001,MATCH(ROWS($O$2:O376),$O$2:$O$1001,0),0), INDEX($V$1004:$AE$1004,1,MATCH(COLUMNS($V$1006:X1006),$V$1006:$AE$1006,0)))),"Fix")))</f>
        <v>0</v>
      </c>
      <c r="E376" s="4">
        <f>IF(OR(INDEX($P$2:$P$1001,MATCH(ROWS($O$2:O376),$O$2:$O$1001,0),1)&gt;=100000,INDEX($V$1005:$AE$1005,1,MATCH(COLUMNS($V$1006:Y1006),$V$1006:$AE$1006,0))&gt;=100000), " ",IF(INDEX($V$2:$AE$1001,MATCH(ROWS($O$2:O376),$O$2:$O$1001,0),MATCH(COLUMNS($V$1006:Y1006),$V$1006:$AE$1006,0)), HYPERLINK("#",""), HYPERLINK(CONCATENATE("#Metadata!", ADDRESS(INDEX($Q$2:$Q$1001,MATCH(ROWS($O$2:O376),$O$2:$O$1001,0),0), INDEX($V$1004:$AE$1004,1,MATCH(COLUMNS($V$1006:Y1006),$V$1006:$AE$1006,0)))),"Fix")))</f>
        <v>0</v>
      </c>
      <c r="F376" s="4">
        <f>IF(OR(INDEX($P$2:$P$1001,MATCH(ROWS($O$2:O376),$O$2:$O$1001,0),1)&gt;=100000,INDEX($V$1005:$AE$1005,1,MATCH(COLUMNS($V$1006:Z1006),$V$1006:$AE$1006,0))&gt;=100000), " ",IF(INDEX($V$2:$AE$1001,MATCH(ROWS($O$2:O376),$O$2:$O$1001,0),MATCH(COLUMNS($V$1006:Z1006),$V$1006:$AE$1006,0)), HYPERLINK("#",""), HYPERLINK(CONCATENATE("#Metadata!", ADDRESS(INDEX($Q$2:$Q$1001,MATCH(ROWS($O$2:O376),$O$2:$O$1001,0),0), INDEX($V$1004:$AE$1004,1,MATCH(COLUMNS($V$1006:Z1006),$V$1006:$AE$1006,0)))),"Fix")))</f>
        <v>0</v>
      </c>
      <c r="G376" s="4">
        <f>IF(OR(INDEX($P$2:$P$1001,MATCH(ROWS($O$2:O376),$O$2:$O$1001,0),1)&gt;=100000,INDEX($V$1005:$AE$1005,1,MATCH(COLUMNS($V$1006:AA1006),$V$1006:$AE$1006,0))&gt;=100000), " ",IF(INDEX($V$2:$AE$1001,MATCH(ROWS($O$2:O376),$O$2:$O$1001,0),MATCH(COLUMNS($V$1006:AA1006),$V$1006:$AE$1006,0)), HYPERLINK("#",""), HYPERLINK(CONCATENATE("#Metadata!", ADDRESS(INDEX($Q$2:$Q$1001,MATCH(ROWS($O$2:O376),$O$2:$O$1001,0),0), INDEX($V$1004:$AE$1004,1,MATCH(COLUMNS($V$1006:AA1006),$V$1006:$AE$1006,0)))),"Fix")))</f>
        <v>0</v>
      </c>
      <c r="H376" s="4">
        <f>IF(OR(INDEX($P$2:$P$1001,MATCH(ROWS($O$2:O376),$O$2:$O$1001,0),1)&gt;=100000,INDEX($V$1005:$AE$1005,1,MATCH(COLUMNS($V$1006:AB1006),$V$1006:$AE$1006,0))&gt;=100000), " ",IF(INDEX($V$2:$AE$1001,MATCH(ROWS($O$2:O376),$O$2:$O$1001,0),MATCH(COLUMNS($V$1006:AB1006),$V$1006:$AE$1006,0)), HYPERLINK("#",""), HYPERLINK(CONCATENATE("#Metadata!", ADDRESS(INDEX($Q$2:$Q$1001,MATCH(ROWS($O$2:O376),$O$2:$O$1001,0),0), INDEX($V$1004:$AE$1004,1,MATCH(COLUMNS($V$1006:AB1006),$V$1006:$AE$1006,0)))),"Fix")))</f>
        <v>0</v>
      </c>
      <c r="I376" s="4">
        <f>IF(OR(INDEX($P$2:$P$1001,MATCH(ROWS($O$2:O376),$O$2:$O$1001,0),1)&gt;=100000,INDEX($V$1005:$AE$1005,1,MATCH(COLUMNS($V$1006:AC1006),$V$1006:$AE$1006,0))&gt;=100000), " ",IF(INDEX($V$2:$AE$1001,MATCH(ROWS($O$2:O376),$O$2:$O$1001,0),MATCH(COLUMNS($V$1006:AC1006),$V$1006:$AE$1006,0)), HYPERLINK("#",""), HYPERLINK(CONCATENATE("#Metadata!", ADDRESS(INDEX($Q$2:$Q$1001,MATCH(ROWS($O$2:O376),$O$2:$O$1001,0),0), INDEX($V$1004:$AE$1004,1,MATCH(COLUMNS($V$1006:AC1006),$V$1006:$AE$1006,0)))),"Fix")))</f>
        <v>0</v>
      </c>
      <c r="J376" s="4">
        <f>IF(OR(INDEX($P$2:$P$1001,MATCH(ROWS($O$2:O376),$O$2:$O$1001,0),1)&gt;=100000,INDEX($V$1005:$AE$1005,1,MATCH(COLUMNS($V$1006:AD1006),$V$1006:$AE$1006,0))&gt;=100000), " ",IF(INDEX($V$2:$AE$1001,MATCH(ROWS($O$2:O376),$O$2:$O$1001,0),MATCH(COLUMNS($V$1006:AD1006),$V$1006:$AE$1006,0)), HYPERLINK("#",""), HYPERLINK(CONCATENATE("#Metadata!", ADDRESS(INDEX($Q$2:$Q$1001,MATCH(ROWS($O$2:O376),$O$2:$O$1001,0),0), INDEX($V$1004:$AE$1004,1,MATCH(COLUMNS($V$1006:AD1006),$V$1006:$AE$1006,0)))),"Fix")))</f>
        <v>0</v>
      </c>
      <c r="K376" s="4">
        <f>IF(OR(INDEX($P$2:$P$1001,MATCH(ROWS($O$2:O376),$O$2:$O$1001,0),1)&gt;=100000,INDEX($V$1005:$AE$1005,1,MATCH(COLUMNS($V$1006:AE1006),$V$1006:$AE$1006,0))&gt;=100000), " ",IF(INDEX($V$2:$AE$1001,MATCH(ROWS($O$2:O376),$O$2:$O$1001,0),MATCH(COLUMNS($V$1006:AE1006),$V$1006:$AE$1006,0)), HYPERLINK("#",""), HYPERLINK(CONCATENATE("#Metadata!", ADDRESS(INDEX($Q$2:$Q$1001,MATCH(ROWS($O$2:O376),$O$2:$O$1001,0),0), INDEX($V$1004:$AE$1004,1,MATCH(COLUMNS($V$1006:AE1006),$V$1006:$AE$1006,0)))),"Fix")))</f>
        <v>0</v>
      </c>
      <c r="O376">
        <v>0</v>
      </c>
      <c r="P376">
        <v>0</v>
      </c>
      <c r="Q376">
        <v>0</v>
      </c>
      <c r="R376">
        <f>IF(S376,TRUE,AND(V376:AE376))</f>
        <v>0</v>
      </c>
      <c r="S376">
        <f>COUNTBLANK(Metadata!B376:K376)=COLUMNS(Metadata!B376:K376)</f>
        <v>0</v>
      </c>
      <c r="T376">
        <v>0</v>
      </c>
      <c r="V376">
        <f>AND(IF(Metadata!B376="",FALSE,TRUE),COUNTIF(Metadata!B:B, Metadata!B376) = 1,NOT(ISERROR(SUMPRODUCT(SEARCH(MID(Metadata!B376,ROW(INDIRECT("1:"&amp;LEN(Metadata!B376))), 1),"0123456789abcdefghijklmnopqrstuvwxyzABCDEFGHIJKLMNOPQRSTUVWXYZ.")))))</f>
        <v>0</v>
      </c>
      <c r="W376">
        <f>AND(IF(Metadata!C376="",FALSE,TRUE),exact(Metadata!C376,"urban biome"))</f>
        <v>0</v>
      </c>
      <c r="X376">
        <f>AND(IF(Metadata!D376="",FALSE,TRUE),exact(Metadata!D376,"animal-associated habitat"))</f>
        <v>0</v>
      </c>
      <c r="Y376">
        <f>OR(AND(IF(Metadata!E376="",FALSE,TRUE),OR(exact(Metadata!E376,"not applicable"),exact(Metadata!E376,"missing: not collected"),exact(Metadata!E376,"missing: not provided"),exact(Metadata!E376,"missing: restricted access"))),AND(IF(Metadata!E376="",FALSE,ISNUMBER(VALUE(Metadata!E376))),Metadata!E376&gt;0))</f>
        <v>0</v>
      </c>
      <c r="Z376">
        <f>AND(IF(Metadata!F376="",FALSE,TRUE),exact(Metadata!F376,"weeks"))</f>
        <v>0</v>
      </c>
      <c r="AA376">
        <f>AND(IF(Metadata!G376="",FALSE,TRUE),exact(Metadata!G376,"mouse"))</f>
        <v>0</v>
      </c>
      <c r="AB376">
        <f>AND(IF(Metadata!H376="",FALSE,TRUE),exact(Metadata!H376,"Mus musculus"))</f>
        <v>0</v>
      </c>
      <c r="AC376">
        <f>AND(IF(Metadata!I376="",FALSE,TRUE),exact(Metadata!I376,"10090"))</f>
        <v>0</v>
      </c>
      <c r="AD376">
        <f>OR(AND(IF(Metadata!J376="",FALSE,TRUE),OR(exact(Metadata!J376,"not applicable"),exact(Metadata!J376,"missing: not collected"),exact(Metadata!J376,"missing: not provided"),exact(Metadata!J376,"missing: restricted access"))),AND(IF(Metadata!J376="",FALSE,ISNUMBER(VALUE(Metadata!J376))),Metadata!J376&gt;0))</f>
        <v>0</v>
      </c>
      <c r="AE376">
        <f>AND(IF(Metadata!K376="",FALSE,TRUE),exact(Metadata!K376,"g"))</f>
        <v>0</v>
      </c>
    </row>
    <row r="377" spans="1:31">
      <c r="A377" s="5">
        <f>IF(B377=" "," ",HYPERLINK(CONCATENATE("#metadata!",ADDRESS(INDEX($Q$2:$Q$1001,MATCH(ROWS($O$2:O377),$O$2:$O$1001,0),0),1)),INDEX($T$2:$T$1001,MATCH(ROWS($O$2:O377),$O$2:$O$1001,0),0)))</f>
        <v>0</v>
      </c>
      <c r="B377" s="4">
        <f>IF(OR(INDEX($P$2:$P$1001,MATCH(ROWS($O$2:O377),$O$2:$O$1001,0),1)&gt;=100000,INDEX($V$1005:$AE$1005,1,MATCH(COLUMNS($V$1006:V1006),$V$1006:$AE$1006,0))&gt;=100000), " ",IF(INDEX($V$2:$AE$1001,MATCH(ROWS($O$2:O377),$O$2:$O$1001,0),MATCH(COLUMNS($V$1006:V1006),$V$1006:$AE$1006,0)), HYPERLINK("#",""), HYPERLINK(CONCATENATE("#Metadata!", ADDRESS(INDEX($Q$2:$Q$1001,MATCH(ROWS($O$2:O377),$O$2:$O$1001,0),0), INDEX($V$1004:$AE$1004,1,MATCH(COLUMNS($V$1006:V1006),$V$1006:$AE$1006,0)))),"Fix")))</f>
        <v>0</v>
      </c>
      <c r="C377" s="4">
        <f>IF(OR(INDEX($P$2:$P$1001,MATCH(ROWS($O$2:O377),$O$2:$O$1001,0),1)&gt;=100000,INDEX($V$1005:$AE$1005,1,MATCH(COLUMNS($V$1006:W1006),$V$1006:$AE$1006,0))&gt;=100000), " ",IF(INDEX($V$2:$AE$1001,MATCH(ROWS($O$2:O377),$O$2:$O$1001,0),MATCH(COLUMNS($V$1006:W1006),$V$1006:$AE$1006,0)), HYPERLINK("#",""), HYPERLINK(CONCATENATE("#Metadata!", ADDRESS(INDEX($Q$2:$Q$1001,MATCH(ROWS($O$2:O377),$O$2:$O$1001,0),0), INDEX($V$1004:$AE$1004,1,MATCH(COLUMNS($V$1006:W1006),$V$1006:$AE$1006,0)))),"Fix")))</f>
        <v>0</v>
      </c>
      <c r="D377" s="4">
        <f>IF(OR(INDEX($P$2:$P$1001,MATCH(ROWS($O$2:O377),$O$2:$O$1001,0),1)&gt;=100000,INDEX($V$1005:$AE$1005,1,MATCH(COLUMNS($V$1006:X1006),$V$1006:$AE$1006,0))&gt;=100000), " ",IF(INDEX($V$2:$AE$1001,MATCH(ROWS($O$2:O377),$O$2:$O$1001,0),MATCH(COLUMNS($V$1006:X1006),$V$1006:$AE$1006,0)), HYPERLINK("#",""), HYPERLINK(CONCATENATE("#Metadata!", ADDRESS(INDEX($Q$2:$Q$1001,MATCH(ROWS($O$2:O377),$O$2:$O$1001,0),0), INDEX($V$1004:$AE$1004,1,MATCH(COLUMNS($V$1006:X1006),$V$1006:$AE$1006,0)))),"Fix")))</f>
        <v>0</v>
      </c>
      <c r="E377" s="4">
        <f>IF(OR(INDEX($P$2:$P$1001,MATCH(ROWS($O$2:O377),$O$2:$O$1001,0),1)&gt;=100000,INDEX($V$1005:$AE$1005,1,MATCH(COLUMNS($V$1006:Y1006),$V$1006:$AE$1006,0))&gt;=100000), " ",IF(INDEX($V$2:$AE$1001,MATCH(ROWS($O$2:O377),$O$2:$O$1001,0),MATCH(COLUMNS($V$1006:Y1006),$V$1006:$AE$1006,0)), HYPERLINK("#",""), HYPERLINK(CONCATENATE("#Metadata!", ADDRESS(INDEX($Q$2:$Q$1001,MATCH(ROWS($O$2:O377),$O$2:$O$1001,0),0), INDEX($V$1004:$AE$1004,1,MATCH(COLUMNS($V$1006:Y1006),$V$1006:$AE$1006,0)))),"Fix")))</f>
        <v>0</v>
      </c>
      <c r="F377" s="4">
        <f>IF(OR(INDEX($P$2:$P$1001,MATCH(ROWS($O$2:O377),$O$2:$O$1001,0),1)&gt;=100000,INDEX($V$1005:$AE$1005,1,MATCH(COLUMNS($V$1006:Z1006),$V$1006:$AE$1006,0))&gt;=100000), " ",IF(INDEX($V$2:$AE$1001,MATCH(ROWS($O$2:O377),$O$2:$O$1001,0),MATCH(COLUMNS($V$1006:Z1006),$V$1006:$AE$1006,0)), HYPERLINK("#",""), HYPERLINK(CONCATENATE("#Metadata!", ADDRESS(INDEX($Q$2:$Q$1001,MATCH(ROWS($O$2:O377),$O$2:$O$1001,0),0), INDEX($V$1004:$AE$1004,1,MATCH(COLUMNS($V$1006:Z1006),$V$1006:$AE$1006,0)))),"Fix")))</f>
        <v>0</v>
      </c>
      <c r="G377" s="4">
        <f>IF(OR(INDEX($P$2:$P$1001,MATCH(ROWS($O$2:O377),$O$2:$O$1001,0),1)&gt;=100000,INDEX($V$1005:$AE$1005,1,MATCH(COLUMNS($V$1006:AA1006),$V$1006:$AE$1006,0))&gt;=100000), " ",IF(INDEX($V$2:$AE$1001,MATCH(ROWS($O$2:O377),$O$2:$O$1001,0),MATCH(COLUMNS($V$1006:AA1006),$V$1006:$AE$1006,0)), HYPERLINK("#",""), HYPERLINK(CONCATENATE("#Metadata!", ADDRESS(INDEX($Q$2:$Q$1001,MATCH(ROWS($O$2:O377),$O$2:$O$1001,0),0), INDEX($V$1004:$AE$1004,1,MATCH(COLUMNS($V$1006:AA1006),$V$1006:$AE$1006,0)))),"Fix")))</f>
        <v>0</v>
      </c>
      <c r="H377" s="4">
        <f>IF(OR(INDEX($P$2:$P$1001,MATCH(ROWS($O$2:O377),$O$2:$O$1001,0),1)&gt;=100000,INDEX($V$1005:$AE$1005,1,MATCH(COLUMNS($V$1006:AB1006),$V$1006:$AE$1006,0))&gt;=100000), " ",IF(INDEX($V$2:$AE$1001,MATCH(ROWS($O$2:O377),$O$2:$O$1001,0),MATCH(COLUMNS($V$1006:AB1006),$V$1006:$AE$1006,0)), HYPERLINK("#",""), HYPERLINK(CONCATENATE("#Metadata!", ADDRESS(INDEX($Q$2:$Q$1001,MATCH(ROWS($O$2:O377),$O$2:$O$1001,0),0), INDEX($V$1004:$AE$1004,1,MATCH(COLUMNS($V$1006:AB1006),$V$1006:$AE$1006,0)))),"Fix")))</f>
        <v>0</v>
      </c>
      <c r="I377" s="4">
        <f>IF(OR(INDEX($P$2:$P$1001,MATCH(ROWS($O$2:O377),$O$2:$O$1001,0),1)&gt;=100000,INDEX($V$1005:$AE$1005,1,MATCH(COLUMNS($V$1006:AC1006),$V$1006:$AE$1006,0))&gt;=100000), " ",IF(INDEX($V$2:$AE$1001,MATCH(ROWS($O$2:O377),$O$2:$O$1001,0),MATCH(COLUMNS($V$1006:AC1006),$V$1006:$AE$1006,0)), HYPERLINK("#",""), HYPERLINK(CONCATENATE("#Metadata!", ADDRESS(INDEX($Q$2:$Q$1001,MATCH(ROWS($O$2:O377),$O$2:$O$1001,0),0), INDEX($V$1004:$AE$1004,1,MATCH(COLUMNS($V$1006:AC1006),$V$1006:$AE$1006,0)))),"Fix")))</f>
        <v>0</v>
      </c>
      <c r="J377" s="4">
        <f>IF(OR(INDEX($P$2:$P$1001,MATCH(ROWS($O$2:O377),$O$2:$O$1001,0),1)&gt;=100000,INDEX($V$1005:$AE$1005,1,MATCH(COLUMNS($V$1006:AD1006),$V$1006:$AE$1006,0))&gt;=100000), " ",IF(INDEX($V$2:$AE$1001,MATCH(ROWS($O$2:O377),$O$2:$O$1001,0),MATCH(COLUMNS($V$1006:AD1006),$V$1006:$AE$1006,0)), HYPERLINK("#",""), HYPERLINK(CONCATENATE("#Metadata!", ADDRESS(INDEX($Q$2:$Q$1001,MATCH(ROWS($O$2:O377),$O$2:$O$1001,0),0), INDEX($V$1004:$AE$1004,1,MATCH(COLUMNS($V$1006:AD1006),$V$1006:$AE$1006,0)))),"Fix")))</f>
        <v>0</v>
      </c>
      <c r="K377" s="4">
        <f>IF(OR(INDEX($P$2:$P$1001,MATCH(ROWS($O$2:O377),$O$2:$O$1001,0),1)&gt;=100000,INDEX($V$1005:$AE$1005,1,MATCH(COLUMNS($V$1006:AE1006),$V$1006:$AE$1006,0))&gt;=100000), " ",IF(INDEX($V$2:$AE$1001,MATCH(ROWS($O$2:O377),$O$2:$O$1001,0),MATCH(COLUMNS($V$1006:AE1006),$V$1006:$AE$1006,0)), HYPERLINK("#",""), HYPERLINK(CONCATENATE("#Metadata!", ADDRESS(INDEX($Q$2:$Q$1001,MATCH(ROWS($O$2:O377),$O$2:$O$1001,0),0), INDEX($V$1004:$AE$1004,1,MATCH(COLUMNS($V$1006:AE1006),$V$1006:$AE$1006,0)))),"Fix")))</f>
        <v>0</v>
      </c>
      <c r="O377">
        <v>0</v>
      </c>
      <c r="P377">
        <v>0</v>
      </c>
      <c r="Q377">
        <v>0</v>
      </c>
      <c r="R377">
        <f>IF(S377,TRUE,AND(V377:AE377))</f>
        <v>0</v>
      </c>
      <c r="S377">
        <f>COUNTBLANK(Metadata!B377:K377)=COLUMNS(Metadata!B377:K377)</f>
        <v>0</v>
      </c>
      <c r="T377">
        <v>0</v>
      </c>
      <c r="V377">
        <f>AND(IF(Metadata!B377="",FALSE,TRUE),COUNTIF(Metadata!B:B, Metadata!B377) = 1,NOT(ISERROR(SUMPRODUCT(SEARCH(MID(Metadata!B377,ROW(INDIRECT("1:"&amp;LEN(Metadata!B377))), 1),"0123456789abcdefghijklmnopqrstuvwxyzABCDEFGHIJKLMNOPQRSTUVWXYZ.")))))</f>
        <v>0</v>
      </c>
      <c r="W377">
        <f>AND(IF(Metadata!C377="",FALSE,TRUE),exact(Metadata!C377,"urban biome"))</f>
        <v>0</v>
      </c>
      <c r="X377">
        <f>AND(IF(Metadata!D377="",FALSE,TRUE),exact(Metadata!D377,"animal-associated habitat"))</f>
        <v>0</v>
      </c>
      <c r="Y377">
        <f>OR(AND(IF(Metadata!E377="",FALSE,TRUE),OR(exact(Metadata!E377,"not applicable"),exact(Metadata!E377,"missing: not collected"),exact(Metadata!E377,"missing: not provided"),exact(Metadata!E377,"missing: restricted access"))),AND(IF(Metadata!E377="",FALSE,ISNUMBER(VALUE(Metadata!E377))),Metadata!E377&gt;0))</f>
        <v>0</v>
      </c>
      <c r="Z377">
        <f>AND(IF(Metadata!F377="",FALSE,TRUE),exact(Metadata!F377,"weeks"))</f>
        <v>0</v>
      </c>
      <c r="AA377">
        <f>AND(IF(Metadata!G377="",FALSE,TRUE),exact(Metadata!G377,"mouse"))</f>
        <v>0</v>
      </c>
      <c r="AB377">
        <f>AND(IF(Metadata!H377="",FALSE,TRUE),exact(Metadata!H377,"Mus musculus"))</f>
        <v>0</v>
      </c>
      <c r="AC377">
        <f>AND(IF(Metadata!I377="",FALSE,TRUE),exact(Metadata!I377,"10090"))</f>
        <v>0</v>
      </c>
      <c r="AD377">
        <f>OR(AND(IF(Metadata!J377="",FALSE,TRUE),OR(exact(Metadata!J377,"not applicable"),exact(Metadata!J377,"missing: not collected"),exact(Metadata!J377,"missing: not provided"),exact(Metadata!J377,"missing: restricted access"))),AND(IF(Metadata!J377="",FALSE,ISNUMBER(VALUE(Metadata!J377))),Metadata!J377&gt;0))</f>
        <v>0</v>
      </c>
      <c r="AE377">
        <f>AND(IF(Metadata!K377="",FALSE,TRUE),exact(Metadata!K377,"g"))</f>
        <v>0</v>
      </c>
    </row>
    <row r="378" spans="1:31">
      <c r="A378" s="5">
        <f>IF(B378=" "," ",HYPERLINK(CONCATENATE("#metadata!",ADDRESS(INDEX($Q$2:$Q$1001,MATCH(ROWS($O$2:O378),$O$2:$O$1001,0),0),1)),INDEX($T$2:$T$1001,MATCH(ROWS($O$2:O378),$O$2:$O$1001,0),0)))</f>
        <v>0</v>
      </c>
      <c r="B378" s="4">
        <f>IF(OR(INDEX($P$2:$P$1001,MATCH(ROWS($O$2:O378),$O$2:$O$1001,0),1)&gt;=100000,INDEX($V$1005:$AE$1005,1,MATCH(COLUMNS($V$1006:V1006),$V$1006:$AE$1006,0))&gt;=100000), " ",IF(INDEX($V$2:$AE$1001,MATCH(ROWS($O$2:O378),$O$2:$O$1001,0),MATCH(COLUMNS($V$1006:V1006),$V$1006:$AE$1006,0)), HYPERLINK("#",""), HYPERLINK(CONCATENATE("#Metadata!", ADDRESS(INDEX($Q$2:$Q$1001,MATCH(ROWS($O$2:O378),$O$2:$O$1001,0),0), INDEX($V$1004:$AE$1004,1,MATCH(COLUMNS($V$1006:V1006),$V$1006:$AE$1006,0)))),"Fix")))</f>
        <v>0</v>
      </c>
      <c r="C378" s="4">
        <f>IF(OR(INDEX($P$2:$P$1001,MATCH(ROWS($O$2:O378),$O$2:$O$1001,0),1)&gt;=100000,INDEX($V$1005:$AE$1005,1,MATCH(COLUMNS($V$1006:W1006),$V$1006:$AE$1006,0))&gt;=100000), " ",IF(INDEX($V$2:$AE$1001,MATCH(ROWS($O$2:O378),$O$2:$O$1001,0),MATCH(COLUMNS($V$1006:W1006),$V$1006:$AE$1006,0)), HYPERLINK("#",""), HYPERLINK(CONCATENATE("#Metadata!", ADDRESS(INDEX($Q$2:$Q$1001,MATCH(ROWS($O$2:O378),$O$2:$O$1001,0),0), INDEX($V$1004:$AE$1004,1,MATCH(COLUMNS($V$1006:W1006),$V$1006:$AE$1006,0)))),"Fix")))</f>
        <v>0</v>
      </c>
      <c r="D378" s="4">
        <f>IF(OR(INDEX($P$2:$P$1001,MATCH(ROWS($O$2:O378),$O$2:$O$1001,0),1)&gt;=100000,INDEX($V$1005:$AE$1005,1,MATCH(COLUMNS($V$1006:X1006),$V$1006:$AE$1006,0))&gt;=100000), " ",IF(INDEX($V$2:$AE$1001,MATCH(ROWS($O$2:O378),$O$2:$O$1001,0),MATCH(COLUMNS($V$1006:X1006),$V$1006:$AE$1006,0)), HYPERLINK("#",""), HYPERLINK(CONCATENATE("#Metadata!", ADDRESS(INDEX($Q$2:$Q$1001,MATCH(ROWS($O$2:O378),$O$2:$O$1001,0),0), INDEX($V$1004:$AE$1004,1,MATCH(COLUMNS($V$1006:X1006),$V$1006:$AE$1006,0)))),"Fix")))</f>
        <v>0</v>
      </c>
      <c r="E378" s="4">
        <f>IF(OR(INDEX($P$2:$P$1001,MATCH(ROWS($O$2:O378),$O$2:$O$1001,0),1)&gt;=100000,INDEX($V$1005:$AE$1005,1,MATCH(COLUMNS($V$1006:Y1006),$V$1006:$AE$1006,0))&gt;=100000), " ",IF(INDEX($V$2:$AE$1001,MATCH(ROWS($O$2:O378),$O$2:$O$1001,0),MATCH(COLUMNS($V$1006:Y1006),$V$1006:$AE$1006,0)), HYPERLINK("#",""), HYPERLINK(CONCATENATE("#Metadata!", ADDRESS(INDEX($Q$2:$Q$1001,MATCH(ROWS($O$2:O378),$O$2:$O$1001,0),0), INDEX($V$1004:$AE$1004,1,MATCH(COLUMNS($V$1006:Y1006),$V$1006:$AE$1006,0)))),"Fix")))</f>
        <v>0</v>
      </c>
      <c r="F378" s="4">
        <f>IF(OR(INDEX($P$2:$P$1001,MATCH(ROWS($O$2:O378),$O$2:$O$1001,0),1)&gt;=100000,INDEX($V$1005:$AE$1005,1,MATCH(COLUMNS($V$1006:Z1006),$V$1006:$AE$1006,0))&gt;=100000), " ",IF(INDEX($V$2:$AE$1001,MATCH(ROWS($O$2:O378),$O$2:$O$1001,0),MATCH(COLUMNS($V$1006:Z1006),$V$1006:$AE$1006,0)), HYPERLINK("#",""), HYPERLINK(CONCATENATE("#Metadata!", ADDRESS(INDEX($Q$2:$Q$1001,MATCH(ROWS($O$2:O378),$O$2:$O$1001,0),0), INDEX($V$1004:$AE$1004,1,MATCH(COLUMNS($V$1006:Z1006),$V$1006:$AE$1006,0)))),"Fix")))</f>
        <v>0</v>
      </c>
      <c r="G378" s="4">
        <f>IF(OR(INDEX($P$2:$P$1001,MATCH(ROWS($O$2:O378),$O$2:$O$1001,0),1)&gt;=100000,INDEX($V$1005:$AE$1005,1,MATCH(COLUMNS($V$1006:AA1006),$V$1006:$AE$1006,0))&gt;=100000), " ",IF(INDEX($V$2:$AE$1001,MATCH(ROWS($O$2:O378),$O$2:$O$1001,0),MATCH(COLUMNS($V$1006:AA1006),$V$1006:$AE$1006,0)), HYPERLINK("#",""), HYPERLINK(CONCATENATE("#Metadata!", ADDRESS(INDEX($Q$2:$Q$1001,MATCH(ROWS($O$2:O378),$O$2:$O$1001,0),0), INDEX($V$1004:$AE$1004,1,MATCH(COLUMNS($V$1006:AA1006),$V$1006:$AE$1006,0)))),"Fix")))</f>
        <v>0</v>
      </c>
      <c r="H378" s="4">
        <f>IF(OR(INDEX($P$2:$P$1001,MATCH(ROWS($O$2:O378),$O$2:$O$1001,0),1)&gt;=100000,INDEX($V$1005:$AE$1005,1,MATCH(COLUMNS($V$1006:AB1006),$V$1006:$AE$1006,0))&gt;=100000), " ",IF(INDEX($V$2:$AE$1001,MATCH(ROWS($O$2:O378),$O$2:$O$1001,0),MATCH(COLUMNS($V$1006:AB1006),$V$1006:$AE$1006,0)), HYPERLINK("#",""), HYPERLINK(CONCATENATE("#Metadata!", ADDRESS(INDEX($Q$2:$Q$1001,MATCH(ROWS($O$2:O378),$O$2:$O$1001,0),0), INDEX($V$1004:$AE$1004,1,MATCH(COLUMNS($V$1006:AB1006),$V$1006:$AE$1006,0)))),"Fix")))</f>
        <v>0</v>
      </c>
      <c r="I378" s="4">
        <f>IF(OR(INDEX($P$2:$P$1001,MATCH(ROWS($O$2:O378),$O$2:$O$1001,0),1)&gt;=100000,INDEX($V$1005:$AE$1005,1,MATCH(COLUMNS($V$1006:AC1006),$V$1006:$AE$1006,0))&gt;=100000), " ",IF(INDEX($V$2:$AE$1001,MATCH(ROWS($O$2:O378),$O$2:$O$1001,0),MATCH(COLUMNS($V$1006:AC1006),$V$1006:$AE$1006,0)), HYPERLINK("#",""), HYPERLINK(CONCATENATE("#Metadata!", ADDRESS(INDEX($Q$2:$Q$1001,MATCH(ROWS($O$2:O378),$O$2:$O$1001,0),0), INDEX($V$1004:$AE$1004,1,MATCH(COLUMNS($V$1006:AC1006),$V$1006:$AE$1006,0)))),"Fix")))</f>
        <v>0</v>
      </c>
      <c r="J378" s="4">
        <f>IF(OR(INDEX($P$2:$P$1001,MATCH(ROWS($O$2:O378),$O$2:$O$1001,0),1)&gt;=100000,INDEX($V$1005:$AE$1005,1,MATCH(COLUMNS($V$1006:AD1006),$V$1006:$AE$1006,0))&gt;=100000), " ",IF(INDEX($V$2:$AE$1001,MATCH(ROWS($O$2:O378),$O$2:$O$1001,0),MATCH(COLUMNS($V$1006:AD1006),$V$1006:$AE$1006,0)), HYPERLINK("#",""), HYPERLINK(CONCATENATE("#Metadata!", ADDRESS(INDEX($Q$2:$Q$1001,MATCH(ROWS($O$2:O378),$O$2:$O$1001,0),0), INDEX($V$1004:$AE$1004,1,MATCH(COLUMNS($V$1006:AD1006),$V$1006:$AE$1006,0)))),"Fix")))</f>
        <v>0</v>
      </c>
      <c r="K378" s="4">
        <f>IF(OR(INDEX($P$2:$P$1001,MATCH(ROWS($O$2:O378),$O$2:$O$1001,0),1)&gt;=100000,INDEX($V$1005:$AE$1005,1,MATCH(COLUMNS($V$1006:AE1006),$V$1006:$AE$1006,0))&gt;=100000), " ",IF(INDEX($V$2:$AE$1001,MATCH(ROWS($O$2:O378),$O$2:$O$1001,0),MATCH(COLUMNS($V$1006:AE1006),$V$1006:$AE$1006,0)), HYPERLINK("#",""), HYPERLINK(CONCATENATE("#Metadata!", ADDRESS(INDEX($Q$2:$Q$1001,MATCH(ROWS($O$2:O378),$O$2:$O$1001,0),0), INDEX($V$1004:$AE$1004,1,MATCH(COLUMNS($V$1006:AE1006),$V$1006:$AE$1006,0)))),"Fix")))</f>
        <v>0</v>
      </c>
      <c r="O378">
        <v>0</v>
      </c>
      <c r="P378">
        <v>0</v>
      </c>
      <c r="Q378">
        <v>0</v>
      </c>
      <c r="R378">
        <f>IF(S378,TRUE,AND(V378:AE378))</f>
        <v>0</v>
      </c>
      <c r="S378">
        <f>COUNTBLANK(Metadata!B378:K378)=COLUMNS(Metadata!B378:K378)</f>
        <v>0</v>
      </c>
      <c r="T378">
        <v>0</v>
      </c>
      <c r="V378">
        <f>AND(IF(Metadata!B378="",FALSE,TRUE),COUNTIF(Metadata!B:B, Metadata!B378) = 1,NOT(ISERROR(SUMPRODUCT(SEARCH(MID(Metadata!B378,ROW(INDIRECT("1:"&amp;LEN(Metadata!B378))), 1),"0123456789abcdefghijklmnopqrstuvwxyzABCDEFGHIJKLMNOPQRSTUVWXYZ.")))))</f>
        <v>0</v>
      </c>
      <c r="W378">
        <f>AND(IF(Metadata!C378="",FALSE,TRUE),exact(Metadata!C378,"urban biome"))</f>
        <v>0</v>
      </c>
      <c r="X378">
        <f>AND(IF(Metadata!D378="",FALSE,TRUE),exact(Metadata!D378,"animal-associated habitat"))</f>
        <v>0</v>
      </c>
      <c r="Y378">
        <f>OR(AND(IF(Metadata!E378="",FALSE,TRUE),OR(exact(Metadata!E378,"not applicable"),exact(Metadata!E378,"missing: not collected"),exact(Metadata!E378,"missing: not provided"),exact(Metadata!E378,"missing: restricted access"))),AND(IF(Metadata!E378="",FALSE,ISNUMBER(VALUE(Metadata!E378))),Metadata!E378&gt;0))</f>
        <v>0</v>
      </c>
      <c r="Z378">
        <f>AND(IF(Metadata!F378="",FALSE,TRUE),exact(Metadata!F378,"weeks"))</f>
        <v>0</v>
      </c>
      <c r="AA378">
        <f>AND(IF(Metadata!G378="",FALSE,TRUE),exact(Metadata!G378,"mouse"))</f>
        <v>0</v>
      </c>
      <c r="AB378">
        <f>AND(IF(Metadata!H378="",FALSE,TRUE),exact(Metadata!H378,"Mus musculus"))</f>
        <v>0</v>
      </c>
      <c r="AC378">
        <f>AND(IF(Metadata!I378="",FALSE,TRUE),exact(Metadata!I378,"10090"))</f>
        <v>0</v>
      </c>
      <c r="AD378">
        <f>OR(AND(IF(Metadata!J378="",FALSE,TRUE),OR(exact(Metadata!J378,"not applicable"),exact(Metadata!J378,"missing: not collected"),exact(Metadata!J378,"missing: not provided"),exact(Metadata!J378,"missing: restricted access"))),AND(IF(Metadata!J378="",FALSE,ISNUMBER(VALUE(Metadata!J378))),Metadata!J378&gt;0))</f>
        <v>0</v>
      </c>
      <c r="AE378">
        <f>AND(IF(Metadata!K378="",FALSE,TRUE),exact(Metadata!K378,"g"))</f>
        <v>0</v>
      </c>
    </row>
    <row r="379" spans="1:31">
      <c r="A379" s="5">
        <f>IF(B379=" "," ",HYPERLINK(CONCATENATE("#metadata!",ADDRESS(INDEX($Q$2:$Q$1001,MATCH(ROWS($O$2:O379),$O$2:$O$1001,0),0),1)),INDEX($T$2:$T$1001,MATCH(ROWS($O$2:O379),$O$2:$O$1001,0),0)))</f>
        <v>0</v>
      </c>
      <c r="B379" s="4">
        <f>IF(OR(INDEX($P$2:$P$1001,MATCH(ROWS($O$2:O379),$O$2:$O$1001,0),1)&gt;=100000,INDEX($V$1005:$AE$1005,1,MATCH(COLUMNS($V$1006:V1006),$V$1006:$AE$1006,0))&gt;=100000), " ",IF(INDEX($V$2:$AE$1001,MATCH(ROWS($O$2:O379),$O$2:$O$1001,0),MATCH(COLUMNS($V$1006:V1006),$V$1006:$AE$1006,0)), HYPERLINK("#",""), HYPERLINK(CONCATENATE("#Metadata!", ADDRESS(INDEX($Q$2:$Q$1001,MATCH(ROWS($O$2:O379),$O$2:$O$1001,0),0), INDEX($V$1004:$AE$1004,1,MATCH(COLUMNS($V$1006:V1006),$V$1006:$AE$1006,0)))),"Fix")))</f>
        <v>0</v>
      </c>
      <c r="C379" s="4">
        <f>IF(OR(INDEX($P$2:$P$1001,MATCH(ROWS($O$2:O379),$O$2:$O$1001,0),1)&gt;=100000,INDEX($V$1005:$AE$1005,1,MATCH(COLUMNS($V$1006:W1006),$V$1006:$AE$1006,0))&gt;=100000), " ",IF(INDEX($V$2:$AE$1001,MATCH(ROWS($O$2:O379),$O$2:$O$1001,0),MATCH(COLUMNS($V$1006:W1006),$V$1006:$AE$1006,0)), HYPERLINK("#",""), HYPERLINK(CONCATENATE("#Metadata!", ADDRESS(INDEX($Q$2:$Q$1001,MATCH(ROWS($O$2:O379),$O$2:$O$1001,0),0), INDEX($V$1004:$AE$1004,1,MATCH(COLUMNS($V$1006:W1006),$V$1006:$AE$1006,0)))),"Fix")))</f>
        <v>0</v>
      </c>
      <c r="D379" s="4">
        <f>IF(OR(INDEX($P$2:$P$1001,MATCH(ROWS($O$2:O379),$O$2:$O$1001,0),1)&gt;=100000,INDEX($V$1005:$AE$1005,1,MATCH(COLUMNS($V$1006:X1006),$V$1006:$AE$1006,0))&gt;=100000), " ",IF(INDEX($V$2:$AE$1001,MATCH(ROWS($O$2:O379),$O$2:$O$1001,0),MATCH(COLUMNS($V$1006:X1006),$V$1006:$AE$1006,0)), HYPERLINK("#",""), HYPERLINK(CONCATENATE("#Metadata!", ADDRESS(INDEX($Q$2:$Q$1001,MATCH(ROWS($O$2:O379),$O$2:$O$1001,0),0), INDEX($V$1004:$AE$1004,1,MATCH(COLUMNS($V$1006:X1006),$V$1006:$AE$1006,0)))),"Fix")))</f>
        <v>0</v>
      </c>
      <c r="E379" s="4">
        <f>IF(OR(INDEX($P$2:$P$1001,MATCH(ROWS($O$2:O379),$O$2:$O$1001,0),1)&gt;=100000,INDEX($V$1005:$AE$1005,1,MATCH(COLUMNS($V$1006:Y1006),$V$1006:$AE$1006,0))&gt;=100000), " ",IF(INDEX($V$2:$AE$1001,MATCH(ROWS($O$2:O379),$O$2:$O$1001,0),MATCH(COLUMNS($V$1006:Y1006),$V$1006:$AE$1006,0)), HYPERLINK("#",""), HYPERLINK(CONCATENATE("#Metadata!", ADDRESS(INDEX($Q$2:$Q$1001,MATCH(ROWS($O$2:O379),$O$2:$O$1001,0),0), INDEX($V$1004:$AE$1004,1,MATCH(COLUMNS($V$1006:Y1006),$V$1006:$AE$1006,0)))),"Fix")))</f>
        <v>0</v>
      </c>
      <c r="F379" s="4">
        <f>IF(OR(INDEX($P$2:$P$1001,MATCH(ROWS($O$2:O379),$O$2:$O$1001,0),1)&gt;=100000,INDEX($V$1005:$AE$1005,1,MATCH(COLUMNS($V$1006:Z1006),$V$1006:$AE$1006,0))&gt;=100000), " ",IF(INDEX($V$2:$AE$1001,MATCH(ROWS($O$2:O379),$O$2:$O$1001,0),MATCH(COLUMNS($V$1006:Z1006),$V$1006:$AE$1006,0)), HYPERLINK("#",""), HYPERLINK(CONCATENATE("#Metadata!", ADDRESS(INDEX($Q$2:$Q$1001,MATCH(ROWS($O$2:O379),$O$2:$O$1001,0),0), INDEX($V$1004:$AE$1004,1,MATCH(COLUMNS($V$1006:Z1006),$V$1006:$AE$1006,0)))),"Fix")))</f>
        <v>0</v>
      </c>
      <c r="G379" s="4">
        <f>IF(OR(INDEX($P$2:$P$1001,MATCH(ROWS($O$2:O379),$O$2:$O$1001,0),1)&gt;=100000,INDEX($V$1005:$AE$1005,1,MATCH(COLUMNS($V$1006:AA1006),$V$1006:$AE$1006,0))&gt;=100000), " ",IF(INDEX($V$2:$AE$1001,MATCH(ROWS($O$2:O379),$O$2:$O$1001,0),MATCH(COLUMNS($V$1006:AA1006),$V$1006:$AE$1006,0)), HYPERLINK("#",""), HYPERLINK(CONCATENATE("#Metadata!", ADDRESS(INDEX($Q$2:$Q$1001,MATCH(ROWS($O$2:O379),$O$2:$O$1001,0),0), INDEX($V$1004:$AE$1004,1,MATCH(COLUMNS($V$1006:AA1006),$V$1006:$AE$1006,0)))),"Fix")))</f>
        <v>0</v>
      </c>
      <c r="H379" s="4">
        <f>IF(OR(INDEX($P$2:$P$1001,MATCH(ROWS($O$2:O379),$O$2:$O$1001,0),1)&gt;=100000,INDEX($V$1005:$AE$1005,1,MATCH(COLUMNS($V$1006:AB1006),$V$1006:$AE$1006,0))&gt;=100000), " ",IF(INDEX($V$2:$AE$1001,MATCH(ROWS($O$2:O379),$O$2:$O$1001,0),MATCH(COLUMNS($V$1006:AB1006),$V$1006:$AE$1006,0)), HYPERLINK("#",""), HYPERLINK(CONCATENATE("#Metadata!", ADDRESS(INDEX($Q$2:$Q$1001,MATCH(ROWS($O$2:O379),$O$2:$O$1001,0),0), INDEX($V$1004:$AE$1004,1,MATCH(COLUMNS($V$1006:AB1006),$V$1006:$AE$1006,0)))),"Fix")))</f>
        <v>0</v>
      </c>
      <c r="I379" s="4">
        <f>IF(OR(INDEX($P$2:$P$1001,MATCH(ROWS($O$2:O379),$O$2:$O$1001,0),1)&gt;=100000,INDEX($V$1005:$AE$1005,1,MATCH(COLUMNS($V$1006:AC1006),$V$1006:$AE$1006,0))&gt;=100000), " ",IF(INDEX($V$2:$AE$1001,MATCH(ROWS($O$2:O379),$O$2:$O$1001,0),MATCH(COLUMNS($V$1006:AC1006),$V$1006:$AE$1006,0)), HYPERLINK("#",""), HYPERLINK(CONCATENATE("#Metadata!", ADDRESS(INDEX($Q$2:$Q$1001,MATCH(ROWS($O$2:O379),$O$2:$O$1001,0),0), INDEX($V$1004:$AE$1004,1,MATCH(COLUMNS($V$1006:AC1006),$V$1006:$AE$1006,0)))),"Fix")))</f>
        <v>0</v>
      </c>
      <c r="J379" s="4">
        <f>IF(OR(INDEX($P$2:$P$1001,MATCH(ROWS($O$2:O379),$O$2:$O$1001,0),1)&gt;=100000,INDEX($V$1005:$AE$1005,1,MATCH(COLUMNS($V$1006:AD1006),$V$1006:$AE$1006,0))&gt;=100000), " ",IF(INDEX($V$2:$AE$1001,MATCH(ROWS($O$2:O379),$O$2:$O$1001,0),MATCH(COLUMNS($V$1006:AD1006),$V$1006:$AE$1006,0)), HYPERLINK("#",""), HYPERLINK(CONCATENATE("#Metadata!", ADDRESS(INDEX($Q$2:$Q$1001,MATCH(ROWS($O$2:O379),$O$2:$O$1001,0),0), INDEX($V$1004:$AE$1004,1,MATCH(COLUMNS($V$1006:AD1006),$V$1006:$AE$1006,0)))),"Fix")))</f>
        <v>0</v>
      </c>
      <c r="K379" s="4">
        <f>IF(OR(INDEX($P$2:$P$1001,MATCH(ROWS($O$2:O379),$O$2:$O$1001,0),1)&gt;=100000,INDEX($V$1005:$AE$1005,1,MATCH(COLUMNS($V$1006:AE1006),$V$1006:$AE$1006,0))&gt;=100000), " ",IF(INDEX($V$2:$AE$1001,MATCH(ROWS($O$2:O379),$O$2:$O$1001,0),MATCH(COLUMNS($V$1006:AE1006),$V$1006:$AE$1006,0)), HYPERLINK("#",""), HYPERLINK(CONCATENATE("#Metadata!", ADDRESS(INDEX($Q$2:$Q$1001,MATCH(ROWS($O$2:O379),$O$2:$O$1001,0),0), INDEX($V$1004:$AE$1004,1,MATCH(COLUMNS($V$1006:AE1006),$V$1006:$AE$1006,0)))),"Fix")))</f>
        <v>0</v>
      </c>
      <c r="O379">
        <v>0</v>
      </c>
      <c r="P379">
        <v>0</v>
      </c>
      <c r="Q379">
        <v>0</v>
      </c>
      <c r="R379">
        <f>IF(S379,TRUE,AND(V379:AE379))</f>
        <v>0</v>
      </c>
      <c r="S379">
        <f>COUNTBLANK(Metadata!B379:K379)=COLUMNS(Metadata!B379:K379)</f>
        <v>0</v>
      </c>
      <c r="T379">
        <v>0</v>
      </c>
      <c r="V379">
        <f>AND(IF(Metadata!B379="",FALSE,TRUE),COUNTIF(Metadata!B:B, Metadata!B379) = 1,NOT(ISERROR(SUMPRODUCT(SEARCH(MID(Metadata!B379,ROW(INDIRECT("1:"&amp;LEN(Metadata!B379))), 1),"0123456789abcdefghijklmnopqrstuvwxyzABCDEFGHIJKLMNOPQRSTUVWXYZ.")))))</f>
        <v>0</v>
      </c>
      <c r="W379">
        <f>AND(IF(Metadata!C379="",FALSE,TRUE),exact(Metadata!C379,"urban biome"))</f>
        <v>0</v>
      </c>
      <c r="X379">
        <f>AND(IF(Metadata!D379="",FALSE,TRUE),exact(Metadata!D379,"animal-associated habitat"))</f>
        <v>0</v>
      </c>
      <c r="Y379">
        <f>OR(AND(IF(Metadata!E379="",FALSE,TRUE),OR(exact(Metadata!E379,"not applicable"),exact(Metadata!E379,"missing: not collected"),exact(Metadata!E379,"missing: not provided"),exact(Metadata!E379,"missing: restricted access"))),AND(IF(Metadata!E379="",FALSE,ISNUMBER(VALUE(Metadata!E379))),Metadata!E379&gt;0))</f>
        <v>0</v>
      </c>
      <c r="Z379">
        <f>AND(IF(Metadata!F379="",FALSE,TRUE),exact(Metadata!F379,"weeks"))</f>
        <v>0</v>
      </c>
      <c r="AA379">
        <f>AND(IF(Metadata!G379="",FALSE,TRUE),exact(Metadata!G379,"mouse"))</f>
        <v>0</v>
      </c>
      <c r="AB379">
        <f>AND(IF(Metadata!H379="",FALSE,TRUE),exact(Metadata!H379,"Mus musculus"))</f>
        <v>0</v>
      </c>
      <c r="AC379">
        <f>AND(IF(Metadata!I379="",FALSE,TRUE),exact(Metadata!I379,"10090"))</f>
        <v>0</v>
      </c>
      <c r="AD379">
        <f>OR(AND(IF(Metadata!J379="",FALSE,TRUE),OR(exact(Metadata!J379,"not applicable"),exact(Metadata!J379,"missing: not collected"),exact(Metadata!J379,"missing: not provided"),exact(Metadata!J379,"missing: restricted access"))),AND(IF(Metadata!J379="",FALSE,ISNUMBER(VALUE(Metadata!J379))),Metadata!J379&gt;0))</f>
        <v>0</v>
      </c>
      <c r="AE379">
        <f>AND(IF(Metadata!K379="",FALSE,TRUE),exact(Metadata!K379,"g"))</f>
        <v>0</v>
      </c>
    </row>
    <row r="380" spans="1:31">
      <c r="A380" s="5">
        <f>IF(B380=" "," ",HYPERLINK(CONCATENATE("#metadata!",ADDRESS(INDEX($Q$2:$Q$1001,MATCH(ROWS($O$2:O380),$O$2:$O$1001,0),0),1)),INDEX($T$2:$T$1001,MATCH(ROWS($O$2:O380),$O$2:$O$1001,0),0)))</f>
        <v>0</v>
      </c>
      <c r="B380" s="4">
        <f>IF(OR(INDEX($P$2:$P$1001,MATCH(ROWS($O$2:O380),$O$2:$O$1001,0),1)&gt;=100000,INDEX($V$1005:$AE$1005,1,MATCH(COLUMNS($V$1006:V1006),$V$1006:$AE$1006,0))&gt;=100000), " ",IF(INDEX($V$2:$AE$1001,MATCH(ROWS($O$2:O380),$O$2:$O$1001,0),MATCH(COLUMNS($V$1006:V1006),$V$1006:$AE$1006,0)), HYPERLINK("#",""), HYPERLINK(CONCATENATE("#Metadata!", ADDRESS(INDEX($Q$2:$Q$1001,MATCH(ROWS($O$2:O380),$O$2:$O$1001,0),0), INDEX($V$1004:$AE$1004,1,MATCH(COLUMNS($V$1006:V1006),$V$1006:$AE$1006,0)))),"Fix")))</f>
        <v>0</v>
      </c>
      <c r="C380" s="4">
        <f>IF(OR(INDEX($P$2:$P$1001,MATCH(ROWS($O$2:O380),$O$2:$O$1001,0),1)&gt;=100000,INDEX($V$1005:$AE$1005,1,MATCH(COLUMNS($V$1006:W1006),$V$1006:$AE$1006,0))&gt;=100000), " ",IF(INDEX($V$2:$AE$1001,MATCH(ROWS($O$2:O380),$O$2:$O$1001,0),MATCH(COLUMNS($V$1006:W1006),$V$1006:$AE$1006,0)), HYPERLINK("#",""), HYPERLINK(CONCATENATE("#Metadata!", ADDRESS(INDEX($Q$2:$Q$1001,MATCH(ROWS($O$2:O380),$O$2:$O$1001,0),0), INDEX($V$1004:$AE$1004,1,MATCH(COLUMNS($V$1006:W1006),$V$1006:$AE$1006,0)))),"Fix")))</f>
        <v>0</v>
      </c>
      <c r="D380" s="4">
        <f>IF(OR(INDEX($P$2:$P$1001,MATCH(ROWS($O$2:O380),$O$2:$O$1001,0),1)&gt;=100000,INDEX($V$1005:$AE$1005,1,MATCH(COLUMNS($V$1006:X1006),$V$1006:$AE$1006,0))&gt;=100000), " ",IF(INDEX($V$2:$AE$1001,MATCH(ROWS($O$2:O380),$O$2:$O$1001,0),MATCH(COLUMNS($V$1006:X1006),$V$1006:$AE$1006,0)), HYPERLINK("#",""), HYPERLINK(CONCATENATE("#Metadata!", ADDRESS(INDEX($Q$2:$Q$1001,MATCH(ROWS($O$2:O380),$O$2:$O$1001,0),0), INDEX($V$1004:$AE$1004,1,MATCH(COLUMNS($V$1006:X1006),$V$1006:$AE$1006,0)))),"Fix")))</f>
        <v>0</v>
      </c>
      <c r="E380" s="4">
        <f>IF(OR(INDEX($P$2:$P$1001,MATCH(ROWS($O$2:O380),$O$2:$O$1001,0),1)&gt;=100000,INDEX($V$1005:$AE$1005,1,MATCH(COLUMNS($V$1006:Y1006),$V$1006:$AE$1006,0))&gt;=100000), " ",IF(INDEX($V$2:$AE$1001,MATCH(ROWS($O$2:O380),$O$2:$O$1001,0),MATCH(COLUMNS($V$1006:Y1006),$V$1006:$AE$1006,0)), HYPERLINK("#",""), HYPERLINK(CONCATENATE("#Metadata!", ADDRESS(INDEX($Q$2:$Q$1001,MATCH(ROWS($O$2:O380),$O$2:$O$1001,0),0), INDEX($V$1004:$AE$1004,1,MATCH(COLUMNS($V$1006:Y1006),$V$1006:$AE$1006,0)))),"Fix")))</f>
        <v>0</v>
      </c>
      <c r="F380" s="4">
        <f>IF(OR(INDEX($P$2:$P$1001,MATCH(ROWS($O$2:O380),$O$2:$O$1001,0),1)&gt;=100000,INDEX($V$1005:$AE$1005,1,MATCH(COLUMNS($V$1006:Z1006),$V$1006:$AE$1006,0))&gt;=100000), " ",IF(INDEX($V$2:$AE$1001,MATCH(ROWS($O$2:O380),$O$2:$O$1001,0),MATCH(COLUMNS($V$1006:Z1006),$V$1006:$AE$1006,0)), HYPERLINK("#",""), HYPERLINK(CONCATENATE("#Metadata!", ADDRESS(INDEX($Q$2:$Q$1001,MATCH(ROWS($O$2:O380),$O$2:$O$1001,0),0), INDEX($V$1004:$AE$1004,1,MATCH(COLUMNS($V$1006:Z1006),$V$1006:$AE$1006,0)))),"Fix")))</f>
        <v>0</v>
      </c>
      <c r="G380" s="4">
        <f>IF(OR(INDEX($P$2:$P$1001,MATCH(ROWS($O$2:O380),$O$2:$O$1001,0),1)&gt;=100000,INDEX($V$1005:$AE$1005,1,MATCH(COLUMNS($V$1006:AA1006),$V$1006:$AE$1006,0))&gt;=100000), " ",IF(INDEX($V$2:$AE$1001,MATCH(ROWS($O$2:O380),$O$2:$O$1001,0),MATCH(COLUMNS($V$1006:AA1006),$V$1006:$AE$1006,0)), HYPERLINK("#",""), HYPERLINK(CONCATENATE("#Metadata!", ADDRESS(INDEX($Q$2:$Q$1001,MATCH(ROWS($O$2:O380),$O$2:$O$1001,0),0), INDEX($V$1004:$AE$1004,1,MATCH(COLUMNS($V$1006:AA1006),$V$1006:$AE$1006,0)))),"Fix")))</f>
        <v>0</v>
      </c>
      <c r="H380" s="4">
        <f>IF(OR(INDEX($P$2:$P$1001,MATCH(ROWS($O$2:O380),$O$2:$O$1001,0),1)&gt;=100000,INDEX($V$1005:$AE$1005,1,MATCH(COLUMNS($V$1006:AB1006),$V$1006:$AE$1006,0))&gt;=100000), " ",IF(INDEX($V$2:$AE$1001,MATCH(ROWS($O$2:O380),$O$2:$O$1001,0),MATCH(COLUMNS($V$1006:AB1006),$V$1006:$AE$1006,0)), HYPERLINK("#",""), HYPERLINK(CONCATENATE("#Metadata!", ADDRESS(INDEX($Q$2:$Q$1001,MATCH(ROWS($O$2:O380),$O$2:$O$1001,0),0), INDEX($V$1004:$AE$1004,1,MATCH(COLUMNS($V$1006:AB1006),$V$1006:$AE$1006,0)))),"Fix")))</f>
        <v>0</v>
      </c>
      <c r="I380" s="4">
        <f>IF(OR(INDEX($P$2:$P$1001,MATCH(ROWS($O$2:O380),$O$2:$O$1001,0),1)&gt;=100000,INDEX($V$1005:$AE$1005,1,MATCH(COLUMNS($V$1006:AC1006),$V$1006:$AE$1006,0))&gt;=100000), " ",IF(INDEX($V$2:$AE$1001,MATCH(ROWS($O$2:O380),$O$2:$O$1001,0),MATCH(COLUMNS($V$1006:AC1006),$V$1006:$AE$1006,0)), HYPERLINK("#",""), HYPERLINK(CONCATENATE("#Metadata!", ADDRESS(INDEX($Q$2:$Q$1001,MATCH(ROWS($O$2:O380),$O$2:$O$1001,0),0), INDEX($V$1004:$AE$1004,1,MATCH(COLUMNS($V$1006:AC1006),$V$1006:$AE$1006,0)))),"Fix")))</f>
        <v>0</v>
      </c>
      <c r="J380" s="4">
        <f>IF(OR(INDEX($P$2:$P$1001,MATCH(ROWS($O$2:O380),$O$2:$O$1001,0),1)&gt;=100000,INDEX($V$1005:$AE$1005,1,MATCH(COLUMNS($V$1006:AD1006),$V$1006:$AE$1006,0))&gt;=100000), " ",IF(INDEX($V$2:$AE$1001,MATCH(ROWS($O$2:O380),$O$2:$O$1001,0),MATCH(COLUMNS($V$1006:AD1006),$V$1006:$AE$1006,0)), HYPERLINK("#",""), HYPERLINK(CONCATENATE("#Metadata!", ADDRESS(INDEX($Q$2:$Q$1001,MATCH(ROWS($O$2:O380),$O$2:$O$1001,0),0), INDEX($V$1004:$AE$1004,1,MATCH(COLUMNS($V$1006:AD1006),$V$1006:$AE$1006,0)))),"Fix")))</f>
        <v>0</v>
      </c>
      <c r="K380" s="4">
        <f>IF(OR(INDEX($P$2:$P$1001,MATCH(ROWS($O$2:O380),$O$2:$O$1001,0),1)&gt;=100000,INDEX($V$1005:$AE$1005,1,MATCH(COLUMNS($V$1006:AE1006),$V$1006:$AE$1006,0))&gt;=100000), " ",IF(INDEX($V$2:$AE$1001,MATCH(ROWS($O$2:O380),$O$2:$O$1001,0),MATCH(COLUMNS($V$1006:AE1006),$V$1006:$AE$1006,0)), HYPERLINK("#",""), HYPERLINK(CONCATENATE("#Metadata!", ADDRESS(INDEX($Q$2:$Q$1001,MATCH(ROWS($O$2:O380),$O$2:$O$1001,0),0), INDEX($V$1004:$AE$1004,1,MATCH(COLUMNS($V$1006:AE1006),$V$1006:$AE$1006,0)))),"Fix")))</f>
        <v>0</v>
      </c>
      <c r="O380">
        <v>0</v>
      </c>
      <c r="P380">
        <v>0</v>
      </c>
      <c r="Q380">
        <v>0</v>
      </c>
      <c r="R380">
        <f>IF(S380,TRUE,AND(V380:AE380))</f>
        <v>0</v>
      </c>
      <c r="S380">
        <f>COUNTBLANK(Metadata!B380:K380)=COLUMNS(Metadata!B380:K380)</f>
        <v>0</v>
      </c>
      <c r="T380">
        <v>0</v>
      </c>
      <c r="V380">
        <f>AND(IF(Metadata!B380="",FALSE,TRUE),COUNTIF(Metadata!B:B, Metadata!B380) = 1,NOT(ISERROR(SUMPRODUCT(SEARCH(MID(Metadata!B380,ROW(INDIRECT("1:"&amp;LEN(Metadata!B380))), 1),"0123456789abcdefghijklmnopqrstuvwxyzABCDEFGHIJKLMNOPQRSTUVWXYZ.")))))</f>
        <v>0</v>
      </c>
      <c r="W380">
        <f>AND(IF(Metadata!C380="",FALSE,TRUE),exact(Metadata!C380,"urban biome"))</f>
        <v>0</v>
      </c>
      <c r="X380">
        <f>AND(IF(Metadata!D380="",FALSE,TRUE),exact(Metadata!D380,"animal-associated habitat"))</f>
        <v>0</v>
      </c>
      <c r="Y380">
        <f>OR(AND(IF(Metadata!E380="",FALSE,TRUE),OR(exact(Metadata!E380,"not applicable"),exact(Metadata!E380,"missing: not collected"),exact(Metadata!E380,"missing: not provided"),exact(Metadata!E380,"missing: restricted access"))),AND(IF(Metadata!E380="",FALSE,ISNUMBER(VALUE(Metadata!E380))),Metadata!E380&gt;0))</f>
        <v>0</v>
      </c>
      <c r="Z380">
        <f>AND(IF(Metadata!F380="",FALSE,TRUE),exact(Metadata!F380,"weeks"))</f>
        <v>0</v>
      </c>
      <c r="AA380">
        <f>AND(IF(Metadata!G380="",FALSE,TRUE),exact(Metadata!G380,"mouse"))</f>
        <v>0</v>
      </c>
      <c r="AB380">
        <f>AND(IF(Metadata!H380="",FALSE,TRUE),exact(Metadata!H380,"Mus musculus"))</f>
        <v>0</v>
      </c>
      <c r="AC380">
        <f>AND(IF(Metadata!I380="",FALSE,TRUE),exact(Metadata!I380,"10090"))</f>
        <v>0</v>
      </c>
      <c r="AD380">
        <f>OR(AND(IF(Metadata!J380="",FALSE,TRUE),OR(exact(Metadata!J380,"not applicable"),exact(Metadata!J380,"missing: not collected"),exact(Metadata!J380,"missing: not provided"),exact(Metadata!J380,"missing: restricted access"))),AND(IF(Metadata!J380="",FALSE,ISNUMBER(VALUE(Metadata!J380))),Metadata!J380&gt;0))</f>
        <v>0</v>
      </c>
      <c r="AE380">
        <f>AND(IF(Metadata!K380="",FALSE,TRUE),exact(Metadata!K380,"g"))</f>
        <v>0</v>
      </c>
    </row>
    <row r="381" spans="1:31">
      <c r="A381" s="5">
        <f>IF(B381=" "," ",HYPERLINK(CONCATENATE("#metadata!",ADDRESS(INDEX($Q$2:$Q$1001,MATCH(ROWS($O$2:O381),$O$2:$O$1001,0),0),1)),INDEX($T$2:$T$1001,MATCH(ROWS($O$2:O381),$O$2:$O$1001,0),0)))</f>
        <v>0</v>
      </c>
      <c r="B381" s="4">
        <f>IF(OR(INDEX($P$2:$P$1001,MATCH(ROWS($O$2:O381),$O$2:$O$1001,0),1)&gt;=100000,INDEX($V$1005:$AE$1005,1,MATCH(COLUMNS($V$1006:V1006),$V$1006:$AE$1006,0))&gt;=100000), " ",IF(INDEX($V$2:$AE$1001,MATCH(ROWS($O$2:O381),$O$2:$O$1001,0),MATCH(COLUMNS($V$1006:V1006),$V$1006:$AE$1006,0)), HYPERLINK("#",""), HYPERLINK(CONCATENATE("#Metadata!", ADDRESS(INDEX($Q$2:$Q$1001,MATCH(ROWS($O$2:O381),$O$2:$O$1001,0),0), INDEX($V$1004:$AE$1004,1,MATCH(COLUMNS($V$1006:V1006),$V$1006:$AE$1006,0)))),"Fix")))</f>
        <v>0</v>
      </c>
      <c r="C381" s="4">
        <f>IF(OR(INDEX($P$2:$P$1001,MATCH(ROWS($O$2:O381),$O$2:$O$1001,0),1)&gt;=100000,INDEX($V$1005:$AE$1005,1,MATCH(COLUMNS($V$1006:W1006),$V$1006:$AE$1006,0))&gt;=100000), " ",IF(INDEX($V$2:$AE$1001,MATCH(ROWS($O$2:O381),$O$2:$O$1001,0),MATCH(COLUMNS($V$1006:W1006),$V$1006:$AE$1006,0)), HYPERLINK("#",""), HYPERLINK(CONCATENATE("#Metadata!", ADDRESS(INDEX($Q$2:$Q$1001,MATCH(ROWS($O$2:O381),$O$2:$O$1001,0),0), INDEX($V$1004:$AE$1004,1,MATCH(COLUMNS($V$1006:W1006),$V$1006:$AE$1006,0)))),"Fix")))</f>
        <v>0</v>
      </c>
      <c r="D381" s="4">
        <f>IF(OR(INDEX($P$2:$P$1001,MATCH(ROWS($O$2:O381),$O$2:$O$1001,0),1)&gt;=100000,INDEX($V$1005:$AE$1005,1,MATCH(COLUMNS($V$1006:X1006),$V$1006:$AE$1006,0))&gt;=100000), " ",IF(INDEX($V$2:$AE$1001,MATCH(ROWS($O$2:O381),$O$2:$O$1001,0),MATCH(COLUMNS($V$1006:X1006),$V$1006:$AE$1006,0)), HYPERLINK("#",""), HYPERLINK(CONCATENATE("#Metadata!", ADDRESS(INDEX($Q$2:$Q$1001,MATCH(ROWS($O$2:O381),$O$2:$O$1001,0),0), INDEX($V$1004:$AE$1004,1,MATCH(COLUMNS($V$1006:X1006),$V$1006:$AE$1006,0)))),"Fix")))</f>
        <v>0</v>
      </c>
      <c r="E381" s="4">
        <f>IF(OR(INDEX($P$2:$P$1001,MATCH(ROWS($O$2:O381),$O$2:$O$1001,0),1)&gt;=100000,INDEX($V$1005:$AE$1005,1,MATCH(COLUMNS($V$1006:Y1006),$V$1006:$AE$1006,0))&gt;=100000), " ",IF(INDEX($V$2:$AE$1001,MATCH(ROWS($O$2:O381),$O$2:$O$1001,0),MATCH(COLUMNS($V$1006:Y1006),$V$1006:$AE$1006,0)), HYPERLINK("#",""), HYPERLINK(CONCATENATE("#Metadata!", ADDRESS(INDEX($Q$2:$Q$1001,MATCH(ROWS($O$2:O381),$O$2:$O$1001,0),0), INDEX($V$1004:$AE$1004,1,MATCH(COLUMNS($V$1006:Y1006),$V$1006:$AE$1006,0)))),"Fix")))</f>
        <v>0</v>
      </c>
      <c r="F381" s="4">
        <f>IF(OR(INDEX($P$2:$P$1001,MATCH(ROWS($O$2:O381),$O$2:$O$1001,0),1)&gt;=100000,INDEX($V$1005:$AE$1005,1,MATCH(COLUMNS($V$1006:Z1006),$V$1006:$AE$1006,0))&gt;=100000), " ",IF(INDEX($V$2:$AE$1001,MATCH(ROWS($O$2:O381),$O$2:$O$1001,0),MATCH(COLUMNS($V$1006:Z1006),$V$1006:$AE$1006,0)), HYPERLINK("#",""), HYPERLINK(CONCATENATE("#Metadata!", ADDRESS(INDEX($Q$2:$Q$1001,MATCH(ROWS($O$2:O381),$O$2:$O$1001,0),0), INDEX($V$1004:$AE$1004,1,MATCH(COLUMNS($V$1006:Z1006),$V$1006:$AE$1006,0)))),"Fix")))</f>
        <v>0</v>
      </c>
      <c r="G381" s="4">
        <f>IF(OR(INDEX($P$2:$P$1001,MATCH(ROWS($O$2:O381),$O$2:$O$1001,0),1)&gt;=100000,INDEX($V$1005:$AE$1005,1,MATCH(COLUMNS($V$1006:AA1006),$V$1006:$AE$1006,0))&gt;=100000), " ",IF(INDEX($V$2:$AE$1001,MATCH(ROWS($O$2:O381),$O$2:$O$1001,0),MATCH(COLUMNS($V$1006:AA1006),$V$1006:$AE$1006,0)), HYPERLINK("#",""), HYPERLINK(CONCATENATE("#Metadata!", ADDRESS(INDEX($Q$2:$Q$1001,MATCH(ROWS($O$2:O381),$O$2:$O$1001,0),0), INDEX($V$1004:$AE$1004,1,MATCH(COLUMNS($V$1006:AA1006),$V$1006:$AE$1006,0)))),"Fix")))</f>
        <v>0</v>
      </c>
      <c r="H381" s="4">
        <f>IF(OR(INDEX($P$2:$P$1001,MATCH(ROWS($O$2:O381),$O$2:$O$1001,0),1)&gt;=100000,INDEX($V$1005:$AE$1005,1,MATCH(COLUMNS($V$1006:AB1006),$V$1006:$AE$1006,0))&gt;=100000), " ",IF(INDEX($V$2:$AE$1001,MATCH(ROWS($O$2:O381),$O$2:$O$1001,0),MATCH(COLUMNS($V$1006:AB1006),$V$1006:$AE$1006,0)), HYPERLINK("#",""), HYPERLINK(CONCATENATE("#Metadata!", ADDRESS(INDEX($Q$2:$Q$1001,MATCH(ROWS($O$2:O381),$O$2:$O$1001,0),0), INDEX($V$1004:$AE$1004,1,MATCH(COLUMNS($V$1006:AB1006),$V$1006:$AE$1006,0)))),"Fix")))</f>
        <v>0</v>
      </c>
      <c r="I381" s="4">
        <f>IF(OR(INDEX($P$2:$P$1001,MATCH(ROWS($O$2:O381),$O$2:$O$1001,0),1)&gt;=100000,INDEX($V$1005:$AE$1005,1,MATCH(COLUMNS($V$1006:AC1006),$V$1006:$AE$1006,0))&gt;=100000), " ",IF(INDEX($V$2:$AE$1001,MATCH(ROWS($O$2:O381),$O$2:$O$1001,0),MATCH(COLUMNS($V$1006:AC1006),$V$1006:$AE$1006,0)), HYPERLINK("#",""), HYPERLINK(CONCATENATE("#Metadata!", ADDRESS(INDEX($Q$2:$Q$1001,MATCH(ROWS($O$2:O381),$O$2:$O$1001,0),0), INDEX($V$1004:$AE$1004,1,MATCH(COLUMNS($V$1006:AC1006),$V$1006:$AE$1006,0)))),"Fix")))</f>
        <v>0</v>
      </c>
      <c r="J381" s="4">
        <f>IF(OR(INDEX($P$2:$P$1001,MATCH(ROWS($O$2:O381),$O$2:$O$1001,0),1)&gt;=100000,INDEX($V$1005:$AE$1005,1,MATCH(COLUMNS($V$1006:AD1006),$V$1006:$AE$1006,0))&gt;=100000), " ",IF(INDEX($V$2:$AE$1001,MATCH(ROWS($O$2:O381),$O$2:$O$1001,0),MATCH(COLUMNS($V$1006:AD1006),$V$1006:$AE$1006,0)), HYPERLINK("#",""), HYPERLINK(CONCATENATE("#Metadata!", ADDRESS(INDEX($Q$2:$Q$1001,MATCH(ROWS($O$2:O381),$O$2:$O$1001,0),0), INDEX($V$1004:$AE$1004,1,MATCH(COLUMNS($V$1006:AD1006),$V$1006:$AE$1006,0)))),"Fix")))</f>
        <v>0</v>
      </c>
      <c r="K381" s="4">
        <f>IF(OR(INDEX($P$2:$P$1001,MATCH(ROWS($O$2:O381),$O$2:$O$1001,0),1)&gt;=100000,INDEX($V$1005:$AE$1005,1,MATCH(COLUMNS($V$1006:AE1006),$V$1006:$AE$1006,0))&gt;=100000), " ",IF(INDEX($V$2:$AE$1001,MATCH(ROWS($O$2:O381),$O$2:$O$1001,0),MATCH(COLUMNS($V$1006:AE1006),$V$1006:$AE$1006,0)), HYPERLINK("#",""), HYPERLINK(CONCATENATE("#Metadata!", ADDRESS(INDEX($Q$2:$Q$1001,MATCH(ROWS($O$2:O381),$O$2:$O$1001,0),0), INDEX($V$1004:$AE$1004,1,MATCH(COLUMNS($V$1006:AE1006),$V$1006:$AE$1006,0)))),"Fix")))</f>
        <v>0</v>
      </c>
      <c r="O381">
        <v>0</v>
      </c>
      <c r="P381">
        <v>0</v>
      </c>
      <c r="Q381">
        <v>0</v>
      </c>
      <c r="R381">
        <f>IF(S381,TRUE,AND(V381:AE381))</f>
        <v>0</v>
      </c>
      <c r="S381">
        <f>COUNTBLANK(Metadata!B381:K381)=COLUMNS(Metadata!B381:K381)</f>
        <v>0</v>
      </c>
      <c r="T381">
        <v>0</v>
      </c>
      <c r="V381">
        <f>AND(IF(Metadata!B381="",FALSE,TRUE),COUNTIF(Metadata!B:B, Metadata!B381) = 1,NOT(ISERROR(SUMPRODUCT(SEARCH(MID(Metadata!B381,ROW(INDIRECT("1:"&amp;LEN(Metadata!B381))), 1),"0123456789abcdefghijklmnopqrstuvwxyzABCDEFGHIJKLMNOPQRSTUVWXYZ.")))))</f>
        <v>0</v>
      </c>
      <c r="W381">
        <f>AND(IF(Metadata!C381="",FALSE,TRUE),exact(Metadata!C381,"urban biome"))</f>
        <v>0</v>
      </c>
      <c r="X381">
        <f>AND(IF(Metadata!D381="",FALSE,TRUE),exact(Metadata!D381,"animal-associated habitat"))</f>
        <v>0</v>
      </c>
      <c r="Y381">
        <f>OR(AND(IF(Metadata!E381="",FALSE,TRUE),OR(exact(Metadata!E381,"not applicable"),exact(Metadata!E381,"missing: not collected"),exact(Metadata!E381,"missing: not provided"),exact(Metadata!E381,"missing: restricted access"))),AND(IF(Metadata!E381="",FALSE,ISNUMBER(VALUE(Metadata!E381))),Metadata!E381&gt;0))</f>
        <v>0</v>
      </c>
      <c r="Z381">
        <f>AND(IF(Metadata!F381="",FALSE,TRUE),exact(Metadata!F381,"weeks"))</f>
        <v>0</v>
      </c>
      <c r="AA381">
        <f>AND(IF(Metadata!G381="",FALSE,TRUE),exact(Metadata!G381,"mouse"))</f>
        <v>0</v>
      </c>
      <c r="AB381">
        <f>AND(IF(Metadata!H381="",FALSE,TRUE),exact(Metadata!H381,"Mus musculus"))</f>
        <v>0</v>
      </c>
      <c r="AC381">
        <f>AND(IF(Metadata!I381="",FALSE,TRUE),exact(Metadata!I381,"10090"))</f>
        <v>0</v>
      </c>
      <c r="AD381">
        <f>OR(AND(IF(Metadata!J381="",FALSE,TRUE),OR(exact(Metadata!J381,"not applicable"),exact(Metadata!J381,"missing: not collected"),exact(Metadata!J381,"missing: not provided"),exact(Metadata!J381,"missing: restricted access"))),AND(IF(Metadata!J381="",FALSE,ISNUMBER(VALUE(Metadata!J381))),Metadata!J381&gt;0))</f>
        <v>0</v>
      </c>
      <c r="AE381">
        <f>AND(IF(Metadata!K381="",FALSE,TRUE),exact(Metadata!K381,"g"))</f>
        <v>0</v>
      </c>
    </row>
    <row r="382" spans="1:31">
      <c r="A382" s="5">
        <f>IF(B382=" "," ",HYPERLINK(CONCATENATE("#metadata!",ADDRESS(INDEX($Q$2:$Q$1001,MATCH(ROWS($O$2:O382),$O$2:$O$1001,0),0),1)),INDEX($T$2:$T$1001,MATCH(ROWS($O$2:O382),$O$2:$O$1001,0),0)))</f>
        <v>0</v>
      </c>
      <c r="B382" s="4">
        <f>IF(OR(INDEX($P$2:$P$1001,MATCH(ROWS($O$2:O382),$O$2:$O$1001,0),1)&gt;=100000,INDEX($V$1005:$AE$1005,1,MATCH(COLUMNS($V$1006:V1006),$V$1006:$AE$1006,0))&gt;=100000), " ",IF(INDEX($V$2:$AE$1001,MATCH(ROWS($O$2:O382),$O$2:$O$1001,0),MATCH(COLUMNS($V$1006:V1006),$V$1006:$AE$1006,0)), HYPERLINK("#",""), HYPERLINK(CONCATENATE("#Metadata!", ADDRESS(INDEX($Q$2:$Q$1001,MATCH(ROWS($O$2:O382),$O$2:$O$1001,0),0), INDEX($V$1004:$AE$1004,1,MATCH(COLUMNS($V$1006:V1006),$V$1006:$AE$1006,0)))),"Fix")))</f>
        <v>0</v>
      </c>
      <c r="C382" s="4">
        <f>IF(OR(INDEX($P$2:$P$1001,MATCH(ROWS($O$2:O382),$O$2:$O$1001,0),1)&gt;=100000,INDEX($V$1005:$AE$1005,1,MATCH(COLUMNS($V$1006:W1006),$V$1006:$AE$1006,0))&gt;=100000), " ",IF(INDEX($V$2:$AE$1001,MATCH(ROWS($O$2:O382),$O$2:$O$1001,0),MATCH(COLUMNS($V$1006:W1006),$V$1006:$AE$1006,0)), HYPERLINK("#",""), HYPERLINK(CONCATENATE("#Metadata!", ADDRESS(INDEX($Q$2:$Q$1001,MATCH(ROWS($O$2:O382),$O$2:$O$1001,0),0), INDEX($V$1004:$AE$1004,1,MATCH(COLUMNS($V$1006:W1006),$V$1006:$AE$1006,0)))),"Fix")))</f>
        <v>0</v>
      </c>
      <c r="D382" s="4">
        <f>IF(OR(INDEX($P$2:$P$1001,MATCH(ROWS($O$2:O382),$O$2:$O$1001,0),1)&gt;=100000,INDEX($V$1005:$AE$1005,1,MATCH(COLUMNS($V$1006:X1006),$V$1006:$AE$1006,0))&gt;=100000), " ",IF(INDEX($V$2:$AE$1001,MATCH(ROWS($O$2:O382),$O$2:$O$1001,0),MATCH(COLUMNS($V$1006:X1006),$V$1006:$AE$1006,0)), HYPERLINK("#",""), HYPERLINK(CONCATENATE("#Metadata!", ADDRESS(INDEX($Q$2:$Q$1001,MATCH(ROWS($O$2:O382),$O$2:$O$1001,0),0), INDEX($V$1004:$AE$1004,1,MATCH(COLUMNS($V$1006:X1006),$V$1006:$AE$1006,0)))),"Fix")))</f>
        <v>0</v>
      </c>
      <c r="E382" s="4">
        <f>IF(OR(INDEX($P$2:$P$1001,MATCH(ROWS($O$2:O382),$O$2:$O$1001,0),1)&gt;=100000,INDEX($V$1005:$AE$1005,1,MATCH(COLUMNS($V$1006:Y1006),$V$1006:$AE$1006,0))&gt;=100000), " ",IF(INDEX($V$2:$AE$1001,MATCH(ROWS($O$2:O382),$O$2:$O$1001,0),MATCH(COLUMNS($V$1006:Y1006),$V$1006:$AE$1006,0)), HYPERLINK("#",""), HYPERLINK(CONCATENATE("#Metadata!", ADDRESS(INDEX($Q$2:$Q$1001,MATCH(ROWS($O$2:O382),$O$2:$O$1001,0),0), INDEX($V$1004:$AE$1004,1,MATCH(COLUMNS($V$1006:Y1006),$V$1006:$AE$1006,0)))),"Fix")))</f>
        <v>0</v>
      </c>
      <c r="F382" s="4">
        <f>IF(OR(INDEX($P$2:$P$1001,MATCH(ROWS($O$2:O382),$O$2:$O$1001,0),1)&gt;=100000,INDEX($V$1005:$AE$1005,1,MATCH(COLUMNS($V$1006:Z1006),$V$1006:$AE$1006,0))&gt;=100000), " ",IF(INDEX($V$2:$AE$1001,MATCH(ROWS($O$2:O382),$O$2:$O$1001,0),MATCH(COLUMNS($V$1006:Z1006),$V$1006:$AE$1006,0)), HYPERLINK("#",""), HYPERLINK(CONCATENATE("#Metadata!", ADDRESS(INDEX($Q$2:$Q$1001,MATCH(ROWS($O$2:O382),$O$2:$O$1001,0),0), INDEX($V$1004:$AE$1004,1,MATCH(COLUMNS($V$1006:Z1006),$V$1006:$AE$1006,0)))),"Fix")))</f>
        <v>0</v>
      </c>
      <c r="G382" s="4">
        <f>IF(OR(INDEX($P$2:$P$1001,MATCH(ROWS($O$2:O382),$O$2:$O$1001,0),1)&gt;=100000,INDEX($V$1005:$AE$1005,1,MATCH(COLUMNS($V$1006:AA1006),$V$1006:$AE$1006,0))&gt;=100000), " ",IF(INDEX($V$2:$AE$1001,MATCH(ROWS($O$2:O382),$O$2:$O$1001,0),MATCH(COLUMNS($V$1006:AA1006),$V$1006:$AE$1006,0)), HYPERLINK("#",""), HYPERLINK(CONCATENATE("#Metadata!", ADDRESS(INDEX($Q$2:$Q$1001,MATCH(ROWS($O$2:O382),$O$2:$O$1001,0),0), INDEX($V$1004:$AE$1004,1,MATCH(COLUMNS($V$1006:AA1006),$V$1006:$AE$1006,0)))),"Fix")))</f>
        <v>0</v>
      </c>
      <c r="H382" s="4">
        <f>IF(OR(INDEX($P$2:$P$1001,MATCH(ROWS($O$2:O382),$O$2:$O$1001,0),1)&gt;=100000,INDEX($V$1005:$AE$1005,1,MATCH(COLUMNS($V$1006:AB1006),$V$1006:$AE$1006,0))&gt;=100000), " ",IF(INDEX($V$2:$AE$1001,MATCH(ROWS($O$2:O382),$O$2:$O$1001,0),MATCH(COLUMNS($V$1006:AB1006),$V$1006:$AE$1006,0)), HYPERLINK("#",""), HYPERLINK(CONCATENATE("#Metadata!", ADDRESS(INDEX($Q$2:$Q$1001,MATCH(ROWS($O$2:O382),$O$2:$O$1001,0),0), INDEX($V$1004:$AE$1004,1,MATCH(COLUMNS($V$1006:AB1006),$V$1006:$AE$1006,0)))),"Fix")))</f>
        <v>0</v>
      </c>
      <c r="I382" s="4">
        <f>IF(OR(INDEX($P$2:$P$1001,MATCH(ROWS($O$2:O382),$O$2:$O$1001,0),1)&gt;=100000,INDEX($V$1005:$AE$1005,1,MATCH(COLUMNS($V$1006:AC1006),$V$1006:$AE$1006,0))&gt;=100000), " ",IF(INDEX($V$2:$AE$1001,MATCH(ROWS($O$2:O382),$O$2:$O$1001,0),MATCH(COLUMNS($V$1006:AC1006),$V$1006:$AE$1006,0)), HYPERLINK("#",""), HYPERLINK(CONCATENATE("#Metadata!", ADDRESS(INDEX($Q$2:$Q$1001,MATCH(ROWS($O$2:O382),$O$2:$O$1001,0),0), INDEX($V$1004:$AE$1004,1,MATCH(COLUMNS($V$1006:AC1006),$V$1006:$AE$1006,0)))),"Fix")))</f>
        <v>0</v>
      </c>
      <c r="J382" s="4">
        <f>IF(OR(INDEX($P$2:$P$1001,MATCH(ROWS($O$2:O382),$O$2:$O$1001,0),1)&gt;=100000,INDEX($V$1005:$AE$1005,1,MATCH(COLUMNS($V$1006:AD1006),$V$1006:$AE$1006,0))&gt;=100000), " ",IF(INDEX($V$2:$AE$1001,MATCH(ROWS($O$2:O382),$O$2:$O$1001,0),MATCH(COLUMNS($V$1006:AD1006),$V$1006:$AE$1006,0)), HYPERLINK("#",""), HYPERLINK(CONCATENATE("#Metadata!", ADDRESS(INDEX($Q$2:$Q$1001,MATCH(ROWS($O$2:O382),$O$2:$O$1001,0),0), INDEX($V$1004:$AE$1004,1,MATCH(COLUMNS($V$1006:AD1006),$V$1006:$AE$1006,0)))),"Fix")))</f>
        <v>0</v>
      </c>
      <c r="K382" s="4">
        <f>IF(OR(INDEX($P$2:$P$1001,MATCH(ROWS($O$2:O382),$O$2:$O$1001,0),1)&gt;=100000,INDEX($V$1005:$AE$1005,1,MATCH(COLUMNS($V$1006:AE1006),$V$1006:$AE$1006,0))&gt;=100000), " ",IF(INDEX($V$2:$AE$1001,MATCH(ROWS($O$2:O382),$O$2:$O$1001,0),MATCH(COLUMNS($V$1006:AE1006),$V$1006:$AE$1006,0)), HYPERLINK("#",""), HYPERLINK(CONCATENATE("#Metadata!", ADDRESS(INDEX($Q$2:$Q$1001,MATCH(ROWS($O$2:O382),$O$2:$O$1001,0),0), INDEX($V$1004:$AE$1004,1,MATCH(COLUMNS($V$1006:AE1006),$V$1006:$AE$1006,0)))),"Fix")))</f>
        <v>0</v>
      </c>
      <c r="O382">
        <v>0</v>
      </c>
      <c r="P382">
        <v>0</v>
      </c>
      <c r="Q382">
        <v>0</v>
      </c>
      <c r="R382">
        <f>IF(S382,TRUE,AND(V382:AE382))</f>
        <v>0</v>
      </c>
      <c r="S382">
        <f>COUNTBLANK(Metadata!B382:K382)=COLUMNS(Metadata!B382:K382)</f>
        <v>0</v>
      </c>
      <c r="T382">
        <v>0</v>
      </c>
      <c r="V382">
        <f>AND(IF(Metadata!B382="",FALSE,TRUE),COUNTIF(Metadata!B:B, Metadata!B382) = 1,NOT(ISERROR(SUMPRODUCT(SEARCH(MID(Metadata!B382,ROW(INDIRECT("1:"&amp;LEN(Metadata!B382))), 1),"0123456789abcdefghijklmnopqrstuvwxyzABCDEFGHIJKLMNOPQRSTUVWXYZ.")))))</f>
        <v>0</v>
      </c>
      <c r="W382">
        <f>AND(IF(Metadata!C382="",FALSE,TRUE),exact(Metadata!C382,"urban biome"))</f>
        <v>0</v>
      </c>
      <c r="X382">
        <f>AND(IF(Metadata!D382="",FALSE,TRUE),exact(Metadata!D382,"animal-associated habitat"))</f>
        <v>0</v>
      </c>
      <c r="Y382">
        <f>OR(AND(IF(Metadata!E382="",FALSE,TRUE),OR(exact(Metadata!E382,"not applicable"),exact(Metadata!E382,"missing: not collected"),exact(Metadata!E382,"missing: not provided"),exact(Metadata!E382,"missing: restricted access"))),AND(IF(Metadata!E382="",FALSE,ISNUMBER(VALUE(Metadata!E382))),Metadata!E382&gt;0))</f>
        <v>0</v>
      </c>
      <c r="Z382">
        <f>AND(IF(Metadata!F382="",FALSE,TRUE),exact(Metadata!F382,"weeks"))</f>
        <v>0</v>
      </c>
      <c r="AA382">
        <f>AND(IF(Metadata!G382="",FALSE,TRUE),exact(Metadata!G382,"mouse"))</f>
        <v>0</v>
      </c>
      <c r="AB382">
        <f>AND(IF(Metadata!H382="",FALSE,TRUE),exact(Metadata!H382,"Mus musculus"))</f>
        <v>0</v>
      </c>
      <c r="AC382">
        <f>AND(IF(Metadata!I382="",FALSE,TRUE),exact(Metadata!I382,"10090"))</f>
        <v>0</v>
      </c>
      <c r="AD382">
        <f>OR(AND(IF(Metadata!J382="",FALSE,TRUE),OR(exact(Metadata!J382,"not applicable"),exact(Metadata!J382,"missing: not collected"),exact(Metadata!J382,"missing: not provided"),exact(Metadata!J382,"missing: restricted access"))),AND(IF(Metadata!J382="",FALSE,ISNUMBER(VALUE(Metadata!J382))),Metadata!J382&gt;0))</f>
        <v>0</v>
      </c>
      <c r="AE382">
        <f>AND(IF(Metadata!K382="",FALSE,TRUE),exact(Metadata!K382,"g"))</f>
        <v>0</v>
      </c>
    </row>
    <row r="383" spans="1:31">
      <c r="A383" s="5">
        <f>IF(B383=" "," ",HYPERLINK(CONCATENATE("#metadata!",ADDRESS(INDEX($Q$2:$Q$1001,MATCH(ROWS($O$2:O383),$O$2:$O$1001,0),0),1)),INDEX($T$2:$T$1001,MATCH(ROWS($O$2:O383),$O$2:$O$1001,0),0)))</f>
        <v>0</v>
      </c>
      <c r="B383" s="4">
        <f>IF(OR(INDEX($P$2:$P$1001,MATCH(ROWS($O$2:O383),$O$2:$O$1001,0),1)&gt;=100000,INDEX($V$1005:$AE$1005,1,MATCH(COLUMNS($V$1006:V1006),$V$1006:$AE$1006,0))&gt;=100000), " ",IF(INDEX($V$2:$AE$1001,MATCH(ROWS($O$2:O383),$O$2:$O$1001,0),MATCH(COLUMNS($V$1006:V1006),$V$1006:$AE$1006,0)), HYPERLINK("#",""), HYPERLINK(CONCATENATE("#Metadata!", ADDRESS(INDEX($Q$2:$Q$1001,MATCH(ROWS($O$2:O383),$O$2:$O$1001,0),0), INDEX($V$1004:$AE$1004,1,MATCH(COLUMNS($V$1006:V1006),$V$1006:$AE$1006,0)))),"Fix")))</f>
        <v>0</v>
      </c>
      <c r="C383" s="4">
        <f>IF(OR(INDEX($P$2:$P$1001,MATCH(ROWS($O$2:O383),$O$2:$O$1001,0),1)&gt;=100000,INDEX($V$1005:$AE$1005,1,MATCH(COLUMNS($V$1006:W1006),$V$1006:$AE$1006,0))&gt;=100000), " ",IF(INDEX($V$2:$AE$1001,MATCH(ROWS($O$2:O383),$O$2:$O$1001,0),MATCH(COLUMNS($V$1006:W1006),$V$1006:$AE$1006,0)), HYPERLINK("#",""), HYPERLINK(CONCATENATE("#Metadata!", ADDRESS(INDEX($Q$2:$Q$1001,MATCH(ROWS($O$2:O383),$O$2:$O$1001,0),0), INDEX($V$1004:$AE$1004,1,MATCH(COLUMNS($V$1006:W1006),$V$1006:$AE$1006,0)))),"Fix")))</f>
        <v>0</v>
      </c>
      <c r="D383" s="4">
        <f>IF(OR(INDEX($P$2:$P$1001,MATCH(ROWS($O$2:O383),$O$2:$O$1001,0),1)&gt;=100000,INDEX($V$1005:$AE$1005,1,MATCH(COLUMNS($V$1006:X1006),$V$1006:$AE$1006,0))&gt;=100000), " ",IF(INDEX($V$2:$AE$1001,MATCH(ROWS($O$2:O383),$O$2:$O$1001,0),MATCH(COLUMNS($V$1006:X1006),$V$1006:$AE$1006,0)), HYPERLINK("#",""), HYPERLINK(CONCATENATE("#Metadata!", ADDRESS(INDEX($Q$2:$Q$1001,MATCH(ROWS($O$2:O383),$O$2:$O$1001,0),0), INDEX($V$1004:$AE$1004,1,MATCH(COLUMNS($V$1006:X1006),$V$1006:$AE$1006,0)))),"Fix")))</f>
        <v>0</v>
      </c>
      <c r="E383" s="4">
        <f>IF(OR(INDEX($P$2:$P$1001,MATCH(ROWS($O$2:O383),$O$2:$O$1001,0),1)&gt;=100000,INDEX($V$1005:$AE$1005,1,MATCH(COLUMNS($V$1006:Y1006),$V$1006:$AE$1006,0))&gt;=100000), " ",IF(INDEX($V$2:$AE$1001,MATCH(ROWS($O$2:O383),$O$2:$O$1001,0),MATCH(COLUMNS($V$1006:Y1006),$V$1006:$AE$1006,0)), HYPERLINK("#",""), HYPERLINK(CONCATENATE("#Metadata!", ADDRESS(INDEX($Q$2:$Q$1001,MATCH(ROWS($O$2:O383),$O$2:$O$1001,0),0), INDEX($V$1004:$AE$1004,1,MATCH(COLUMNS($V$1006:Y1006),$V$1006:$AE$1006,0)))),"Fix")))</f>
        <v>0</v>
      </c>
      <c r="F383" s="4">
        <f>IF(OR(INDEX($P$2:$P$1001,MATCH(ROWS($O$2:O383),$O$2:$O$1001,0),1)&gt;=100000,INDEX($V$1005:$AE$1005,1,MATCH(COLUMNS($V$1006:Z1006),$V$1006:$AE$1006,0))&gt;=100000), " ",IF(INDEX($V$2:$AE$1001,MATCH(ROWS($O$2:O383),$O$2:$O$1001,0),MATCH(COLUMNS($V$1006:Z1006),$V$1006:$AE$1006,0)), HYPERLINK("#",""), HYPERLINK(CONCATENATE("#Metadata!", ADDRESS(INDEX($Q$2:$Q$1001,MATCH(ROWS($O$2:O383),$O$2:$O$1001,0),0), INDEX($V$1004:$AE$1004,1,MATCH(COLUMNS($V$1006:Z1006),$V$1006:$AE$1006,0)))),"Fix")))</f>
        <v>0</v>
      </c>
      <c r="G383" s="4">
        <f>IF(OR(INDEX($P$2:$P$1001,MATCH(ROWS($O$2:O383),$O$2:$O$1001,0),1)&gt;=100000,INDEX($V$1005:$AE$1005,1,MATCH(COLUMNS($V$1006:AA1006),$V$1006:$AE$1006,0))&gt;=100000), " ",IF(INDEX($V$2:$AE$1001,MATCH(ROWS($O$2:O383),$O$2:$O$1001,0),MATCH(COLUMNS($V$1006:AA1006),$V$1006:$AE$1006,0)), HYPERLINK("#",""), HYPERLINK(CONCATENATE("#Metadata!", ADDRESS(INDEX($Q$2:$Q$1001,MATCH(ROWS($O$2:O383),$O$2:$O$1001,0),0), INDEX($V$1004:$AE$1004,1,MATCH(COLUMNS($V$1006:AA1006),$V$1006:$AE$1006,0)))),"Fix")))</f>
        <v>0</v>
      </c>
      <c r="H383" s="4">
        <f>IF(OR(INDEX($P$2:$P$1001,MATCH(ROWS($O$2:O383),$O$2:$O$1001,0),1)&gt;=100000,INDEX($V$1005:$AE$1005,1,MATCH(COLUMNS($V$1006:AB1006),$V$1006:$AE$1006,0))&gt;=100000), " ",IF(INDEX($V$2:$AE$1001,MATCH(ROWS($O$2:O383),$O$2:$O$1001,0),MATCH(COLUMNS($V$1006:AB1006),$V$1006:$AE$1006,0)), HYPERLINK("#",""), HYPERLINK(CONCATENATE("#Metadata!", ADDRESS(INDEX($Q$2:$Q$1001,MATCH(ROWS($O$2:O383),$O$2:$O$1001,0),0), INDEX($V$1004:$AE$1004,1,MATCH(COLUMNS($V$1006:AB1006),$V$1006:$AE$1006,0)))),"Fix")))</f>
        <v>0</v>
      </c>
      <c r="I383" s="4">
        <f>IF(OR(INDEX($P$2:$P$1001,MATCH(ROWS($O$2:O383),$O$2:$O$1001,0),1)&gt;=100000,INDEX($V$1005:$AE$1005,1,MATCH(COLUMNS($V$1006:AC1006),$V$1006:$AE$1006,0))&gt;=100000), " ",IF(INDEX($V$2:$AE$1001,MATCH(ROWS($O$2:O383),$O$2:$O$1001,0),MATCH(COLUMNS($V$1006:AC1006),$V$1006:$AE$1006,0)), HYPERLINK("#",""), HYPERLINK(CONCATENATE("#Metadata!", ADDRESS(INDEX($Q$2:$Q$1001,MATCH(ROWS($O$2:O383),$O$2:$O$1001,0),0), INDEX($V$1004:$AE$1004,1,MATCH(COLUMNS($V$1006:AC1006),$V$1006:$AE$1006,0)))),"Fix")))</f>
        <v>0</v>
      </c>
      <c r="J383" s="4">
        <f>IF(OR(INDEX($P$2:$P$1001,MATCH(ROWS($O$2:O383),$O$2:$O$1001,0),1)&gt;=100000,INDEX($V$1005:$AE$1005,1,MATCH(COLUMNS($V$1006:AD1006),$V$1006:$AE$1006,0))&gt;=100000), " ",IF(INDEX($V$2:$AE$1001,MATCH(ROWS($O$2:O383),$O$2:$O$1001,0),MATCH(COLUMNS($V$1006:AD1006),$V$1006:$AE$1006,0)), HYPERLINK("#",""), HYPERLINK(CONCATENATE("#Metadata!", ADDRESS(INDEX($Q$2:$Q$1001,MATCH(ROWS($O$2:O383),$O$2:$O$1001,0),0), INDEX($V$1004:$AE$1004,1,MATCH(COLUMNS($V$1006:AD1006),$V$1006:$AE$1006,0)))),"Fix")))</f>
        <v>0</v>
      </c>
      <c r="K383" s="4">
        <f>IF(OR(INDEX($P$2:$P$1001,MATCH(ROWS($O$2:O383),$O$2:$O$1001,0),1)&gt;=100000,INDEX($V$1005:$AE$1005,1,MATCH(COLUMNS($V$1006:AE1006),$V$1006:$AE$1006,0))&gt;=100000), " ",IF(INDEX($V$2:$AE$1001,MATCH(ROWS($O$2:O383),$O$2:$O$1001,0),MATCH(COLUMNS($V$1006:AE1006),$V$1006:$AE$1006,0)), HYPERLINK("#",""), HYPERLINK(CONCATENATE("#Metadata!", ADDRESS(INDEX($Q$2:$Q$1001,MATCH(ROWS($O$2:O383),$O$2:$O$1001,0),0), INDEX($V$1004:$AE$1004,1,MATCH(COLUMNS($V$1006:AE1006),$V$1006:$AE$1006,0)))),"Fix")))</f>
        <v>0</v>
      </c>
      <c r="O383">
        <v>0</v>
      </c>
      <c r="P383">
        <v>0</v>
      </c>
      <c r="Q383">
        <v>0</v>
      </c>
      <c r="R383">
        <f>IF(S383,TRUE,AND(V383:AE383))</f>
        <v>0</v>
      </c>
      <c r="S383">
        <f>COUNTBLANK(Metadata!B383:K383)=COLUMNS(Metadata!B383:K383)</f>
        <v>0</v>
      </c>
      <c r="T383">
        <v>0</v>
      </c>
      <c r="V383">
        <f>AND(IF(Metadata!B383="",FALSE,TRUE),COUNTIF(Metadata!B:B, Metadata!B383) = 1,NOT(ISERROR(SUMPRODUCT(SEARCH(MID(Metadata!B383,ROW(INDIRECT("1:"&amp;LEN(Metadata!B383))), 1),"0123456789abcdefghijklmnopqrstuvwxyzABCDEFGHIJKLMNOPQRSTUVWXYZ.")))))</f>
        <v>0</v>
      </c>
      <c r="W383">
        <f>AND(IF(Metadata!C383="",FALSE,TRUE),exact(Metadata!C383,"urban biome"))</f>
        <v>0</v>
      </c>
      <c r="X383">
        <f>AND(IF(Metadata!D383="",FALSE,TRUE),exact(Metadata!D383,"animal-associated habitat"))</f>
        <v>0</v>
      </c>
      <c r="Y383">
        <f>OR(AND(IF(Metadata!E383="",FALSE,TRUE),OR(exact(Metadata!E383,"not applicable"),exact(Metadata!E383,"missing: not collected"),exact(Metadata!E383,"missing: not provided"),exact(Metadata!E383,"missing: restricted access"))),AND(IF(Metadata!E383="",FALSE,ISNUMBER(VALUE(Metadata!E383))),Metadata!E383&gt;0))</f>
        <v>0</v>
      </c>
      <c r="Z383">
        <f>AND(IF(Metadata!F383="",FALSE,TRUE),exact(Metadata!F383,"weeks"))</f>
        <v>0</v>
      </c>
      <c r="AA383">
        <f>AND(IF(Metadata!G383="",FALSE,TRUE),exact(Metadata!G383,"mouse"))</f>
        <v>0</v>
      </c>
      <c r="AB383">
        <f>AND(IF(Metadata!H383="",FALSE,TRUE),exact(Metadata!H383,"Mus musculus"))</f>
        <v>0</v>
      </c>
      <c r="AC383">
        <f>AND(IF(Metadata!I383="",FALSE,TRUE),exact(Metadata!I383,"10090"))</f>
        <v>0</v>
      </c>
      <c r="AD383">
        <f>OR(AND(IF(Metadata!J383="",FALSE,TRUE),OR(exact(Metadata!J383,"not applicable"),exact(Metadata!J383,"missing: not collected"),exact(Metadata!J383,"missing: not provided"),exact(Metadata!J383,"missing: restricted access"))),AND(IF(Metadata!J383="",FALSE,ISNUMBER(VALUE(Metadata!J383))),Metadata!J383&gt;0))</f>
        <v>0</v>
      </c>
      <c r="AE383">
        <f>AND(IF(Metadata!K383="",FALSE,TRUE),exact(Metadata!K383,"g"))</f>
        <v>0</v>
      </c>
    </row>
    <row r="384" spans="1:31">
      <c r="A384" s="5">
        <f>IF(B384=" "," ",HYPERLINK(CONCATENATE("#metadata!",ADDRESS(INDEX($Q$2:$Q$1001,MATCH(ROWS($O$2:O384),$O$2:$O$1001,0),0),1)),INDEX($T$2:$T$1001,MATCH(ROWS($O$2:O384),$O$2:$O$1001,0),0)))</f>
        <v>0</v>
      </c>
      <c r="B384" s="4">
        <f>IF(OR(INDEX($P$2:$P$1001,MATCH(ROWS($O$2:O384),$O$2:$O$1001,0),1)&gt;=100000,INDEX($V$1005:$AE$1005,1,MATCH(COLUMNS($V$1006:V1006),$V$1006:$AE$1006,0))&gt;=100000), " ",IF(INDEX($V$2:$AE$1001,MATCH(ROWS($O$2:O384),$O$2:$O$1001,0),MATCH(COLUMNS($V$1006:V1006),$V$1006:$AE$1006,0)), HYPERLINK("#",""), HYPERLINK(CONCATENATE("#Metadata!", ADDRESS(INDEX($Q$2:$Q$1001,MATCH(ROWS($O$2:O384),$O$2:$O$1001,0),0), INDEX($V$1004:$AE$1004,1,MATCH(COLUMNS($V$1006:V1006),$V$1006:$AE$1006,0)))),"Fix")))</f>
        <v>0</v>
      </c>
      <c r="C384" s="4">
        <f>IF(OR(INDEX($P$2:$P$1001,MATCH(ROWS($O$2:O384),$O$2:$O$1001,0),1)&gt;=100000,INDEX($V$1005:$AE$1005,1,MATCH(COLUMNS($V$1006:W1006),$V$1006:$AE$1006,0))&gt;=100000), " ",IF(INDEX($V$2:$AE$1001,MATCH(ROWS($O$2:O384),$O$2:$O$1001,0),MATCH(COLUMNS($V$1006:W1006),$V$1006:$AE$1006,0)), HYPERLINK("#",""), HYPERLINK(CONCATENATE("#Metadata!", ADDRESS(INDEX($Q$2:$Q$1001,MATCH(ROWS($O$2:O384),$O$2:$O$1001,0),0), INDEX($V$1004:$AE$1004,1,MATCH(COLUMNS($V$1006:W1006),$V$1006:$AE$1006,0)))),"Fix")))</f>
        <v>0</v>
      </c>
      <c r="D384" s="4">
        <f>IF(OR(INDEX($P$2:$P$1001,MATCH(ROWS($O$2:O384),$O$2:$O$1001,0),1)&gt;=100000,INDEX($V$1005:$AE$1005,1,MATCH(COLUMNS($V$1006:X1006),$V$1006:$AE$1006,0))&gt;=100000), " ",IF(INDEX($V$2:$AE$1001,MATCH(ROWS($O$2:O384),$O$2:$O$1001,0),MATCH(COLUMNS($V$1006:X1006),$V$1006:$AE$1006,0)), HYPERLINK("#",""), HYPERLINK(CONCATENATE("#Metadata!", ADDRESS(INDEX($Q$2:$Q$1001,MATCH(ROWS($O$2:O384),$O$2:$O$1001,0),0), INDEX($V$1004:$AE$1004,1,MATCH(COLUMNS($V$1006:X1006),$V$1006:$AE$1006,0)))),"Fix")))</f>
        <v>0</v>
      </c>
      <c r="E384" s="4">
        <f>IF(OR(INDEX($P$2:$P$1001,MATCH(ROWS($O$2:O384),$O$2:$O$1001,0),1)&gt;=100000,INDEX($V$1005:$AE$1005,1,MATCH(COLUMNS($V$1006:Y1006),$V$1006:$AE$1006,0))&gt;=100000), " ",IF(INDEX($V$2:$AE$1001,MATCH(ROWS($O$2:O384),$O$2:$O$1001,0),MATCH(COLUMNS($V$1006:Y1006),$V$1006:$AE$1006,0)), HYPERLINK("#",""), HYPERLINK(CONCATENATE("#Metadata!", ADDRESS(INDEX($Q$2:$Q$1001,MATCH(ROWS($O$2:O384),$O$2:$O$1001,0),0), INDEX($V$1004:$AE$1004,1,MATCH(COLUMNS($V$1006:Y1006),$V$1006:$AE$1006,0)))),"Fix")))</f>
        <v>0</v>
      </c>
      <c r="F384" s="4">
        <f>IF(OR(INDEX($P$2:$P$1001,MATCH(ROWS($O$2:O384),$O$2:$O$1001,0),1)&gt;=100000,INDEX($V$1005:$AE$1005,1,MATCH(COLUMNS($V$1006:Z1006),$V$1006:$AE$1006,0))&gt;=100000), " ",IF(INDEX($V$2:$AE$1001,MATCH(ROWS($O$2:O384),$O$2:$O$1001,0),MATCH(COLUMNS($V$1006:Z1006),$V$1006:$AE$1006,0)), HYPERLINK("#",""), HYPERLINK(CONCATENATE("#Metadata!", ADDRESS(INDEX($Q$2:$Q$1001,MATCH(ROWS($O$2:O384),$O$2:$O$1001,0),0), INDEX($V$1004:$AE$1004,1,MATCH(COLUMNS($V$1006:Z1006),$V$1006:$AE$1006,0)))),"Fix")))</f>
        <v>0</v>
      </c>
      <c r="G384" s="4">
        <f>IF(OR(INDEX($P$2:$P$1001,MATCH(ROWS($O$2:O384),$O$2:$O$1001,0),1)&gt;=100000,INDEX($V$1005:$AE$1005,1,MATCH(COLUMNS($V$1006:AA1006),$V$1006:$AE$1006,0))&gt;=100000), " ",IF(INDEX($V$2:$AE$1001,MATCH(ROWS($O$2:O384),$O$2:$O$1001,0),MATCH(COLUMNS($V$1006:AA1006),$V$1006:$AE$1006,0)), HYPERLINK("#",""), HYPERLINK(CONCATENATE("#Metadata!", ADDRESS(INDEX($Q$2:$Q$1001,MATCH(ROWS($O$2:O384),$O$2:$O$1001,0),0), INDEX($V$1004:$AE$1004,1,MATCH(COLUMNS($V$1006:AA1006),$V$1006:$AE$1006,0)))),"Fix")))</f>
        <v>0</v>
      </c>
      <c r="H384" s="4">
        <f>IF(OR(INDEX($P$2:$P$1001,MATCH(ROWS($O$2:O384),$O$2:$O$1001,0),1)&gt;=100000,INDEX($V$1005:$AE$1005,1,MATCH(COLUMNS($V$1006:AB1006),$V$1006:$AE$1006,0))&gt;=100000), " ",IF(INDEX($V$2:$AE$1001,MATCH(ROWS($O$2:O384),$O$2:$O$1001,0),MATCH(COLUMNS($V$1006:AB1006),$V$1006:$AE$1006,0)), HYPERLINK("#",""), HYPERLINK(CONCATENATE("#Metadata!", ADDRESS(INDEX($Q$2:$Q$1001,MATCH(ROWS($O$2:O384),$O$2:$O$1001,0),0), INDEX($V$1004:$AE$1004,1,MATCH(COLUMNS($V$1006:AB1006),$V$1006:$AE$1006,0)))),"Fix")))</f>
        <v>0</v>
      </c>
      <c r="I384" s="4">
        <f>IF(OR(INDEX($P$2:$P$1001,MATCH(ROWS($O$2:O384),$O$2:$O$1001,0),1)&gt;=100000,INDEX($V$1005:$AE$1005,1,MATCH(COLUMNS($V$1006:AC1006),$V$1006:$AE$1006,0))&gt;=100000), " ",IF(INDEX($V$2:$AE$1001,MATCH(ROWS($O$2:O384),$O$2:$O$1001,0),MATCH(COLUMNS($V$1006:AC1006),$V$1006:$AE$1006,0)), HYPERLINK("#",""), HYPERLINK(CONCATENATE("#Metadata!", ADDRESS(INDEX($Q$2:$Q$1001,MATCH(ROWS($O$2:O384),$O$2:$O$1001,0),0), INDEX($V$1004:$AE$1004,1,MATCH(COLUMNS($V$1006:AC1006),$V$1006:$AE$1006,0)))),"Fix")))</f>
        <v>0</v>
      </c>
      <c r="J384" s="4">
        <f>IF(OR(INDEX($P$2:$P$1001,MATCH(ROWS($O$2:O384),$O$2:$O$1001,0),1)&gt;=100000,INDEX($V$1005:$AE$1005,1,MATCH(COLUMNS($V$1006:AD1006),$V$1006:$AE$1006,0))&gt;=100000), " ",IF(INDEX($V$2:$AE$1001,MATCH(ROWS($O$2:O384),$O$2:$O$1001,0),MATCH(COLUMNS($V$1006:AD1006),$V$1006:$AE$1006,0)), HYPERLINK("#",""), HYPERLINK(CONCATENATE("#Metadata!", ADDRESS(INDEX($Q$2:$Q$1001,MATCH(ROWS($O$2:O384),$O$2:$O$1001,0),0), INDEX($V$1004:$AE$1004,1,MATCH(COLUMNS($V$1006:AD1006),$V$1006:$AE$1006,0)))),"Fix")))</f>
        <v>0</v>
      </c>
      <c r="K384" s="4">
        <f>IF(OR(INDEX($P$2:$P$1001,MATCH(ROWS($O$2:O384),$O$2:$O$1001,0),1)&gt;=100000,INDEX($V$1005:$AE$1005,1,MATCH(COLUMNS($V$1006:AE1006),$V$1006:$AE$1006,0))&gt;=100000), " ",IF(INDEX($V$2:$AE$1001,MATCH(ROWS($O$2:O384),$O$2:$O$1001,0),MATCH(COLUMNS($V$1006:AE1006),$V$1006:$AE$1006,0)), HYPERLINK("#",""), HYPERLINK(CONCATENATE("#Metadata!", ADDRESS(INDEX($Q$2:$Q$1001,MATCH(ROWS($O$2:O384),$O$2:$O$1001,0),0), INDEX($V$1004:$AE$1004,1,MATCH(COLUMNS($V$1006:AE1006),$V$1006:$AE$1006,0)))),"Fix")))</f>
        <v>0</v>
      </c>
      <c r="O384">
        <v>0</v>
      </c>
      <c r="P384">
        <v>0</v>
      </c>
      <c r="Q384">
        <v>0</v>
      </c>
      <c r="R384">
        <f>IF(S384,TRUE,AND(V384:AE384))</f>
        <v>0</v>
      </c>
      <c r="S384">
        <f>COUNTBLANK(Metadata!B384:K384)=COLUMNS(Metadata!B384:K384)</f>
        <v>0</v>
      </c>
      <c r="T384">
        <v>0</v>
      </c>
      <c r="V384">
        <f>AND(IF(Metadata!B384="",FALSE,TRUE),COUNTIF(Metadata!B:B, Metadata!B384) = 1,NOT(ISERROR(SUMPRODUCT(SEARCH(MID(Metadata!B384,ROW(INDIRECT("1:"&amp;LEN(Metadata!B384))), 1),"0123456789abcdefghijklmnopqrstuvwxyzABCDEFGHIJKLMNOPQRSTUVWXYZ.")))))</f>
        <v>0</v>
      </c>
      <c r="W384">
        <f>AND(IF(Metadata!C384="",FALSE,TRUE),exact(Metadata!C384,"urban biome"))</f>
        <v>0</v>
      </c>
      <c r="X384">
        <f>AND(IF(Metadata!D384="",FALSE,TRUE),exact(Metadata!D384,"animal-associated habitat"))</f>
        <v>0</v>
      </c>
      <c r="Y384">
        <f>OR(AND(IF(Metadata!E384="",FALSE,TRUE),OR(exact(Metadata!E384,"not applicable"),exact(Metadata!E384,"missing: not collected"),exact(Metadata!E384,"missing: not provided"),exact(Metadata!E384,"missing: restricted access"))),AND(IF(Metadata!E384="",FALSE,ISNUMBER(VALUE(Metadata!E384))),Metadata!E384&gt;0))</f>
        <v>0</v>
      </c>
      <c r="Z384">
        <f>AND(IF(Metadata!F384="",FALSE,TRUE),exact(Metadata!F384,"weeks"))</f>
        <v>0</v>
      </c>
      <c r="AA384">
        <f>AND(IF(Metadata!G384="",FALSE,TRUE),exact(Metadata!G384,"mouse"))</f>
        <v>0</v>
      </c>
      <c r="AB384">
        <f>AND(IF(Metadata!H384="",FALSE,TRUE),exact(Metadata!H384,"Mus musculus"))</f>
        <v>0</v>
      </c>
      <c r="AC384">
        <f>AND(IF(Metadata!I384="",FALSE,TRUE),exact(Metadata!I384,"10090"))</f>
        <v>0</v>
      </c>
      <c r="AD384">
        <f>OR(AND(IF(Metadata!J384="",FALSE,TRUE),OR(exact(Metadata!J384,"not applicable"),exact(Metadata!J384,"missing: not collected"),exact(Metadata!J384,"missing: not provided"),exact(Metadata!J384,"missing: restricted access"))),AND(IF(Metadata!J384="",FALSE,ISNUMBER(VALUE(Metadata!J384))),Metadata!J384&gt;0))</f>
        <v>0</v>
      </c>
      <c r="AE384">
        <f>AND(IF(Metadata!K384="",FALSE,TRUE),exact(Metadata!K384,"g"))</f>
        <v>0</v>
      </c>
    </row>
    <row r="385" spans="1:31">
      <c r="A385" s="5">
        <f>IF(B385=" "," ",HYPERLINK(CONCATENATE("#metadata!",ADDRESS(INDEX($Q$2:$Q$1001,MATCH(ROWS($O$2:O385),$O$2:$O$1001,0),0),1)),INDEX($T$2:$T$1001,MATCH(ROWS($O$2:O385),$O$2:$O$1001,0),0)))</f>
        <v>0</v>
      </c>
      <c r="B385" s="4">
        <f>IF(OR(INDEX($P$2:$P$1001,MATCH(ROWS($O$2:O385),$O$2:$O$1001,0),1)&gt;=100000,INDEX($V$1005:$AE$1005,1,MATCH(COLUMNS($V$1006:V1006),$V$1006:$AE$1006,0))&gt;=100000), " ",IF(INDEX($V$2:$AE$1001,MATCH(ROWS($O$2:O385),$O$2:$O$1001,0),MATCH(COLUMNS($V$1006:V1006),$V$1006:$AE$1006,0)), HYPERLINK("#",""), HYPERLINK(CONCATENATE("#Metadata!", ADDRESS(INDEX($Q$2:$Q$1001,MATCH(ROWS($O$2:O385),$O$2:$O$1001,0),0), INDEX($V$1004:$AE$1004,1,MATCH(COLUMNS($V$1006:V1006),$V$1006:$AE$1006,0)))),"Fix")))</f>
        <v>0</v>
      </c>
      <c r="C385" s="4">
        <f>IF(OR(INDEX($P$2:$P$1001,MATCH(ROWS($O$2:O385),$O$2:$O$1001,0),1)&gt;=100000,INDEX($V$1005:$AE$1005,1,MATCH(COLUMNS($V$1006:W1006),$V$1006:$AE$1006,0))&gt;=100000), " ",IF(INDEX($V$2:$AE$1001,MATCH(ROWS($O$2:O385),$O$2:$O$1001,0),MATCH(COLUMNS($V$1006:W1006),$V$1006:$AE$1006,0)), HYPERLINK("#",""), HYPERLINK(CONCATENATE("#Metadata!", ADDRESS(INDEX($Q$2:$Q$1001,MATCH(ROWS($O$2:O385),$O$2:$O$1001,0),0), INDEX($V$1004:$AE$1004,1,MATCH(COLUMNS($V$1006:W1006),$V$1006:$AE$1006,0)))),"Fix")))</f>
        <v>0</v>
      </c>
      <c r="D385" s="4">
        <f>IF(OR(INDEX($P$2:$P$1001,MATCH(ROWS($O$2:O385),$O$2:$O$1001,0),1)&gt;=100000,INDEX($V$1005:$AE$1005,1,MATCH(COLUMNS($V$1006:X1006),$V$1006:$AE$1006,0))&gt;=100000), " ",IF(INDEX($V$2:$AE$1001,MATCH(ROWS($O$2:O385),$O$2:$O$1001,0),MATCH(COLUMNS($V$1006:X1006),$V$1006:$AE$1006,0)), HYPERLINK("#",""), HYPERLINK(CONCATENATE("#Metadata!", ADDRESS(INDEX($Q$2:$Q$1001,MATCH(ROWS($O$2:O385),$O$2:$O$1001,0),0), INDEX($V$1004:$AE$1004,1,MATCH(COLUMNS($V$1006:X1006),$V$1006:$AE$1006,0)))),"Fix")))</f>
        <v>0</v>
      </c>
      <c r="E385" s="4">
        <f>IF(OR(INDEX($P$2:$P$1001,MATCH(ROWS($O$2:O385),$O$2:$O$1001,0),1)&gt;=100000,INDEX($V$1005:$AE$1005,1,MATCH(COLUMNS($V$1006:Y1006),$V$1006:$AE$1006,0))&gt;=100000), " ",IF(INDEX($V$2:$AE$1001,MATCH(ROWS($O$2:O385),$O$2:$O$1001,0),MATCH(COLUMNS($V$1006:Y1006),$V$1006:$AE$1006,0)), HYPERLINK("#",""), HYPERLINK(CONCATENATE("#Metadata!", ADDRESS(INDEX($Q$2:$Q$1001,MATCH(ROWS($O$2:O385),$O$2:$O$1001,0),0), INDEX($V$1004:$AE$1004,1,MATCH(COLUMNS($V$1006:Y1006),$V$1006:$AE$1006,0)))),"Fix")))</f>
        <v>0</v>
      </c>
      <c r="F385" s="4">
        <f>IF(OR(INDEX($P$2:$P$1001,MATCH(ROWS($O$2:O385),$O$2:$O$1001,0),1)&gt;=100000,INDEX($V$1005:$AE$1005,1,MATCH(COLUMNS($V$1006:Z1006),$V$1006:$AE$1006,0))&gt;=100000), " ",IF(INDEX($V$2:$AE$1001,MATCH(ROWS($O$2:O385),$O$2:$O$1001,0),MATCH(COLUMNS($V$1006:Z1006),$V$1006:$AE$1006,0)), HYPERLINK("#",""), HYPERLINK(CONCATENATE("#Metadata!", ADDRESS(INDEX($Q$2:$Q$1001,MATCH(ROWS($O$2:O385),$O$2:$O$1001,0),0), INDEX($V$1004:$AE$1004,1,MATCH(COLUMNS($V$1006:Z1006),$V$1006:$AE$1006,0)))),"Fix")))</f>
        <v>0</v>
      </c>
      <c r="G385" s="4">
        <f>IF(OR(INDEX($P$2:$P$1001,MATCH(ROWS($O$2:O385),$O$2:$O$1001,0),1)&gt;=100000,INDEX($V$1005:$AE$1005,1,MATCH(COLUMNS($V$1006:AA1006),$V$1006:$AE$1006,0))&gt;=100000), " ",IF(INDEX($V$2:$AE$1001,MATCH(ROWS($O$2:O385),$O$2:$O$1001,0),MATCH(COLUMNS($V$1006:AA1006),$V$1006:$AE$1006,0)), HYPERLINK("#",""), HYPERLINK(CONCATENATE("#Metadata!", ADDRESS(INDEX($Q$2:$Q$1001,MATCH(ROWS($O$2:O385),$O$2:$O$1001,0),0), INDEX($V$1004:$AE$1004,1,MATCH(COLUMNS($V$1006:AA1006),$V$1006:$AE$1006,0)))),"Fix")))</f>
        <v>0</v>
      </c>
      <c r="H385" s="4">
        <f>IF(OR(INDEX($P$2:$P$1001,MATCH(ROWS($O$2:O385),$O$2:$O$1001,0),1)&gt;=100000,INDEX($V$1005:$AE$1005,1,MATCH(COLUMNS($V$1006:AB1006),$V$1006:$AE$1006,0))&gt;=100000), " ",IF(INDEX($V$2:$AE$1001,MATCH(ROWS($O$2:O385),$O$2:$O$1001,0),MATCH(COLUMNS($V$1006:AB1006),$V$1006:$AE$1006,0)), HYPERLINK("#",""), HYPERLINK(CONCATENATE("#Metadata!", ADDRESS(INDEX($Q$2:$Q$1001,MATCH(ROWS($O$2:O385),$O$2:$O$1001,0),0), INDEX($V$1004:$AE$1004,1,MATCH(COLUMNS($V$1006:AB1006),$V$1006:$AE$1006,0)))),"Fix")))</f>
        <v>0</v>
      </c>
      <c r="I385" s="4">
        <f>IF(OR(INDEX($P$2:$P$1001,MATCH(ROWS($O$2:O385),$O$2:$O$1001,0),1)&gt;=100000,INDEX($V$1005:$AE$1005,1,MATCH(COLUMNS($V$1006:AC1006),$V$1006:$AE$1006,0))&gt;=100000), " ",IF(INDEX($V$2:$AE$1001,MATCH(ROWS($O$2:O385),$O$2:$O$1001,0),MATCH(COLUMNS($V$1006:AC1006),$V$1006:$AE$1006,0)), HYPERLINK("#",""), HYPERLINK(CONCATENATE("#Metadata!", ADDRESS(INDEX($Q$2:$Q$1001,MATCH(ROWS($O$2:O385),$O$2:$O$1001,0),0), INDEX($V$1004:$AE$1004,1,MATCH(COLUMNS($V$1006:AC1006),$V$1006:$AE$1006,0)))),"Fix")))</f>
        <v>0</v>
      </c>
      <c r="J385" s="4">
        <f>IF(OR(INDEX($P$2:$P$1001,MATCH(ROWS($O$2:O385),$O$2:$O$1001,0),1)&gt;=100000,INDEX($V$1005:$AE$1005,1,MATCH(COLUMNS($V$1006:AD1006),$V$1006:$AE$1006,0))&gt;=100000), " ",IF(INDEX($V$2:$AE$1001,MATCH(ROWS($O$2:O385),$O$2:$O$1001,0),MATCH(COLUMNS($V$1006:AD1006),$V$1006:$AE$1006,0)), HYPERLINK("#",""), HYPERLINK(CONCATENATE("#Metadata!", ADDRESS(INDEX($Q$2:$Q$1001,MATCH(ROWS($O$2:O385),$O$2:$O$1001,0),0), INDEX($V$1004:$AE$1004,1,MATCH(COLUMNS($V$1006:AD1006),$V$1006:$AE$1006,0)))),"Fix")))</f>
        <v>0</v>
      </c>
      <c r="K385" s="4">
        <f>IF(OR(INDEX($P$2:$P$1001,MATCH(ROWS($O$2:O385),$O$2:$O$1001,0),1)&gt;=100000,INDEX($V$1005:$AE$1005,1,MATCH(COLUMNS($V$1006:AE1006),$V$1006:$AE$1006,0))&gt;=100000), " ",IF(INDEX($V$2:$AE$1001,MATCH(ROWS($O$2:O385),$O$2:$O$1001,0),MATCH(COLUMNS($V$1006:AE1006),$V$1006:$AE$1006,0)), HYPERLINK("#",""), HYPERLINK(CONCATENATE("#Metadata!", ADDRESS(INDEX($Q$2:$Q$1001,MATCH(ROWS($O$2:O385),$O$2:$O$1001,0),0), INDEX($V$1004:$AE$1004,1,MATCH(COLUMNS($V$1006:AE1006),$V$1006:$AE$1006,0)))),"Fix")))</f>
        <v>0</v>
      </c>
      <c r="O385">
        <v>0</v>
      </c>
      <c r="P385">
        <v>0</v>
      </c>
      <c r="Q385">
        <v>0</v>
      </c>
      <c r="R385">
        <f>IF(S385,TRUE,AND(V385:AE385))</f>
        <v>0</v>
      </c>
      <c r="S385">
        <f>COUNTBLANK(Metadata!B385:K385)=COLUMNS(Metadata!B385:K385)</f>
        <v>0</v>
      </c>
      <c r="T385">
        <v>0</v>
      </c>
      <c r="V385">
        <f>AND(IF(Metadata!B385="",FALSE,TRUE),COUNTIF(Metadata!B:B, Metadata!B385) = 1,NOT(ISERROR(SUMPRODUCT(SEARCH(MID(Metadata!B385,ROW(INDIRECT("1:"&amp;LEN(Metadata!B385))), 1),"0123456789abcdefghijklmnopqrstuvwxyzABCDEFGHIJKLMNOPQRSTUVWXYZ.")))))</f>
        <v>0</v>
      </c>
      <c r="W385">
        <f>AND(IF(Metadata!C385="",FALSE,TRUE),exact(Metadata!C385,"urban biome"))</f>
        <v>0</v>
      </c>
      <c r="X385">
        <f>AND(IF(Metadata!D385="",FALSE,TRUE),exact(Metadata!D385,"animal-associated habitat"))</f>
        <v>0</v>
      </c>
      <c r="Y385">
        <f>OR(AND(IF(Metadata!E385="",FALSE,TRUE),OR(exact(Metadata!E385,"not applicable"),exact(Metadata!E385,"missing: not collected"),exact(Metadata!E385,"missing: not provided"),exact(Metadata!E385,"missing: restricted access"))),AND(IF(Metadata!E385="",FALSE,ISNUMBER(VALUE(Metadata!E385))),Metadata!E385&gt;0))</f>
        <v>0</v>
      </c>
      <c r="Z385">
        <f>AND(IF(Metadata!F385="",FALSE,TRUE),exact(Metadata!F385,"weeks"))</f>
        <v>0</v>
      </c>
      <c r="AA385">
        <f>AND(IF(Metadata!G385="",FALSE,TRUE),exact(Metadata!G385,"mouse"))</f>
        <v>0</v>
      </c>
      <c r="AB385">
        <f>AND(IF(Metadata!H385="",FALSE,TRUE),exact(Metadata!H385,"Mus musculus"))</f>
        <v>0</v>
      </c>
      <c r="AC385">
        <f>AND(IF(Metadata!I385="",FALSE,TRUE),exact(Metadata!I385,"10090"))</f>
        <v>0</v>
      </c>
      <c r="AD385">
        <f>OR(AND(IF(Metadata!J385="",FALSE,TRUE),OR(exact(Metadata!J385,"not applicable"),exact(Metadata!J385,"missing: not collected"),exact(Metadata!J385,"missing: not provided"),exact(Metadata!J385,"missing: restricted access"))),AND(IF(Metadata!J385="",FALSE,ISNUMBER(VALUE(Metadata!J385))),Metadata!J385&gt;0))</f>
        <v>0</v>
      </c>
      <c r="AE385">
        <f>AND(IF(Metadata!K385="",FALSE,TRUE),exact(Metadata!K385,"g"))</f>
        <v>0</v>
      </c>
    </row>
    <row r="386" spans="1:31">
      <c r="A386" s="5">
        <f>IF(B386=" "," ",HYPERLINK(CONCATENATE("#metadata!",ADDRESS(INDEX($Q$2:$Q$1001,MATCH(ROWS($O$2:O386),$O$2:$O$1001,0),0),1)),INDEX($T$2:$T$1001,MATCH(ROWS($O$2:O386),$O$2:$O$1001,0),0)))</f>
        <v>0</v>
      </c>
      <c r="B386" s="4">
        <f>IF(OR(INDEX($P$2:$P$1001,MATCH(ROWS($O$2:O386),$O$2:$O$1001,0),1)&gt;=100000,INDEX($V$1005:$AE$1005,1,MATCH(COLUMNS($V$1006:V1006),$V$1006:$AE$1006,0))&gt;=100000), " ",IF(INDEX($V$2:$AE$1001,MATCH(ROWS($O$2:O386),$O$2:$O$1001,0),MATCH(COLUMNS($V$1006:V1006),$V$1006:$AE$1006,0)), HYPERLINK("#",""), HYPERLINK(CONCATENATE("#Metadata!", ADDRESS(INDEX($Q$2:$Q$1001,MATCH(ROWS($O$2:O386),$O$2:$O$1001,0),0), INDEX($V$1004:$AE$1004,1,MATCH(COLUMNS($V$1006:V1006),$V$1006:$AE$1006,0)))),"Fix")))</f>
        <v>0</v>
      </c>
      <c r="C386" s="4">
        <f>IF(OR(INDEX($P$2:$P$1001,MATCH(ROWS($O$2:O386),$O$2:$O$1001,0),1)&gt;=100000,INDEX($V$1005:$AE$1005,1,MATCH(COLUMNS($V$1006:W1006),$V$1006:$AE$1006,0))&gt;=100000), " ",IF(INDEX($V$2:$AE$1001,MATCH(ROWS($O$2:O386),$O$2:$O$1001,0),MATCH(COLUMNS($V$1006:W1006),$V$1006:$AE$1006,0)), HYPERLINK("#",""), HYPERLINK(CONCATENATE("#Metadata!", ADDRESS(INDEX($Q$2:$Q$1001,MATCH(ROWS($O$2:O386),$O$2:$O$1001,0),0), INDEX($V$1004:$AE$1004,1,MATCH(COLUMNS($V$1006:W1006),$V$1006:$AE$1006,0)))),"Fix")))</f>
        <v>0</v>
      </c>
      <c r="D386" s="4">
        <f>IF(OR(INDEX($P$2:$P$1001,MATCH(ROWS($O$2:O386),$O$2:$O$1001,0),1)&gt;=100000,INDEX($V$1005:$AE$1005,1,MATCH(COLUMNS($V$1006:X1006),$V$1006:$AE$1006,0))&gt;=100000), " ",IF(INDEX($V$2:$AE$1001,MATCH(ROWS($O$2:O386),$O$2:$O$1001,0),MATCH(COLUMNS($V$1006:X1006),$V$1006:$AE$1006,0)), HYPERLINK("#",""), HYPERLINK(CONCATENATE("#Metadata!", ADDRESS(INDEX($Q$2:$Q$1001,MATCH(ROWS($O$2:O386),$O$2:$O$1001,0),0), INDEX($V$1004:$AE$1004,1,MATCH(COLUMNS($V$1006:X1006),$V$1006:$AE$1006,0)))),"Fix")))</f>
        <v>0</v>
      </c>
      <c r="E386" s="4">
        <f>IF(OR(INDEX($P$2:$P$1001,MATCH(ROWS($O$2:O386),$O$2:$O$1001,0),1)&gt;=100000,INDEX($V$1005:$AE$1005,1,MATCH(COLUMNS($V$1006:Y1006),$V$1006:$AE$1006,0))&gt;=100000), " ",IF(INDEX($V$2:$AE$1001,MATCH(ROWS($O$2:O386),$O$2:$O$1001,0),MATCH(COLUMNS($V$1006:Y1006),$V$1006:$AE$1006,0)), HYPERLINK("#",""), HYPERLINK(CONCATENATE("#Metadata!", ADDRESS(INDEX($Q$2:$Q$1001,MATCH(ROWS($O$2:O386),$O$2:$O$1001,0),0), INDEX($V$1004:$AE$1004,1,MATCH(COLUMNS($V$1006:Y1006),$V$1006:$AE$1006,0)))),"Fix")))</f>
        <v>0</v>
      </c>
      <c r="F386" s="4">
        <f>IF(OR(INDEX($P$2:$P$1001,MATCH(ROWS($O$2:O386),$O$2:$O$1001,0),1)&gt;=100000,INDEX($V$1005:$AE$1005,1,MATCH(COLUMNS($V$1006:Z1006),$V$1006:$AE$1006,0))&gt;=100000), " ",IF(INDEX($V$2:$AE$1001,MATCH(ROWS($O$2:O386),$O$2:$O$1001,0),MATCH(COLUMNS($V$1006:Z1006),$V$1006:$AE$1006,0)), HYPERLINK("#",""), HYPERLINK(CONCATENATE("#Metadata!", ADDRESS(INDEX($Q$2:$Q$1001,MATCH(ROWS($O$2:O386),$O$2:$O$1001,0),0), INDEX($V$1004:$AE$1004,1,MATCH(COLUMNS($V$1006:Z1006),$V$1006:$AE$1006,0)))),"Fix")))</f>
        <v>0</v>
      </c>
      <c r="G386" s="4">
        <f>IF(OR(INDEX($P$2:$P$1001,MATCH(ROWS($O$2:O386),$O$2:$O$1001,0),1)&gt;=100000,INDEX($V$1005:$AE$1005,1,MATCH(COLUMNS($V$1006:AA1006),$V$1006:$AE$1006,0))&gt;=100000), " ",IF(INDEX($V$2:$AE$1001,MATCH(ROWS($O$2:O386),$O$2:$O$1001,0),MATCH(COLUMNS($V$1006:AA1006),$V$1006:$AE$1006,0)), HYPERLINK("#",""), HYPERLINK(CONCATENATE("#Metadata!", ADDRESS(INDEX($Q$2:$Q$1001,MATCH(ROWS($O$2:O386),$O$2:$O$1001,0),0), INDEX($V$1004:$AE$1004,1,MATCH(COLUMNS($V$1006:AA1006),$V$1006:$AE$1006,0)))),"Fix")))</f>
        <v>0</v>
      </c>
      <c r="H386" s="4">
        <f>IF(OR(INDEX($P$2:$P$1001,MATCH(ROWS($O$2:O386),$O$2:$O$1001,0),1)&gt;=100000,INDEX($V$1005:$AE$1005,1,MATCH(COLUMNS($V$1006:AB1006),$V$1006:$AE$1006,0))&gt;=100000), " ",IF(INDEX($V$2:$AE$1001,MATCH(ROWS($O$2:O386),$O$2:$O$1001,0),MATCH(COLUMNS($V$1006:AB1006),$V$1006:$AE$1006,0)), HYPERLINK("#",""), HYPERLINK(CONCATENATE("#Metadata!", ADDRESS(INDEX($Q$2:$Q$1001,MATCH(ROWS($O$2:O386),$O$2:$O$1001,0),0), INDEX($V$1004:$AE$1004,1,MATCH(COLUMNS($V$1006:AB1006),$V$1006:$AE$1006,0)))),"Fix")))</f>
        <v>0</v>
      </c>
      <c r="I386" s="4">
        <f>IF(OR(INDEX($P$2:$P$1001,MATCH(ROWS($O$2:O386),$O$2:$O$1001,0),1)&gt;=100000,INDEX($V$1005:$AE$1005,1,MATCH(COLUMNS($V$1006:AC1006),$V$1006:$AE$1006,0))&gt;=100000), " ",IF(INDEX($V$2:$AE$1001,MATCH(ROWS($O$2:O386),$O$2:$O$1001,0),MATCH(COLUMNS($V$1006:AC1006),$V$1006:$AE$1006,0)), HYPERLINK("#",""), HYPERLINK(CONCATENATE("#Metadata!", ADDRESS(INDEX($Q$2:$Q$1001,MATCH(ROWS($O$2:O386),$O$2:$O$1001,0),0), INDEX($V$1004:$AE$1004,1,MATCH(COLUMNS($V$1006:AC1006),$V$1006:$AE$1006,0)))),"Fix")))</f>
        <v>0</v>
      </c>
      <c r="J386" s="4">
        <f>IF(OR(INDEX($P$2:$P$1001,MATCH(ROWS($O$2:O386),$O$2:$O$1001,0),1)&gt;=100000,INDEX($V$1005:$AE$1005,1,MATCH(COLUMNS($V$1006:AD1006),$V$1006:$AE$1006,0))&gt;=100000), " ",IF(INDEX($V$2:$AE$1001,MATCH(ROWS($O$2:O386),$O$2:$O$1001,0),MATCH(COLUMNS($V$1006:AD1006),$V$1006:$AE$1006,0)), HYPERLINK("#",""), HYPERLINK(CONCATENATE("#Metadata!", ADDRESS(INDEX($Q$2:$Q$1001,MATCH(ROWS($O$2:O386),$O$2:$O$1001,0),0), INDEX($V$1004:$AE$1004,1,MATCH(COLUMNS($V$1006:AD1006),$V$1006:$AE$1006,0)))),"Fix")))</f>
        <v>0</v>
      </c>
      <c r="K386" s="4">
        <f>IF(OR(INDEX($P$2:$P$1001,MATCH(ROWS($O$2:O386),$O$2:$O$1001,0),1)&gt;=100000,INDEX($V$1005:$AE$1005,1,MATCH(COLUMNS($V$1006:AE1006),$V$1006:$AE$1006,0))&gt;=100000), " ",IF(INDEX($V$2:$AE$1001,MATCH(ROWS($O$2:O386),$O$2:$O$1001,0),MATCH(COLUMNS($V$1006:AE1006),$V$1006:$AE$1006,0)), HYPERLINK("#",""), HYPERLINK(CONCATENATE("#Metadata!", ADDRESS(INDEX($Q$2:$Q$1001,MATCH(ROWS($O$2:O386),$O$2:$O$1001,0),0), INDEX($V$1004:$AE$1004,1,MATCH(COLUMNS($V$1006:AE1006),$V$1006:$AE$1006,0)))),"Fix")))</f>
        <v>0</v>
      </c>
      <c r="O386">
        <v>0</v>
      </c>
      <c r="P386">
        <v>0</v>
      </c>
      <c r="Q386">
        <v>0</v>
      </c>
      <c r="R386">
        <f>IF(S386,TRUE,AND(V386:AE386))</f>
        <v>0</v>
      </c>
      <c r="S386">
        <f>COUNTBLANK(Metadata!B386:K386)=COLUMNS(Metadata!B386:K386)</f>
        <v>0</v>
      </c>
      <c r="T386">
        <v>0</v>
      </c>
      <c r="V386">
        <f>AND(IF(Metadata!B386="",FALSE,TRUE),COUNTIF(Metadata!B:B, Metadata!B386) = 1,NOT(ISERROR(SUMPRODUCT(SEARCH(MID(Metadata!B386,ROW(INDIRECT("1:"&amp;LEN(Metadata!B386))), 1),"0123456789abcdefghijklmnopqrstuvwxyzABCDEFGHIJKLMNOPQRSTUVWXYZ.")))))</f>
        <v>0</v>
      </c>
      <c r="W386">
        <f>AND(IF(Metadata!C386="",FALSE,TRUE),exact(Metadata!C386,"urban biome"))</f>
        <v>0</v>
      </c>
      <c r="X386">
        <f>AND(IF(Metadata!D386="",FALSE,TRUE),exact(Metadata!D386,"animal-associated habitat"))</f>
        <v>0</v>
      </c>
      <c r="Y386">
        <f>OR(AND(IF(Metadata!E386="",FALSE,TRUE),OR(exact(Metadata!E386,"not applicable"),exact(Metadata!E386,"missing: not collected"),exact(Metadata!E386,"missing: not provided"),exact(Metadata!E386,"missing: restricted access"))),AND(IF(Metadata!E386="",FALSE,ISNUMBER(VALUE(Metadata!E386))),Metadata!E386&gt;0))</f>
        <v>0</v>
      </c>
      <c r="Z386">
        <f>AND(IF(Metadata!F386="",FALSE,TRUE),exact(Metadata!F386,"weeks"))</f>
        <v>0</v>
      </c>
      <c r="AA386">
        <f>AND(IF(Metadata!G386="",FALSE,TRUE),exact(Metadata!G386,"mouse"))</f>
        <v>0</v>
      </c>
      <c r="AB386">
        <f>AND(IF(Metadata!H386="",FALSE,TRUE),exact(Metadata!H386,"Mus musculus"))</f>
        <v>0</v>
      </c>
      <c r="AC386">
        <f>AND(IF(Metadata!I386="",FALSE,TRUE),exact(Metadata!I386,"10090"))</f>
        <v>0</v>
      </c>
      <c r="AD386">
        <f>OR(AND(IF(Metadata!J386="",FALSE,TRUE),OR(exact(Metadata!J386,"not applicable"),exact(Metadata!J386,"missing: not collected"),exact(Metadata!J386,"missing: not provided"),exact(Metadata!J386,"missing: restricted access"))),AND(IF(Metadata!J386="",FALSE,ISNUMBER(VALUE(Metadata!J386))),Metadata!J386&gt;0))</f>
        <v>0</v>
      </c>
      <c r="AE386">
        <f>AND(IF(Metadata!K386="",FALSE,TRUE),exact(Metadata!K386,"g"))</f>
        <v>0</v>
      </c>
    </row>
    <row r="387" spans="1:31">
      <c r="A387" s="5">
        <f>IF(B387=" "," ",HYPERLINK(CONCATENATE("#metadata!",ADDRESS(INDEX($Q$2:$Q$1001,MATCH(ROWS($O$2:O387),$O$2:$O$1001,0),0),1)),INDEX($T$2:$T$1001,MATCH(ROWS($O$2:O387),$O$2:$O$1001,0),0)))</f>
        <v>0</v>
      </c>
      <c r="B387" s="4">
        <f>IF(OR(INDEX($P$2:$P$1001,MATCH(ROWS($O$2:O387),$O$2:$O$1001,0),1)&gt;=100000,INDEX($V$1005:$AE$1005,1,MATCH(COLUMNS($V$1006:V1006),$V$1006:$AE$1006,0))&gt;=100000), " ",IF(INDEX($V$2:$AE$1001,MATCH(ROWS($O$2:O387),$O$2:$O$1001,0),MATCH(COLUMNS($V$1006:V1006),$V$1006:$AE$1006,0)), HYPERLINK("#",""), HYPERLINK(CONCATENATE("#Metadata!", ADDRESS(INDEX($Q$2:$Q$1001,MATCH(ROWS($O$2:O387),$O$2:$O$1001,0),0), INDEX($V$1004:$AE$1004,1,MATCH(COLUMNS($V$1006:V1006),$V$1006:$AE$1006,0)))),"Fix")))</f>
        <v>0</v>
      </c>
      <c r="C387" s="4">
        <f>IF(OR(INDEX($P$2:$P$1001,MATCH(ROWS($O$2:O387),$O$2:$O$1001,0),1)&gt;=100000,INDEX($V$1005:$AE$1005,1,MATCH(COLUMNS($V$1006:W1006),$V$1006:$AE$1006,0))&gt;=100000), " ",IF(INDEX($V$2:$AE$1001,MATCH(ROWS($O$2:O387),$O$2:$O$1001,0),MATCH(COLUMNS($V$1006:W1006),$V$1006:$AE$1006,0)), HYPERLINK("#",""), HYPERLINK(CONCATENATE("#Metadata!", ADDRESS(INDEX($Q$2:$Q$1001,MATCH(ROWS($O$2:O387),$O$2:$O$1001,0),0), INDEX($V$1004:$AE$1004,1,MATCH(COLUMNS($V$1006:W1006),$V$1006:$AE$1006,0)))),"Fix")))</f>
        <v>0</v>
      </c>
      <c r="D387" s="4">
        <f>IF(OR(INDEX($P$2:$P$1001,MATCH(ROWS($O$2:O387),$O$2:$O$1001,0),1)&gt;=100000,INDEX($V$1005:$AE$1005,1,MATCH(COLUMNS($V$1006:X1006),$V$1006:$AE$1006,0))&gt;=100000), " ",IF(INDEX($V$2:$AE$1001,MATCH(ROWS($O$2:O387),$O$2:$O$1001,0),MATCH(COLUMNS($V$1006:X1006),$V$1006:$AE$1006,0)), HYPERLINK("#",""), HYPERLINK(CONCATENATE("#Metadata!", ADDRESS(INDEX($Q$2:$Q$1001,MATCH(ROWS($O$2:O387),$O$2:$O$1001,0),0), INDEX($V$1004:$AE$1004,1,MATCH(COLUMNS($V$1006:X1006),$V$1006:$AE$1006,0)))),"Fix")))</f>
        <v>0</v>
      </c>
      <c r="E387" s="4">
        <f>IF(OR(INDEX($P$2:$P$1001,MATCH(ROWS($O$2:O387),$O$2:$O$1001,0),1)&gt;=100000,INDEX($V$1005:$AE$1005,1,MATCH(COLUMNS($V$1006:Y1006),$V$1006:$AE$1006,0))&gt;=100000), " ",IF(INDEX($V$2:$AE$1001,MATCH(ROWS($O$2:O387),$O$2:$O$1001,0),MATCH(COLUMNS($V$1006:Y1006),$V$1006:$AE$1006,0)), HYPERLINK("#",""), HYPERLINK(CONCATENATE("#Metadata!", ADDRESS(INDEX($Q$2:$Q$1001,MATCH(ROWS($O$2:O387),$O$2:$O$1001,0),0), INDEX($V$1004:$AE$1004,1,MATCH(COLUMNS($V$1006:Y1006),$V$1006:$AE$1006,0)))),"Fix")))</f>
        <v>0</v>
      </c>
      <c r="F387" s="4">
        <f>IF(OR(INDEX($P$2:$P$1001,MATCH(ROWS($O$2:O387),$O$2:$O$1001,0),1)&gt;=100000,INDEX($V$1005:$AE$1005,1,MATCH(COLUMNS($V$1006:Z1006),$V$1006:$AE$1006,0))&gt;=100000), " ",IF(INDEX($V$2:$AE$1001,MATCH(ROWS($O$2:O387),$O$2:$O$1001,0),MATCH(COLUMNS($V$1006:Z1006),$V$1006:$AE$1006,0)), HYPERLINK("#",""), HYPERLINK(CONCATENATE("#Metadata!", ADDRESS(INDEX($Q$2:$Q$1001,MATCH(ROWS($O$2:O387),$O$2:$O$1001,0),0), INDEX($V$1004:$AE$1004,1,MATCH(COLUMNS($V$1006:Z1006),$V$1006:$AE$1006,0)))),"Fix")))</f>
        <v>0</v>
      </c>
      <c r="G387" s="4">
        <f>IF(OR(INDEX($P$2:$P$1001,MATCH(ROWS($O$2:O387),$O$2:$O$1001,0),1)&gt;=100000,INDEX($V$1005:$AE$1005,1,MATCH(COLUMNS($V$1006:AA1006),$V$1006:$AE$1006,0))&gt;=100000), " ",IF(INDEX($V$2:$AE$1001,MATCH(ROWS($O$2:O387),$O$2:$O$1001,0),MATCH(COLUMNS($V$1006:AA1006),$V$1006:$AE$1006,0)), HYPERLINK("#",""), HYPERLINK(CONCATENATE("#Metadata!", ADDRESS(INDEX($Q$2:$Q$1001,MATCH(ROWS($O$2:O387),$O$2:$O$1001,0),0), INDEX($V$1004:$AE$1004,1,MATCH(COLUMNS($V$1006:AA1006),$V$1006:$AE$1006,0)))),"Fix")))</f>
        <v>0</v>
      </c>
      <c r="H387" s="4">
        <f>IF(OR(INDEX($P$2:$P$1001,MATCH(ROWS($O$2:O387),$O$2:$O$1001,0),1)&gt;=100000,INDEX($V$1005:$AE$1005,1,MATCH(COLUMNS($V$1006:AB1006),$V$1006:$AE$1006,0))&gt;=100000), " ",IF(INDEX($V$2:$AE$1001,MATCH(ROWS($O$2:O387),$O$2:$O$1001,0),MATCH(COLUMNS($V$1006:AB1006),$V$1006:$AE$1006,0)), HYPERLINK("#",""), HYPERLINK(CONCATENATE("#Metadata!", ADDRESS(INDEX($Q$2:$Q$1001,MATCH(ROWS($O$2:O387),$O$2:$O$1001,0),0), INDEX($V$1004:$AE$1004,1,MATCH(COLUMNS($V$1006:AB1006),$V$1006:$AE$1006,0)))),"Fix")))</f>
        <v>0</v>
      </c>
      <c r="I387" s="4">
        <f>IF(OR(INDEX($P$2:$P$1001,MATCH(ROWS($O$2:O387),$O$2:$O$1001,0),1)&gt;=100000,INDEX($V$1005:$AE$1005,1,MATCH(COLUMNS($V$1006:AC1006),$V$1006:$AE$1006,0))&gt;=100000), " ",IF(INDEX($V$2:$AE$1001,MATCH(ROWS($O$2:O387),$O$2:$O$1001,0),MATCH(COLUMNS($V$1006:AC1006),$V$1006:$AE$1006,0)), HYPERLINK("#",""), HYPERLINK(CONCATENATE("#Metadata!", ADDRESS(INDEX($Q$2:$Q$1001,MATCH(ROWS($O$2:O387),$O$2:$O$1001,0),0), INDEX($V$1004:$AE$1004,1,MATCH(COLUMNS($V$1006:AC1006),$V$1006:$AE$1006,0)))),"Fix")))</f>
        <v>0</v>
      </c>
      <c r="J387" s="4">
        <f>IF(OR(INDEX($P$2:$P$1001,MATCH(ROWS($O$2:O387),$O$2:$O$1001,0),1)&gt;=100000,INDEX($V$1005:$AE$1005,1,MATCH(COLUMNS($V$1006:AD1006),$V$1006:$AE$1006,0))&gt;=100000), " ",IF(INDEX($V$2:$AE$1001,MATCH(ROWS($O$2:O387),$O$2:$O$1001,0),MATCH(COLUMNS($V$1006:AD1006),$V$1006:$AE$1006,0)), HYPERLINK("#",""), HYPERLINK(CONCATENATE("#Metadata!", ADDRESS(INDEX($Q$2:$Q$1001,MATCH(ROWS($O$2:O387),$O$2:$O$1001,0),0), INDEX($V$1004:$AE$1004,1,MATCH(COLUMNS($V$1006:AD1006),$V$1006:$AE$1006,0)))),"Fix")))</f>
        <v>0</v>
      </c>
      <c r="K387" s="4">
        <f>IF(OR(INDEX($P$2:$P$1001,MATCH(ROWS($O$2:O387),$O$2:$O$1001,0),1)&gt;=100000,INDEX($V$1005:$AE$1005,1,MATCH(COLUMNS($V$1006:AE1006),$V$1006:$AE$1006,0))&gt;=100000), " ",IF(INDEX($V$2:$AE$1001,MATCH(ROWS($O$2:O387),$O$2:$O$1001,0),MATCH(COLUMNS($V$1006:AE1006),$V$1006:$AE$1006,0)), HYPERLINK("#",""), HYPERLINK(CONCATENATE("#Metadata!", ADDRESS(INDEX($Q$2:$Q$1001,MATCH(ROWS($O$2:O387),$O$2:$O$1001,0),0), INDEX($V$1004:$AE$1004,1,MATCH(COLUMNS($V$1006:AE1006),$V$1006:$AE$1006,0)))),"Fix")))</f>
        <v>0</v>
      </c>
      <c r="O387">
        <v>0</v>
      </c>
      <c r="P387">
        <v>0</v>
      </c>
      <c r="Q387">
        <v>0</v>
      </c>
      <c r="R387">
        <f>IF(S387,TRUE,AND(V387:AE387))</f>
        <v>0</v>
      </c>
      <c r="S387">
        <f>COUNTBLANK(Metadata!B387:K387)=COLUMNS(Metadata!B387:K387)</f>
        <v>0</v>
      </c>
      <c r="T387">
        <v>0</v>
      </c>
      <c r="V387">
        <f>AND(IF(Metadata!B387="",FALSE,TRUE),COUNTIF(Metadata!B:B, Metadata!B387) = 1,NOT(ISERROR(SUMPRODUCT(SEARCH(MID(Metadata!B387,ROW(INDIRECT("1:"&amp;LEN(Metadata!B387))), 1),"0123456789abcdefghijklmnopqrstuvwxyzABCDEFGHIJKLMNOPQRSTUVWXYZ.")))))</f>
        <v>0</v>
      </c>
      <c r="W387">
        <f>AND(IF(Metadata!C387="",FALSE,TRUE),exact(Metadata!C387,"urban biome"))</f>
        <v>0</v>
      </c>
      <c r="X387">
        <f>AND(IF(Metadata!D387="",FALSE,TRUE),exact(Metadata!D387,"animal-associated habitat"))</f>
        <v>0</v>
      </c>
      <c r="Y387">
        <f>OR(AND(IF(Metadata!E387="",FALSE,TRUE),OR(exact(Metadata!E387,"not applicable"),exact(Metadata!E387,"missing: not collected"),exact(Metadata!E387,"missing: not provided"),exact(Metadata!E387,"missing: restricted access"))),AND(IF(Metadata!E387="",FALSE,ISNUMBER(VALUE(Metadata!E387))),Metadata!E387&gt;0))</f>
        <v>0</v>
      </c>
      <c r="Z387">
        <f>AND(IF(Metadata!F387="",FALSE,TRUE),exact(Metadata!F387,"weeks"))</f>
        <v>0</v>
      </c>
      <c r="AA387">
        <f>AND(IF(Metadata!G387="",FALSE,TRUE),exact(Metadata!G387,"mouse"))</f>
        <v>0</v>
      </c>
      <c r="AB387">
        <f>AND(IF(Metadata!H387="",FALSE,TRUE),exact(Metadata!H387,"Mus musculus"))</f>
        <v>0</v>
      </c>
      <c r="AC387">
        <f>AND(IF(Metadata!I387="",FALSE,TRUE),exact(Metadata!I387,"10090"))</f>
        <v>0</v>
      </c>
      <c r="AD387">
        <f>OR(AND(IF(Metadata!J387="",FALSE,TRUE),OR(exact(Metadata!J387,"not applicable"),exact(Metadata!J387,"missing: not collected"),exact(Metadata!J387,"missing: not provided"),exact(Metadata!J387,"missing: restricted access"))),AND(IF(Metadata!J387="",FALSE,ISNUMBER(VALUE(Metadata!J387))),Metadata!J387&gt;0))</f>
        <v>0</v>
      </c>
      <c r="AE387">
        <f>AND(IF(Metadata!K387="",FALSE,TRUE),exact(Metadata!K387,"g"))</f>
        <v>0</v>
      </c>
    </row>
    <row r="388" spans="1:31">
      <c r="A388" s="5">
        <f>IF(B388=" "," ",HYPERLINK(CONCATENATE("#metadata!",ADDRESS(INDEX($Q$2:$Q$1001,MATCH(ROWS($O$2:O388),$O$2:$O$1001,0),0),1)),INDEX($T$2:$T$1001,MATCH(ROWS($O$2:O388),$O$2:$O$1001,0),0)))</f>
        <v>0</v>
      </c>
      <c r="B388" s="4">
        <f>IF(OR(INDEX($P$2:$P$1001,MATCH(ROWS($O$2:O388),$O$2:$O$1001,0),1)&gt;=100000,INDEX($V$1005:$AE$1005,1,MATCH(COLUMNS($V$1006:V1006),$V$1006:$AE$1006,0))&gt;=100000), " ",IF(INDEX($V$2:$AE$1001,MATCH(ROWS($O$2:O388),$O$2:$O$1001,0),MATCH(COLUMNS($V$1006:V1006),$V$1006:$AE$1006,0)), HYPERLINK("#",""), HYPERLINK(CONCATENATE("#Metadata!", ADDRESS(INDEX($Q$2:$Q$1001,MATCH(ROWS($O$2:O388),$O$2:$O$1001,0),0), INDEX($V$1004:$AE$1004,1,MATCH(COLUMNS($V$1006:V1006),$V$1006:$AE$1006,0)))),"Fix")))</f>
        <v>0</v>
      </c>
      <c r="C388" s="4">
        <f>IF(OR(INDEX($P$2:$P$1001,MATCH(ROWS($O$2:O388),$O$2:$O$1001,0),1)&gt;=100000,INDEX($V$1005:$AE$1005,1,MATCH(COLUMNS($V$1006:W1006),$V$1006:$AE$1006,0))&gt;=100000), " ",IF(INDEX($V$2:$AE$1001,MATCH(ROWS($O$2:O388),$O$2:$O$1001,0),MATCH(COLUMNS($V$1006:W1006),$V$1006:$AE$1006,0)), HYPERLINK("#",""), HYPERLINK(CONCATENATE("#Metadata!", ADDRESS(INDEX($Q$2:$Q$1001,MATCH(ROWS($O$2:O388),$O$2:$O$1001,0),0), INDEX($V$1004:$AE$1004,1,MATCH(COLUMNS($V$1006:W1006),$V$1006:$AE$1006,0)))),"Fix")))</f>
        <v>0</v>
      </c>
      <c r="D388" s="4">
        <f>IF(OR(INDEX($P$2:$P$1001,MATCH(ROWS($O$2:O388),$O$2:$O$1001,0),1)&gt;=100000,INDEX($V$1005:$AE$1005,1,MATCH(COLUMNS($V$1006:X1006),$V$1006:$AE$1006,0))&gt;=100000), " ",IF(INDEX($V$2:$AE$1001,MATCH(ROWS($O$2:O388),$O$2:$O$1001,0),MATCH(COLUMNS($V$1006:X1006),$V$1006:$AE$1006,0)), HYPERLINK("#",""), HYPERLINK(CONCATENATE("#Metadata!", ADDRESS(INDEX($Q$2:$Q$1001,MATCH(ROWS($O$2:O388),$O$2:$O$1001,0),0), INDEX($V$1004:$AE$1004,1,MATCH(COLUMNS($V$1006:X1006),$V$1006:$AE$1006,0)))),"Fix")))</f>
        <v>0</v>
      </c>
      <c r="E388" s="4">
        <f>IF(OR(INDEX($P$2:$P$1001,MATCH(ROWS($O$2:O388),$O$2:$O$1001,0),1)&gt;=100000,INDEX($V$1005:$AE$1005,1,MATCH(COLUMNS($V$1006:Y1006),$V$1006:$AE$1006,0))&gt;=100000), " ",IF(INDEX($V$2:$AE$1001,MATCH(ROWS($O$2:O388),$O$2:$O$1001,0),MATCH(COLUMNS($V$1006:Y1006),$V$1006:$AE$1006,0)), HYPERLINK("#",""), HYPERLINK(CONCATENATE("#Metadata!", ADDRESS(INDEX($Q$2:$Q$1001,MATCH(ROWS($O$2:O388),$O$2:$O$1001,0),0), INDEX($V$1004:$AE$1004,1,MATCH(COLUMNS($V$1006:Y1006),$V$1006:$AE$1006,0)))),"Fix")))</f>
        <v>0</v>
      </c>
      <c r="F388" s="4">
        <f>IF(OR(INDEX($P$2:$P$1001,MATCH(ROWS($O$2:O388),$O$2:$O$1001,0),1)&gt;=100000,INDEX($V$1005:$AE$1005,1,MATCH(COLUMNS($V$1006:Z1006),$V$1006:$AE$1006,0))&gt;=100000), " ",IF(INDEX($V$2:$AE$1001,MATCH(ROWS($O$2:O388),$O$2:$O$1001,0),MATCH(COLUMNS($V$1006:Z1006),$V$1006:$AE$1006,0)), HYPERLINK("#",""), HYPERLINK(CONCATENATE("#Metadata!", ADDRESS(INDEX($Q$2:$Q$1001,MATCH(ROWS($O$2:O388),$O$2:$O$1001,0),0), INDEX($V$1004:$AE$1004,1,MATCH(COLUMNS($V$1006:Z1006),$V$1006:$AE$1006,0)))),"Fix")))</f>
        <v>0</v>
      </c>
      <c r="G388" s="4">
        <f>IF(OR(INDEX($P$2:$P$1001,MATCH(ROWS($O$2:O388),$O$2:$O$1001,0),1)&gt;=100000,INDEX($V$1005:$AE$1005,1,MATCH(COLUMNS($V$1006:AA1006),$V$1006:$AE$1006,0))&gt;=100000), " ",IF(INDEX($V$2:$AE$1001,MATCH(ROWS($O$2:O388),$O$2:$O$1001,0),MATCH(COLUMNS($V$1006:AA1006),$V$1006:$AE$1006,0)), HYPERLINK("#",""), HYPERLINK(CONCATENATE("#Metadata!", ADDRESS(INDEX($Q$2:$Q$1001,MATCH(ROWS($O$2:O388),$O$2:$O$1001,0),0), INDEX($V$1004:$AE$1004,1,MATCH(COLUMNS($V$1006:AA1006),$V$1006:$AE$1006,0)))),"Fix")))</f>
        <v>0</v>
      </c>
      <c r="H388" s="4">
        <f>IF(OR(INDEX($P$2:$P$1001,MATCH(ROWS($O$2:O388),$O$2:$O$1001,0),1)&gt;=100000,INDEX($V$1005:$AE$1005,1,MATCH(COLUMNS($V$1006:AB1006),$V$1006:$AE$1006,0))&gt;=100000), " ",IF(INDEX($V$2:$AE$1001,MATCH(ROWS($O$2:O388),$O$2:$O$1001,0),MATCH(COLUMNS($V$1006:AB1006),$V$1006:$AE$1006,0)), HYPERLINK("#",""), HYPERLINK(CONCATENATE("#Metadata!", ADDRESS(INDEX($Q$2:$Q$1001,MATCH(ROWS($O$2:O388),$O$2:$O$1001,0),0), INDEX($V$1004:$AE$1004,1,MATCH(COLUMNS($V$1006:AB1006),$V$1006:$AE$1006,0)))),"Fix")))</f>
        <v>0</v>
      </c>
      <c r="I388" s="4">
        <f>IF(OR(INDEX($P$2:$P$1001,MATCH(ROWS($O$2:O388),$O$2:$O$1001,0),1)&gt;=100000,INDEX($V$1005:$AE$1005,1,MATCH(COLUMNS($V$1006:AC1006),$V$1006:$AE$1006,0))&gt;=100000), " ",IF(INDEX($V$2:$AE$1001,MATCH(ROWS($O$2:O388),$O$2:$O$1001,0),MATCH(COLUMNS($V$1006:AC1006),$V$1006:$AE$1006,0)), HYPERLINK("#",""), HYPERLINK(CONCATENATE("#Metadata!", ADDRESS(INDEX($Q$2:$Q$1001,MATCH(ROWS($O$2:O388),$O$2:$O$1001,0),0), INDEX($V$1004:$AE$1004,1,MATCH(COLUMNS($V$1006:AC1006),$V$1006:$AE$1006,0)))),"Fix")))</f>
        <v>0</v>
      </c>
      <c r="J388" s="4">
        <f>IF(OR(INDEX($P$2:$P$1001,MATCH(ROWS($O$2:O388),$O$2:$O$1001,0),1)&gt;=100000,INDEX($V$1005:$AE$1005,1,MATCH(COLUMNS($V$1006:AD1006),$V$1006:$AE$1006,0))&gt;=100000), " ",IF(INDEX($V$2:$AE$1001,MATCH(ROWS($O$2:O388),$O$2:$O$1001,0),MATCH(COLUMNS($V$1006:AD1006),$V$1006:$AE$1006,0)), HYPERLINK("#",""), HYPERLINK(CONCATENATE("#Metadata!", ADDRESS(INDEX($Q$2:$Q$1001,MATCH(ROWS($O$2:O388),$O$2:$O$1001,0),0), INDEX($V$1004:$AE$1004,1,MATCH(COLUMNS($V$1006:AD1006),$V$1006:$AE$1006,0)))),"Fix")))</f>
        <v>0</v>
      </c>
      <c r="K388" s="4">
        <f>IF(OR(INDEX($P$2:$P$1001,MATCH(ROWS($O$2:O388),$O$2:$O$1001,0),1)&gt;=100000,INDEX($V$1005:$AE$1005,1,MATCH(COLUMNS($V$1006:AE1006),$V$1006:$AE$1006,0))&gt;=100000), " ",IF(INDEX($V$2:$AE$1001,MATCH(ROWS($O$2:O388),$O$2:$O$1001,0),MATCH(COLUMNS($V$1006:AE1006),$V$1006:$AE$1006,0)), HYPERLINK("#",""), HYPERLINK(CONCATENATE("#Metadata!", ADDRESS(INDEX($Q$2:$Q$1001,MATCH(ROWS($O$2:O388),$O$2:$O$1001,0),0), INDEX($V$1004:$AE$1004,1,MATCH(COLUMNS($V$1006:AE1006),$V$1006:$AE$1006,0)))),"Fix")))</f>
        <v>0</v>
      </c>
      <c r="O388">
        <v>0</v>
      </c>
      <c r="P388">
        <v>0</v>
      </c>
      <c r="Q388">
        <v>0</v>
      </c>
      <c r="R388">
        <f>IF(S388,TRUE,AND(V388:AE388))</f>
        <v>0</v>
      </c>
      <c r="S388">
        <f>COUNTBLANK(Metadata!B388:K388)=COLUMNS(Metadata!B388:K388)</f>
        <v>0</v>
      </c>
      <c r="T388">
        <v>0</v>
      </c>
      <c r="V388">
        <f>AND(IF(Metadata!B388="",FALSE,TRUE),COUNTIF(Metadata!B:B, Metadata!B388) = 1,NOT(ISERROR(SUMPRODUCT(SEARCH(MID(Metadata!B388,ROW(INDIRECT("1:"&amp;LEN(Metadata!B388))), 1),"0123456789abcdefghijklmnopqrstuvwxyzABCDEFGHIJKLMNOPQRSTUVWXYZ.")))))</f>
        <v>0</v>
      </c>
      <c r="W388">
        <f>AND(IF(Metadata!C388="",FALSE,TRUE),exact(Metadata!C388,"urban biome"))</f>
        <v>0</v>
      </c>
      <c r="X388">
        <f>AND(IF(Metadata!D388="",FALSE,TRUE),exact(Metadata!D388,"animal-associated habitat"))</f>
        <v>0</v>
      </c>
      <c r="Y388">
        <f>OR(AND(IF(Metadata!E388="",FALSE,TRUE),OR(exact(Metadata!E388,"not applicable"),exact(Metadata!E388,"missing: not collected"),exact(Metadata!E388,"missing: not provided"),exact(Metadata!E388,"missing: restricted access"))),AND(IF(Metadata!E388="",FALSE,ISNUMBER(VALUE(Metadata!E388))),Metadata!E388&gt;0))</f>
        <v>0</v>
      </c>
      <c r="Z388">
        <f>AND(IF(Metadata!F388="",FALSE,TRUE),exact(Metadata!F388,"weeks"))</f>
        <v>0</v>
      </c>
      <c r="AA388">
        <f>AND(IF(Metadata!G388="",FALSE,TRUE),exact(Metadata!G388,"mouse"))</f>
        <v>0</v>
      </c>
      <c r="AB388">
        <f>AND(IF(Metadata!H388="",FALSE,TRUE),exact(Metadata!H388,"Mus musculus"))</f>
        <v>0</v>
      </c>
      <c r="AC388">
        <f>AND(IF(Metadata!I388="",FALSE,TRUE),exact(Metadata!I388,"10090"))</f>
        <v>0</v>
      </c>
      <c r="AD388">
        <f>OR(AND(IF(Metadata!J388="",FALSE,TRUE),OR(exact(Metadata!J388,"not applicable"),exact(Metadata!J388,"missing: not collected"),exact(Metadata!J388,"missing: not provided"),exact(Metadata!J388,"missing: restricted access"))),AND(IF(Metadata!J388="",FALSE,ISNUMBER(VALUE(Metadata!J388))),Metadata!J388&gt;0))</f>
        <v>0</v>
      </c>
      <c r="AE388">
        <f>AND(IF(Metadata!K388="",FALSE,TRUE),exact(Metadata!K388,"g"))</f>
        <v>0</v>
      </c>
    </row>
    <row r="389" spans="1:31">
      <c r="A389" s="5">
        <f>IF(B389=" "," ",HYPERLINK(CONCATENATE("#metadata!",ADDRESS(INDEX($Q$2:$Q$1001,MATCH(ROWS($O$2:O389),$O$2:$O$1001,0),0),1)),INDEX($T$2:$T$1001,MATCH(ROWS($O$2:O389),$O$2:$O$1001,0),0)))</f>
        <v>0</v>
      </c>
      <c r="B389" s="4">
        <f>IF(OR(INDEX($P$2:$P$1001,MATCH(ROWS($O$2:O389),$O$2:$O$1001,0),1)&gt;=100000,INDEX($V$1005:$AE$1005,1,MATCH(COLUMNS($V$1006:V1006),$V$1006:$AE$1006,0))&gt;=100000), " ",IF(INDEX($V$2:$AE$1001,MATCH(ROWS($O$2:O389),$O$2:$O$1001,0),MATCH(COLUMNS($V$1006:V1006),$V$1006:$AE$1006,0)), HYPERLINK("#",""), HYPERLINK(CONCATENATE("#Metadata!", ADDRESS(INDEX($Q$2:$Q$1001,MATCH(ROWS($O$2:O389),$O$2:$O$1001,0),0), INDEX($V$1004:$AE$1004,1,MATCH(COLUMNS($V$1006:V1006),$V$1006:$AE$1006,0)))),"Fix")))</f>
        <v>0</v>
      </c>
      <c r="C389" s="4">
        <f>IF(OR(INDEX($P$2:$P$1001,MATCH(ROWS($O$2:O389),$O$2:$O$1001,0),1)&gt;=100000,INDEX($V$1005:$AE$1005,1,MATCH(COLUMNS($V$1006:W1006),$V$1006:$AE$1006,0))&gt;=100000), " ",IF(INDEX($V$2:$AE$1001,MATCH(ROWS($O$2:O389),$O$2:$O$1001,0),MATCH(COLUMNS($V$1006:W1006),$V$1006:$AE$1006,0)), HYPERLINK("#",""), HYPERLINK(CONCATENATE("#Metadata!", ADDRESS(INDEX($Q$2:$Q$1001,MATCH(ROWS($O$2:O389),$O$2:$O$1001,0),0), INDEX($V$1004:$AE$1004,1,MATCH(COLUMNS($V$1006:W1006),$V$1006:$AE$1006,0)))),"Fix")))</f>
        <v>0</v>
      </c>
      <c r="D389" s="4">
        <f>IF(OR(INDEX($P$2:$P$1001,MATCH(ROWS($O$2:O389),$O$2:$O$1001,0),1)&gt;=100000,INDEX($V$1005:$AE$1005,1,MATCH(COLUMNS($V$1006:X1006),$V$1006:$AE$1006,0))&gt;=100000), " ",IF(INDEX($V$2:$AE$1001,MATCH(ROWS($O$2:O389),$O$2:$O$1001,0),MATCH(COLUMNS($V$1006:X1006),$V$1006:$AE$1006,0)), HYPERLINK("#",""), HYPERLINK(CONCATENATE("#Metadata!", ADDRESS(INDEX($Q$2:$Q$1001,MATCH(ROWS($O$2:O389),$O$2:$O$1001,0),0), INDEX($V$1004:$AE$1004,1,MATCH(COLUMNS($V$1006:X1006),$V$1006:$AE$1006,0)))),"Fix")))</f>
        <v>0</v>
      </c>
      <c r="E389" s="4">
        <f>IF(OR(INDEX($P$2:$P$1001,MATCH(ROWS($O$2:O389),$O$2:$O$1001,0),1)&gt;=100000,INDEX($V$1005:$AE$1005,1,MATCH(COLUMNS($V$1006:Y1006),$V$1006:$AE$1006,0))&gt;=100000), " ",IF(INDEX($V$2:$AE$1001,MATCH(ROWS($O$2:O389),$O$2:$O$1001,0),MATCH(COLUMNS($V$1006:Y1006),$V$1006:$AE$1006,0)), HYPERLINK("#",""), HYPERLINK(CONCATENATE("#Metadata!", ADDRESS(INDEX($Q$2:$Q$1001,MATCH(ROWS($O$2:O389),$O$2:$O$1001,0),0), INDEX($V$1004:$AE$1004,1,MATCH(COLUMNS($V$1006:Y1006),$V$1006:$AE$1006,0)))),"Fix")))</f>
        <v>0</v>
      </c>
      <c r="F389" s="4">
        <f>IF(OR(INDEX($P$2:$P$1001,MATCH(ROWS($O$2:O389),$O$2:$O$1001,0),1)&gt;=100000,INDEX($V$1005:$AE$1005,1,MATCH(COLUMNS($V$1006:Z1006),$V$1006:$AE$1006,0))&gt;=100000), " ",IF(INDEX($V$2:$AE$1001,MATCH(ROWS($O$2:O389),$O$2:$O$1001,0),MATCH(COLUMNS($V$1006:Z1006),$V$1006:$AE$1006,0)), HYPERLINK("#",""), HYPERLINK(CONCATENATE("#Metadata!", ADDRESS(INDEX($Q$2:$Q$1001,MATCH(ROWS($O$2:O389),$O$2:$O$1001,0),0), INDEX($V$1004:$AE$1004,1,MATCH(COLUMNS($V$1006:Z1006),$V$1006:$AE$1006,0)))),"Fix")))</f>
        <v>0</v>
      </c>
      <c r="G389" s="4">
        <f>IF(OR(INDEX($P$2:$P$1001,MATCH(ROWS($O$2:O389),$O$2:$O$1001,0),1)&gt;=100000,INDEX($V$1005:$AE$1005,1,MATCH(COLUMNS($V$1006:AA1006),$V$1006:$AE$1006,0))&gt;=100000), " ",IF(INDEX($V$2:$AE$1001,MATCH(ROWS($O$2:O389),$O$2:$O$1001,0),MATCH(COLUMNS($V$1006:AA1006),$V$1006:$AE$1006,0)), HYPERLINK("#",""), HYPERLINK(CONCATENATE("#Metadata!", ADDRESS(INDEX($Q$2:$Q$1001,MATCH(ROWS($O$2:O389),$O$2:$O$1001,0),0), INDEX($V$1004:$AE$1004,1,MATCH(COLUMNS($V$1006:AA1006),$V$1006:$AE$1006,0)))),"Fix")))</f>
        <v>0</v>
      </c>
      <c r="H389" s="4">
        <f>IF(OR(INDEX($P$2:$P$1001,MATCH(ROWS($O$2:O389),$O$2:$O$1001,0),1)&gt;=100000,INDEX($V$1005:$AE$1005,1,MATCH(COLUMNS($V$1006:AB1006),$V$1006:$AE$1006,0))&gt;=100000), " ",IF(INDEX($V$2:$AE$1001,MATCH(ROWS($O$2:O389),$O$2:$O$1001,0),MATCH(COLUMNS($V$1006:AB1006),$V$1006:$AE$1006,0)), HYPERLINK("#",""), HYPERLINK(CONCATENATE("#Metadata!", ADDRESS(INDEX($Q$2:$Q$1001,MATCH(ROWS($O$2:O389),$O$2:$O$1001,0),0), INDEX($V$1004:$AE$1004,1,MATCH(COLUMNS($V$1006:AB1006),$V$1006:$AE$1006,0)))),"Fix")))</f>
        <v>0</v>
      </c>
      <c r="I389" s="4">
        <f>IF(OR(INDEX($P$2:$P$1001,MATCH(ROWS($O$2:O389),$O$2:$O$1001,0),1)&gt;=100000,INDEX($V$1005:$AE$1005,1,MATCH(COLUMNS($V$1006:AC1006),$V$1006:$AE$1006,0))&gt;=100000), " ",IF(INDEX($V$2:$AE$1001,MATCH(ROWS($O$2:O389),$O$2:$O$1001,0),MATCH(COLUMNS($V$1006:AC1006),$V$1006:$AE$1006,0)), HYPERLINK("#",""), HYPERLINK(CONCATENATE("#Metadata!", ADDRESS(INDEX($Q$2:$Q$1001,MATCH(ROWS($O$2:O389),$O$2:$O$1001,0),0), INDEX($V$1004:$AE$1004,1,MATCH(COLUMNS($V$1006:AC1006),$V$1006:$AE$1006,0)))),"Fix")))</f>
        <v>0</v>
      </c>
      <c r="J389" s="4">
        <f>IF(OR(INDEX($P$2:$P$1001,MATCH(ROWS($O$2:O389),$O$2:$O$1001,0),1)&gt;=100000,INDEX($V$1005:$AE$1005,1,MATCH(COLUMNS($V$1006:AD1006),$V$1006:$AE$1006,0))&gt;=100000), " ",IF(INDEX($V$2:$AE$1001,MATCH(ROWS($O$2:O389),$O$2:$O$1001,0),MATCH(COLUMNS($V$1006:AD1006),$V$1006:$AE$1006,0)), HYPERLINK("#",""), HYPERLINK(CONCATENATE("#Metadata!", ADDRESS(INDEX($Q$2:$Q$1001,MATCH(ROWS($O$2:O389),$O$2:$O$1001,0),0), INDEX($V$1004:$AE$1004,1,MATCH(COLUMNS($V$1006:AD1006),$V$1006:$AE$1006,0)))),"Fix")))</f>
        <v>0</v>
      </c>
      <c r="K389" s="4">
        <f>IF(OR(INDEX($P$2:$P$1001,MATCH(ROWS($O$2:O389),$O$2:$O$1001,0),1)&gt;=100000,INDEX($V$1005:$AE$1005,1,MATCH(COLUMNS($V$1006:AE1006),$V$1006:$AE$1006,0))&gt;=100000), " ",IF(INDEX($V$2:$AE$1001,MATCH(ROWS($O$2:O389),$O$2:$O$1001,0),MATCH(COLUMNS($V$1006:AE1006),$V$1006:$AE$1006,0)), HYPERLINK("#",""), HYPERLINK(CONCATENATE("#Metadata!", ADDRESS(INDEX($Q$2:$Q$1001,MATCH(ROWS($O$2:O389),$O$2:$O$1001,0),0), INDEX($V$1004:$AE$1004,1,MATCH(COLUMNS($V$1006:AE1006),$V$1006:$AE$1006,0)))),"Fix")))</f>
        <v>0</v>
      </c>
      <c r="O389">
        <v>0</v>
      </c>
      <c r="P389">
        <v>0</v>
      </c>
      <c r="Q389">
        <v>0</v>
      </c>
      <c r="R389">
        <f>IF(S389,TRUE,AND(V389:AE389))</f>
        <v>0</v>
      </c>
      <c r="S389">
        <f>COUNTBLANK(Metadata!B389:K389)=COLUMNS(Metadata!B389:K389)</f>
        <v>0</v>
      </c>
      <c r="T389">
        <v>0</v>
      </c>
      <c r="V389">
        <f>AND(IF(Metadata!B389="",FALSE,TRUE),COUNTIF(Metadata!B:B, Metadata!B389) = 1,NOT(ISERROR(SUMPRODUCT(SEARCH(MID(Metadata!B389,ROW(INDIRECT("1:"&amp;LEN(Metadata!B389))), 1),"0123456789abcdefghijklmnopqrstuvwxyzABCDEFGHIJKLMNOPQRSTUVWXYZ.")))))</f>
        <v>0</v>
      </c>
      <c r="W389">
        <f>AND(IF(Metadata!C389="",FALSE,TRUE),exact(Metadata!C389,"urban biome"))</f>
        <v>0</v>
      </c>
      <c r="X389">
        <f>AND(IF(Metadata!D389="",FALSE,TRUE),exact(Metadata!D389,"animal-associated habitat"))</f>
        <v>0</v>
      </c>
      <c r="Y389">
        <f>OR(AND(IF(Metadata!E389="",FALSE,TRUE),OR(exact(Metadata!E389,"not applicable"),exact(Metadata!E389,"missing: not collected"),exact(Metadata!E389,"missing: not provided"),exact(Metadata!E389,"missing: restricted access"))),AND(IF(Metadata!E389="",FALSE,ISNUMBER(VALUE(Metadata!E389))),Metadata!E389&gt;0))</f>
        <v>0</v>
      </c>
      <c r="Z389">
        <f>AND(IF(Metadata!F389="",FALSE,TRUE),exact(Metadata!F389,"weeks"))</f>
        <v>0</v>
      </c>
      <c r="AA389">
        <f>AND(IF(Metadata!G389="",FALSE,TRUE),exact(Metadata!G389,"mouse"))</f>
        <v>0</v>
      </c>
      <c r="AB389">
        <f>AND(IF(Metadata!H389="",FALSE,TRUE),exact(Metadata!H389,"Mus musculus"))</f>
        <v>0</v>
      </c>
      <c r="AC389">
        <f>AND(IF(Metadata!I389="",FALSE,TRUE),exact(Metadata!I389,"10090"))</f>
        <v>0</v>
      </c>
      <c r="AD389">
        <f>OR(AND(IF(Metadata!J389="",FALSE,TRUE),OR(exact(Metadata!J389,"not applicable"),exact(Metadata!J389,"missing: not collected"),exact(Metadata!J389,"missing: not provided"),exact(Metadata!J389,"missing: restricted access"))),AND(IF(Metadata!J389="",FALSE,ISNUMBER(VALUE(Metadata!J389))),Metadata!J389&gt;0))</f>
        <v>0</v>
      </c>
      <c r="AE389">
        <f>AND(IF(Metadata!K389="",FALSE,TRUE),exact(Metadata!K389,"g"))</f>
        <v>0</v>
      </c>
    </row>
    <row r="390" spans="1:31">
      <c r="A390" s="5">
        <f>IF(B390=" "," ",HYPERLINK(CONCATENATE("#metadata!",ADDRESS(INDEX($Q$2:$Q$1001,MATCH(ROWS($O$2:O390),$O$2:$O$1001,0),0),1)),INDEX($T$2:$T$1001,MATCH(ROWS($O$2:O390),$O$2:$O$1001,0),0)))</f>
        <v>0</v>
      </c>
      <c r="B390" s="4">
        <f>IF(OR(INDEX($P$2:$P$1001,MATCH(ROWS($O$2:O390),$O$2:$O$1001,0),1)&gt;=100000,INDEX($V$1005:$AE$1005,1,MATCH(COLUMNS($V$1006:V1006),$V$1006:$AE$1006,0))&gt;=100000), " ",IF(INDEX($V$2:$AE$1001,MATCH(ROWS($O$2:O390),$O$2:$O$1001,0),MATCH(COLUMNS($V$1006:V1006),$V$1006:$AE$1006,0)), HYPERLINK("#",""), HYPERLINK(CONCATENATE("#Metadata!", ADDRESS(INDEX($Q$2:$Q$1001,MATCH(ROWS($O$2:O390),$O$2:$O$1001,0),0), INDEX($V$1004:$AE$1004,1,MATCH(COLUMNS($V$1006:V1006),$V$1006:$AE$1006,0)))),"Fix")))</f>
        <v>0</v>
      </c>
      <c r="C390" s="4">
        <f>IF(OR(INDEX($P$2:$P$1001,MATCH(ROWS($O$2:O390),$O$2:$O$1001,0),1)&gt;=100000,INDEX($V$1005:$AE$1005,1,MATCH(COLUMNS($V$1006:W1006),$V$1006:$AE$1006,0))&gt;=100000), " ",IF(INDEX($V$2:$AE$1001,MATCH(ROWS($O$2:O390),$O$2:$O$1001,0),MATCH(COLUMNS($V$1006:W1006),$V$1006:$AE$1006,0)), HYPERLINK("#",""), HYPERLINK(CONCATENATE("#Metadata!", ADDRESS(INDEX($Q$2:$Q$1001,MATCH(ROWS($O$2:O390),$O$2:$O$1001,0),0), INDEX($V$1004:$AE$1004,1,MATCH(COLUMNS($V$1006:W1006),$V$1006:$AE$1006,0)))),"Fix")))</f>
        <v>0</v>
      </c>
      <c r="D390" s="4">
        <f>IF(OR(INDEX($P$2:$P$1001,MATCH(ROWS($O$2:O390),$O$2:$O$1001,0),1)&gt;=100000,INDEX($V$1005:$AE$1005,1,MATCH(COLUMNS($V$1006:X1006),$V$1006:$AE$1006,0))&gt;=100000), " ",IF(INDEX($V$2:$AE$1001,MATCH(ROWS($O$2:O390),$O$2:$O$1001,0),MATCH(COLUMNS($V$1006:X1006),$V$1006:$AE$1006,0)), HYPERLINK("#",""), HYPERLINK(CONCATENATE("#Metadata!", ADDRESS(INDEX($Q$2:$Q$1001,MATCH(ROWS($O$2:O390),$O$2:$O$1001,0),0), INDEX($V$1004:$AE$1004,1,MATCH(COLUMNS($V$1006:X1006),$V$1006:$AE$1006,0)))),"Fix")))</f>
        <v>0</v>
      </c>
      <c r="E390" s="4">
        <f>IF(OR(INDEX($P$2:$P$1001,MATCH(ROWS($O$2:O390),$O$2:$O$1001,0),1)&gt;=100000,INDEX($V$1005:$AE$1005,1,MATCH(COLUMNS($V$1006:Y1006),$V$1006:$AE$1006,0))&gt;=100000), " ",IF(INDEX($V$2:$AE$1001,MATCH(ROWS($O$2:O390),$O$2:$O$1001,0),MATCH(COLUMNS($V$1006:Y1006),$V$1006:$AE$1006,0)), HYPERLINK("#",""), HYPERLINK(CONCATENATE("#Metadata!", ADDRESS(INDEX($Q$2:$Q$1001,MATCH(ROWS($O$2:O390),$O$2:$O$1001,0),0), INDEX($V$1004:$AE$1004,1,MATCH(COLUMNS($V$1006:Y1006),$V$1006:$AE$1006,0)))),"Fix")))</f>
        <v>0</v>
      </c>
      <c r="F390" s="4">
        <f>IF(OR(INDEX($P$2:$P$1001,MATCH(ROWS($O$2:O390),$O$2:$O$1001,0),1)&gt;=100000,INDEX($V$1005:$AE$1005,1,MATCH(COLUMNS($V$1006:Z1006),$V$1006:$AE$1006,0))&gt;=100000), " ",IF(INDEX($V$2:$AE$1001,MATCH(ROWS($O$2:O390),$O$2:$O$1001,0),MATCH(COLUMNS($V$1006:Z1006),$V$1006:$AE$1006,0)), HYPERLINK("#",""), HYPERLINK(CONCATENATE("#Metadata!", ADDRESS(INDEX($Q$2:$Q$1001,MATCH(ROWS($O$2:O390),$O$2:$O$1001,0),0), INDEX($V$1004:$AE$1004,1,MATCH(COLUMNS($V$1006:Z1006),$V$1006:$AE$1006,0)))),"Fix")))</f>
        <v>0</v>
      </c>
      <c r="G390" s="4">
        <f>IF(OR(INDEX($P$2:$P$1001,MATCH(ROWS($O$2:O390),$O$2:$O$1001,0),1)&gt;=100000,INDEX($V$1005:$AE$1005,1,MATCH(COLUMNS($V$1006:AA1006),$V$1006:$AE$1006,0))&gt;=100000), " ",IF(INDEX($V$2:$AE$1001,MATCH(ROWS($O$2:O390),$O$2:$O$1001,0),MATCH(COLUMNS($V$1006:AA1006),$V$1006:$AE$1006,0)), HYPERLINK("#",""), HYPERLINK(CONCATENATE("#Metadata!", ADDRESS(INDEX($Q$2:$Q$1001,MATCH(ROWS($O$2:O390),$O$2:$O$1001,0),0), INDEX($V$1004:$AE$1004,1,MATCH(COLUMNS($V$1006:AA1006),$V$1006:$AE$1006,0)))),"Fix")))</f>
        <v>0</v>
      </c>
      <c r="H390" s="4">
        <f>IF(OR(INDEX($P$2:$P$1001,MATCH(ROWS($O$2:O390),$O$2:$O$1001,0),1)&gt;=100000,INDEX($V$1005:$AE$1005,1,MATCH(COLUMNS($V$1006:AB1006),$V$1006:$AE$1006,0))&gt;=100000), " ",IF(INDEX($V$2:$AE$1001,MATCH(ROWS($O$2:O390),$O$2:$O$1001,0),MATCH(COLUMNS($V$1006:AB1006),$V$1006:$AE$1006,0)), HYPERLINK("#",""), HYPERLINK(CONCATENATE("#Metadata!", ADDRESS(INDEX($Q$2:$Q$1001,MATCH(ROWS($O$2:O390),$O$2:$O$1001,0),0), INDEX($V$1004:$AE$1004,1,MATCH(COLUMNS($V$1006:AB1006),$V$1006:$AE$1006,0)))),"Fix")))</f>
        <v>0</v>
      </c>
      <c r="I390" s="4">
        <f>IF(OR(INDEX($P$2:$P$1001,MATCH(ROWS($O$2:O390),$O$2:$O$1001,0),1)&gt;=100000,INDEX($V$1005:$AE$1005,1,MATCH(COLUMNS($V$1006:AC1006),$V$1006:$AE$1006,0))&gt;=100000), " ",IF(INDEX($V$2:$AE$1001,MATCH(ROWS($O$2:O390),$O$2:$O$1001,0),MATCH(COLUMNS($V$1006:AC1006),$V$1006:$AE$1006,0)), HYPERLINK("#",""), HYPERLINK(CONCATENATE("#Metadata!", ADDRESS(INDEX($Q$2:$Q$1001,MATCH(ROWS($O$2:O390),$O$2:$O$1001,0),0), INDEX($V$1004:$AE$1004,1,MATCH(COLUMNS($V$1006:AC1006),$V$1006:$AE$1006,0)))),"Fix")))</f>
        <v>0</v>
      </c>
      <c r="J390" s="4">
        <f>IF(OR(INDEX($P$2:$P$1001,MATCH(ROWS($O$2:O390),$O$2:$O$1001,0),1)&gt;=100000,INDEX($V$1005:$AE$1005,1,MATCH(COLUMNS($V$1006:AD1006),$V$1006:$AE$1006,0))&gt;=100000), " ",IF(INDEX($V$2:$AE$1001,MATCH(ROWS($O$2:O390),$O$2:$O$1001,0),MATCH(COLUMNS($V$1006:AD1006),$V$1006:$AE$1006,0)), HYPERLINK("#",""), HYPERLINK(CONCATENATE("#Metadata!", ADDRESS(INDEX($Q$2:$Q$1001,MATCH(ROWS($O$2:O390),$O$2:$O$1001,0),0), INDEX($V$1004:$AE$1004,1,MATCH(COLUMNS($V$1006:AD1006),$V$1006:$AE$1006,0)))),"Fix")))</f>
        <v>0</v>
      </c>
      <c r="K390" s="4">
        <f>IF(OR(INDEX($P$2:$P$1001,MATCH(ROWS($O$2:O390),$O$2:$O$1001,0),1)&gt;=100000,INDEX($V$1005:$AE$1005,1,MATCH(COLUMNS($V$1006:AE1006),$V$1006:$AE$1006,0))&gt;=100000), " ",IF(INDEX($V$2:$AE$1001,MATCH(ROWS($O$2:O390),$O$2:$O$1001,0),MATCH(COLUMNS($V$1006:AE1006),$V$1006:$AE$1006,0)), HYPERLINK("#",""), HYPERLINK(CONCATENATE("#Metadata!", ADDRESS(INDEX($Q$2:$Q$1001,MATCH(ROWS($O$2:O390),$O$2:$O$1001,0),0), INDEX($V$1004:$AE$1004,1,MATCH(COLUMNS($V$1006:AE1006),$V$1006:$AE$1006,0)))),"Fix")))</f>
        <v>0</v>
      </c>
      <c r="O390">
        <v>0</v>
      </c>
      <c r="P390">
        <v>0</v>
      </c>
      <c r="Q390">
        <v>0</v>
      </c>
      <c r="R390">
        <f>IF(S390,TRUE,AND(V390:AE390))</f>
        <v>0</v>
      </c>
      <c r="S390">
        <f>COUNTBLANK(Metadata!B390:K390)=COLUMNS(Metadata!B390:K390)</f>
        <v>0</v>
      </c>
      <c r="T390">
        <v>0</v>
      </c>
      <c r="V390">
        <f>AND(IF(Metadata!B390="",FALSE,TRUE),COUNTIF(Metadata!B:B, Metadata!B390) = 1,NOT(ISERROR(SUMPRODUCT(SEARCH(MID(Metadata!B390,ROW(INDIRECT("1:"&amp;LEN(Metadata!B390))), 1),"0123456789abcdefghijklmnopqrstuvwxyzABCDEFGHIJKLMNOPQRSTUVWXYZ.")))))</f>
        <v>0</v>
      </c>
      <c r="W390">
        <f>AND(IF(Metadata!C390="",FALSE,TRUE),exact(Metadata!C390,"urban biome"))</f>
        <v>0</v>
      </c>
      <c r="X390">
        <f>AND(IF(Metadata!D390="",FALSE,TRUE),exact(Metadata!D390,"animal-associated habitat"))</f>
        <v>0</v>
      </c>
      <c r="Y390">
        <f>OR(AND(IF(Metadata!E390="",FALSE,TRUE),OR(exact(Metadata!E390,"not applicable"),exact(Metadata!E390,"missing: not collected"),exact(Metadata!E390,"missing: not provided"),exact(Metadata!E390,"missing: restricted access"))),AND(IF(Metadata!E390="",FALSE,ISNUMBER(VALUE(Metadata!E390))),Metadata!E390&gt;0))</f>
        <v>0</v>
      </c>
      <c r="Z390">
        <f>AND(IF(Metadata!F390="",FALSE,TRUE),exact(Metadata!F390,"weeks"))</f>
        <v>0</v>
      </c>
      <c r="AA390">
        <f>AND(IF(Metadata!G390="",FALSE,TRUE),exact(Metadata!G390,"mouse"))</f>
        <v>0</v>
      </c>
      <c r="AB390">
        <f>AND(IF(Metadata!H390="",FALSE,TRUE),exact(Metadata!H390,"Mus musculus"))</f>
        <v>0</v>
      </c>
      <c r="AC390">
        <f>AND(IF(Metadata!I390="",FALSE,TRUE),exact(Metadata!I390,"10090"))</f>
        <v>0</v>
      </c>
      <c r="AD390">
        <f>OR(AND(IF(Metadata!J390="",FALSE,TRUE),OR(exact(Metadata!J390,"not applicable"),exact(Metadata!J390,"missing: not collected"),exact(Metadata!J390,"missing: not provided"),exact(Metadata!J390,"missing: restricted access"))),AND(IF(Metadata!J390="",FALSE,ISNUMBER(VALUE(Metadata!J390))),Metadata!J390&gt;0))</f>
        <v>0</v>
      </c>
      <c r="AE390">
        <f>AND(IF(Metadata!K390="",FALSE,TRUE),exact(Metadata!K390,"g"))</f>
        <v>0</v>
      </c>
    </row>
    <row r="391" spans="1:31">
      <c r="A391" s="5">
        <f>IF(B391=" "," ",HYPERLINK(CONCATENATE("#metadata!",ADDRESS(INDEX($Q$2:$Q$1001,MATCH(ROWS($O$2:O391),$O$2:$O$1001,0),0),1)),INDEX($T$2:$T$1001,MATCH(ROWS($O$2:O391),$O$2:$O$1001,0),0)))</f>
        <v>0</v>
      </c>
      <c r="B391" s="4">
        <f>IF(OR(INDEX($P$2:$P$1001,MATCH(ROWS($O$2:O391),$O$2:$O$1001,0),1)&gt;=100000,INDEX($V$1005:$AE$1005,1,MATCH(COLUMNS($V$1006:V1006),$V$1006:$AE$1006,0))&gt;=100000), " ",IF(INDEX($V$2:$AE$1001,MATCH(ROWS($O$2:O391),$O$2:$O$1001,0),MATCH(COLUMNS($V$1006:V1006),$V$1006:$AE$1006,0)), HYPERLINK("#",""), HYPERLINK(CONCATENATE("#Metadata!", ADDRESS(INDEX($Q$2:$Q$1001,MATCH(ROWS($O$2:O391),$O$2:$O$1001,0),0), INDEX($V$1004:$AE$1004,1,MATCH(COLUMNS($V$1006:V1006),$V$1006:$AE$1006,0)))),"Fix")))</f>
        <v>0</v>
      </c>
      <c r="C391" s="4">
        <f>IF(OR(INDEX($P$2:$P$1001,MATCH(ROWS($O$2:O391),$O$2:$O$1001,0),1)&gt;=100000,INDEX($V$1005:$AE$1005,1,MATCH(COLUMNS($V$1006:W1006),$V$1006:$AE$1006,0))&gt;=100000), " ",IF(INDEX($V$2:$AE$1001,MATCH(ROWS($O$2:O391),$O$2:$O$1001,0),MATCH(COLUMNS($V$1006:W1006),$V$1006:$AE$1006,0)), HYPERLINK("#",""), HYPERLINK(CONCATENATE("#Metadata!", ADDRESS(INDEX($Q$2:$Q$1001,MATCH(ROWS($O$2:O391),$O$2:$O$1001,0),0), INDEX($V$1004:$AE$1004,1,MATCH(COLUMNS($V$1006:W1006),$V$1006:$AE$1006,0)))),"Fix")))</f>
        <v>0</v>
      </c>
      <c r="D391" s="4">
        <f>IF(OR(INDEX($P$2:$P$1001,MATCH(ROWS($O$2:O391),$O$2:$O$1001,0),1)&gt;=100000,INDEX($V$1005:$AE$1005,1,MATCH(COLUMNS($V$1006:X1006),$V$1006:$AE$1006,0))&gt;=100000), " ",IF(INDEX($V$2:$AE$1001,MATCH(ROWS($O$2:O391),$O$2:$O$1001,0),MATCH(COLUMNS($V$1006:X1006),$V$1006:$AE$1006,0)), HYPERLINK("#",""), HYPERLINK(CONCATENATE("#Metadata!", ADDRESS(INDEX($Q$2:$Q$1001,MATCH(ROWS($O$2:O391),$O$2:$O$1001,0),0), INDEX($V$1004:$AE$1004,1,MATCH(COLUMNS($V$1006:X1006),$V$1006:$AE$1006,0)))),"Fix")))</f>
        <v>0</v>
      </c>
      <c r="E391" s="4">
        <f>IF(OR(INDEX($P$2:$P$1001,MATCH(ROWS($O$2:O391),$O$2:$O$1001,0),1)&gt;=100000,INDEX($V$1005:$AE$1005,1,MATCH(COLUMNS($V$1006:Y1006),$V$1006:$AE$1006,0))&gt;=100000), " ",IF(INDEX($V$2:$AE$1001,MATCH(ROWS($O$2:O391),$O$2:$O$1001,0),MATCH(COLUMNS($V$1006:Y1006),$V$1006:$AE$1006,0)), HYPERLINK("#",""), HYPERLINK(CONCATENATE("#Metadata!", ADDRESS(INDEX($Q$2:$Q$1001,MATCH(ROWS($O$2:O391),$O$2:$O$1001,0),0), INDEX($V$1004:$AE$1004,1,MATCH(COLUMNS($V$1006:Y1006),$V$1006:$AE$1006,0)))),"Fix")))</f>
        <v>0</v>
      </c>
      <c r="F391" s="4">
        <f>IF(OR(INDEX($P$2:$P$1001,MATCH(ROWS($O$2:O391),$O$2:$O$1001,0),1)&gt;=100000,INDEX($V$1005:$AE$1005,1,MATCH(COLUMNS($V$1006:Z1006),$V$1006:$AE$1006,0))&gt;=100000), " ",IF(INDEX($V$2:$AE$1001,MATCH(ROWS($O$2:O391),$O$2:$O$1001,0),MATCH(COLUMNS($V$1006:Z1006),$V$1006:$AE$1006,0)), HYPERLINK("#",""), HYPERLINK(CONCATENATE("#Metadata!", ADDRESS(INDEX($Q$2:$Q$1001,MATCH(ROWS($O$2:O391),$O$2:$O$1001,0),0), INDEX($V$1004:$AE$1004,1,MATCH(COLUMNS($V$1006:Z1006),$V$1006:$AE$1006,0)))),"Fix")))</f>
        <v>0</v>
      </c>
      <c r="G391" s="4">
        <f>IF(OR(INDEX($P$2:$P$1001,MATCH(ROWS($O$2:O391),$O$2:$O$1001,0),1)&gt;=100000,INDEX($V$1005:$AE$1005,1,MATCH(COLUMNS($V$1006:AA1006),$V$1006:$AE$1006,0))&gt;=100000), " ",IF(INDEX($V$2:$AE$1001,MATCH(ROWS($O$2:O391),$O$2:$O$1001,0),MATCH(COLUMNS($V$1006:AA1006),$V$1006:$AE$1006,0)), HYPERLINK("#",""), HYPERLINK(CONCATENATE("#Metadata!", ADDRESS(INDEX($Q$2:$Q$1001,MATCH(ROWS($O$2:O391),$O$2:$O$1001,0),0), INDEX($V$1004:$AE$1004,1,MATCH(COLUMNS($V$1006:AA1006),$V$1006:$AE$1006,0)))),"Fix")))</f>
        <v>0</v>
      </c>
      <c r="H391" s="4">
        <f>IF(OR(INDEX($P$2:$P$1001,MATCH(ROWS($O$2:O391),$O$2:$O$1001,0),1)&gt;=100000,INDEX($V$1005:$AE$1005,1,MATCH(COLUMNS($V$1006:AB1006),$V$1006:$AE$1006,0))&gt;=100000), " ",IF(INDEX($V$2:$AE$1001,MATCH(ROWS($O$2:O391),$O$2:$O$1001,0),MATCH(COLUMNS($V$1006:AB1006),$V$1006:$AE$1006,0)), HYPERLINK("#",""), HYPERLINK(CONCATENATE("#Metadata!", ADDRESS(INDEX($Q$2:$Q$1001,MATCH(ROWS($O$2:O391),$O$2:$O$1001,0),0), INDEX($V$1004:$AE$1004,1,MATCH(COLUMNS($V$1006:AB1006),$V$1006:$AE$1006,0)))),"Fix")))</f>
        <v>0</v>
      </c>
      <c r="I391" s="4">
        <f>IF(OR(INDEX($P$2:$P$1001,MATCH(ROWS($O$2:O391),$O$2:$O$1001,0),1)&gt;=100000,INDEX($V$1005:$AE$1005,1,MATCH(COLUMNS($V$1006:AC1006),$V$1006:$AE$1006,0))&gt;=100000), " ",IF(INDEX($V$2:$AE$1001,MATCH(ROWS($O$2:O391),$O$2:$O$1001,0),MATCH(COLUMNS($V$1006:AC1006),$V$1006:$AE$1006,0)), HYPERLINK("#",""), HYPERLINK(CONCATENATE("#Metadata!", ADDRESS(INDEX($Q$2:$Q$1001,MATCH(ROWS($O$2:O391),$O$2:$O$1001,0),0), INDEX($V$1004:$AE$1004,1,MATCH(COLUMNS($V$1006:AC1006),$V$1006:$AE$1006,0)))),"Fix")))</f>
        <v>0</v>
      </c>
      <c r="J391" s="4">
        <f>IF(OR(INDEX($P$2:$P$1001,MATCH(ROWS($O$2:O391),$O$2:$O$1001,0),1)&gt;=100000,INDEX($V$1005:$AE$1005,1,MATCH(COLUMNS($V$1006:AD1006),$V$1006:$AE$1006,0))&gt;=100000), " ",IF(INDEX($V$2:$AE$1001,MATCH(ROWS($O$2:O391),$O$2:$O$1001,0),MATCH(COLUMNS($V$1006:AD1006),$V$1006:$AE$1006,0)), HYPERLINK("#",""), HYPERLINK(CONCATENATE("#Metadata!", ADDRESS(INDEX($Q$2:$Q$1001,MATCH(ROWS($O$2:O391),$O$2:$O$1001,0),0), INDEX($V$1004:$AE$1004,1,MATCH(COLUMNS($V$1006:AD1006),$V$1006:$AE$1006,0)))),"Fix")))</f>
        <v>0</v>
      </c>
      <c r="K391" s="4">
        <f>IF(OR(INDEX($P$2:$P$1001,MATCH(ROWS($O$2:O391),$O$2:$O$1001,0),1)&gt;=100000,INDEX($V$1005:$AE$1005,1,MATCH(COLUMNS($V$1006:AE1006),$V$1006:$AE$1006,0))&gt;=100000), " ",IF(INDEX($V$2:$AE$1001,MATCH(ROWS($O$2:O391),$O$2:$O$1001,0),MATCH(COLUMNS($V$1006:AE1006),$V$1006:$AE$1006,0)), HYPERLINK("#",""), HYPERLINK(CONCATENATE("#Metadata!", ADDRESS(INDEX($Q$2:$Q$1001,MATCH(ROWS($O$2:O391),$O$2:$O$1001,0),0), INDEX($V$1004:$AE$1004,1,MATCH(COLUMNS($V$1006:AE1006),$V$1006:$AE$1006,0)))),"Fix")))</f>
        <v>0</v>
      </c>
      <c r="O391">
        <v>0</v>
      </c>
      <c r="P391">
        <v>0</v>
      </c>
      <c r="Q391">
        <v>0</v>
      </c>
      <c r="R391">
        <f>IF(S391,TRUE,AND(V391:AE391))</f>
        <v>0</v>
      </c>
      <c r="S391">
        <f>COUNTBLANK(Metadata!B391:K391)=COLUMNS(Metadata!B391:K391)</f>
        <v>0</v>
      </c>
      <c r="T391">
        <v>0</v>
      </c>
      <c r="V391">
        <f>AND(IF(Metadata!B391="",FALSE,TRUE),COUNTIF(Metadata!B:B, Metadata!B391) = 1,NOT(ISERROR(SUMPRODUCT(SEARCH(MID(Metadata!B391,ROW(INDIRECT("1:"&amp;LEN(Metadata!B391))), 1),"0123456789abcdefghijklmnopqrstuvwxyzABCDEFGHIJKLMNOPQRSTUVWXYZ.")))))</f>
        <v>0</v>
      </c>
      <c r="W391">
        <f>AND(IF(Metadata!C391="",FALSE,TRUE),exact(Metadata!C391,"urban biome"))</f>
        <v>0</v>
      </c>
      <c r="X391">
        <f>AND(IF(Metadata!D391="",FALSE,TRUE),exact(Metadata!D391,"animal-associated habitat"))</f>
        <v>0</v>
      </c>
      <c r="Y391">
        <f>OR(AND(IF(Metadata!E391="",FALSE,TRUE),OR(exact(Metadata!E391,"not applicable"),exact(Metadata!E391,"missing: not collected"),exact(Metadata!E391,"missing: not provided"),exact(Metadata!E391,"missing: restricted access"))),AND(IF(Metadata!E391="",FALSE,ISNUMBER(VALUE(Metadata!E391))),Metadata!E391&gt;0))</f>
        <v>0</v>
      </c>
      <c r="Z391">
        <f>AND(IF(Metadata!F391="",FALSE,TRUE),exact(Metadata!F391,"weeks"))</f>
        <v>0</v>
      </c>
      <c r="AA391">
        <f>AND(IF(Metadata!G391="",FALSE,TRUE),exact(Metadata!G391,"mouse"))</f>
        <v>0</v>
      </c>
      <c r="AB391">
        <f>AND(IF(Metadata!H391="",FALSE,TRUE),exact(Metadata!H391,"Mus musculus"))</f>
        <v>0</v>
      </c>
      <c r="AC391">
        <f>AND(IF(Metadata!I391="",FALSE,TRUE),exact(Metadata!I391,"10090"))</f>
        <v>0</v>
      </c>
      <c r="AD391">
        <f>OR(AND(IF(Metadata!J391="",FALSE,TRUE),OR(exact(Metadata!J391,"not applicable"),exact(Metadata!J391,"missing: not collected"),exact(Metadata!J391,"missing: not provided"),exact(Metadata!J391,"missing: restricted access"))),AND(IF(Metadata!J391="",FALSE,ISNUMBER(VALUE(Metadata!J391))),Metadata!J391&gt;0))</f>
        <v>0</v>
      </c>
      <c r="AE391">
        <f>AND(IF(Metadata!K391="",FALSE,TRUE),exact(Metadata!K391,"g"))</f>
        <v>0</v>
      </c>
    </row>
    <row r="392" spans="1:31">
      <c r="A392" s="5">
        <f>IF(B392=" "," ",HYPERLINK(CONCATENATE("#metadata!",ADDRESS(INDEX($Q$2:$Q$1001,MATCH(ROWS($O$2:O392),$O$2:$O$1001,0),0),1)),INDEX($T$2:$T$1001,MATCH(ROWS($O$2:O392),$O$2:$O$1001,0),0)))</f>
        <v>0</v>
      </c>
      <c r="B392" s="4">
        <f>IF(OR(INDEX($P$2:$P$1001,MATCH(ROWS($O$2:O392),$O$2:$O$1001,0),1)&gt;=100000,INDEX($V$1005:$AE$1005,1,MATCH(COLUMNS($V$1006:V1006),$V$1006:$AE$1006,0))&gt;=100000), " ",IF(INDEX($V$2:$AE$1001,MATCH(ROWS($O$2:O392),$O$2:$O$1001,0),MATCH(COLUMNS($V$1006:V1006),$V$1006:$AE$1006,0)), HYPERLINK("#",""), HYPERLINK(CONCATENATE("#Metadata!", ADDRESS(INDEX($Q$2:$Q$1001,MATCH(ROWS($O$2:O392),$O$2:$O$1001,0),0), INDEX($V$1004:$AE$1004,1,MATCH(COLUMNS($V$1006:V1006),$V$1006:$AE$1006,0)))),"Fix")))</f>
        <v>0</v>
      </c>
      <c r="C392" s="4">
        <f>IF(OR(INDEX($P$2:$P$1001,MATCH(ROWS($O$2:O392),$O$2:$O$1001,0),1)&gt;=100000,INDEX($V$1005:$AE$1005,1,MATCH(COLUMNS($V$1006:W1006),$V$1006:$AE$1006,0))&gt;=100000), " ",IF(INDEX($V$2:$AE$1001,MATCH(ROWS($O$2:O392),$O$2:$O$1001,0),MATCH(COLUMNS($V$1006:W1006),$V$1006:$AE$1006,0)), HYPERLINK("#",""), HYPERLINK(CONCATENATE("#Metadata!", ADDRESS(INDEX($Q$2:$Q$1001,MATCH(ROWS($O$2:O392),$O$2:$O$1001,0),0), INDEX($V$1004:$AE$1004,1,MATCH(COLUMNS($V$1006:W1006),$V$1006:$AE$1006,0)))),"Fix")))</f>
        <v>0</v>
      </c>
      <c r="D392" s="4">
        <f>IF(OR(INDEX($P$2:$P$1001,MATCH(ROWS($O$2:O392),$O$2:$O$1001,0),1)&gt;=100000,INDEX($V$1005:$AE$1005,1,MATCH(COLUMNS($V$1006:X1006),$V$1006:$AE$1006,0))&gt;=100000), " ",IF(INDEX($V$2:$AE$1001,MATCH(ROWS($O$2:O392),$O$2:$O$1001,0),MATCH(COLUMNS($V$1006:X1006),$V$1006:$AE$1006,0)), HYPERLINK("#",""), HYPERLINK(CONCATENATE("#Metadata!", ADDRESS(INDEX($Q$2:$Q$1001,MATCH(ROWS($O$2:O392),$O$2:$O$1001,0),0), INDEX($V$1004:$AE$1004,1,MATCH(COLUMNS($V$1006:X1006),$V$1006:$AE$1006,0)))),"Fix")))</f>
        <v>0</v>
      </c>
      <c r="E392" s="4">
        <f>IF(OR(INDEX($P$2:$P$1001,MATCH(ROWS($O$2:O392),$O$2:$O$1001,0),1)&gt;=100000,INDEX($V$1005:$AE$1005,1,MATCH(COLUMNS($V$1006:Y1006),$V$1006:$AE$1006,0))&gt;=100000), " ",IF(INDEX($V$2:$AE$1001,MATCH(ROWS($O$2:O392),$O$2:$O$1001,0),MATCH(COLUMNS($V$1006:Y1006),$V$1006:$AE$1006,0)), HYPERLINK("#",""), HYPERLINK(CONCATENATE("#Metadata!", ADDRESS(INDEX($Q$2:$Q$1001,MATCH(ROWS($O$2:O392),$O$2:$O$1001,0),0), INDEX($V$1004:$AE$1004,1,MATCH(COLUMNS($V$1006:Y1006),$V$1006:$AE$1006,0)))),"Fix")))</f>
        <v>0</v>
      </c>
      <c r="F392" s="4">
        <f>IF(OR(INDEX($P$2:$P$1001,MATCH(ROWS($O$2:O392),$O$2:$O$1001,0),1)&gt;=100000,INDEX($V$1005:$AE$1005,1,MATCH(COLUMNS($V$1006:Z1006),$V$1006:$AE$1006,0))&gt;=100000), " ",IF(INDEX($V$2:$AE$1001,MATCH(ROWS($O$2:O392),$O$2:$O$1001,0),MATCH(COLUMNS($V$1006:Z1006),$V$1006:$AE$1006,0)), HYPERLINK("#",""), HYPERLINK(CONCATENATE("#Metadata!", ADDRESS(INDEX($Q$2:$Q$1001,MATCH(ROWS($O$2:O392),$O$2:$O$1001,0),0), INDEX($V$1004:$AE$1004,1,MATCH(COLUMNS($V$1006:Z1006),$V$1006:$AE$1006,0)))),"Fix")))</f>
        <v>0</v>
      </c>
      <c r="G392" s="4">
        <f>IF(OR(INDEX($P$2:$P$1001,MATCH(ROWS($O$2:O392),$O$2:$O$1001,0),1)&gt;=100000,INDEX($V$1005:$AE$1005,1,MATCH(COLUMNS($V$1006:AA1006),$V$1006:$AE$1006,0))&gt;=100000), " ",IF(INDEX($V$2:$AE$1001,MATCH(ROWS($O$2:O392),$O$2:$O$1001,0),MATCH(COLUMNS($V$1006:AA1006),$V$1006:$AE$1006,0)), HYPERLINK("#",""), HYPERLINK(CONCATENATE("#Metadata!", ADDRESS(INDEX($Q$2:$Q$1001,MATCH(ROWS($O$2:O392),$O$2:$O$1001,0),0), INDEX($V$1004:$AE$1004,1,MATCH(COLUMNS($V$1006:AA1006),$V$1006:$AE$1006,0)))),"Fix")))</f>
        <v>0</v>
      </c>
      <c r="H392" s="4">
        <f>IF(OR(INDEX($P$2:$P$1001,MATCH(ROWS($O$2:O392),$O$2:$O$1001,0),1)&gt;=100000,INDEX($V$1005:$AE$1005,1,MATCH(COLUMNS($V$1006:AB1006),$V$1006:$AE$1006,0))&gt;=100000), " ",IF(INDEX($V$2:$AE$1001,MATCH(ROWS($O$2:O392),$O$2:$O$1001,0),MATCH(COLUMNS($V$1006:AB1006),$V$1006:$AE$1006,0)), HYPERLINK("#",""), HYPERLINK(CONCATENATE("#Metadata!", ADDRESS(INDEX($Q$2:$Q$1001,MATCH(ROWS($O$2:O392),$O$2:$O$1001,0),0), INDEX($V$1004:$AE$1004,1,MATCH(COLUMNS($V$1006:AB1006),$V$1006:$AE$1006,0)))),"Fix")))</f>
        <v>0</v>
      </c>
      <c r="I392" s="4">
        <f>IF(OR(INDEX($P$2:$P$1001,MATCH(ROWS($O$2:O392),$O$2:$O$1001,0),1)&gt;=100000,INDEX($V$1005:$AE$1005,1,MATCH(COLUMNS($V$1006:AC1006),$V$1006:$AE$1006,0))&gt;=100000), " ",IF(INDEX($V$2:$AE$1001,MATCH(ROWS($O$2:O392),$O$2:$O$1001,0),MATCH(COLUMNS($V$1006:AC1006),$V$1006:$AE$1006,0)), HYPERLINK("#",""), HYPERLINK(CONCATENATE("#Metadata!", ADDRESS(INDEX($Q$2:$Q$1001,MATCH(ROWS($O$2:O392),$O$2:$O$1001,0),0), INDEX($V$1004:$AE$1004,1,MATCH(COLUMNS($V$1006:AC1006),$V$1006:$AE$1006,0)))),"Fix")))</f>
        <v>0</v>
      </c>
      <c r="J392" s="4">
        <f>IF(OR(INDEX($P$2:$P$1001,MATCH(ROWS($O$2:O392),$O$2:$O$1001,0),1)&gt;=100000,INDEX($V$1005:$AE$1005,1,MATCH(COLUMNS($V$1006:AD1006),$V$1006:$AE$1006,0))&gt;=100000), " ",IF(INDEX($V$2:$AE$1001,MATCH(ROWS($O$2:O392),$O$2:$O$1001,0),MATCH(COLUMNS($V$1006:AD1006),$V$1006:$AE$1006,0)), HYPERLINK("#",""), HYPERLINK(CONCATENATE("#Metadata!", ADDRESS(INDEX($Q$2:$Q$1001,MATCH(ROWS($O$2:O392),$O$2:$O$1001,0),0), INDEX($V$1004:$AE$1004,1,MATCH(COLUMNS($V$1006:AD1006),$V$1006:$AE$1006,0)))),"Fix")))</f>
        <v>0</v>
      </c>
      <c r="K392" s="4">
        <f>IF(OR(INDEX($P$2:$P$1001,MATCH(ROWS($O$2:O392),$O$2:$O$1001,0),1)&gt;=100000,INDEX($V$1005:$AE$1005,1,MATCH(COLUMNS($V$1006:AE1006),$V$1006:$AE$1006,0))&gt;=100000), " ",IF(INDEX($V$2:$AE$1001,MATCH(ROWS($O$2:O392),$O$2:$O$1001,0),MATCH(COLUMNS($V$1006:AE1006),$V$1006:$AE$1006,0)), HYPERLINK("#",""), HYPERLINK(CONCATENATE("#Metadata!", ADDRESS(INDEX($Q$2:$Q$1001,MATCH(ROWS($O$2:O392),$O$2:$O$1001,0),0), INDEX($V$1004:$AE$1004,1,MATCH(COLUMNS($V$1006:AE1006),$V$1006:$AE$1006,0)))),"Fix")))</f>
        <v>0</v>
      </c>
      <c r="O392">
        <v>0</v>
      </c>
      <c r="P392">
        <v>0</v>
      </c>
      <c r="Q392">
        <v>0</v>
      </c>
      <c r="R392">
        <f>IF(S392,TRUE,AND(V392:AE392))</f>
        <v>0</v>
      </c>
      <c r="S392">
        <f>COUNTBLANK(Metadata!B392:K392)=COLUMNS(Metadata!B392:K392)</f>
        <v>0</v>
      </c>
      <c r="T392">
        <v>0</v>
      </c>
      <c r="V392">
        <f>AND(IF(Metadata!B392="",FALSE,TRUE),COUNTIF(Metadata!B:B, Metadata!B392) = 1,NOT(ISERROR(SUMPRODUCT(SEARCH(MID(Metadata!B392,ROW(INDIRECT("1:"&amp;LEN(Metadata!B392))), 1),"0123456789abcdefghijklmnopqrstuvwxyzABCDEFGHIJKLMNOPQRSTUVWXYZ.")))))</f>
        <v>0</v>
      </c>
      <c r="W392">
        <f>AND(IF(Metadata!C392="",FALSE,TRUE),exact(Metadata!C392,"urban biome"))</f>
        <v>0</v>
      </c>
      <c r="X392">
        <f>AND(IF(Metadata!D392="",FALSE,TRUE),exact(Metadata!D392,"animal-associated habitat"))</f>
        <v>0</v>
      </c>
      <c r="Y392">
        <f>OR(AND(IF(Metadata!E392="",FALSE,TRUE),OR(exact(Metadata!E392,"not applicable"),exact(Metadata!E392,"missing: not collected"),exact(Metadata!E392,"missing: not provided"),exact(Metadata!E392,"missing: restricted access"))),AND(IF(Metadata!E392="",FALSE,ISNUMBER(VALUE(Metadata!E392))),Metadata!E392&gt;0))</f>
        <v>0</v>
      </c>
      <c r="Z392">
        <f>AND(IF(Metadata!F392="",FALSE,TRUE),exact(Metadata!F392,"weeks"))</f>
        <v>0</v>
      </c>
      <c r="AA392">
        <f>AND(IF(Metadata!G392="",FALSE,TRUE),exact(Metadata!G392,"mouse"))</f>
        <v>0</v>
      </c>
      <c r="AB392">
        <f>AND(IF(Metadata!H392="",FALSE,TRUE),exact(Metadata!H392,"Mus musculus"))</f>
        <v>0</v>
      </c>
      <c r="AC392">
        <f>AND(IF(Metadata!I392="",FALSE,TRUE),exact(Metadata!I392,"10090"))</f>
        <v>0</v>
      </c>
      <c r="AD392">
        <f>OR(AND(IF(Metadata!J392="",FALSE,TRUE),OR(exact(Metadata!J392,"not applicable"),exact(Metadata!J392,"missing: not collected"),exact(Metadata!J392,"missing: not provided"),exact(Metadata!J392,"missing: restricted access"))),AND(IF(Metadata!J392="",FALSE,ISNUMBER(VALUE(Metadata!J392))),Metadata!J392&gt;0))</f>
        <v>0</v>
      </c>
      <c r="AE392">
        <f>AND(IF(Metadata!K392="",FALSE,TRUE),exact(Metadata!K392,"g"))</f>
        <v>0</v>
      </c>
    </row>
    <row r="393" spans="1:31">
      <c r="A393" s="5">
        <f>IF(B393=" "," ",HYPERLINK(CONCATENATE("#metadata!",ADDRESS(INDEX($Q$2:$Q$1001,MATCH(ROWS($O$2:O393),$O$2:$O$1001,0),0),1)),INDEX($T$2:$T$1001,MATCH(ROWS($O$2:O393),$O$2:$O$1001,0),0)))</f>
        <v>0</v>
      </c>
      <c r="B393" s="4">
        <f>IF(OR(INDEX($P$2:$P$1001,MATCH(ROWS($O$2:O393),$O$2:$O$1001,0),1)&gt;=100000,INDEX($V$1005:$AE$1005,1,MATCH(COLUMNS($V$1006:V1006),$V$1006:$AE$1006,0))&gt;=100000), " ",IF(INDEX($V$2:$AE$1001,MATCH(ROWS($O$2:O393),$O$2:$O$1001,0),MATCH(COLUMNS($V$1006:V1006),$V$1006:$AE$1006,0)), HYPERLINK("#",""), HYPERLINK(CONCATENATE("#Metadata!", ADDRESS(INDEX($Q$2:$Q$1001,MATCH(ROWS($O$2:O393),$O$2:$O$1001,0),0), INDEX($V$1004:$AE$1004,1,MATCH(COLUMNS($V$1006:V1006),$V$1006:$AE$1006,0)))),"Fix")))</f>
        <v>0</v>
      </c>
      <c r="C393" s="4">
        <f>IF(OR(INDEX($P$2:$P$1001,MATCH(ROWS($O$2:O393),$O$2:$O$1001,0),1)&gt;=100000,INDEX($V$1005:$AE$1005,1,MATCH(COLUMNS($V$1006:W1006),$V$1006:$AE$1006,0))&gt;=100000), " ",IF(INDEX($V$2:$AE$1001,MATCH(ROWS($O$2:O393),$O$2:$O$1001,0),MATCH(COLUMNS($V$1006:W1006),$V$1006:$AE$1006,0)), HYPERLINK("#",""), HYPERLINK(CONCATENATE("#Metadata!", ADDRESS(INDEX($Q$2:$Q$1001,MATCH(ROWS($O$2:O393),$O$2:$O$1001,0),0), INDEX($V$1004:$AE$1004,1,MATCH(COLUMNS($V$1006:W1006),$V$1006:$AE$1006,0)))),"Fix")))</f>
        <v>0</v>
      </c>
      <c r="D393" s="4">
        <f>IF(OR(INDEX($P$2:$P$1001,MATCH(ROWS($O$2:O393),$O$2:$O$1001,0),1)&gt;=100000,INDEX($V$1005:$AE$1005,1,MATCH(COLUMNS($V$1006:X1006),$V$1006:$AE$1006,0))&gt;=100000), " ",IF(INDEX($V$2:$AE$1001,MATCH(ROWS($O$2:O393),$O$2:$O$1001,0),MATCH(COLUMNS($V$1006:X1006),$V$1006:$AE$1006,0)), HYPERLINK("#",""), HYPERLINK(CONCATENATE("#Metadata!", ADDRESS(INDEX($Q$2:$Q$1001,MATCH(ROWS($O$2:O393),$O$2:$O$1001,0),0), INDEX($V$1004:$AE$1004,1,MATCH(COLUMNS($V$1006:X1006),$V$1006:$AE$1006,0)))),"Fix")))</f>
        <v>0</v>
      </c>
      <c r="E393" s="4">
        <f>IF(OR(INDEX($P$2:$P$1001,MATCH(ROWS($O$2:O393),$O$2:$O$1001,0),1)&gt;=100000,INDEX($V$1005:$AE$1005,1,MATCH(COLUMNS($V$1006:Y1006),$V$1006:$AE$1006,0))&gt;=100000), " ",IF(INDEX($V$2:$AE$1001,MATCH(ROWS($O$2:O393),$O$2:$O$1001,0),MATCH(COLUMNS($V$1006:Y1006),$V$1006:$AE$1006,0)), HYPERLINK("#",""), HYPERLINK(CONCATENATE("#Metadata!", ADDRESS(INDEX($Q$2:$Q$1001,MATCH(ROWS($O$2:O393),$O$2:$O$1001,0),0), INDEX($V$1004:$AE$1004,1,MATCH(COLUMNS($V$1006:Y1006),$V$1006:$AE$1006,0)))),"Fix")))</f>
        <v>0</v>
      </c>
      <c r="F393" s="4">
        <f>IF(OR(INDEX($P$2:$P$1001,MATCH(ROWS($O$2:O393),$O$2:$O$1001,0),1)&gt;=100000,INDEX($V$1005:$AE$1005,1,MATCH(COLUMNS($V$1006:Z1006),$V$1006:$AE$1006,0))&gt;=100000), " ",IF(INDEX($V$2:$AE$1001,MATCH(ROWS($O$2:O393),$O$2:$O$1001,0),MATCH(COLUMNS($V$1006:Z1006),$V$1006:$AE$1006,0)), HYPERLINK("#",""), HYPERLINK(CONCATENATE("#Metadata!", ADDRESS(INDEX($Q$2:$Q$1001,MATCH(ROWS($O$2:O393),$O$2:$O$1001,0),0), INDEX($V$1004:$AE$1004,1,MATCH(COLUMNS($V$1006:Z1006),$V$1006:$AE$1006,0)))),"Fix")))</f>
        <v>0</v>
      </c>
      <c r="G393" s="4">
        <f>IF(OR(INDEX($P$2:$P$1001,MATCH(ROWS($O$2:O393),$O$2:$O$1001,0),1)&gt;=100000,INDEX($V$1005:$AE$1005,1,MATCH(COLUMNS($V$1006:AA1006),$V$1006:$AE$1006,0))&gt;=100000), " ",IF(INDEX($V$2:$AE$1001,MATCH(ROWS($O$2:O393),$O$2:$O$1001,0),MATCH(COLUMNS($V$1006:AA1006),$V$1006:$AE$1006,0)), HYPERLINK("#",""), HYPERLINK(CONCATENATE("#Metadata!", ADDRESS(INDEX($Q$2:$Q$1001,MATCH(ROWS($O$2:O393),$O$2:$O$1001,0),0), INDEX($V$1004:$AE$1004,1,MATCH(COLUMNS($V$1006:AA1006),$V$1006:$AE$1006,0)))),"Fix")))</f>
        <v>0</v>
      </c>
      <c r="H393" s="4">
        <f>IF(OR(INDEX($P$2:$P$1001,MATCH(ROWS($O$2:O393),$O$2:$O$1001,0),1)&gt;=100000,INDEX($V$1005:$AE$1005,1,MATCH(COLUMNS($V$1006:AB1006),$V$1006:$AE$1006,0))&gt;=100000), " ",IF(INDEX($V$2:$AE$1001,MATCH(ROWS($O$2:O393),$O$2:$O$1001,0),MATCH(COLUMNS($V$1006:AB1006),$V$1006:$AE$1006,0)), HYPERLINK("#",""), HYPERLINK(CONCATENATE("#Metadata!", ADDRESS(INDEX($Q$2:$Q$1001,MATCH(ROWS($O$2:O393),$O$2:$O$1001,0),0), INDEX($V$1004:$AE$1004,1,MATCH(COLUMNS($V$1006:AB1006),$V$1006:$AE$1006,0)))),"Fix")))</f>
        <v>0</v>
      </c>
      <c r="I393" s="4">
        <f>IF(OR(INDEX($P$2:$P$1001,MATCH(ROWS($O$2:O393),$O$2:$O$1001,0),1)&gt;=100000,INDEX($V$1005:$AE$1005,1,MATCH(COLUMNS($V$1006:AC1006),$V$1006:$AE$1006,0))&gt;=100000), " ",IF(INDEX($V$2:$AE$1001,MATCH(ROWS($O$2:O393),$O$2:$O$1001,0),MATCH(COLUMNS($V$1006:AC1006),$V$1006:$AE$1006,0)), HYPERLINK("#",""), HYPERLINK(CONCATENATE("#Metadata!", ADDRESS(INDEX($Q$2:$Q$1001,MATCH(ROWS($O$2:O393),$O$2:$O$1001,0),0), INDEX($V$1004:$AE$1004,1,MATCH(COLUMNS($V$1006:AC1006),$V$1006:$AE$1006,0)))),"Fix")))</f>
        <v>0</v>
      </c>
      <c r="J393" s="4">
        <f>IF(OR(INDEX($P$2:$P$1001,MATCH(ROWS($O$2:O393),$O$2:$O$1001,0),1)&gt;=100000,INDEX($V$1005:$AE$1005,1,MATCH(COLUMNS($V$1006:AD1006),$V$1006:$AE$1006,0))&gt;=100000), " ",IF(INDEX($V$2:$AE$1001,MATCH(ROWS($O$2:O393),$O$2:$O$1001,0),MATCH(COLUMNS($V$1006:AD1006),$V$1006:$AE$1006,0)), HYPERLINK("#",""), HYPERLINK(CONCATENATE("#Metadata!", ADDRESS(INDEX($Q$2:$Q$1001,MATCH(ROWS($O$2:O393),$O$2:$O$1001,0),0), INDEX($V$1004:$AE$1004,1,MATCH(COLUMNS($V$1006:AD1006),$V$1006:$AE$1006,0)))),"Fix")))</f>
        <v>0</v>
      </c>
      <c r="K393" s="4">
        <f>IF(OR(INDEX($P$2:$P$1001,MATCH(ROWS($O$2:O393),$O$2:$O$1001,0),1)&gt;=100000,INDEX($V$1005:$AE$1005,1,MATCH(COLUMNS($V$1006:AE1006),$V$1006:$AE$1006,0))&gt;=100000), " ",IF(INDEX($V$2:$AE$1001,MATCH(ROWS($O$2:O393),$O$2:$O$1001,0),MATCH(COLUMNS($V$1006:AE1006),$V$1006:$AE$1006,0)), HYPERLINK("#",""), HYPERLINK(CONCATENATE("#Metadata!", ADDRESS(INDEX($Q$2:$Q$1001,MATCH(ROWS($O$2:O393),$O$2:$O$1001,0),0), INDEX($V$1004:$AE$1004,1,MATCH(COLUMNS($V$1006:AE1006),$V$1006:$AE$1006,0)))),"Fix")))</f>
        <v>0</v>
      </c>
      <c r="O393">
        <v>0</v>
      </c>
      <c r="P393">
        <v>0</v>
      </c>
      <c r="Q393">
        <v>0</v>
      </c>
      <c r="R393">
        <f>IF(S393,TRUE,AND(V393:AE393))</f>
        <v>0</v>
      </c>
      <c r="S393">
        <f>COUNTBLANK(Metadata!B393:K393)=COLUMNS(Metadata!B393:K393)</f>
        <v>0</v>
      </c>
      <c r="T393">
        <v>0</v>
      </c>
      <c r="V393">
        <f>AND(IF(Metadata!B393="",FALSE,TRUE),COUNTIF(Metadata!B:B, Metadata!B393) = 1,NOT(ISERROR(SUMPRODUCT(SEARCH(MID(Metadata!B393,ROW(INDIRECT("1:"&amp;LEN(Metadata!B393))), 1),"0123456789abcdefghijklmnopqrstuvwxyzABCDEFGHIJKLMNOPQRSTUVWXYZ.")))))</f>
        <v>0</v>
      </c>
      <c r="W393">
        <f>AND(IF(Metadata!C393="",FALSE,TRUE),exact(Metadata!C393,"urban biome"))</f>
        <v>0</v>
      </c>
      <c r="X393">
        <f>AND(IF(Metadata!D393="",FALSE,TRUE),exact(Metadata!D393,"animal-associated habitat"))</f>
        <v>0</v>
      </c>
      <c r="Y393">
        <f>OR(AND(IF(Metadata!E393="",FALSE,TRUE),OR(exact(Metadata!E393,"not applicable"),exact(Metadata!E393,"missing: not collected"),exact(Metadata!E393,"missing: not provided"),exact(Metadata!E393,"missing: restricted access"))),AND(IF(Metadata!E393="",FALSE,ISNUMBER(VALUE(Metadata!E393))),Metadata!E393&gt;0))</f>
        <v>0</v>
      </c>
      <c r="Z393">
        <f>AND(IF(Metadata!F393="",FALSE,TRUE),exact(Metadata!F393,"weeks"))</f>
        <v>0</v>
      </c>
      <c r="AA393">
        <f>AND(IF(Metadata!G393="",FALSE,TRUE),exact(Metadata!G393,"mouse"))</f>
        <v>0</v>
      </c>
      <c r="AB393">
        <f>AND(IF(Metadata!H393="",FALSE,TRUE),exact(Metadata!H393,"Mus musculus"))</f>
        <v>0</v>
      </c>
      <c r="AC393">
        <f>AND(IF(Metadata!I393="",FALSE,TRUE),exact(Metadata!I393,"10090"))</f>
        <v>0</v>
      </c>
      <c r="AD393">
        <f>OR(AND(IF(Metadata!J393="",FALSE,TRUE),OR(exact(Metadata!J393,"not applicable"),exact(Metadata!J393,"missing: not collected"),exact(Metadata!J393,"missing: not provided"),exact(Metadata!J393,"missing: restricted access"))),AND(IF(Metadata!J393="",FALSE,ISNUMBER(VALUE(Metadata!J393))),Metadata!J393&gt;0))</f>
        <v>0</v>
      </c>
      <c r="AE393">
        <f>AND(IF(Metadata!K393="",FALSE,TRUE),exact(Metadata!K393,"g"))</f>
        <v>0</v>
      </c>
    </row>
    <row r="394" spans="1:31">
      <c r="A394" s="5">
        <f>IF(B394=" "," ",HYPERLINK(CONCATENATE("#metadata!",ADDRESS(INDEX($Q$2:$Q$1001,MATCH(ROWS($O$2:O394),$O$2:$O$1001,0),0),1)),INDEX($T$2:$T$1001,MATCH(ROWS($O$2:O394),$O$2:$O$1001,0),0)))</f>
        <v>0</v>
      </c>
      <c r="B394" s="4">
        <f>IF(OR(INDEX($P$2:$P$1001,MATCH(ROWS($O$2:O394),$O$2:$O$1001,0),1)&gt;=100000,INDEX($V$1005:$AE$1005,1,MATCH(COLUMNS($V$1006:V1006),$V$1006:$AE$1006,0))&gt;=100000), " ",IF(INDEX($V$2:$AE$1001,MATCH(ROWS($O$2:O394),$O$2:$O$1001,0),MATCH(COLUMNS($V$1006:V1006),$V$1006:$AE$1006,0)), HYPERLINK("#",""), HYPERLINK(CONCATENATE("#Metadata!", ADDRESS(INDEX($Q$2:$Q$1001,MATCH(ROWS($O$2:O394),$O$2:$O$1001,0),0), INDEX($V$1004:$AE$1004,1,MATCH(COLUMNS($V$1006:V1006),$V$1006:$AE$1006,0)))),"Fix")))</f>
        <v>0</v>
      </c>
      <c r="C394" s="4">
        <f>IF(OR(INDEX($P$2:$P$1001,MATCH(ROWS($O$2:O394),$O$2:$O$1001,0),1)&gt;=100000,INDEX($V$1005:$AE$1005,1,MATCH(COLUMNS($V$1006:W1006),$V$1006:$AE$1006,0))&gt;=100000), " ",IF(INDEX($V$2:$AE$1001,MATCH(ROWS($O$2:O394),$O$2:$O$1001,0),MATCH(COLUMNS($V$1006:W1006),$V$1006:$AE$1006,0)), HYPERLINK("#",""), HYPERLINK(CONCATENATE("#Metadata!", ADDRESS(INDEX($Q$2:$Q$1001,MATCH(ROWS($O$2:O394),$O$2:$O$1001,0),0), INDEX($V$1004:$AE$1004,1,MATCH(COLUMNS($V$1006:W1006),$V$1006:$AE$1006,0)))),"Fix")))</f>
        <v>0</v>
      </c>
      <c r="D394" s="4">
        <f>IF(OR(INDEX($P$2:$P$1001,MATCH(ROWS($O$2:O394),$O$2:$O$1001,0),1)&gt;=100000,INDEX($V$1005:$AE$1005,1,MATCH(COLUMNS($V$1006:X1006),$V$1006:$AE$1006,0))&gt;=100000), " ",IF(INDEX($V$2:$AE$1001,MATCH(ROWS($O$2:O394),$O$2:$O$1001,0),MATCH(COLUMNS($V$1006:X1006),$V$1006:$AE$1006,0)), HYPERLINK("#",""), HYPERLINK(CONCATENATE("#Metadata!", ADDRESS(INDEX($Q$2:$Q$1001,MATCH(ROWS($O$2:O394),$O$2:$O$1001,0),0), INDEX($V$1004:$AE$1004,1,MATCH(COLUMNS($V$1006:X1006),$V$1006:$AE$1006,0)))),"Fix")))</f>
        <v>0</v>
      </c>
      <c r="E394" s="4">
        <f>IF(OR(INDEX($P$2:$P$1001,MATCH(ROWS($O$2:O394),$O$2:$O$1001,0),1)&gt;=100000,INDEX($V$1005:$AE$1005,1,MATCH(COLUMNS($V$1006:Y1006),$V$1006:$AE$1006,0))&gt;=100000), " ",IF(INDEX($V$2:$AE$1001,MATCH(ROWS($O$2:O394),$O$2:$O$1001,0),MATCH(COLUMNS($V$1006:Y1006),$V$1006:$AE$1006,0)), HYPERLINK("#",""), HYPERLINK(CONCATENATE("#Metadata!", ADDRESS(INDEX($Q$2:$Q$1001,MATCH(ROWS($O$2:O394),$O$2:$O$1001,0),0), INDEX($V$1004:$AE$1004,1,MATCH(COLUMNS($V$1006:Y1006),$V$1006:$AE$1006,0)))),"Fix")))</f>
        <v>0</v>
      </c>
      <c r="F394" s="4">
        <f>IF(OR(INDEX($P$2:$P$1001,MATCH(ROWS($O$2:O394),$O$2:$O$1001,0),1)&gt;=100000,INDEX($V$1005:$AE$1005,1,MATCH(COLUMNS($V$1006:Z1006),$V$1006:$AE$1006,0))&gt;=100000), " ",IF(INDEX($V$2:$AE$1001,MATCH(ROWS($O$2:O394),$O$2:$O$1001,0),MATCH(COLUMNS($V$1006:Z1006),$V$1006:$AE$1006,0)), HYPERLINK("#",""), HYPERLINK(CONCATENATE("#Metadata!", ADDRESS(INDEX($Q$2:$Q$1001,MATCH(ROWS($O$2:O394),$O$2:$O$1001,0),0), INDEX($V$1004:$AE$1004,1,MATCH(COLUMNS($V$1006:Z1006),$V$1006:$AE$1006,0)))),"Fix")))</f>
        <v>0</v>
      </c>
      <c r="G394" s="4">
        <f>IF(OR(INDEX($P$2:$P$1001,MATCH(ROWS($O$2:O394),$O$2:$O$1001,0),1)&gt;=100000,INDEX($V$1005:$AE$1005,1,MATCH(COLUMNS($V$1006:AA1006),$V$1006:$AE$1006,0))&gt;=100000), " ",IF(INDEX($V$2:$AE$1001,MATCH(ROWS($O$2:O394),$O$2:$O$1001,0),MATCH(COLUMNS($V$1006:AA1006),$V$1006:$AE$1006,0)), HYPERLINK("#",""), HYPERLINK(CONCATENATE("#Metadata!", ADDRESS(INDEX($Q$2:$Q$1001,MATCH(ROWS($O$2:O394),$O$2:$O$1001,0),0), INDEX($V$1004:$AE$1004,1,MATCH(COLUMNS($V$1006:AA1006),$V$1006:$AE$1006,0)))),"Fix")))</f>
        <v>0</v>
      </c>
      <c r="H394" s="4">
        <f>IF(OR(INDEX($P$2:$P$1001,MATCH(ROWS($O$2:O394),$O$2:$O$1001,0),1)&gt;=100000,INDEX($V$1005:$AE$1005,1,MATCH(COLUMNS($V$1006:AB1006),$V$1006:$AE$1006,0))&gt;=100000), " ",IF(INDEX($V$2:$AE$1001,MATCH(ROWS($O$2:O394),$O$2:$O$1001,0),MATCH(COLUMNS($V$1006:AB1006),$V$1006:$AE$1006,0)), HYPERLINK("#",""), HYPERLINK(CONCATENATE("#Metadata!", ADDRESS(INDEX($Q$2:$Q$1001,MATCH(ROWS($O$2:O394),$O$2:$O$1001,0),0), INDEX($V$1004:$AE$1004,1,MATCH(COLUMNS($V$1006:AB1006),$V$1006:$AE$1006,0)))),"Fix")))</f>
        <v>0</v>
      </c>
      <c r="I394" s="4">
        <f>IF(OR(INDEX($P$2:$P$1001,MATCH(ROWS($O$2:O394),$O$2:$O$1001,0),1)&gt;=100000,INDEX($V$1005:$AE$1005,1,MATCH(COLUMNS($V$1006:AC1006),$V$1006:$AE$1006,0))&gt;=100000), " ",IF(INDEX($V$2:$AE$1001,MATCH(ROWS($O$2:O394),$O$2:$O$1001,0),MATCH(COLUMNS($V$1006:AC1006),$V$1006:$AE$1006,0)), HYPERLINK("#",""), HYPERLINK(CONCATENATE("#Metadata!", ADDRESS(INDEX($Q$2:$Q$1001,MATCH(ROWS($O$2:O394),$O$2:$O$1001,0),0), INDEX($V$1004:$AE$1004,1,MATCH(COLUMNS($V$1006:AC1006),$V$1006:$AE$1006,0)))),"Fix")))</f>
        <v>0</v>
      </c>
      <c r="J394" s="4">
        <f>IF(OR(INDEX($P$2:$P$1001,MATCH(ROWS($O$2:O394),$O$2:$O$1001,0),1)&gt;=100000,INDEX($V$1005:$AE$1005,1,MATCH(COLUMNS($V$1006:AD1006),$V$1006:$AE$1006,0))&gt;=100000), " ",IF(INDEX($V$2:$AE$1001,MATCH(ROWS($O$2:O394),$O$2:$O$1001,0),MATCH(COLUMNS($V$1006:AD1006),$V$1006:$AE$1006,0)), HYPERLINK("#",""), HYPERLINK(CONCATENATE("#Metadata!", ADDRESS(INDEX($Q$2:$Q$1001,MATCH(ROWS($O$2:O394),$O$2:$O$1001,0),0), INDEX($V$1004:$AE$1004,1,MATCH(COLUMNS($V$1006:AD1006),$V$1006:$AE$1006,0)))),"Fix")))</f>
        <v>0</v>
      </c>
      <c r="K394" s="4">
        <f>IF(OR(INDEX($P$2:$P$1001,MATCH(ROWS($O$2:O394),$O$2:$O$1001,0),1)&gt;=100000,INDEX($V$1005:$AE$1005,1,MATCH(COLUMNS($V$1006:AE1006),$V$1006:$AE$1006,0))&gt;=100000), " ",IF(INDEX($V$2:$AE$1001,MATCH(ROWS($O$2:O394),$O$2:$O$1001,0),MATCH(COLUMNS($V$1006:AE1006),$V$1006:$AE$1006,0)), HYPERLINK("#",""), HYPERLINK(CONCATENATE("#Metadata!", ADDRESS(INDEX($Q$2:$Q$1001,MATCH(ROWS($O$2:O394),$O$2:$O$1001,0),0), INDEX($V$1004:$AE$1004,1,MATCH(COLUMNS($V$1006:AE1006),$V$1006:$AE$1006,0)))),"Fix")))</f>
        <v>0</v>
      </c>
      <c r="O394">
        <v>0</v>
      </c>
      <c r="P394">
        <v>0</v>
      </c>
      <c r="Q394">
        <v>0</v>
      </c>
      <c r="R394">
        <f>IF(S394,TRUE,AND(V394:AE394))</f>
        <v>0</v>
      </c>
      <c r="S394">
        <f>COUNTBLANK(Metadata!B394:K394)=COLUMNS(Metadata!B394:K394)</f>
        <v>0</v>
      </c>
      <c r="T394">
        <v>0</v>
      </c>
      <c r="V394">
        <f>AND(IF(Metadata!B394="",FALSE,TRUE),COUNTIF(Metadata!B:B, Metadata!B394) = 1,NOT(ISERROR(SUMPRODUCT(SEARCH(MID(Metadata!B394,ROW(INDIRECT("1:"&amp;LEN(Metadata!B394))), 1),"0123456789abcdefghijklmnopqrstuvwxyzABCDEFGHIJKLMNOPQRSTUVWXYZ.")))))</f>
        <v>0</v>
      </c>
      <c r="W394">
        <f>AND(IF(Metadata!C394="",FALSE,TRUE),exact(Metadata!C394,"urban biome"))</f>
        <v>0</v>
      </c>
      <c r="X394">
        <f>AND(IF(Metadata!D394="",FALSE,TRUE),exact(Metadata!D394,"animal-associated habitat"))</f>
        <v>0</v>
      </c>
      <c r="Y394">
        <f>OR(AND(IF(Metadata!E394="",FALSE,TRUE),OR(exact(Metadata!E394,"not applicable"),exact(Metadata!E394,"missing: not collected"),exact(Metadata!E394,"missing: not provided"),exact(Metadata!E394,"missing: restricted access"))),AND(IF(Metadata!E394="",FALSE,ISNUMBER(VALUE(Metadata!E394))),Metadata!E394&gt;0))</f>
        <v>0</v>
      </c>
      <c r="Z394">
        <f>AND(IF(Metadata!F394="",FALSE,TRUE),exact(Metadata!F394,"weeks"))</f>
        <v>0</v>
      </c>
      <c r="AA394">
        <f>AND(IF(Metadata!G394="",FALSE,TRUE),exact(Metadata!G394,"mouse"))</f>
        <v>0</v>
      </c>
      <c r="AB394">
        <f>AND(IF(Metadata!H394="",FALSE,TRUE),exact(Metadata!H394,"Mus musculus"))</f>
        <v>0</v>
      </c>
      <c r="AC394">
        <f>AND(IF(Metadata!I394="",FALSE,TRUE),exact(Metadata!I394,"10090"))</f>
        <v>0</v>
      </c>
      <c r="AD394">
        <f>OR(AND(IF(Metadata!J394="",FALSE,TRUE),OR(exact(Metadata!J394,"not applicable"),exact(Metadata!J394,"missing: not collected"),exact(Metadata!J394,"missing: not provided"),exact(Metadata!J394,"missing: restricted access"))),AND(IF(Metadata!J394="",FALSE,ISNUMBER(VALUE(Metadata!J394))),Metadata!J394&gt;0))</f>
        <v>0</v>
      </c>
      <c r="AE394">
        <f>AND(IF(Metadata!K394="",FALSE,TRUE),exact(Metadata!K394,"g"))</f>
        <v>0</v>
      </c>
    </row>
    <row r="395" spans="1:31">
      <c r="A395" s="5">
        <f>IF(B395=" "," ",HYPERLINK(CONCATENATE("#metadata!",ADDRESS(INDEX($Q$2:$Q$1001,MATCH(ROWS($O$2:O395),$O$2:$O$1001,0),0),1)),INDEX($T$2:$T$1001,MATCH(ROWS($O$2:O395),$O$2:$O$1001,0),0)))</f>
        <v>0</v>
      </c>
      <c r="B395" s="4">
        <f>IF(OR(INDEX($P$2:$P$1001,MATCH(ROWS($O$2:O395),$O$2:$O$1001,0),1)&gt;=100000,INDEX($V$1005:$AE$1005,1,MATCH(COLUMNS($V$1006:V1006),$V$1006:$AE$1006,0))&gt;=100000), " ",IF(INDEX($V$2:$AE$1001,MATCH(ROWS($O$2:O395),$O$2:$O$1001,0),MATCH(COLUMNS($V$1006:V1006),$V$1006:$AE$1006,0)), HYPERLINK("#",""), HYPERLINK(CONCATENATE("#Metadata!", ADDRESS(INDEX($Q$2:$Q$1001,MATCH(ROWS($O$2:O395),$O$2:$O$1001,0),0), INDEX($V$1004:$AE$1004,1,MATCH(COLUMNS($V$1006:V1006),$V$1006:$AE$1006,0)))),"Fix")))</f>
        <v>0</v>
      </c>
      <c r="C395" s="4">
        <f>IF(OR(INDEX($P$2:$P$1001,MATCH(ROWS($O$2:O395),$O$2:$O$1001,0),1)&gt;=100000,INDEX($V$1005:$AE$1005,1,MATCH(COLUMNS($V$1006:W1006),$V$1006:$AE$1006,0))&gt;=100000), " ",IF(INDEX($V$2:$AE$1001,MATCH(ROWS($O$2:O395),$O$2:$O$1001,0),MATCH(COLUMNS($V$1006:W1006),$V$1006:$AE$1006,0)), HYPERLINK("#",""), HYPERLINK(CONCATENATE("#Metadata!", ADDRESS(INDEX($Q$2:$Q$1001,MATCH(ROWS($O$2:O395),$O$2:$O$1001,0),0), INDEX($V$1004:$AE$1004,1,MATCH(COLUMNS($V$1006:W1006),$V$1006:$AE$1006,0)))),"Fix")))</f>
        <v>0</v>
      </c>
      <c r="D395" s="4">
        <f>IF(OR(INDEX($P$2:$P$1001,MATCH(ROWS($O$2:O395),$O$2:$O$1001,0),1)&gt;=100000,INDEX($V$1005:$AE$1005,1,MATCH(COLUMNS($V$1006:X1006),$V$1006:$AE$1006,0))&gt;=100000), " ",IF(INDEX($V$2:$AE$1001,MATCH(ROWS($O$2:O395),$O$2:$O$1001,0),MATCH(COLUMNS($V$1006:X1006),$V$1006:$AE$1006,0)), HYPERLINK("#",""), HYPERLINK(CONCATENATE("#Metadata!", ADDRESS(INDEX($Q$2:$Q$1001,MATCH(ROWS($O$2:O395),$O$2:$O$1001,0),0), INDEX($V$1004:$AE$1004,1,MATCH(COLUMNS($V$1006:X1006),$V$1006:$AE$1006,0)))),"Fix")))</f>
        <v>0</v>
      </c>
      <c r="E395" s="4">
        <f>IF(OR(INDEX($P$2:$P$1001,MATCH(ROWS($O$2:O395),$O$2:$O$1001,0),1)&gt;=100000,INDEX($V$1005:$AE$1005,1,MATCH(COLUMNS($V$1006:Y1006),$V$1006:$AE$1006,0))&gt;=100000), " ",IF(INDEX($V$2:$AE$1001,MATCH(ROWS($O$2:O395),$O$2:$O$1001,0),MATCH(COLUMNS($V$1006:Y1006),$V$1006:$AE$1006,0)), HYPERLINK("#",""), HYPERLINK(CONCATENATE("#Metadata!", ADDRESS(INDEX($Q$2:$Q$1001,MATCH(ROWS($O$2:O395),$O$2:$O$1001,0),0), INDEX($V$1004:$AE$1004,1,MATCH(COLUMNS($V$1006:Y1006),$V$1006:$AE$1006,0)))),"Fix")))</f>
        <v>0</v>
      </c>
      <c r="F395" s="4">
        <f>IF(OR(INDEX($P$2:$P$1001,MATCH(ROWS($O$2:O395),$O$2:$O$1001,0),1)&gt;=100000,INDEX($V$1005:$AE$1005,1,MATCH(COLUMNS($V$1006:Z1006),$V$1006:$AE$1006,0))&gt;=100000), " ",IF(INDEX($V$2:$AE$1001,MATCH(ROWS($O$2:O395),$O$2:$O$1001,0),MATCH(COLUMNS($V$1006:Z1006),$V$1006:$AE$1006,0)), HYPERLINK("#",""), HYPERLINK(CONCATENATE("#Metadata!", ADDRESS(INDEX($Q$2:$Q$1001,MATCH(ROWS($O$2:O395),$O$2:$O$1001,0),0), INDEX($V$1004:$AE$1004,1,MATCH(COLUMNS($V$1006:Z1006),$V$1006:$AE$1006,0)))),"Fix")))</f>
        <v>0</v>
      </c>
      <c r="G395" s="4">
        <f>IF(OR(INDEX($P$2:$P$1001,MATCH(ROWS($O$2:O395),$O$2:$O$1001,0),1)&gt;=100000,INDEX($V$1005:$AE$1005,1,MATCH(COLUMNS($V$1006:AA1006),$V$1006:$AE$1006,0))&gt;=100000), " ",IF(INDEX($V$2:$AE$1001,MATCH(ROWS($O$2:O395),$O$2:$O$1001,0),MATCH(COLUMNS($V$1006:AA1006),$V$1006:$AE$1006,0)), HYPERLINK("#",""), HYPERLINK(CONCATENATE("#Metadata!", ADDRESS(INDEX($Q$2:$Q$1001,MATCH(ROWS($O$2:O395),$O$2:$O$1001,0),0), INDEX($V$1004:$AE$1004,1,MATCH(COLUMNS($V$1006:AA1006),$V$1006:$AE$1006,0)))),"Fix")))</f>
        <v>0</v>
      </c>
      <c r="H395" s="4">
        <f>IF(OR(INDEX($P$2:$P$1001,MATCH(ROWS($O$2:O395),$O$2:$O$1001,0),1)&gt;=100000,INDEX($V$1005:$AE$1005,1,MATCH(COLUMNS($V$1006:AB1006),$V$1006:$AE$1006,0))&gt;=100000), " ",IF(INDEX($V$2:$AE$1001,MATCH(ROWS($O$2:O395),$O$2:$O$1001,0),MATCH(COLUMNS($V$1006:AB1006),$V$1006:$AE$1006,0)), HYPERLINK("#",""), HYPERLINK(CONCATENATE("#Metadata!", ADDRESS(INDEX($Q$2:$Q$1001,MATCH(ROWS($O$2:O395),$O$2:$O$1001,0),0), INDEX($V$1004:$AE$1004,1,MATCH(COLUMNS($V$1006:AB1006),$V$1006:$AE$1006,0)))),"Fix")))</f>
        <v>0</v>
      </c>
      <c r="I395" s="4">
        <f>IF(OR(INDEX($P$2:$P$1001,MATCH(ROWS($O$2:O395),$O$2:$O$1001,0),1)&gt;=100000,INDEX($V$1005:$AE$1005,1,MATCH(COLUMNS($V$1006:AC1006),$V$1006:$AE$1006,0))&gt;=100000), " ",IF(INDEX($V$2:$AE$1001,MATCH(ROWS($O$2:O395),$O$2:$O$1001,0),MATCH(COLUMNS($V$1006:AC1006),$V$1006:$AE$1006,0)), HYPERLINK("#",""), HYPERLINK(CONCATENATE("#Metadata!", ADDRESS(INDEX($Q$2:$Q$1001,MATCH(ROWS($O$2:O395),$O$2:$O$1001,0),0), INDEX($V$1004:$AE$1004,1,MATCH(COLUMNS($V$1006:AC1006),$V$1006:$AE$1006,0)))),"Fix")))</f>
        <v>0</v>
      </c>
      <c r="J395" s="4">
        <f>IF(OR(INDEX($P$2:$P$1001,MATCH(ROWS($O$2:O395),$O$2:$O$1001,0),1)&gt;=100000,INDEX($V$1005:$AE$1005,1,MATCH(COLUMNS($V$1006:AD1006),$V$1006:$AE$1006,0))&gt;=100000), " ",IF(INDEX($V$2:$AE$1001,MATCH(ROWS($O$2:O395),$O$2:$O$1001,0),MATCH(COLUMNS($V$1006:AD1006),$V$1006:$AE$1006,0)), HYPERLINK("#",""), HYPERLINK(CONCATENATE("#Metadata!", ADDRESS(INDEX($Q$2:$Q$1001,MATCH(ROWS($O$2:O395),$O$2:$O$1001,0),0), INDEX($V$1004:$AE$1004,1,MATCH(COLUMNS($V$1006:AD1006),$V$1006:$AE$1006,0)))),"Fix")))</f>
        <v>0</v>
      </c>
      <c r="K395" s="4">
        <f>IF(OR(INDEX($P$2:$P$1001,MATCH(ROWS($O$2:O395),$O$2:$O$1001,0),1)&gt;=100000,INDEX($V$1005:$AE$1005,1,MATCH(COLUMNS($V$1006:AE1006),$V$1006:$AE$1006,0))&gt;=100000), " ",IF(INDEX($V$2:$AE$1001,MATCH(ROWS($O$2:O395),$O$2:$O$1001,0),MATCH(COLUMNS($V$1006:AE1006),$V$1006:$AE$1006,0)), HYPERLINK("#",""), HYPERLINK(CONCATENATE("#Metadata!", ADDRESS(INDEX($Q$2:$Q$1001,MATCH(ROWS($O$2:O395),$O$2:$O$1001,0),0), INDEX($V$1004:$AE$1004,1,MATCH(COLUMNS($V$1006:AE1006),$V$1006:$AE$1006,0)))),"Fix")))</f>
        <v>0</v>
      </c>
      <c r="O395">
        <v>0</v>
      </c>
      <c r="P395">
        <v>0</v>
      </c>
      <c r="Q395">
        <v>0</v>
      </c>
      <c r="R395">
        <f>IF(S395,TRUE,AND(V395:AE395))</f>
        <v>0</v>
      </c>
      <c r="S395">
        <f>COUNTBLANK(Metadata!B395:K395)=COLUMNS(Metadata!B395:K395)</f>
        <v>0</v>
      </c>
      <c r="T395">
        <v>0</v>
      </c>
      <c r="V395">
        <f>AND(IF(Metadata!B395="",FALSE,TRUE),COUNTIF(Metadata!B:B, Metadata!B395) = 1,NOT(ISERROR(SUMPRODUCT(SEARCH(MID(Metadata!B395,ROW(INDIRECT("1:"&amp;LEN(Metadata!B395))), 1),"0123456789abcdefghijklmnopqrstuvwxyzABCDEFGHIJKLMNOPQRSTUVWXYZ.")))))</f>
        <v>0</v>
      </c>
      <c r="W395">
        <f>AND(IF(Metadata!C395="",FALSE,TRUE),exact(Metadata!C395,"urban biome"))</f>
        <v>0</v>
      </c>
      <c r="X395">
        <f>AND(IF(Metadata!D395="",FALSE,TRUE),exact(Metadata!D395,"animal-associated habitat"))</f>
        <v>0</v>
      </c>
      <c r="Y395">
        <f>OR(AND(IF(Metadata!E395="",FALSE,TRUE),OR(exact(Metadata!E395,"not applicable"),exact(Metadata!E395,"missing: not collected"),exact(Metadata!E395,"missing: not provided"),exact(Metadata!E395,"missing: restricted access"))),AND(IF(Metadata!E395="",FALSE,ISNUMBER(VALUE(Metadata!E395))),Metadata!E395&gt;0))</f>
        <v>0</v>
      </c>
      <c r="Z395">
        <f>AND(IF(Metadata!F395="",FALSE,TRUE),exact(Metadata!F395,"weeks"))</f>
        <v>0</v>
      </c>
      <c r="AA395">
        <f>AND(IF(Metadata!G395="",FALSE,TRUE),exact(Metadata!G395,"mouse"))</f>
        <v>0</v>
      </c>
      <c r="AB395">
        <f>AND(IF(Metadata!H395="",FALSE,TRUE),exact(Metadata!H395,"Mus musculus"))</f>
        <v>0</v>
      </c>
      <c r="AC395">
        <f>AND(IF(Metadata!I395="",FALSE,TRUE),exact(Metadata!I395,"10090"))</f>
        <v>0</v>
      </c>
      <c r="AD395">
        <f>OR(AND(IF(Metadata!J395="",FALSE,TRUE),OR(exact(Metadata!J395,"not applicable"),exact(Metadata!J395,"missing: not collected"),exact(Metadata!J395,"missing: not provided"),exact(Metadata!J395,"missing: restricted access"))),AND(IF(Metadata!J395="",FALSE,ISNUMBER(VALUE(Metadata!J395))),Metadata!J395&gt;0))</f>
        <v>0</v>
      </c>
      <c r="AE395">
        <f>AND(IF(Metadata!K395="",FALSE,TRUE),exact(Metadata!K395,"g"))</f>
        <v>0</v>
      </c>
    </row>
    <row r="396" spans="1:31">
      <c r="A396" s="5">
        <f>IF(B396=" "," ",HYPERLINK(CONCATENATE("#metadata!",ADDRESS(INDEX($Q$2:$Q$1001,MATCH(ROWS($O$2:O396),$O$2:$O$1001,0),0),1)),INDEX($T$2:$T$1001,MATCH(ROWS($O$2:O396),$O$2:$O$1001,0),0)))</f>
        <v>0</v>
      </c>
      <c r="B396" s="4">
        <f>IF(OR(INDEX($P$2:$P$1001,MATCH(ROWS($O$2:O396),$O$2:$O$1001,0),1)&gt;=100000,INDEX($V$1005:$AE$1005,1,MATCH(COLUMNS($V$1006:V1006),$V$1006:$AE$1006,0))&gt;=100000), " ",IF(INDEX($V$2:$AE$1001,MATCH(ROWS($O$2:O396),$O$2:$O$1001,0),MATCH(COLUMNS($V$1006:V1006),$V$1006:$AE$1006,0)), HYPERLINK("#",""), HYPERLINK(CONCATENATE("#Metadata!", ADDRESS(INDEX($Q$2:$Q$1001,MATCH(ROWS($O$2:O396),$O$2:$O$1001,0),0), INDEX($V$1004:$AE$1004,1,MATCH(COLUMNS($V$1006:V1006),$V$1006:$AE$1006,0)))),"Fix")))</f>
        <v>0</v>
      </c>
      <c r="C396" s="4">
        <f>IF(OR(INDEX($P$2:$P$1001,MATCH(ROWS($O$2:O396),$O$2:$O$1001,0),1)&gt;=100000,INDEX($V$1005:$AE$1005,1,MATCH(COLUMNS($V$1006:W1006),$V$1006:$AE$1006,0))&gt;=100000), " ",IF(INDEX($V$2:$AE$1001,MATCH(ROWS($O$2:O396),$O$2:$O$1001,0),MATCH(COLUMNS($V$1006:W1006),$V$1006:$AE$1006,0)), HYPERLINK("#",""), HYPERLINK(CONCATENATE("#Metadata!", ADDRESS(INDEX($Q$2:$Q$1001,MATCH(ROWS($O$2:O396),$O$2:$O$1001,0),0), INDEX($V$1004:$AE$1004,1,MATCH(COLUMNS($V$1006:W1006),$V$1006:$AE$1006,0)))),"Fix")))</f>
        <v>0</v>
      </c>
      <c r="D396" s="4">
        <f>IF(OR(INDEX($P$2:$P$1001,MATCH(ROWS($O$2:O396),$O$2:$O$1001,0),1)&gt;=100000,INDEX($V$1005:$AE$1005,1,MATCH(COLUMNS($V$1006:X1006),$V$1006:$AE$1006,0))&gt;=100000), " ",IF(INDEX($V$2:$AE$1001,MATCH(ROWS($O$2:O396),$O$2:$O$1001,0),MATCH(COLUMNS($V$1006:X1006),$V$1006:$AE$1006,0)), HYPERLINK("#",""), HYPERLINK(CONCATENATE("#Metadata!", ADDRESS(INDEX($Q$2:$Q$1001,MATCH(ROWS($O$2:O396),$O$2:$O$1001,0),0), INDEX($V$1004:$AE$1004,1,MATCH(COLUMNS($V$1006:X1006),$V$1006:$AE$1006,0)))),"Fix")))</f>
        <v>0</v>
      </c>
      <c r="E396" s="4">
        <f>IF(OR(INDEX($P$2:$P$1001,MATCH(ROWS($O$2:O396),$O$2:$O$1001,0),1)&gt;=100000,INDEX($V$1005:$AE$1005,1,MATCH(COLUMNS($V$1006:Y1006),$V$1006:$AE$1006,0))&gt;=100000), " ",IF(INDEX($V$2:$AE$1001,MATCH(ROWS($O$2:O396),$O$2:$O$1001,0),MATCH(COLUMNS($V$1006:Y1006),$V$1006:$AE$1006,0)), HYPERLINK("#",""), HYPERLINK(CONCATENATE("#Metadata!", ADDRESS(INDEX($Q$2:$Q$1001,MATCH(ROWS($O$2:O396),$O$2:$O$1001,0),0), INDEX($V$1004:$AE$1004,1,MATCH(COLUMNS($V$1006:Y1006),$V$1006:$AE$1006,0)))),"Fix")))</f>
        <v>0</v>
      </c>
      <c r="F396" s="4">
        <f>IF(OR(INDEX($P$2:$P$1001,MATCH(ROWS($O$2:O396),$O$2:$O$1001,0),1)&gt;=100000,INDEX($V$1005:$AE$1005,1,MATCH(COLUMNS($V$1006:Z1006),$V$1006:$AE$1006,0))&gt;=100000), " ",IF(INDEX($V$2:$AE$1001,MATCH(ROWS($O$2:O396),$O$2:$O$1001,0),MATCH(COLUMNS($V$1006:Z1006),$V$1006:$AE$1006,0)), HYPERLINK("#",""), HYPERLINK(CONCATENATE("#Metadata!", ADDRESS(INDEX($Q$2:$Q$1001,MATCH(ROWS($O$2:O396),$O$2:$O$1001,0),0), INDEX($V$1004:$AE$1004,1,MATCH(COLUMNS($V$1006:Z1006),$V$1006:$AE$1006,0)))),"Fix")))</f>
        <v>0</v>
      </c>
      <c r="G396" s="4">
        <f>IF(OR(INDEX($P$2:$P$1001,MATCH(ROWS($O$2:O396),$O$2:$O$1001,0),1)&gt;=100000,INDEX($V$1005:$AE$1005,1,MATCH(COLUMNS($V$1006:AA1006),$V$1006:$AE$1006,0))&gt;=100000), " ",IF(INDEX($V$2:$AE$1001,MATCH(ROWS($O$2:O396),$O$2:$O$1001,0),MATCH(COLUMNS($V$1006:AA1006),$V$1006:$AE$1006,0)), HYPERLINK("#",""), HYPERLINK(CONCATENATE("#Metadata!", ADDRESS(INDEX($Q$2:$Q$1001,MATCH(ROWS($O$2:O396),$O$2:$O$1001,0),0), INDEX($V$1004:$AE$1004,1,MATCH(COLUMNS($V$1006:AA1006),$V$1006:$AE$1006,0)))),"Fix")))</f>
        <v>0</v>
      </c>
      <c r="H396" s="4">
        <f>IF(OR(INDEX($P$2:$P$1001,MATCH(ROWS($O$2:O396),$O$2:$O$1001,0),1)&gt;=100000,INDEX($V$1005:$AE$1005,1,MATCH(COLUMNS($V$1006:AB1006),$V$1006:$AE$1006,0))&gt;=100000), " ",IF(INDEX($V$2:$AE$1001,MATCH(ROWS($O$2:O396),$O$2:$O$1001,0),MATCH(COLUMNS($V$1006:AB1006),$V$1006:$AE$1006,0)), HYPERLINK("#",""), HYPERLINK(CONCATENATE("#Metadata!", ADDRESS(INDEX($Q$2:$Q$1001,MATCH(ROWS($O$2:O396),$O$2:$O$1001,0),0), INDEX($V$1004:$AE$1004,1,MATCH(COLUMNS($V$1006:AB1006),$V$1006:$AE$1006,0)))),"Fix")))</f>
        <v>0</v>
      </c>
      <c r="I396" s="4">
        <f>IF(OR(INDEX($P$2:$P$1001,MATCH(ROWS($O$2:O396),$O$2:$O$1001,0),1)&gt;=100000,INDEX($V$1005:$AE$1005,1,MATCH(COLUMNS($V$1006:AC1006),$V$1006:$AE$1006,0))&gt;=100000), " ",IF(INDEX($V$2:$AE$1001,MATCH(ROWS($O$2:O396),$O$2:$O$1001,0),MATCH(COLUMNS($V$1006:AC1006),$V$1006:$AE$1006,0)), HYPERLINK("#",""), HYPERLINK(CONCATENATE("#Metadata!", ADDRESS(INDEX($Q$2:$Q$1001,MATCH(ROWS($O$2:O396),$O$2:$O$1001,0),0), INDEX($V$1004:$AE$1004,1,MATCH(COLUMNS($V$1006:AC1006),$V$1006:$AE$1006,0)))),"Fix")))</f>
        <v>0</v>
      </c>
      <c r="J396" s="4">
        <f>IF(OR(INDEX($P$2:$P$1001,MATCH(ROWS($O$2:O396),$O$2:$O$1001,0),1)&gt;=100000,INDEX($V$1005:$AE$1005,1,MATCH(COLUMNS($V$1006:AD1006),$V$1006:$AE$1006,0))&gt;=100000), " ",IF(INDEX($V$2:$AE$1001,MATCH(ROWS($O$2:O396),$O$2:$O$1001,0),MATCH(COLUMNS($V$1006:AD1006),$V$1006:$AE$1006,0)), HYPERLINK("#",""), HYPERLINK(CONCATENATE("#Metadata!", ADDRESS(INDEX($Q$2:$Q$1001,MATCH(ROWS($O$2:O396),$O$2:$O$1001,0),0), INDEX($V$1004:$AE$1004,1,MATCH(COLUMNS($V$1006:AD1006),$V$1006:$AE$1006,0)))),"Fix")))</f>
        <v>0</v>
      </c>
      <c r="K396" s="4">
        <f>IF(OR(INDEX($P$2:$P$1001,MATCH(ROWS($O$2:O396),$O$2:$O$1001,0),1)&gt;=100000,INDEX($V$1005:$AE$1005,1,MATCH(COLUMNS($V$1006:AE1006),$V$1006:$AE$1006,0))&gt;=100000), " ",IF(INDEX($V$2:$AE$1001,MATCH(ROWS($O$2:O396),$O$2:$O$1001,0),MATCH(COLUMNS($V$1006:AE1006),$V$1006:$AE$1006,0)), HYPERLINK("#",""), HYPERLINK(CONCATENATE("#Metadata!", ADDRESS(INDEX($Q$2:$Q$1001,MATCH(ROWS($O$2:O396),$O$2:$O$1001,0),0), INDEX($V$1004:$AE$1004,1,MATCH(COLUMNS($V$1006:AE1006),$V$1006:$AE$1006,0)))),"Fix")))</f>
        <v>0</v>
      </c>
      <c r="O396">
        <v>0</v>
      </c>
      <c r="P396">
        <v>0</v>
      </c>
      <c r="Q396">
        <v>0</v>
      </c>
      <c r="R396">
        <f>IF(S396,TRUE,AND(V396:AE396))</f>
        <v>0</v>
      </c>
      <c r="S396">
        <f>COUNTBLANK(Metadata!B396:K396)=COLUMNS(Metadata!B396:K396)</f>
        <v>0</v>
      </c>
      <c r="T396">
        <v>0</v>
      </c>
      <c r="V396">
        <f>AND(IF(Metadata!B396="",FALSE,TRUE),COUNTIF(Metadata!B:B, Metadata!B396) = 1,NOT(ISERROR(SUMPRODUCT(SEARCH(MID(Metadata!B396,ROW(INDIRECT("1:"&amp;LEN(Metadata!B396))), 1),"0123456789abcdefghijklmnopqrstuvwxyzABCDEFGHIJKLMNOPQRSTUVWXYZ.")))))</f>
        <v>0</v>
      </c>
      <c r="W396">
        <f>AND(IF(Metadata!C396="",FALSE,TRUE),exact(Metadata!C396,"urban biome"))</f>
        <v>0</v>
      </c>
      <c r="X396">
        <f>AND(IF(Metadata!D396="",FALSE,TRUE),exact(Metadata!D396,"animal-associated habitat"))</f>
        <v>0</v>
      </c>
      <c r="Y396">
        <f>OR(AND(IF(Metadata!E396="",FALSE,TRUE),OR(exact(Metadata!E396,"not applicable"),exact(Metadata!E396,"missing: not collected"),exact(Metadata!E396,"missing: not provided"),exact(Metadata!E396,"missing: restricted access"))),AND(IF(Metadata!E396="",FALSE,ISNUMBER(VALUE(Metadata!E396))),Metadata!E396&gt;0))</f>
        <v>0</v>
      </c>
      <c r="Z396">
        <f>AND(IF(Metadata!F396="",FALSE,TRUE),exact(Metadata!F396,"weeks"))</f>
        <v>0</v>
      </c>
      <c r="AA396">
        <f>AND(IF(Metadata!G396="",FALSE,TRUE),exact(Metadata!G396,"mouse"))</f>
        <v>0</v>
      </c>
      <c r="AB396">
        <f>AND(IF(Metadata!H396="",FALSE,TRUE),exact(Metadata!H396,"Mus musculus"))</f>
        <v>0</v>
      </c>
      <c r="AC396">
        <f>AND(IF(Metadata!I396="",FALSE,TRUE),exact(Metadata!I396,"10090"))</f>
        <v>0</v>
      </c>
      <c r="AD396">
        <f>OR(AND(IF(Metadata!J396="",FALSE,TRUE),OR(exact(Metadata!J396,"not applicable"),exact(Metadata!J396,"missing: not collected"),exact(Metadata!J396,"missing: not provided"),exact(Metadata!J396,"missing: restricted access"))),AND(IF(Metadata!J396="",FALSE,ISNUMBER(VALUE(Metadata!J396))),Metadata!J396&gt;0))</f>
        <v>0</v>
      </c>
      <c r="AE396">
        <f>AND(IF(Metadata!K396="",FALSE,TRUE),exact(Metadata!K396,"g"))</f>
        <v>0</v>
      </c>
    </row>
    <row r="397" spans="1:31">
      <c r="A397" s="5">
        <f>IF(B397=" "," ",HYPERLINK(CONCATENATE("#metadata!",ADDRESS(INDEX($Q$2:$Q$1001,MATCH(ROWS($O$2:O397),$O$2:$O$1001,0),0),1)),INDEX($T$2:$T$1001,MATCH(ROWS($O$2:O397),$O$2:$O$1001,0),0)))</f>
        <v>0</v>
      </c>
      <c r="B397" s="4">
        <f>IF(OR(INDEX($P$2:$P$1001,MATCH(ROWS($O$2:O397),$O$2:$O$1001,0),1)&gt;=100000,INDEX($V$1005:$AE$1005,1,MATCH(COLUMNS($V$1006:V1006),$V$1006:$AE$1006,0))&gt;=100000), " ",IF(INDEX($V$2:$AE$1001,MATCH(ROWS($O$2:O397),$O$2:$O$1001,0),MATCH(COLUMNS($V$1006:V1006),$V$1006:$AE$1006,0)), HYPERLINK("#",""), HYPERLINK(CONCATENATE("#Metadata!", ADDRESS(INDEX($Q$2:$Q$1001,MATCH(ROWS($O$2:O397),$O$2:$O$1001,0),0), INDEX($V$1004:$AE$1004,1,MATCH(COLUMNS($V$1006:V1006),$V$1006:$AE$1006,0)))),"Fix")))</f>
        <v>0</v>
      </c>
      <c r="C397" s="4">
        <f>IF(OR(INDEX($P$2:$P$1001,MATCH(ROWS($O$2:O397),$O$2:$O$1001,0),1)&gt;=100000,INDEX($V$1005:$AE$1005,1,MATCH(COLUMNS($V$1006:W1006),$V$1006:$AE$1006,0))&gt;=100000), " ",IF(INDEX($V$2:$AE$1001,MATCH(ROWS($O$2:O397),$O$2:$O$1001,0),MATCH(COLUMNS($V$1006:W1006),$V$1006:$AE$1006,0)), HYPERLINK("#",""), HYPERLINK(CONCATENATE("#Metadata!", ADDRESS(INDEX($Q$2:$Q$1001,MATCH(ROWS($O$2:O397),$O$2:$O$1001,0),0), INDEX($V$1004:$AE$1004,1,MATCH(COLUMNS($V$1006:W1006),$V$1006:$AE$1006,0)))),"Fix")))</f>
        <v>0</v>
      </c>
      <c r="D397" s="4">
        <f>IF(OR(INDEX($P$2:$P$1001,MATCH(ROWS($O$2:O397),$O$2:$O$1001,0),1)&gt;=100000,INDEX($V$1005:$AE$1005,1,MATCH(COLUMNS($V$1006:X1006),$V$1006:$AE$1006,0))&gt;=100000), " ",IF(INDEX($V$2:$AE$1001,MATCH(ROWS($O$2:O397),$O$2:$O$1001,0),MATCH(COLUMNS($V$1006:X1006),$V$1006:$AE$1006,0)), HYPERLINK("#",""), HYPERLINK(CONCATENATE("#Metadata!", ADDRESS(INDEX($Q$2:$Q$1001,MATCH(ROWS($O$2:O397),$O$2:$O$1001,0),0), INDEX($V$1004:$AE$1004,1,MATCH(COLUMNS($V$1006:X1006),$V$1006:$AE$1006,0)))),"Fix")))</f>
        <v>0</v>
      </c>
      <c r="E397" s="4">
        <f>IF(OR(INDEX($P$2:$P$1001,MATCH(ROWS($O$2:O397),$O$2:$O$1001,0),1)&gt;=100000,INDEX($V$1005:$AE$1005,1,MATCH(COLUMNS($V$1006:Y1006),$V$1006:$AE$1006,0))&gt;=100000), " ",IF(INDEX($V$2:$AE$1001,MATCH(ROWS($O$2:O397),$O$2:$O$1001,0),MATCH(COLUMNS($V$1006:Y1006),$V$1006:$AE$1006,0)), HYPERLINK("#",""), HYPERLINK(CONCATENATE("#Metadata!", ADDRESS(INDEX($Q$2:$Q$1001,MATCH(ROWS($O$2:O397),$O$2:$O$1001,0),0), INDEX($V$1004:$AE$1004,1,MATCH(COLUMNS($V$1006:Y1006),$V$1006:$AE$1006,0)))),"Fix")))</f>
        <v>0</v>
      </c>
      <c r="F397" s="4">
        <f>IF(OR(INDEX($P$2:$P$1001,MATCH(ROWS($O$2:O397),$O$2:$O$1001,0),1)&gt;=100000,INDEX($V$1005:$AE$1005,1,MATCH(COLUMNS($V$1006:Z1006),$V$1006:$AE$1006,0))&gt;=100000), " ",IF(INDEX($V$2:$AE$1001,MATCH(ROWS($O$2:O397),$O$2:$O$1001,0),MATCH(COLUMNS($V$1006:Z1006),$V$1006:$AE$1006,0)), HYPERLINK("#",""), HYPERLINK(CONCATENATE("#Metadata!", ADDRESS(INDEX($Q$2:$Q$1001,MATCH(ROWS($O$2:O397),$O$2:$O$1001,0),0), INDEX($V$1004:$AE$1004,1,MATCH(COLUMNS($V$1006:Z1006),$V$1006:$AE$1006,0)))),"Fix")))</f>
        <v>0</v>
      </c>
      <c r="G397" s="4">
        <f>IF(OR(INDEX($P$2:$P$1001,MATCH(ROWS($O$2:O397),$O$2:$O$1001,0),1)&gt;=100000,INDEX($V$1005:$AE$1005,1,MATCH(COLUMNS($V$1006:AA1006),$V$1006:$AE$1006,0))&gt;=100000), " ",IF(INDEX($V$2:$AE$1001,MATCH(ROWS($O$2:O397),$O$2:$O$1001,0),MATCH(COLUMNS($V$1006:AA1006),$V$1006:$AE$1006,0)), HYPERLINK("#",""), HYPERLINK(CONCATENATE("#Metadata!", ADDRESS(INDEX($Q$2:$Q$1001,MATCH(ROWS($O$2:O397),$O$2:$O$1001,0),0), INDEX($V$1004:$AE$1004,1,MATCH(COLUMNS($V$1006:AA1006),$V$1006:$AE$1006,0)))),"Fix")))</f>
        <v>0</v>
      </c>
      <c r="H397" s="4">
        <f>IF(OR(INDEX($P$2:$P$1001,MATCH(ROWS($O$2:O397),$O$2:$O$1001,0),1)&gt;=100000,INDEX($V$1005:$AE$1005,1,MATCH(COLUMNS($V$1006:AB1006),$V$1006:$AE$1006,0))&gt;=100000), " ",IF(INDEX($V$2:$AE$1001,MATCH(ROWS($O$2:O397),$O$2:$O$1001,0),MATCH(COLUMNS($V$1006:AB1006),$V$1006:$AE$1006,0)), HYPERLINK("#",""), HYPERLINK(CONCATENATE("#Metadata!", ADDRESS(INDEX($Q$2:$Q$1001,MATCH(ROWS($O$2:O397),$O$2:$O$1001,0),0), INDEX($V$1004:$AE$1004,1,MATCH(COLUMNS($V$1006:AB1006),$V$1006:$AE$1006,0)))),"Fix")))</f>
        <v>0</v>
      </c>
      <c r="I397" s="4">
        <f>IF(OR(INDEX($P$2:$P$1001,MATCH(ROWS($O$2:O397),$O$2:$O$1001,0),1)&gt;=100000,INDEX($V$1005:$AE$1005,1,MATCH(COLUMNS($V$1006:AC1006),$V$1006:$AE$1006,0))&gt;=100000), " ",IF(INDEX($V$2:$AE$1001,MATCH(ROWS($O$2:O397),$O$2:$O$1001,0),MATCH(COLUMNS($V$1006:AC1006),$V$1006:$AE$1006,0)), HYPERLINK("#",""), HYPERLINK(CONCATENATE("#Metadata!", ADDRESS(INDEX($Q$2:$Q$1001,MATCH(ROWS($O$2:O397),$O$2:$O$1001,0),0), INDEX($V$1004:$AE$1004,1,MATCH(COLUMNS($V$1006:AC1006),$V$1006:$AE$1006,0)))),"Fix")))</f>
        <v>0</v>
      </c>
      <c r="J397" s="4">
        <f>IF(OR(INDEX($P$2:$P$1001,MATCH(ROWS($O$2:O397),$O$2:$O$1001,0),1)&gt;=100000,INDEX($V$1005:$AE$1005,1,MATCH(COLUMNS($V$1006:AD1006),$V$1006:$AE$1006,0))&gt;=100000), " ",IF(INDEX($V$2:$AE$1001,MATCH(ROWS($O$2:O397),$O$2:$O$1001,0),MATCH(COLUMNS($V$1006:AD1006),$V$1006:$AE$1006,0)), HYPERLINK("#",""), HYPERLINK(CONCATENATE("#Metadata!", ADDRESS(INDEX($Q$2:$Q$1001,MATCH(ROWS($O$2:O397),$O$2:$O$1001,0),0), INDEX($V$1004:$AE$1004,1,MATCH(COLUMNS($V$1006:AD1006),$V$1006:$AE$1006,0)))),"Fix")))</f>
        <v>0</v>
      </c>
      <c r="K397" s="4">
        <f>IF(OR(INDEX($P$2:$P$1001,MATCH(ROWS($O$2:O397),$O$2:$O$1001,0),1)&gt;=100000,INDEX($V$1005:$AE$1005,1,MATCH(COLUMNS($V$1006:AE1006),$V$1006:$AE$1006,0))&gt;=100000), " ",IF(INDEX($V$2:$AE$1001,MATCH(ROWS($O$2:O397),$O$2:$O$1001,0),MATCH(COLUMNS($V$1006:AE1006),$V$1006:$AE$1006,0)), HYPERLINK("#",""), HYPERLINK(CONCATENATE("#Metadata!", ADDRESS(INDEX($Q$2:$Q$1001,MATCH(ROWS($O$2:O397),$O$2:$O$1001,0),0), INDEX($V$1004:$AE$1004,1,MATCH(COLUMNS($V$1006:AE1006),$V$1006:$AE$1006,0)))),"Fix")))</f>
        <v>0</v>
      </c>
      <c r="O397">
        <v>0</v>
      </c>
      <c r="P397">
        <v>0</v>
      </c>
      <c r="Q397">
        <v>0</v>
      </c>
      <c r="R397">
        <f>IF(S397,TRUE,AND(V397:AE397))</f>
        <v>0</v>
      </c>
      <c r="S397">
        <f>COUNTBLANK(Metadata!B397:K397)=COLUMNS(Metadata!B397:K397)</f>
        <v>0</v>
      </c>
      <c r="T397">
        <v>0</v>
      </c>
      <c r="V397">
        <f>AND(IF(Metadata!B397="",FALSE,TRUE),COUNTIF(Metadata!B:B, Metadata!B397) = 1,NOT(ISERROR(SUMPRODUCT(SEARCH(MID(Metadata!B397,ROW(INDIRECT("1:"&amp;LEN(Metadata!B397))), 1),"0123456789abcdefghijklmnopqrstuvwxyzABCDEFGHIJKLMNOPQRSTUVWXYZ.")))))</f>
        <v>0</v>
      </c>
      <c r="W397">
        <f>AND(IF(Metadata!C397="",FALSE,TRUE),exact(Metadata!C397,"urban biome"))</f>
        <v>0</v>
      </c>
      <c r="X397">
        <f>AND(IF(Metadata!D397="",FALSE,TRUE),exact(Metadata!D397,"animal-associated habitat"))</f>
        <v>0</v>
      </c>
      <c r="Y397">
        <f>OR(AND(IF(Metadata!E397="",FALSE,TRUE),OR(exact(Metadata!E397,"not applicable"),exact(Metadata!E397,"missing: not collected"),exact(Metadata!E397,"missing: not provided"),exact(Metadata!E397,"missing: restricted access"))),AND(IF(Metadata!E397="",FALSE,ISNUMBER(VALUE(Metadata!E397))),Metadata!E397&gt;0))</f>
        <v>0</v>
      </c>
      <c r="Z397">
        <f>AND(IF(Metadata!F397="",FALSE,TRUE),exact(Metadata!F397,"weeks"))</f>
        <v>0</v>
      </c>
      <c r="AA397">
        <f>AND(IF(Metadata!G397="",FALSE,TRUE),exact(Metadata!G397,"mouse"))</f>
        <v>0</v>
      </c>
      <c r="AB397">
        <f>AND(IF(Metadata!H397="",FALSE,TRUE),exact(Metadata!H397,"Mus musculus"))</f>
        <v>0</v>
      </c>
      <c r="AC397">
        <f>AND(IF(Metadata!I397="",FALSE,TRUE),exact(Metadata!I397,"10090"))</f>
        <v>0</v>
      </c>
      <c r="AD397">
        <f>OR(AND(IF(Metadata!J397="",FALSE,TRUE),OR(exact(Metadata!J397,"not applicable"),exact(Metadata!J397,"missing: not collected"),exact(Metadata!J397,"missing: not provided"),exact(Metadata!J397,"missing: restricted access"))),AND(IF(Metadata!J397="",FALSE,ISNUMBER(VALUE(Metadata!J397))),Metadata!J397&gt;0))</f>
        <v>0</v>
      </c>
      <c r="AE397">
        <f>AND(IF(Metadata!K397="",FALSE,TRUE),exact(Metadata!K397,"g"))</f>
        <v>0</v>
      </c>
    </row>
    <row r="398" spans="1:31">
      <c r="A398" s="5">
        <f>IF(B398=" "," ",HYPERLINK(CONCATENATE("#metadata!",ADDRESS(INDEX($Q$2:$Q$1001,MATCH(ROWS($O$2:O398),$O$2:$O$1001,0),0),1)),INDEX($T$2:$T$1001,MATCH(ROWS($O$2:O398),$O$2:$O$1001,0),0)))</f>
        <v>0</v>
      </c>
      <c r="B398" s="4">
        <f>IF(OR(INDEX($P$2:$P$1001,MATCH(ROWS($O$2:O398),$O$2:$O$1001,0),1)&gt;=100000,INDEX($V$1005:$AE$1005,1,MATCH(COLUMNS($V$1006:V1006),$V$1006:$AE$1006,0))&gt;=100000), " ",IF(INDEX($V$2:$AE$1001,MATCH(ROWS($O$2:O398),$O$2:$O$1001,0),MATCH(COLUMNS($V$1006:V1006),$V$1006:$AE$1006,0)), HYPERLINK("#",""), HYPERLINK(CONCATENATE("#Metadata!", ADDRESS(INDEX($Q$2:$Q$1001,MATCH(ROWS($O$2:O398),$O$2:$O$1001,0),0), INDEX($V$1004:$AE$1004,1,MATCH(COLUMNS($V$1006:V1006),$V$1006:$AE$1006,0)))),"Fix")))</f>
        <v>0</v>
      </c>
      <c r="C398" s="4">
        <f>IF(OR(INDEX($P$2:$P$1001,MATCH(ROWS($O$2:O398),$O$2:$O$1001,0),1)&gt;=100000,INDEX($V$1005:$AE$1005,1,MATCH(COLUMNS($V$1006:W1006),$V$1006:$AE$1006,0))&gt;=100000), " ",IF(INDEX($V$2:$AE$1001,MATCH(ROWS($O$2:O398),$O$2:$O$1001,0),MATCH(COLUMNS($V$1006:W1006),$V$1006:$AE$1006,0)), HYPERLINK("#",""), HYPERLINK(CONCATENATE("#Metadata!", ADDRESS(INDEX($Q$2:$Q$1001,MATCH(ROWS($O$2:O398),$O$2:$O$1001,0),0), INDEX($V$1004:$AE$1004,1,MATCH(COLUMNS($V$1006:W1006),$V$1006:$AE$1006,0)))),"Fix")))</f>
        <v>0</v>
      </c>
      <c r="D398" s="4">
        <f>IF(OR(INDEX($P$2:$P$1001,MATCH(ROWS($O$2:O398),$O$2:$O$1001,0),1)&gt;=100000,INDEX($V$1005:$AE$1005,1,MATCH(COLUMNS($V$1006:X1006),$V$1006:$AE$1006,0))&gt;=100000), " ",IF(INDEX($V$2:$AE$1001,MATCH(ROWS($O$2:O398),$O$2:$O$1001,0),MATCH(COLUMNS($V$1006:X1006),$V$1006:$AE$1006,0)), HYPERLINK("#",""), HYPERLINK(CONCATENATE("#Metadata!", ADDRESS(INDEX($Q$2:$Q$1001,MATCH(ROWS($O$2:O398),$O$2:$O$1001,0),0), INDEX($V$1004:$AE$1004,1,MATCH(COLUMNS($V$1006:X1006),$V$1006:$AE$1006,0)))),"Fix")))</f>
        <v>0</v>
      </c>
      <c r="E398" s="4">
        <f>IF(OR(INDEX($P$2:$P$1001,MATCH(ROWS($O$2:O398),$O$2:$O$1001,0),1)&gt;=100000,INDEX($V$1005:$AE$1005,1,MATCH(COLUMNS($V$1006:Y1006),$V$1006:$AE$1006,0))&gt;=100000), " ",IF(INDEX($V$2:$AE$1001,MATCH(ROWS($O$2:O398),$O$2:$O$1001,0),MATCH(COLUMNS($V$1006:Y1006),$V$1006:$AE$1006,0)), HYPERLINK("#",""), HYPERLINK(CONCATENATE("#Metadata!", ADDRESS(INDEX($Q$2:$Q$1001,MATCH(ROWS($O$2:O398),$O$2:$O$1001,0),0), INDEX($V$1004:$AE$1004,1,MATCH(COLUMNS($V$1006:Y1006),$V$1006:$AE$1006,0)))),"Fix")))</f>
        <v>0</v>
      </c>
      <c r="F398" s="4">
        <f>IF(OR(INDEX($P$2:$P$1001,MATCH(ROWS($O$2:O398),$O$2:$O$1001,0),1)&gt;=100000,INDEX($V$1005:$AE$1005,1,MATCH(COLUMNS($V$1006:Z1006),$V$1006:$AE$1006,0))&gt;=100000), " ",IF(INDEX($V$2:$AE$1001,MATCH(ROWS($O$2:O398),$O$2:$O$1001,0),MATCH(COLUMNS($V$1006:Z1006),$V$1006:$AE$1006,0)), HYPERLINK("#",""), HYPERLINK(CONCATENATE("#Metadata!", ADDRESS(INDEX($Q$2:$Q$1001,MATCH(ROWS($O$2:O398),$O$2:$O$1001,0),0), INDEX($V$1004:$AE$1004,1,MATCH(COLUMNS($V$1006:Z1006),$V$1006:$AE$1006,0)))),"Fix")))</f>
        <v>0</v>
      </c>
      <c r="G398" s="4">
        <f>IF(OR(INDEX($P$2:$P$1001,MATCH(ROWS($O$2:O398),$O$2:$O$1001,0),1)&gt;=100000,INDEX($V$1005:$AE$1005,1,MATCH(COLUMNS($V$1006:AA1006),$V$1006:$AE$1006,0))&gt;=100000), " ",IF(INDEX($V$2:$AE$1001,MATCH(ROWS($O$2:O398),$O$2:$O$1001,0),MATCH(COLUMNS($V$1006:AA1006),$V$1006:$AE$1006,0)), HYPERLINK("#",""), HYPERLINK(CONCATENATE("#Metadata!", ADDRESS(INDEX($Q$2:$Q$1001,MATCH(ROWS($O$2:O398),$O$2:$O$1001,0),0), INDEX($V$1004:$AE$1004,1,MATCH(COLUMNS($V$1006:AA1006),$V$1006:$AE$1006,0)))),"Fix")))</f>
        <v>0</v>
      </c>
      <c r="H398" s="4">
        <f>IF(OR(INDEX($P$2:$P$1001,MATCH(ROWS($O$2:O398),$O$2:$O$1001,0),1)&gt;=100000,INDEX($V$1005:$AE$1005,1,MATCH(COLUMNS($V$1006:AB1006),$V$1006:$AE$1006,0))&gt;=100000), " ",IF(INDEX($V$2:$AE$1001,MATCH(ROWS($O$2:O398),$O$2:$O$1001,0),MATCH(COLUMNS($V$1006:AB1006),$V$1006:$AE$1006,0)), HYPERLINK("#",""), HYPERLINK(CONCATENATE("#Metadata!", ADDRESS(INDEX($Q$2:$Q$1001,MATCH(ROWS($O$2:O398),$O$2:$O$1001,0),0), INDEX($V$1004:$AE$1004,1,MATCH(COLUMNS($V$1006:AB1006),$V$1006:$AE$1006,0)))),"Fix")))</f>
        <v>0</v>
      </c>
      <c r="I398" s="4">
        <f>IF(OR(INDEX($P$2:$P$1001,MATCH(ROWS($O$2:O398),$O$2:$O$1001,0),1)&gt;=100000,INDEX($V$1005:$AE$1005,1,MATCH(COLUMNS($V$1006:AC1006),$V$1006:$AE$1006,0))&gt;=100000), " ",IF(INDEX($V$2:$AE$1001,MATCH(ROWS($O$2:O398),$O$2:$O$1001,0),MATCH(COLUMNS($V$1006:AC1006),$V$1006:$AE$1006,0)), HYPERLINK("#",""), HYPERLINK(CONCATENATE("#Metadata!", ADDRESS(INDEX($Q$2:$Q$1001,MATCH(ROWS($O$2:O398),$O$2:$O$1001,0),0), INDEX($V$1004:$AE$1004,1,MATCH(COLUMNS($V$1006:AC1006),$V$1006:$AE$1006,0)))),"Fix")))</f>
        <v>0</v>
      </c>
      <c r="J398" s="4">
        <f>IF(OR(INDEX($P$2:$P$1001,MATCH(ROWS($O$2:O398),$O$2:$O$1001,0),1)&gt;=100000,INDEX($V$1005:$AE$1005,1,MATCH(COLUMNS($V$1006:AD1006),$V$1006:$AE$1006,0))&gt;=100000), " ",IF(INDEX($V$2:$AE$1001,MATCH(ROWS($O$2:O398),$O$2:$O$1001,0),MATCH(COLUMNS($V$1006:AD1006),$V$1006:$AE$1006,0)), HYPERLINK("#",""), HYPERLINK(CONCATENATE("#Metadata!", ADDRESS(INDEX($Q$2:$Q$1001,MATCH(ROWS($O$2:O398),$O$2:$O$1001,0),0), INDEX($V$1004:$AE$1004,1,MATCH(COLUMNS($V$1006:AD1006),$V$1006:$AE$1006,0)))),"Fix")))</f>
        <v>0</v>
      </c>
      <c r="K398" s="4">
        <f>IF(OR(INDEX($P$2:$P$1001,MATCH(ROWS($O$2:O398),$O$2:$O$1001,0),1)&gt;=100000,INDEX($V$1005:$AE$1005,1,MATCH(COLUMNS($V$1006:AE1006),$V$1006:$AE$1006,0))&gt;=100000), " ",IF(INDEX($V$2:$AE$1001,MATCH(ROWS($O$2:O398),$O$2:$O$1001,0),MATCH(COLUMNS($V$1006:AE1006),$V$1006:$AE$1006,0)), HYPERLINK("#",""), HYPERLINK(CONCATENATE("#Metadata!", ADDRESS(INDEX($Q$2:$Q$1001,MATCH(ROWS($O$2:O398),$O$2:$O$1001,0),0), INDEX($V$1004:$AE$1004,1,MATCH(COLUMNS($V$1006:AE1006),$V$1006:$AE$1006,0)))),"Fix")))</f>
        <v>0</v>
      </c>
      <c r="O398">
        <v>0</v>
      </c>
      <c r="P398">
        <v>0</v>
      </c>
      <c r="Q398">
        <v>0</v>
      </c>
      <c r="R398">
        <f>IF(S398,TRUE,AND(V398:AE398))</f>
        <v>0</v>
      </c>
      <c r="S398">
        <f>COUNTBLANK(Metadata!B398:K398)=COLUMNS(Metadata!B398:K398)</f>
        <v>0</v>
      </c>
      <c r="T398">
        <v>0</v>
      </c>
      <c r="V398">
        <f>AND(IF(Metadata!B398="",FALSE,TRUE),COUNTIF(Metadata!B:B, Metadata!B398) = 1,NOT(ISERROR(SUMPRODUCT(SEARCH(MID(Metadata!B398,ROW(INDIRECT("1:"&amp;LEN(Metadata!B398))), 1),"0123456789abcdefghijklmnopqrstuvwxyzABCDEFGHIJKLMNOPQRSTUVWXYZ.")))))</f>
        <v>0</v>
      </c>
      <c r="W398">
        <f>AND(IF(Metadata!C398="",FALSE,TRUE),exact(Metadata!C398,"urban biome"))</f>
        <v>0</v>
      </c>
      <c r="X398">
        <f>AND(IF(Metadata!D398="",FALSE,TRUE),exact(Metadata!D398,"animal-associated habitat"))</f>
        <v>0</v>
      </c>
      <c r="Y398">
        <f>OR(AND(IF(Metadata!E398="",FALSE,TRUE),OR(exact(Metadata!E398,"not applicable"),exact(Metadata!E398,"missing: not collected"),exact(Metadata!E398,"missing: not provided"),exact(Metadata!E398,"missing: restricted access"))),AND(IF(Metadata!E398="",FALSE,ISNUMBER(VALUE(Metadata!E398))),Metadata!E398&gt;0))</f>
        <v>0</v>
      </c>
      <c r="Z398">
        <f>AND(IF(Metadata!F398="",FALSE,TRUE),exact(Metadata!F398,"weeks"))</f>
        <v>0</v>
      </c>
      <c r="AA398">
        <f>AND(IF(Metadata!G398="",FALSE,TRUE),exact(Metadata!G398,"mouse"))</f>
        <v>0</v>
      </c>
      <c r="AB398">
        <f>AND(IF(Metadata!H398="",FALSE,TRUE),exact(Metadata!H398,"Mus musculus"))</f>
        <v>0</v>
      </c>
      <c r="AC398">
        <f>AND(IF(Metadata!I398="",FALSE,TRUE),exact(Metadata!I398,"10090"))</f>
        <v>0</v>
      </c>
      <c r="AD398">
        <f>OR(AND(IF(Metadata!J398="",FALSE,TRUE),OR(exact(Metadata!J398,"not applicable"),exact(Metadata!J398,"missing: not collected"),exact(Metadata!J398,"missing: not provided"),exact(Metadata!J398,"missing: restricted access"))),AND(IF(Metadata!J398="",FALSE,ISNUMBER(VALUE(Metadata!J398))),Metadata!J398&gt;0))</f>
        <v>0</v>
      </c>
      <c r="AE398">
        <f>AND(IF(Metadata!K398="",FALSE,TRUE),exact(Metadata!K398,"g"))</f>
        <v>0</v>
      </c>
    </row>
    <row r="399" spans="1:31">
      <c r="A399" s="5">
        <f>IF(B399=" "," ",HYPERLINK(CONCATENATE("#metadata!",ADDRESS(INDEX($Q$2:$Q$1001,MATCH(ROWS($O$2:O399),$O$2:$O$1001,0),0),1)),INDEX($T$2:$T$1001,MATCH(ROWS($O$2:O399),$O$2:$O$1001,0),0)))</f>
        <v>0</v>
      </c>
      <c r="B399" s="4">
        <f>IF(OR(INDEX($P$2:$P$1001,MATCH(ROWS($O$2:O399),$O$2:$O$1001,0),1)&gt;=100000,INDEX($V$1005:$AE$1005,1,MATCH(COLUMNS($V$1006:V1006),$V$1006:$AE$1006,0))&gt;=100000), " ",IF(INDEX($V$2:$AE$1001,MATCH(ROWS($O$2:O399),$O$2:$O$1001,0),MATCH(COLUMNS($V$1006:V1006),$V$1006:$AE$1006,0)), HYPERLINK("#",""), HYPERLINK(CONCATENATE("#Metadata!", ADDRESS(INDEX($Q$2:$Q$1001,MATCH(ROWS($O$2:O399),$O$2:$O$1001,0),0), INDEX($V$1004:$AE$1004,1,MATCH(COLUMNS($V$1006:V1006),$V$1006:$AE$1006,0)))),"Fix")))</f>
        <v>0</v>
      </c>
      <c r="C399" s="4">
        <f>IF(OR(INDEX($P$2:$P$1001,MATCH(ROWS($O$2:O399),$O$2:$O$1001,0),1)&gt;=100000,INDEX($V$1005:$AE$1005,1,MATCH(COLUMNS($V$1006:W1006),$V$1006:$AE$1006,0))&gt;=100000), " ",IF(INDEX($V$2:$AE$1001,MATCH(ROWS($O$2:O399),$O$2:$O$1001,0),MATCH(COLUMNS($V$1006:W1006),$V$1006:$AE$1006,0)), HYPERLINK("#",""), HYPERLINK(CONCATENATE("#Metadata!", ADDRESS(INDEX($Q$2:$Q$1001,MATCH(ROWS($O$2:O399),$O$2:$O$1001,0),0), INDEX($V$1004:$AE$1004,1,MATCH(COLUMNS($V$1006:W1006),$V$1006:$AE$1006,0)))),"Fix")))</f>
        <v>0</v>
      </c>
      <c r="D399" s="4">
        <f>IF(OR(INDEX($P$2:$P$1001,MATCH(ROWS($O$2:O399),$O$2:$O$1001,0),1)&gt;=100000,INDEX($V$1005:$AE$1005,1,MATCH(COLUMNS($V$1006:X1006),$V$1006:$AE$1006,0))&gt;=100000), " ",IF(INDEX($V$2:$AE$1001,MATCH(ROWS($O$2:O399),$O$2:$O$1001,0),MATCH(COLUMNS($V$1006:X1006),$V$1006:$AE$1006,0)), HYPERLINK("#",""), HYPERLINK(CONCATENATE("#Metadata!", ADDRESS(INDEX($Q$2:$Q$1001,MATCH(ROWS($O$2:O399),$O$2:$O$1001,0),0), INDEX($V$1004:$AE$1004,1,MATCH(COLUMNS($V$1006:X1006),$V$1006:$AE$1006,0)))),"Fix")))</f>
        <v>0</v>
      </c>
      <c r="E399" s="4">
        <f>IF(OR(INDEX($P$2:$P$1001,MATCH(ROWS($O$2:O399),$O$2:$O$1001,0),1)&gt;=100000,INDEX($V$1005:$AE$1005,1,MATCH(COLUMNS($V$1006:Y1006),$V$1006:$AE$1006,0))&gt;=100000), " ",IF(INDEX($V$2:$AE$1001,MATCH(ROWS($O$2:O399),$O$2:$O$1001,0),MATCH(COLUMNS($V$1006:Y1006),$V$1006:$AE$1006,0)), HYPERLINK("#",""), HYPERLINK(CONCATENATE("#Metadata!", ADDRESS(INDEX($Q$2:$Q$1001,MATCH(ROWS($O$2:O399),$O$2:$O$1001,0),0), INDEX($V$1004:$AE$1004,1,MATCH(COLUMNS($V$1006:Y1006),$V$1006:$AE$1006,0)))),"Fix")))</f>
        <v>0</v>
      </c>
      <c r="F399" s="4">
        <f>IF(OR(INDEX($P$2:$P$1001,MATCH(ROWS($O$2:O399),$O$2:$O$1001,0),1)&gt;=100000,INDEX($V$1005:$AE$1005,1,MATCH(COLUMNS($V$1006:Z1006),$V$1006:$AE$1006,0))&gt;=100000), " ",IF(INDEX($V$2:$AE$1001,MATCH(ROWS($O$2:O399),$O$2:$O$1001,0),MATCH(COLUMNS($V$1006:Z1006),$V$1006:$AE$1006,0)), HYPERLINK("#",""), HYPERLINK(CONCATENATE("#Metadata!", ADDRESS(INDEX($Q$2:$Q$1001,MATCH(ROWS($O$2:O399),$O$2:$O$1001,0),0), INDEX($V$1004:$AE$1004,1,MATCH(COLUMNS($V$1006:Z1006),$V$1006:$AE$1006,0)))),"Fix")))</f>
        <v>0</v>
      </c>
      <c r="G399" s="4">
        <f>IF(OR(INDEX($P$2:$P$1001,MATCH(ROWS($O$2:O399),$O$2:$O$1001,0),1)&gt;=100000,INDEX($V$1005:$AE$1005,1,MATCH(COLUMNS($V$1006:AA1006),$V$1006:$AE$1006,0))&gt;=100000), " ",IF(INDEX($V$2:$AE$1001,MATCH(ROWS($O$2:O399),$O$2:$O$1001,0),MATCH(COLUMNS($V$1006:AA1006),$V$1006:$AE$1006,0)), HYPERLINK("#",""), HYPERLINK(CONCATENATE("#Metadata!", ADDRESS(INDEX($Q$2:$Q$1001,MATCH(ROWS($O$2:O399),$O$2:$O$1001,0),0), INDEX($V$1004:$AE$1004,1,MATCH(COLUMNS($V$1006:AA1006),$V$1006:$AE$1006,0)))),"Fix")))</f>
        <v>0</v>
      </c>
      <c r="H399" s="4">
        <f>IF(OR(INDEX($P$2:$P$1001,MATCH(ROWS($O$2:O399),$O$2:$O$1001,0),1)&gt;=100000,INDEX($V$1005:$AE$1005,1,MATCH(COLUMNS($V$1006:AB1006),$V$1006:$AE$1006,0))&gt;=100000), " ",IF(INDEX($V$2:$AE$1001,MATCH(ROWS($O$2:O399),$O$2:$O$1001,0),MATCH(COLUMNS($V$1006:AB1006),$V$1006:$AE$1006,0)), HYPERLINK("#",""), HYPERLINK(CONCATENATE("#Metadata!", ADDRESS(INDEX($Q$2:$Q$1001,MATCH(ROWS($O$2:O399),$O$2:$O$1001,0),0), INDEX($V$1004:$AE$1004,1,MATCH(COLUMNS($V$1006:AB1006),$V$1006:$AE$1006,0)))),"Fix")))</f>
        <v>0</v>
      </c>
      <c r="I399" s="4">
        <f>IF(OR(INDEX($P$2:$P$1001,MATCH(ROWS($O$2:O399),$O$2:$O$1001,0),1)&gt;=100000,INDEX($V$1005:$AE$1005,1,MATCH(COLUMNS($V$1006:AC1006),$V$1006:$AE$1006,0))&gt;=100000), " ",IF(INDEX($V$2:$AE$1001,MATCH(ROWS($O$2:O399),$O$2:$O$1001,0),MATCH(COLUMNS($V$1006:AC1006),$V$1006:$AE$1006,0)), HYPERLINK("#",""), HYPERLINK(CONCATENATE("#Metadata!", ADDRESS(INDEX($Q$2:$Q$1001,MATCH(ROWS($O$2:O399),$O$2:$O$1001,0),0), INDEX($V$1004:$AE$1004,1,MATCH(COLUMNS($V$1006:AC1006),$V$1006:$AE$1006,0)))),"Fix")))</f>
        <v>0</v>
      </c>
      <c r="J399" s="4">
        <f>IF(OR(INDEX($P$2:$P$1001,MATCH(ROWS($O$2:O399),$O$2:$O$1001,0),1)&gt;=100000,INDEX($V$1005:$AE$1005,1,MATCH(COLUMNS($V$1006:AD1006),$V$1006:$AE$1006,0))&gt;=100000), " ",IF(INDEX($V$2:$AE$1001,MATCH(ROWS($O$2:O399),$O$2:$O$1001,0),MATCH(COLUMNS($V$1006:AD1006),$V$1006:$AE$1006,0)), HYPERLINK("#",""), HYPERLINK(CONCATENATE("#Metadata!", ADDRESS(INDEX($Q$2:$Q$1001,MATCH(ROWS($O$2:O399),$O$2:$O$1001,0),0), INDEX($V$1004:$AE$1004,1,MATCH(COLUMNS($V$1006:AD1006),$V$1006:$AE$1006,0)))),"Fix")))</f>
        <v>0</v>
      </c>
      <c r="K399" s="4">
        <f>IF(OR(INDEX($P$2:$P$1001,MATCH(ROWS($O$2:O399),$O$2:$O$1001,0),1)&gt;=100000,INDEX($V$1005:$AE$1005,1,MATCH(COLUMNS($V$1006:AE1006),$V$1006:$AE$1006,0))&gt;=100000), " ",IF(INDEX($V$2:$AE$1001,MATCH(ROWS($O$2:O399),$O$2:$O$1001,0),MATCH(COLUMNS($V$1006:AE1006),$V$1006:$AE$1006,0)), HYPERLINK("#",""), HYPERLINK(CONCATENATE("#Metadata!", ADDRESS(INDEX($Q$2:$Q$1001,MATCH(ROWS($O$2:O399),$O$2:$O$1001,0),0), INDEX($V$1004:$AE$1004,1,MATCH(COLUMNS($V$1006:AE1006),$V$1006:$AE$1006,0)))),"Fix")))</f>
        <v>0</v>
      </c>
      <c r="O399">
        <v>0</v>
      </c>
      <c r="P399">
        <v>0</v>
      </c>
      <c r="Q399">
        <v>0</v>
      </c>
      <c r="R399">
        <f>IF(S399,TRUE,AND(V399:AE399))</f>
        <v>0</v>
      </c>
      <c r="S399">
        <f>COUNTBLANK(Metadata!B399:K399)=COLUMNS(Metadata!B399:K399)</f>
        <v>0</v>
      </c>
      <c r="T399">
        <v>0</v>
      </c>
      <c r="V399">
        <f>AND(IF(Metadata!B399="",FALSE,TRUE),COUNTIF(Metadata!B:B, Metadata!B399) = 1,NOT(ISERROR(SUMPRODUCT(SEARCH(MID(Metadata!B399,ROW(INDIRECT("1:"&amp;LEN(Metadata!B399))), 1),"0123456789abcdefghijklmnopqrstuvwxyzABCDEFGHIJKLMNOPQRSTUVWXYZ.")))))</f>
        <v>0</v>
      </c>
      <c r="W399">
        <f>AND(IF(Metadata!C399="",FALSE,TRUE),exact(Metadata!C399,"urban biome"))</f>
        <v>0</v>
      </c>
      <c r="X399">
        <f>AND(IF(Metadata!D399="",FALSE,TRUE),exact(Metadata!D399,"animal-associated habitat"))</f>
        <v>0</v>
      </c>
      <c r="Y399">
        <f>OR(AND(IF(Metadata!E399="",FALSE,TRUE),OR(exact(Metadata!E399,"not applicable"),exact(Metadata!E399,"missing: not collected"),exact(Metadata!E399,"missing: not provided"),exact(Metadata!E399,"missing: restricted access"))),AND(IF(Metadata!E399="",FALSE,ISNUMBER(VALUE(Metadata!E399))),Metadata!E399&gt;0))</f>
        <v>0</v>
      </c>
      <c r="Z399">
        <f>AND(IF(Metadata!F399="",FALSE,TRUE),exact(Metadata!F399,"weeks"))</f>
        <v>0</v>
      </c>
      <c r="AA399">
        <f>AND(IF(Metadata!G399="",FALSE,TRUE),exact(Metadata!G399,"mouse"))</f>
        <v>0</v>
      </c>
      <c r="AB399">
        <f>AND(IF(Metadata!H399="",FALSE,TRUE),exact(Metadata!H399,"Mus musculus"))</f>
        <v>0</v>
      </c>
      <c r="AC399">
        <f>AND(IF(Metadata!I399="",FALSE,TRUE),exact(Metadata!I399,"10090"))</f>
        <v>0</v>
      </c>
      <c r="AD399">
        <f>OR(AND(IF(Metadata!J399="",FALSE,TRUE),OR(exact(Metadata!J399,"not applicable"),exact(Metadata!J399,"missing: not collected"),exact(Metadata!J399,"missing: not provided"),exact(Metadata!J399,"missing: restricted access"))),AND(IF(Metadata!J399="",FALSE,ISNUMBER(VALUE(Metadata!J399))),Metadata!J399&gt;0))</f>
        <v>0</v>
      </c>
      <c r="AE399">
        <f>AND(IF(Metadata!K399="",FALSE,TRUE),exact(Metadata!K399,"g"))</f>
        <v>0</v>
      </c>
    </row>
    <row r="400" spans="1:31">
      <c r="A400" s="5">
        <f>IF(B400=" "," ",HYPERLINK(CONCATENATE("#metadata!",ADDRESS(INDEX($Q$2:$Q$1001,MATCH(ROWS($O$2:O400),$O$2:$O$1001,0),0),1)),INDEX($T$2:$T$1001,MATCH(ROWS($O$2:O400),$O$2:$O$1001,0),0)))</f>
        <v>0</v>
      </c>
      <c r="B400" s="4">
        <f>IF(OR(INDEX($P$2:$P$1001,MATCH(ROWS($O$2:O400),$O$2:$O$1001,0),1)&gt;=100000,INDEX($V$1005:$AE$1005,1,MATCH(COLUMNS($V$1006:V1006),$V$1006:$AE$1006,0))&gt;=100000), " ",IF(INDEX($V$2:$AE$1001,MATCH(ROWS($O$2:O400),$O$2:$O$1001,0),MATCH(COLUMNS($V$1006:V1006),$V$1006:$AE$1006,0)), HYPERLINK("#",""), HYPERLINK(CONCATENATE("#Metadata!", ADDRESS(INDEX($Q$2:$Q$1001,MATCH(ROWS($O$2:O400),$O$2:$O$1001,0),0), INDEX($V$1004:$AE$1004,1,MATCH(COLUMNS($V$1006:V1006),$V$1006:$AE$1006,0)))),"Fix")))</f>
        <v>0</v>
      </c>
      <c r="C400" s="4">
        <f>IF(OR(INDEX($P$2:$P$1001,MATCH(ROWS($O$2:O400),$O$2:$O$1001,0),1)&gt;=100000,INDEX($V$1005:$AE$1005,1,MATCH(COLUMNS($V$1006:W1006),$V$1006:$AE$1006,0))&gt;=100000), " ",IF(INDEX($V$2:$AE$1001,MATCH(ROWS($O$2:O400),$O$2:$O$1001,0),MATCH(COLUMNS($V$1006:W1006),$V$1006:$AE$1006,0)), HYPERLINK("#",""), HYPERLINK(CONCATENATE("#Metadata!", ADDRESS(INDEX($Q$2:$Q$1001,MATCH(ROWS($O$2:O400),$O$2:$O$1001,0),0), INDEX($V$1004:$AE$1004,1,MATCH(COLUMNS($V$1006:W1006),$V$1006:$AE$1006,0)))),"Fix")))</f>
        <v>0</v>
      </c>
      <c r="D400" s="4">
        <f>IF(OR(INDEX($P$2:$P$1001,MATCH(ROWS($O$2:O400),$O$2:$O$1001,0),1)&gt;=100000,INDEX($V$1005:$AE$1005,1,MATCH(COLUMNS($V$1006:X1006),$V$1006:$AE$1006,0))&gt;=100000), " ",IF(INDEX($V$2:$AE$1001,MATCH(ROWS($O$2:O400),$O$2:$O$1001,0),MATCH(COLUMNS($V$1006:X1006),$V$1006:$AE$1006,0)), HYPERLINK("#",""), HYPERLINK(CONCATENATE("#Metadata!", ADDRESS(INDEX($Q$2:$Q$1001,MATCH(ROWS($O$2:O400),$O$2:$O$1001,0),0), INDEX($V$1004:$AE$1004,1,MATCH(COLUMNS($V$1006:X1006),$V$1006:$AE$1006,0)))),"Fix")))</f>
        <v>0</v>
      </c>
      <c r="E400" s="4">
        <f>IF(OR(INDEX($P$2:$P$1001,MATCH(ROWS($O$2:O400),$O$2:$O$1001,0),1)&gt;=100000,INDEX($V$1005:$AE$1005,1,MATCH(COLUMNS($V$1006:Y1006),$V$1006:$AE$1006,0))&gt;=100000), " ",IF(INDEX($V$2:$AE$1001,MATCH(ROWS($O$2:O400),$O$2:$O$1001,0),MATCH(COLUMNS($V$1006:Y1006),$V$1006:$AE$1006,0)), HYPERLINK("#",""), HYPERLINK(CONCATENATE("#Metadata!", ADDRESS(INDEX($Q$2:$Q$1001,MATCH(ROWS($O$2:O400),$O$2:$O$1001,0),0), INDEX($V$1004:$AE$1004,1,MATCH(COLUMNS($V$1006:Y1006),$V$1006:$AE$1006,0)))),"Fix")))</f>
        <v>0</v>
      </c>
      <c r="F400" s="4">
        <f>IF(OR(INDEX($P$2:$P$1001,MATCH(ROWS($O$2:O400),$O$2:$O$1001,0),1)&gt;=100000,INDEX($V$1005:$AE$1005,1,MATCH(COLUMNS($V$1006:Z1006),$V$1006:$AE$1006,0))&gt;=100000), " ",IF(INDEX($V$2:$AE$1001,MATCH(ROWS($O$2:O400),$O$2:$O$1001,0),MATCH(COLUMNS($V$1006:Z1006),$V$1006:$AE$1006,0)), HYPERLINK("#",""), HYPERLINK(CONCATENATE("#Metadata!", ADDRESS(INDEX($Q$2:$Q$1001,MATCH(ROWS($O$2:O400),$O$2:$O$1001,0),0), INDEX($V$1004:$AE$1004,1,MATCH(COLUMNS($V$1006:Z1006),$V$1006:$AE$1006,0)))),"Fix")))</f>
        <v>0</v>
      </c>
      <c r="G400" s="4">
        <f>IF(OR(INDEX($P$2:$P$1001,MATCH(ROWS($O$2:O400),$O$2:$O$1001,0),1)&gt;=100000,INDEX($V$1005:$AE$1005,1,MATCH(COLUMNS($V$1006:AA1006),$V$1006:$AE$1006,0))&gt;=100000), " ",IF(INDEX($V$2:$AE$1001,MATCH(ROWS($O$2:O400),$O$2:$O$1001,0),MATCH(COLUMNS($V$1006:AA1006),$V$1006:$AE$1006,0)), HYPERLINK("#",""), HYPERLINK(CONCATENATE("#Metadata!", ADDRESS(INDEX($Q$2:$Q$1001,MATCH(ROWS($O$2:O400),$O$2:$O$1001,0),0), INDEX($V$1004:$AE$1004,1,MATCH(COLUMNS($V$1006:AA1006),$V$1006:$AE$1006,0)))),"Fix")))</f>
        <v>0</v>
      </c>
      <c r="H400" s="4">
        <f>IF(OR(INDEX($P$2:$P$1001,MATCH(ROWS($O$2:O400),$O$2:$O$1001,0),1)&gt;=100000,INDEX($V$1005:$AE$1005,1,MATCH(COLUMNS($V$1006:AB1006),$V$1006:$AE$1006,0))&gt;=100000), " ",IF(INDEX($V$2:$AE$1001,MATCH(ROWS($O$2:O400),$O$2:$O$1001,0),MATCH(COLUMNS($V$1006:AB1006),$V$1006:$AE$1006,0)), HYPERLINK("#",""), HYPERLINK(CONCATENATE("#Metadata!", ADDRESS(INDEX($Q$2:$Q$1001,MATCH(ROWS($O$2:O400),$O$2:$O$1001,0),0), INDEX($V$1004:$AE$1004,1,MATCH(COLUMNS($V$1006:AB1006),$V$1006:$AE$1006,0)))),"Fix")))</f>
        <v>0</v>
      </c>
      <c r="I400" s="4">
        <f>IF(OR(INDEX($P$2:$P$1001,MATCH(ROWS($O$2:O400),$O$2:$O$1001,0),1)&gt;=100000,INDEX($V$1005:$AE$1005,1,MATCH(COLUMNS($V$1006:AC1006),$V$1006:$AE$1006,0))&gt;=100000), " ",IF(INDEX($V$2:$AE$1001,MATCH(ROWS($O$2:O400),$O$2:$O$1001,0),MATCH(COLUMNS($V$1006:AC1006),$V$1006:$AE$1006,0)), HYPERLINK("#",""), HYPERLINK(CONCATENATE("#Metadata!", ADDRESS(INDEX($Q$2:$Q$1001,MATCH(ROWS($O$2:O400),$O$2:$O$1001,0),0), INDEX($V$1004:$AE$1004,1,MATCH(COLUMNS($V$1006:AC1006),$V$1006:$AE$1006,0)))),"Fix")))</f>
        <v>0</v>
      </c>
      <c r="J400" s="4">
        <f>IF(OR(INDEX($P$2:$P$1001,MATCH(ROWS($O$2:O400),$O$2:$O$1001,0),1)&gt;=100000,INDEX($V$1005:$AE$1005,1,MATCH(COLUMNS($V$1006:AD1006),$V$1006:$AE$1006,0))&gt;=100000), " ",IF(INDEX($V$2:$AE$1001,MATCH(ROWS($O$2:O400),$O$2:$O$1001,0),MATCH(COLUMNS($V$1006:AD1006),$V$1006:$AE$1006,0)), HYPERLINK("#",""), HYPERLINK(CONCATENATE("#Metadata!", ADDRESS(INDEX($Q$2:$Q$1001,MATCH(ROWS($O$2:O400),$O$2:$O$1001,0),0), INDEX($V$1004:$AE$1004,1,MATCH(COLUMNS($V$1006:AD1006),$V$1006:$AE$1006,0)))),"Fix")))</f>
        <v>0</v>
      </c>
      <c r="K400" s="4">
        <f>IF(OR(INDEX($P$2:$P$1001,MATCH(ROWS($O$2:O400),$O$2:$O$1001,0),1)&gt;=100000,INDEX($V$1005:$AE$1005,1,MATCH(COLUMNS($V$1006:AE1006),$V$1006:$AE$1006,0))&gt;=100000), " ",IF(INDEX($V$2:$AE$1001,MATCH(ROWS($O$2:O400),$O$2:$O$1001,0),MATCH(COLUMNS($V$1006:AE1006),$V$1006:$AE$1006,0)), HYPERLINK("#",""), HYPERLINK(CONCATENATE("#Metadata!", ADDRESS(INDEX($Q$2:$Q$1001,MATCH(ROWS($O$2:O400),$O$2:$O$1001,0),0), INDEX($V$1004:$AE$1004,1,MATCH(COLUMNS($V$1006:AE1006),$V$1006:$AE$1006,0)))),"Fix")))</f>
        <v>0</v>
      </c>
      <c r="O400">
        <v>0</v>
      </c>
      <c r="P400">
        <v>0</v>
      </c>
      <c r="Q400">
        <v>0</v>
      </c>
      <c r="R400">
        <f>IF(S400,TRUE,AND(V400:AE400))</f>
        <v>0</v>
      </c>
      <c r="S400">
        <f>COUNTBLANK(Metadata!B400:K400)=COLUMNS(Metadata!B400:K400)</f>
        <v>0</v>
      </c>
      <c r="T400">
        <v>0</v>
      </c>
      <c r="V400">
        <f>AND(IF(Metadata!B400="",FALSE,TRUE),COUNTIF(Metadata!B:B, Metadata!B400) = 1,NOT(ISERROR(SUMPRODUCT(SEARCH(MID(Metadata!B400,ROW(INDIRECT("1:"&amp;LEN(Metadata!B400))), 1),"0123456789abcdefghijklmnopqrstuvwxyzABCDEFGHIJKLMNOPQRSTUVWXYZ.")))))</f>
        <v>0</v>
      </c>
      <c r="W400">
        <f>AND(IF(Metadata!C400="",FALSE,TRUE),exact(Metadata!C400,"urban biome"))</f>
        <v>0</v>
      </c>
      <c r="X400">
        <f>AND(IF(Metadata!D400="",FALSE,TRUE),exact(Metadata!D400,"animal-associated habitat"))</f>
        <v>0</v>
      </c>
      <c r="Y400">
        <f>OR(AND(IF(Metadata!E400="",FALSE,TRUE),OR(exact(Metadata!E400,"not applicable"),exact(Metadata!E400,"missing: not collected"),exact(Metadata!E400,"missing: not provided"),exact(Metadata!E400,"missing: restricted access"))),AND(IF(Metadata!E400="",FALSE,ISNUMBER(VALUE(Metadata!E400))),Metadata!E400&gt;0))</f>
        <v>0</v>
      </c>
      <c r="Z400">
        <f>AND(IF(Metadata!F400="",FALSE,TRUE),exact(Metadata!F400,"weeks"))</f>
        <v>0</v>
      </c>
      <c r="AA400">
        <f>AND(IF(Metadata!G400="",FALSE,TRUE),exact(Metadata!G400,"mouse"))</f>
        <v>0</v>
      </c>
      <c r="AB400">
        <f>AND(IF(Metadata!H400="",FALSE,TRUE),exact(Metadata!H400,"Mus musculus"))</f>
        <v>0</v>
      </c>
      <c r="AC400">
        <f>AND(IF(Metadata!I400="",FALSE,TRUE),exact(Metadata!I400,"10090"))</f>
        <v>0</v>
      </c>
      <c r="AD400">
        <f>OR(AND(IF(Metadata!J400="",FALSE,TRUE),OR(exact(Metadata!J400,"not applicable"),exact(Metadata!J400,"missing: not collected"),exact(Metadata!J400,"missing: not provided"),exact(Metadata!J400,"missing: restricted access"))),AND(IF(Metadata!J400="",FALSE,ISNUMBER(VALUE(Metadata!J400))),Metadata!J400&gt;0))</f>
        <v>0</v>
      </c>
      <c r="AE400">
        <f>AND(IF(Metadata!K400="",FALSE,TRUE),exact(Metadata!K400,"g"))</f>
        <v>0</v>
      </c>
    </row>
    <row r="401" spans="1:31">
      <c r="A401" s="5">
        <f>IF(B401=" "," ",HYPERLINK(CONCATENATE("#metadata!",ADDRESS(INDEX($Q$2:$Q$1001,MATCH(ROWS($O$2:O401),$O$2:$O$1001,0),0),1)),INDEX($T$2:$T$1001,MATCH(ROWS($O$2:O401),$O$2:$O$1001,0),0)))</f>
        <v>0</v>
      </c>
      <c r="B401" s="4">
        <f>IF(OR(INDEX($P$2:$P$1001,MATCH(ROWS($O$2:O401),$O$2:$O$1001,0),1)&gt;=100000,INDEX($V$1005:$AE$1005,1,MATCH(COLUMNS($V$1006:V1006),$V$1006:$AE$1006,0))&gt;=100000), " ",IF(INDEX($V$2:$AE$1001,MATCH(ROWS($O$2:O401),$O$2:$O$1001,0),MATCH(COLUMNS($V$1006:V1006),$V$1006:$AE$1006,0)), HYPERLINK("#",""), HYPERLINK(CONCATENATE("#Metadata!", ADDRESS(INDEX($Q$2:$Q$1001,MATCH(ROWS($O$2:O401),$O$2:$O$1001,0),0), INDEX($V$1004:$AE$1004,1,MATCH(COLUMNS($V$1006:V1006),$V$1006:$AE$1006,0)))),"Fix")))</f>
        <v>0</v>
      </c>
      <c r="C401" s="4">
        <f>IF(OR(INDEX($P$2:$P$1001,MATCH(ROWS($O$2:O401),$O$2:$O$1001,0),1)&gt;=100000,INDEX($V$1005:$AE$1005,1,MATCH(COLUMNS($V$1006:W1006),$V$1006:$AE$1006,0))&gt;=100000), " ",IF(INDEX($V$2:$AE$1001,MATCH(ROWS($O$2:O401),$O$2:$O$1001,0),MATCH(COLUMNS($V$1006:W1006),$V$1006:$AE$1006,0)), HYPERLINK("#",""), HYPERLINK(CONCATENATE("#Metadata!", ADDRESS(INDEX($Q$2:$Q$1001,MATCH(ROWS($O$2:O401),$O$2:$O$1001,0),0), INDEX($V$1004:$AE$1004,1,MATCH(COLUMNS($V$1006:W1006),$V$1006:$AE$1006,0)))),"Fix")))</f>
        <v>0</v>
      </c>
      <c r="D401" s="4">
        <f>IF(OR(INDEX($P$2:$P$1001,MATCH(ROWS($O$2:O401),$O$2:$O$1001,0),1)&gt;=100000,INDEX($V$1005:$AE$1005,1,MATCH(COLUMNS($V$1006:X1006),$V$1006:$AE$1006,0))&gt;=100000), " ",IF(INDEX($V$2:$AE$1001,MATCH(ROWS($O$2:O401),$O$2:$O$1001,0),MATCH(COLUMNS($V$1006:X1006),$V$1006:$AE$1006,0)), HYPERLINK("#",""), HYPERLINK(CONCATENATE("#Metadata!", ADDRESS(INDEX($Q$2:$Q$1001,MATCH(ROWS($O$2:O401),$O$2:$O$1001,0),0), INDEX($V$1004:$AE$1004,1,MATCH(COLUMNS($V$1006:X1006),$V$1006:$AE$1006,0)))),"Fix")))</f>
        <v>0</v>
      </c>
      <c r="E401" s="4">
        <f>IF(OR(INDEX($P$2:$P$1001,MATCH(ROWS($O$2:O401),$O$2:$O$1001,0),1)&gt;=100000,INDEX($V$1005:$AE$1005,1,MATCH(COLUMNS($V$1006:Y1006),$V$1006:$AE$1006,0))&gt;=100000), " ",IF(INDEX($V$2:$AE$1001,MATCH(ROWS($O$2:O401),$O$2:$O$1001,0),MATCH(COLUMNS($V$1006:Y1006),$V$1006:$AE$1006,0)), HYPERLINK("#",""), HYPERLINK(CONCATENATE("#Metadata!", ADDRESS(INDEX($Q$2:$Q$1001,MATCH(ROWS($O$2:O401),$O$2:$O$1001,0),0), INDEX($V$1004:$AE$1004,1,MATCH(COLUMNS($V$1006:Y1006),$V$1006:$AE$1006,0)))),"Fix")))</f>
        <v>0</v>
      </c>
      <c r="F401" s="4">
        <f>IF(OR(INDEX($P$2:$P$1001,MATCH(ROWS($O$2:O401),$O$2:$O$1001,0),1)&gt;=100000,INDEX($V$1005:$AE$1005,1,MATCH(COLUMNS($V$1006:Z1006),$V$1006:$AE$1006,0))&gt;=100000), " ",IF(INDEX($V$2:$AE$1001,MATCH(ROWS($O$2:O401),$O$2:$O$1001,0),MATCH(COLUMNS($V$1006:Z1006),$V$1006:$AE$1006,0)), HYPERLINK("#",""), HYPERLINK(CONCATENATE("#Metadata!", ADDRESS(INDEX($Q$2:$Q$1001,MATCH(ROWS($O$2:O401),$O$2:$O$1001,0),0), INDEX($V$1004:$AE$1004,1,MATCH(COLUMNS($V$1006:Z1006),$V$1006:$AE$1006,0)))),"Fix")))</f>
        <v>0</v>
      </c>
      <c r="G401" s="4">
        <f>IF(OR(INDEX($P$2:$P$1001,MATCH(ROWS($O$2:O401),$O$2:$O$1001,0),1)&gt;=100000,INDEX($V$1005:$AE$1005,1,MATCH(COLUMNS($V$1006:AA1006),$V$1006:$AE$1006,0))&gt;=100000), " ",IF(INDEX($V$2:$AE$1001,MATCH(ROWS($O$2:O401),$O$2:$O$1001,0),MATCH(COLUMNS($V$1006:AA1006),$V$1006:$AE$1006,0)), HYPERLINK("#",""), HYPERLINK(CONCATENATE("#Metadata!", ADDRESS(INDEX($Q$2:$Q$1001,MATCH(ROWS($O$2:O401),$O$2:$O$1001,0),0), INDEX($V$1004:$AE$1004,1,MATCH(COLUMNS($V$1006:AA1006),$V$1006:$AE$1006,0)))),"Fix")))</f>
        <v>0</v>
      </c>
      <c r="H401" s="4">
        <f>IF(OR(INDEX($P$2:$P$1001,MATCH(ROWS($O$2:O401),$O$2:$O$1001,0),1)&gt;=100000,INDEX($V$1005:$AE$1005,1,MATCH(COLUMNS($V$1006:AB1006),$V$1006:$AE$1006,0))&gt;=100000), " ",IF(INDEX($V$2:$AE$1001,MATCH(ROWS($O$2:O401),$O$2:$O$1001,0),MATCH(COLUMNS($V$1006:AB1006),$V$1006:$AE$1006,0)), HYPERLINK("#",""), HYPERLINK(CONCATENATE("#Metadata!", ADDRESS(INDEX($Q$2:$Q$1001,MATCH(ROWS($O$2:O401),$O$2:$O$1001,0),0), INDEX($V$1004:$AE$1004,1,MATCH(COLUMNS($V$1006:AB1006),$V$1006:$AE$1006,0)))),"Fix")))</f>
        <v>0</v>
      </c>
      <c r="I401" s="4">
        <f>IF(OR(INDEX($P$2:$P$1001,MATCH(ROWS($O$2:O401),$O$2:$O$1001,0),1)&gt;=100000,INDEX($V$1005:$AE$1005,1,MATCH(COLUMNS($V$1006:AC1006),$V$1006:$AE$1006,0))&gt;=100000), " ",IF(INDEX($V$2:$AE$1001,MATCH(ROWS($O$2:O401),$O$2:$O$1001,0),MATCH(COLUMNS($V$1006:AC1006),$V$1006:$AE$1006,0)), HYPERLINK("#",""), HYPERLINK(CONCATENATE("#Metadata!", ADDRESS(INDEX($Q$2:$Q$1001,MATCH(ROWS($O$2:O401),$O$2:$O$1001,0),0), INDEX($V$1004:$AE$1004,1,MATCH(COLUMNS($V$1006:AC1006),$V$1006:$AE$1006,0)))),"Fix")))</f>
        <v>0</v>
      </c>
      <c r="J401" s="4">
        <f>IF(OR(INDEX($P$2:$P$1001,MATCH(ROWS($O$2:O401),$O$2:$O$1001,0),1)&gt;=100000,INDEX($V$1005:$AE$1005,1,MATCH(COLUMNS($V$1006:AD1006),$V$1006:$AE$1006,0))&gt;=100000), " ",IF(INDEX($V$2:$AE$1001,MATCH(ROWS($O$2:O401),$O$2:$O$1001,0),MATCH(COLUMNS($V$1006:AD1006),$V$1006:$AE$1006,0)), HYPERLINK("#",""), HYPERLINK(CONCATENATE("#Metadata!", ADDRESS(INDEX($Q$2:$Q$1001,MATCH(ROWS($O$2:O401),$O$2:$O$1001,0),0), INDEX($V$1004:$AE$1004,1,MATCH(COLUMNS($V$1006:AD1006),$V$1006:$AE$1006,0)))),"Fix")))</f>
        <v>0</v>
      </c>
      <c r="K401" s="4">
        <f>IF(OR(INDEX($P$2:$P$1001,MATCH(ROWS($O$2:O401),$O$2:$O$1001,0),1)&gt;=100000,INDEX($V$1005:$AE$1005,1,MATCH(COLUMNS($V$1006:AE1006),$V$1006:$AE$1006,0))&gt;=100000), " ",IF(INDEX($V$2:$AE$1001,MATCH(ROWS($O$2:O401),$O$2:$O$1001,0),MATCH(COLUMNS($V$1006:AE1006),$V$1006:$AE$1006,0)), HYPERLINK("#",""), HYPERLINK(CONCATENATE("#Metadata!", ADDRESS(INDEX($Q$2:$Q$1001,MATCH(ROWS($O$2:O401),$O$2:$O$1001,0),0), INDEX($V$1004:$AE$1004,1,MATCH(COLUMNS($V$1006:AE1006),$V$1006:$AE$1006,0)))),"Fix")))</f>
        <v>0</v>
      </c>
      <c r="O401">
        <v>0</v>
      </c>
      <c r="P401">
        <v>0</v>
      </c>
      <c r="Q401">
        <v>0</v>
      </c>
      <c r="R401">
        <f>IF(S401,TRUE,AND(V401:AE401))</f>
        <v>0</v>
      </c>
      <c r="S401">
        <f>COUNTBLANK(Metadata!B401:K401)=COLUMNS(Metadata!B401:K401)</f>
        <v>0</v>
      </c>
      <c r="T401">
        <v>0</v>
      </c>
      <c r="V401">
        <f>AND(IF(Metadata!B401="",FALSE,TRUE),COUNTIF(Metadata!B:B, Metadata!B401) = 1,NOT(ISERROR(SUMPRODUCT(SEARCH(MID(Metadata!B401,ROW(INDIRECT("1:"&amp;LEN(Metadata!B401))), 1),"0123456789abcdefghijklmnopqrstuvwxyzABCDEFGHIJKLMNOPQRSTUVWXYZ.")))))</f>
        <v>0</v>
      </c>
      <c r="W401">
        <f>AND(IF(Metadata!C401="",FALSE,TRUE),exact(Metadata!C401,"urban biome"))</f>
        <v>0</v>
      </c>
      <c r="X401">
        <f>AND(IF(Metadata!D401="",FALSE,TRUE),exact(Metadata!D401,"animal-associated habitat"))</f>
        <v>0</v>
      </c>
      <c r="Y401">
        <f>OR(AND(IF(Metadata!E401="",FALSE,TRUE),OR(exact(Metadata!E401,"not applicable"),exact(Metadata!E401,"missing: not collected"),exact(Metadata!E401,"missing: not provided"),exact(Metadata!E401,"missing: restricted access"))),AND(IF(Metadata!E401="",FALSE,ISNUMBER(VALUE(Metadata!E401))),Metadata!E401&gt;0))</f>
        <v>0</v>
      </c>
      <c r="Z401">
        <f>AND(IF(Metadata!F401="",FALSE,TRUE),exact(Metadata!F401,"weeks"))</f>
        <v>0</v>
      </c>
      <c r="AA401">
        <f>AND(IF(Metadata!G401="",FALSE,TRUE),exact(Metadata!G401,"mouse"))</f>
        <v>0</v>
      </c>
      <c r="AB401">
        <f>AND(IF(Metadata!H401="",FALSE,TRUE),exact(Metadata!H401,"Mus musculus"))</f>
        <v>0</v>
      </c>
      <c r="AC401">
        <f>AND(IF(Metadata!I401="",FALSE,TRUE),exact(Metadata!I401,"10090"))</f>
        <v>0</v>
      </c>
      <c r="AD401">
        <f>OR(AND(IF(Metadata!J401="",FALSE,TRUE),OR(exact(Metadata!J401,"not applicable"),exact(Metadata!J401,"missing: not collected"),exact(Metadata!J401,"missing: not provided"),exact(Metadata!J401,"missing: restricted access"))),AND(IF(Metadata!J401="",FALSE,ISNUMBER(VALUE(Metadata!J401))),Metadata!J401&gt;0))</f>
        <v>0</v>
      </c>
      <c r="AE401">
        <f>AND(IF(Metadata!K401="",FALSE,TRUE),exact(Metadata!K401,"g"))</f>
        <v>0</v>
      </c>
    </row>
    <row r="402" spans="1:31">
      <c r="A402" s="5">
        <f>IF(B402=" "," ",HYPERLINK(CONCATENATE("#metadata!",ADDRESS(INDEX($Q$2:$Q$1001,MATCH(ROWS($O$2:O402),$O$2:$O$1001,0),0),1)),INDEX($T$2:$T$1001,MATCH(ROWS($O$2:O402),$O$2:$O$1001,0),0)))</f>
        <v>0</v>
      </c>
      <c r="B402" s="4">
        <f>IF(OR(INDEX($P$2:$P$1001,MATCH(ROWS($O$2:O402),$O$2:$O$1001,0),1)&gt;=100000,INDEX($V$1005:$AE$1005,1,MATCH(COLUMNS($V$1006:V1006),$V$1006:$AE$1006,0))&gt;=100000), " ",IF(INDEX($V$2:$AE$1001,MATCH(ROWS($O$2:O402),$O$2:$O$1001,0),MATCH(COLUMNS($V$1006:V1006),$V$1006:$AE$1006,0)), HYPERLINK("#",""), HYPERLINK(CONCATENATE("#Metadata!", ADDRESS(INDEX($Q$2:$Q$1001,MATCH(ROWS($O$2:O402),$O$2:$O$1001,0),0), INDEX($V$1004:$AE$1004,1,MATCH(COLUMNS($V$1006:V1006),$V$1006:$AE$1006,0)))),"Fix")))</f>
        <v>0</v>
      </c>
      <c r="C402" s="4">
        <f>IF(OR(INDEX($P$2:$P$1001,MATCH(ROWS($O$2:O402),$O$2:$O$1001,0),1)&gt;=100000,INDEX($V$1005:$AE$1005,1,MATCH(COLUMNS($V$1006:W1006),$V$1006:$AE$1006,0))&gt;=100000), " ",IF(INDEX($V$2:$AE$1001,MATCH(ROWS($O$2:O402),$O$2:$O$1001,0),MATCH(COLUMNS($V$1006:W1006),$V$1006:$AE$1006,0)), HYPERLINK("#",""), HYPERLINK(CONCATENATE("#Metadata!", ADDRESS(INDEX($Q$2:$Q$1001,MATCH(ROWS($O$2:O402),$O$2:$O$1001,0),0), INDEX($V$1004:$AE$1004,1,MATCH(COLUMNS($V$1006:W1006),$V$1006:$AE$1006,0)))),"Fix")))</f>
        <v>0</v>
      </c>
      <c r="D402" s="4">
        <f>IF(OR(INDEX($P$2:$P$1001,MATCH(ROWS($O$2:O402),$O$2:$O$1001,0),1)&gt;=100000,INDEX($V$1005:$AE$1005,1,MATCH(COLUMNS($V$1006:X1006),$V$1006:$AE$1006,0))&gt;=100000), " ",IF(INDEX($V$2:$AE$1001,MATCH(ROWS($O$2:O402),$O$2:$O$1001,0),MATCH(COLUMNS($V$1006:X1006),$V$1006:$AE$1006,0)), HYPERLINK("#",""), HYPERLINK(CONCATENATE("#Metadata!", ADDRESS(INDEX($Q$2:$Q$1001,MATCH(ROWS($O$2:O402),$O$2:$O$1001,0),0), INDEX($V$1004:$AE$1004,1,MATCH(COLUMNS($V$1006:X1006),$V$1006:$AE$1006,0)))),"Fix")))</f>
        <v>0</v>
      </c>
      <c r="E402" s="4">
        <f>IF(OR(INDEX($P$2:$P$1001,MATCH(ROWS($O$2:O402),$O$2:$O$1001,0),1)&gt;=100000,INDEX($V$1005:$AE$1005,1,MATCH(COLUMNS($V$1006:Y1006),$V$1006:$AE$1006,0))&gt;=100000), " ",IF(INDEX($V$2:$AE$1001,MATCH(ROWS($O$2:O402),$O$2:$O$1001,0),MATCH(COLUMNS($V$1006:Y1006),$V$1006:$AE$1006,0)), HYPERLINK("#",""), HYPERLINK(CONCATENATE("#Metadata!", ADDRESS(INDEX($Q$2:$Q$1001,MATCH(ROWS($O$2:O402),$O$2:$O$1001,0),0), INDEX($V$1004:$AE$1004,1,MATCH(COLUMNS($V$1006:Y1006),$V$1006:$AE$1006,0)))),"Fix")))</f>
        <v>0</v>
      </c>
      <c r="F402" s="4">
        <f>IF(OR(INDEX($P$2:$P$1001,MATCH(ROWS($O$2:O402),$O$2:$O$1001,0),1)&gt;=100000,INDEX($V$1005:$AE$1005,1,MATCH(COLUMNS($V$1006:Z1006),$V$1006:$AE$1006,0))&gt;=100000), " ",IF(INDEX($V$2:$AE$1001,MATCH(ROWS($O$2:O402),$O$2:$O$1001,0),MATCH(COLUMNS($V$1006:Z1006),$V$1006:$AE$1006,0)), HYPERLINK("#",""), HYPERLINK(CONCATENATE("#Metadata!", ADDRESS(INDEX($Q$2:$Q$1001,MATCH(ROWS($O$2:O402),$O$2:$O$1001,0),0), INDEX($V$1004:$AE$1004,1,MATCH(COLUMNS($V$1006:Z1006),$V$1006:$AE$1006,0)))),"Fix")))</f>
        <v>0</v>
      </c>
      <c r="G402" s="4">
        <f>IF(OR(INDEX($P$2:$P$1001,MATCH(ROWS($O$2:O402),$O$2:$O$1001,0),1)&gt;=100000,INDEX($V$1005:$AE$1005,1,MATCH(COLUMNS($V$1006:AA1006),$V$1006:$AE$1006,0))&gt;=100000), " ",IF(INDEX($V$2:$AE$1001,MATCH(ROWS($O$2:O402),$O$2:$O$1001,0),MATCH(COLUMNS($V$1006:AA1006),$V$1006:$AE$1006,0)), HYPERLINK("#",""), HYPERLINK(CONCATENATE("#Metadata!", ADDRESS(INDEX($Q$2:$Q$1001,MATCH(ROWS($O$2:O402),$O$2:$O$1001,0),0), INDEX($V$1004:$AE$1004,1,MATCH(COLUMNS($V$1006:AA1006),$V$1006:$AE$1006,0)))),"Fix")))</f>
        <v>0</v>
      </c>
      <c r="H402" s="4">
        <f>IF(OR(INDEX($P$2:$P$1001,MATCH(ROWS($O$2:O402),$O$2:$O$1001,0),1)&gt;=100000,INDEX($V$1005:$AE$1005,1,MATCH(COLUMNS($V$1006:AB1006),$V$1006:$AE$1006,0))&gt;=100000), " ",IF(INDEX($V$2:$AE$1001,MATCH(ROWS($O$2:O402),$O$2:$O$1001,0),MATCH(COLUMNS($V$1006:AB1006),$V$1006:$AE$1006,0)), HYPERLINK("#",""), HYPERLINK(CONCATENATE("#Metadata!", ADDRESS(INDEX($Q$2:$Q$1001,MATCH(ROWS($O$2:O402),$O$2:$O$1001,0),0), INDEX($V$1004:$AE$1004,1,MATCH(COLUMNS($V$1006:AB1006),$V$1006:$AE$1006,0)))),"Fix")))</f>
        <v>0</v>
      </c>
      <c r="I402" s="4">
        <f>IF(OR(INDEX($P$2:$P$1001,MATCH(ROWS($O$2:O402),$O$2:$O$1001,0),1)&gt;=100000,INDEX($V$1005:$AE$1005,1,MATCH(COLUMNS($V$1006:AC1006),$V$1006:$AE$1006,0))&gt;=100000), " ",IF(INDEX($V$2:$AE$1001,MATCH(ROWS($O$2:O402),$O$2:$O$1001,0),MATCH(COLUMNS($V$1006:AC1006),$V$1006:$AE$1006,0)), HYPERLINK("#",""), HYPERLINK(CONCATENATE("#Metadata!", ADDRESS(INDEX($Q$2:$Q$1001,MATCH(ROWS($O$2:O402),$O$2:$O$1001,0),0), INDEX($V$1004:$AE$1004,1,MATCH(COLUMNS($V$1006:AC1006),$V$1006:$AE$1006,0)))),"Fix")))</f>
        <v>0</v>
      </c>
      <c r="J402" s="4">
        <f>IF(OR(INDEX($P$2:$P$1001,MATCH(ROWS($O$2:O402),$O$2:$O$1001,0),1)&gt;=100000,INDEX($V$1005:$AE$1005,1,MATCH(COLUMNS($V$1006:AD1006),$V$1006:$AE$1006,0))&gt;=100000), " ",IF(INDEX($V$2:$AE$1001,MATCH(ROWS($O$2:O402),$O$2:$O$1001,0),MATCH(COLUMNS($V$1006:AD1006),$V$1006:$AE$1006,0)), HYPERLINK("#",""), HYPERLINK(CONCATENATE("#Metadata!", ADDRESS(INDEX($Q$2:$Q$1001,MATCH(ROWS($O$2:O402),$O$2:$O$1001,0),0), INDEX($V$1004:$AE$1004,1,MATCH(COLUMNS($V$1006:AD1006),$V$1006:$AE$1006,0)))),"Fix")))</f>
        <v>0</v>
      </c>
      <c r="K402" s="4">
        <f>IF(OR(INDEX($P$2:$P$1001,MATCH(ROWS($O$2:O402),$O$2:$O$1001,0),1)&gt;=100000,INDEX($V$1005:$AE$1005,1,MATCH(COLUMNS($V$1006:AE1006),$V$1006:$AE$1006,0))&gt;=100000), " ",IF(INDEX($V$2:$AE$1001,MATCH(ROWS($O$2:O402),$O$2:$O$1001,0),MATCH(COLUMNS($V$1006:AE1006),$V$1006:$AE$1006,0)), HYPERLINK("#",""), HYPERLINK(CONCATENATE("#Metadata!", ADDRESS(INDEX($Q$2:$Q$1001,MATCH(ROWS($O$2:O402),$O$2:$O$1001,0),0), INDEX($V$1004:$AE$1004,1,MATCH(COLUMNS($V$1006:AE1006),$V$1006:$AE$1006,0)))),"Fix")))</f>
        <v>0</v>
      </c>
      <c r="O402">
        <v>0</v>
      </c>
      <c r="P402">
        <v>0</v>
      </c>
      <c r="Q402">
        <v>0</v>
      </c>
      <c r="R402">
        <f>IF(S402,TRUE,AND(V402:AE402))</f>
        <v>0</v>
      </c>
      <c r="S402">
        <f>COUNTBLANK(Metadata!B402:K402)=COLUMNS(Metadata!B402:K402)</f>
        <v>0</v>
      </c>
      <c r="T402">
        <v>0</v>
      </c>
      <c r="V402">
        <f>AND(IF(Metadata!B402="",FALSE,TRUE),COUNTIF(Metadata!B:B, Metadata!B402) = 1,NOT(ISERROR(SUMPRODUCT(SEARCH(MID(Metadata!B402,ROW(INDIRECT("1:"&amp;LEN(Metadata!B402))), 1),"0123456789abcdefghijklmnopqrstuvwxyzABCDEFGHIJKLMNOPQRSTUVWXYZ.")))))</f>
        <v>0</v>
      </c>
      <c r="W402">
        <f>AND(IF(Metadata!C402="",FALSE,TRUE),exact(Metadata!C402,"urban biome"))</f>
        <v>0</v>
      </c>
      <c r="X402">
        <f>AND(IF(Metadata!D402="",FALSE,TRUE),exact(Metadata!D402,"animal-associated habitat"))</f>
        <v>0</v>
      </c>
      <c r="Y402">
        <f>OR(AND(IF(Metadata!E402="",FALSE,TRUE),OR(exact(Metadata!E402,"not applicable"),exact(Metadata!E402,"missing: not collected"),exact(Metadata!E402,"missing: not provided"),exact(Metadata!E402,"missing: restricted access"))),AND(IF(Metadata!E402="",FALSE,ISNUMBER(VALUE(Metadata!E402))),Metadata!E402&gt;0))</f>
        <v>0</v>
      </c>
      <c r="Z402">
        <f>AND(IF(Metadata!F402="",FALSE,TRUE),exact(Metadata!F402,"weeks"))</f>
        <v>0</v>
      </c>
      <c r="AA402">
        <f>AND(IF(Metadata!G402="",FALSE,TRUE),exact(Metadata!G402,"mouse"))</f>
        <v>0</v>
      </c>
      <c r="AB402">
        <f>AND(IF(Metadata!H402="",FALSE,TRUE),exact(Metadata!H402,"Mus musculus"))</f>
        <v>0</v>
      </c>
      <c r="AC402">
        <f>AND(IF(Metadata!I402="",FALSE,TRUE),exact(Metadata!I402,"10090"))</f>
        <v>0</v>
      </c>
      <c r="AD402">
        <f>OR(AND(IF(Metadata!J402="",FALSE,TRUE),OR(exact(Metadata!J402,"not applicable"),exact(Metadata!J402,"missing: not collected"),exact(Metadata!J402,"missing: not provided"),exact(Metadata!J402,"missing: restricted access"))),AND(IF(Metadata!J402="",FALSE,ISNUMBER(VALUE(Metadata!J402))),Metadata!J402&gt;0))</f>
        <v>0</v>
      </c>
      <c r="AE402">
        <f>AND(IF(Metadata!K402="",FALSE,TRUE),exact(Metadata!K402,"g"))</f>
        <v>0</v>
      </c>
    </row>
    <row r="403" spans="1:31">
      <c r="A403" s="5">
        <f>IF(B403=" "," ",HYPERLINK(CONCATENATE("#metadata!",ADDRESS(INDEX($Q$2:$Q$1001,MATCH(ROWS($O$2:O403),$O$2:$O$1001,0),0),1)),INDEX($T$2:$T$1001,MATCH(ROWS($O$2:O403),$O$2:$O$1001,0),0)))</f>
        <v>0</v>
      </c>
      <c r="B403" s="4">
        <f>IF(OR(INDEX($P$2:$P$1001,MATCH(ROWS($O$2:O403),$O$2:$O$1001,0),1)&gt;=100000,INDEX($V$1005:$AE$1005,1,MATCH(COLUMNS($V$1006:V1006),$V$1006:$AE$1006,0))&gt;=100000), " ",IF(INDEX($V$2:$AE$1001,MATCH(ROWS($O$2:O403),$O$2:$O$1001,0),MATCH(COLUMNS($V$1006:V1006),$V$1006:$AE$1006,0)), HYPERLINK("#",""), HYPERLINK(CONCATENATE("#Metadata!", ADDRESS(INDEX($Q$2:$Q$1001,MATCH(ROWS($O$2:O403),$O$2:$O$1001,0),0), INDEX($V$1004:$AE$1004,1,MATCH(COLUMNS($V$1006:V1006),$V$1006:$AE$1006,0)))),"Fix")))</f>
        <v>0</v>
      </c>
      <c r="C403" s="4">
        <f>IF(OR(INDEX($P$2:$P$1001,MATCH(ROWS($O$2:O403),$O$2:$O$1001,0),1)&gt;=100000,INDEX($V$1005:$AE$1005,1,MATCH(COLUMNS($V$1006:W1006),$V$1006:$AE$1006,0))&gt;=100000), " ",IF(INDEX($V$2:$AE$1001,MATCH(ROWS($O$2:O403),$O$2:$O$1001,0),MATCH(COLUMNS($V$1006:W1006),$V$1006:$AE$1006,0)), HYPERLINK("#",""), HYPERLINK(CONCATENATE("#Metadata!", ADDRESS(INDEX($Q$2:$Q$1001,MATCH(ROWS($O$2:O403),$O$2:$O$1001,0),0), INDEX($V$1004:$AE$1004,1,MATCH(COLUMNS($V$1006:W1006),$V$1006:$AE$1006,0)))),"Fix")))</f>
        <v>0</v>
      </c>
      <c r="D403" s="4">
        <f>IF(OR(INDEX($P$2:$P$1001,MATCH(ROWS($O$2:O403),$O$2:$O$1001,0),1)&gt;=100000,INDEX($V$1005:$AE$1005,1,MATCH(COLUMNS($V$1006:X1006),$V$1006:$AE$1006,0))&gt;=100000), " ",IF(INDEX($V$2:$AE$1001,MATCH(ROWS($O$2:O403),$O$2:$O$1001,0),MATCH(COLUMNS($V$1006:X1006),$V$1006:$AE$1006,0)), HYPERLINK("#",""), HYPERLINK(CONCATENATE("#Metadata!", ADDRESS(INDEX($Q$2:$Q$1001,MATCH(ROWS($O$2:O403),$O$2:$O$1001,0),0), INDEX($V$1004:$AE$1004,1,MATCH(COLUMNS($V$1006:X1006),$V$1006:$AE$1006,0)))),"Fix")))</f>
        <v>0</v>
      </c>
      <c r="E403" s="4">
        <f>IF(OR(INDEX($P$2:$P$1001,MATCH(ROWS($O$2:O403),$O$2:$O$1001,0),1)&gt;=100000,INDEX($V$1005:$AE$1005,1,MATCH(COLUMNS($V$1006:Y1006),$V$1006:$AE$1006,0))&gt;=100000), " ",IF(INDEX($V$2:$AE$1001,MATCH(ROWS($O$2:O403),$O$2:$O$1001,0),MATCH(COLUMNS($V$1006:Y1006),$V$1006:$AE$1006,0)), HYPERLINK("#",""), HYPERLINK(CONCATENATE("#Metadata!", ADDRESS(INDEX($Q$2:$Q$1001,MATCH(ROWS($O$2:O403),$O$2:$O$1001,0),0), INDEX($V$1004:$AE$1004,1,MATCH(COLUMNS($V$1006:Y1006),$V$1006:$AE$1006,0)))),"Fix")))</f>
        <v>0</v>
      </c>
      <c r="F403" s="4">
        <f>IF(OR(INDEX($P$2:$P$1001,MATCH(ROWS($O$2:O403),$O$2:$O$1001,0),1)&gt;=100000,INDEX($V$1005:$AE$1005,1,MATCH(COLUMNS($V$1006:Z1006),$V$1006:$AE$1006,0))&gt;=100000), " ",IF(INDEX($V$2:$AE$1001,MATCH(ROWS($O$2:O403),$O$2:$O$1001,0),MATCH(COLUMNS($V$1006:Z1006),$V$1006:$AE$1006,0)), HYPERLINK("#",""), HYPERLINK(CONCATENATE("#Metadata!", ADDRESS(INDEX($Q$2:$Q$1001,MATCH(ROWS($O$2:O403),$O$2:$O$1001,0),0), INDEX($V$1004:$AE$1004,1,MATCH(COLUMNS($V$1006:Z1006),$V$1006:$AE$1006,0)))),"Fix")))</f>
        <v>0</v>
      </c>
      <c r="G403" s="4">
        <f>IF(OR(INDEX($P$2:$P$1001,MATCH(ROWS($O$2:O403),$O$2:$O$1001,0),1)&gt;=100000,INDEX($V$1005:$AE$1005,1,MATCH(COLUMNS($V$1006:AA1006),$V$1006:$AE$1006,0))&gt;=100000), " ",IF(INDEX($V$2:$AE$1001,MATCH(ROWS($O$2:O403),$O$2:$O$1001,0),MATCH(COLUMNS($V$1006:AA1006),$V$1006:$AE$1006,0)), HYPERLINK("#",""), HYPERLINK(CONCATENATE("#Metadata!", ADDRESS(INDEX($Q$2:$Q$1001,MATCH(ROWS($O$2:O403),$O$2:$O$1001,0),0), INDEX($V$1004:$AE$1004,1,MATCH(COLUMNS($V$1006:AA1006),$V$1006:$AE$1006,0)))),"Fix")))</f>
        <v>0</v>
      </c>
      <c r="H403" s="4">
        <f>IF(OR(INDEX($P$2:$P$1001,MATCH(ROWS($O$2:O403),$O$2:$O$1001,0),1)&gt;=100000,INDEX($V$1005:$AE$1005,1,MATCH(COLUMNS($V$1006:AB1006),$V$1006:$AE$1006,0))&gt;=100000), " ",IF(INDEX($V$2:$AE$1001,MATCH(ROWS($O$2:O403),$O$2:$O$1001,0),MATCH(COLUMNS($V$1006:AB1006),$V$1006:$AE$1006,0)), HYPERLINK("#",""), HYPERLINK(CONCATENATE("#Metadata!", ADDRESS(INDEX($Q$2:$Q$1001,MATCH(ROWS($O$2:O403),$O$2:$O$1001,0),0), INDEX($V$1004:$AE$1004,1,MATCH(COLUMNS($V$1006:AB1006),$V$1006:$AE$1006,0)))),"Fix")))</f>
        <v>0</v>
      </c>
      <c r="I403" s="4">
        <f>IF(OR(INDEX($P$2:$P$1001,MATCH(ROWS($O$2:O403),$O$2:$O$1001,0),1)&gt;=100000,INDEX($V$1005:$AE$1005,1,MATCH(COLUMNS($V$1006:AC1006),$V$1006:$AE$1006,0))&gt;=100000), " ",IF(INDEX($V$2:$AE$1001,MATCH(ROWS($O$2:O403),$O$2:$O$1001,0),MATCH(COLUMNS($V$1006:AC1006),$V$1006:$AE$1006,0)), HYPERLINK("#",""), HYPERLINK(CONCATENATE("#Metadata!", ADDRESS(INDEX($Q$2:$Q$1001,MATCH(ROWS($O$2:O403),$O$2:$O$1001,0),0), INDEX($V$1004:$AE$1004,1,MATCH(COLUMNS($V$1006:AC1006),$V$1006:$AE$1006,0)))),"Fix")))</f>
        <v>0</v>
      </c>
      <c r="J403" s="4">
        <f>IF(OR(INDEX($P$2:$P$1001,MATCH(ROWS($O$2:O403),$O$2:$O$1001,0),1)&gt;=100000,INDEX($V$1005:$AE$1005,1,MATCH(COLUMNS($V$1006:AD1006),$V$1006:$AE$1006,0))&gt;=100000), " ",IF(INDEX($V$2:$AE$1001,MATCH(ROWS($O$2:O403),$O$2:$O$1001,0),MATCH(COLUMNS($V$1006:AD1006),$V$1006:$AE$1006,0)), HYPERLINK("#",""), HYPERLINK(CONCATENATE("#Metadata!", ADDRESS(INDEX($Q$2:$Q$1001,MATCH(ROWS($O$2:O403),$O$2:$O$1001,0),0), INDEX($V$1004:$AE$1004,1,MATCH(COLUMNS($V$1006:AD1006),$V$1006:$AE$1006,0)))),"Fix")))</f>
        <v>0</v>
      </c>
      <c r="K403" s="4">
        <f>IF(OR(INDEX($P$2:$P$1001,MATCH(ROWS($O$2:O403),$O$2:$O$1001,0),1)&gt;=100000,INDEX($V$1005:$AE$1005,1,MATCH(COLUMNS($V$1006:AE1006),$V$1006:$AE$1006,0))&gt;=100000), " ",IF(INDEX($V$2:$AE$1001,MATCH(ROWS($O$2:O403),$O$2:$O$1001,0),MATCH(COLUMNS($V$1006:AE1006),$V$1006:$AE$1006,0)), HYPERLINK("#",""), HYPERLINK(CONCATENATE("#Metadata!", ADDRESS(INDEX($Q$2:$Q$1001,MATCH(ROWS($O$2:O403),$O$2:$O$1001,0),0), INDEX($V$1004:$AE$1004,1,MATCH(COLUMNS($V$1006:AE1006),$V$1006:$AE$1006,0)))),"Fix")))</f>
        <v>0</v>
      </c>
      <c r="O403">
        <v>0</v>
      </c>
      <c r="P403">
        <v>0</v>
      </c>
      <c r="Q403">
        <v>0</v>
      </c>
      <c r="R403">
        <f>IF(S403,TRUE,AND(V403:AE403))</f>
        <v>0</v>
      </c>
      <c r="S403">
        <f>COUNTBLANK(Metadata!B403:K403)=COLUMNS(Metadata!B403:K403)</f>
        <v>0</v>
      </c>
      <c r="T403">
        <v>0</v>
      </c>
      <c r="V403">
        <f>AND(IF(Metadata!B403="",FALSE,TRUE),COUNTIF(Metadata!B:B, Metadata!B403) = 1,NOT(ISERROR(SUMPRODUCT(SEARCH(MID(Metadata!B403,ROW(INDIRECT("1:"&amp;LEN(Metadata!B403))), 1),"0123456789abcdefghijklmnopqrstuvwxyzABCDEFGHIJKLMNOPQRSTUVWXYZ.")))))</f>
        <v>0</v>
      </c>
      <c r="W403">
        <f>AND(IF(Metadata!C403="",FALSE,TRUE),exact(Metadata!C403,"urban biome"))</f>
        <v>0</v>
      </c>
      <c r="X403">
        <f>AND(IF(Metadata!D403="",FALSE,TRUE),exact(Metadata!D403,"animal-associated habitat"))</f>
        <v>0</v>
      </c>
      <c r="Y403">
        <f>OR(AND(IF(Metadata!E403="",FALSE,TRUE),OR(exact(Metadata!E403,"not applicable"),exact(Metadata!E403,"missing: not collected"),exact(Metadata!E403,"missing: not provided"),exact(Metadata!E403,"missing: restricted access"))),AND(IF(Metadata!E403="",FALSE,ISNUMBER(VALUE(Metadata!E403))),Metadata!E403&gt;0))</f>
        <v>0</v>
      </c>
      <c r="Z403">
        <f>AND(IF(Metadata!F403="",FALSE,TRUE),exact(Metadata!F403,"weeks"))</f>
        <v>0</v>
      </c>
      <c r="AA403">
        <f>AND(IF(Metadata!G403="",FALSE,TRUE),exact(Metadata!G403,"mouse"))</f>
        <v>0</v>
      </c>
      <c r="AB403">
        <f>AND(IF(Metadata!H403="",FALSE,TRUE),exact(Metadata!H403,"Mus musculus"))</f>
        <v>0</v>
      </c>
      <c r="AC403">
        <f>AND(IF(Metadata!I403="",FALSE,TRUE),exact(Metadata!I403,"10090"))</f>
        <v>0</v>
      </c>
      <c r="AD403">
        <f>OR(AND(IF(Metadata!J403="",FALSE,TRUE),OR(exact(Metadata!J403,"not applicable"),exact(Metadata!J403,"missing: not collected"),exact(Metadata!J403,"missing: not provided"),exact(Metadata!J403,"missing: restricted access"))),AND(IF(Metadata!J403="",FALSE,ISNUMBER(VALUE(Metadata!J403))),Metadata!J403&gt;0))</f>
        <v>0</v>
      </c>
      <c r="AE403">
        <f>AND(IF(Metadata!K403="",FALSE,TRUE),exact(Metadata!K403,"g"))</f>
        <v>0</v>
      </c>
    </row>
    <row r="404" spans="1:31">
      <c r="A404" s="5">
        <f>IF(B404=" "," ",HYPERLINK(CONCATENATE("#metadata!",ADDRESS(INDEX($Q$2:$Q$1001,MATCH(ROWS($O$2:O404),$O$2:$O$1001,0),0),1)),INDEX($T$2:$T$1001,MATCH(ROWS($O$2:O404),$O$2:$O$1001,0),0)))</f>
        <v>0</v>
      </c>
      <c r="B404" s="4">
        <f>IF(OR(INDEX($P$2:$P$1001,MATCH(ROWS($O$2:O404),$O$2:$O$1001,0),1)&gt;=100000,INDEX($V$1005:$AE$1005,1,MATCH(COLUMNS($V$1006:V1006),$V$1006:$AE$1006,0))&gt;=100000), " ",IF(INDEX($V$2:$AE$1001,MATCH(ROWS($O$2:O404),$O$2:$O$1001,0),MATCH(COLUMNS($V$1006:V1006),$V$1006:$AE$1006,0)), HYPERLINK("#",""), HYPERLINK(CONCATENATE("#Metadata!", ADDRESS(INDEX($Q$2:$Q$1001,MATCH(ROWS($O$2:O404),$O$2:$O$1001,0),0), INDEX($V$1004:$AE$1004,1,MATCH(COLUMNS($V$1006:V1006),$V$1006:$AE$1006,0)))),"Fix")))</f>
        <v>0</v>
      </c>
      <c r="C404" s="4">
        <f>IF(OR(INDEX($P$2:$P$1001,MATCH(ROWS($O$2:O404),$O$2:$O$1001,0),1)&gt;=100000,INDEX($V$1005:$AE$1005,1,MATCH(COLUMNS($V$1006:W1006),$V$1006:$AE$1006,0))&gt;=100000), " ",IF(INDEX($V$2:$AE$1001,MATCH(ROWS($O$2:O404),$O$2:$O$1001,0),MATCH(COLUMNS($V$1006:W1006),$V$1006:$AE$1006,0)), HYPERLINK("#",""), HYPERLINK(CONCATENATE("#Metadata!", ADDRESS(INDEX($Q$2:$Q$1001,MATCH(ROWS($O$2:O404),$O$2:$O$1001,0),0), INDEX($V$1004:$AE$1004,1,MATCH(COLUMNS($V$1006:W1006),$V$1006:$AE$1006,0)))),"Fix")))</f>
        <v>0</v>
      </c>
      <c r="D404" s="4">
        <f>IF(OR(INDEX($P$2:$P$1001,MATCH(ROWS($O$2:O404),$O$2:$O$1001,0),1)&gt;=100000,INDEX($V$1005:$AE$1005,1,MATCH(COLUMNS($V$1006:X1006),$V$1006:$AE$1006,0))&gt;=100000), " ",IF(INDEX($V$2:$AE$1001,MATCH(ROWS($O$2:O404),$O$2:$O$1001,0),MATCH(COLUMNS($V$1006:X1006),$V$1006:$AE$1006,0)), HYPERLINK("#",""), HYPERLINK(CONCATENATE("#Metadata!", ADDRESS(INDEX($Q$2:$Q$1001,MATCH(ROWS($O$2:O404),$O$2:$O$1001,0),0), INDEX($V$1004:$AE$1004,1,MATCH(COLUMNS($V$1006:X1006),$V$1006:$AE$1006,0)))),"Fix")))</f>
        <v>0</v>
      </c>
      <c r="E404" s="4">
        <f>IF(OR(INDEX($P$2:$P$1001,MATCH(ROWS($O$2:O404),$O$2:$O$1001,0),1)&gt;=100000,INDEX($V$1005:$AE$1005,1,MATCH(COLUMNS($V$1006:Y1006),$V$1006:$AE$1006,0))&gt;=100000), " ",IF(INDEX($V$2:$AE$1001,MATCH(ROWS($O$2:O404),$O$2:$O$1001,0),MATCH(COLUMNS($V$1006:Y1006),$V$1006:$AE$1006,0)), HYPERLINK("#",""), HYPERLINK(CONCATENATE("#Metadata!", ADDRESS(INDEX($Q$2:$Q$1001,MATCH(ROWS($O$2:O404),$O$2:$O$1001,0),0), INDEX($V$1004:$AE$1004,1,MATCH(COLUMNS($V$1006:Y1006),$V$1006:$AE$1006,0)))),"Fix")))</f>
        <v>0</v>
      </c>
      <c r="F404" s="4">
        <f>IF(OR(INDEX($P$2:$P$1001,MATCH(ROWS($O$2:O404),$O$2:$O$1001,0),1)&gt;=100000,INDEX($V$1005:$AE$1005,1,MATCH(COLUMNS($V$1006:Z1006),$V$1006:$AE$1006,0))&gt;=100000), " ",IF(INDEX($V$2:$AE$1001,MATCH(ROWS($O$2:O404),$O$2:$O$1001,0),MATCH(COLUMNS($V$1006:Z1006),$V$1006:$AE$1006,0)), HYPERLINK("#",""), HYPERLINK(CONCATENATE("#Metadata!", ADDRESS(INDEX($Q$2:$Q$1001,MATCH(ROWS($O$2:O404),$O$2:$O$1001,0),0), INDEX($V$1004:$AE$1004,1,MATCH(COLUMNS($V$1006:Z1006),$V$1006:$AE$1006,0)))),"Fix")))</f>
        <v>0</v>
      </c>
      <c r="G404" s="4">
        <f>IF(OR(INDEX($P$2:$P$1001,MATCH(ROWS($O$2:O404),$O$2:$O$1001,0),1)&gt;=100000,INDEX($V$1005:$AE$1005,1,MATCH(COLUMNS($V$1006:AA1006),$V$1006:$AE$1006,0))&gt;=100000), " ",IF(INDEX($V$2:$AE$1001,MATCH(ROWS($O$2:O404),$O$2:$O$1001,0),MATCH(COLUMNS($V$1006:AA1006),$V$1006:$AE$1006,0)), HYPERLINK("#",""), HYPERLINK(CONCATENATE("#Metadata!", ADDRESS(INDEX($Q$2:$Q$1001,MATCH(ROWS($O$2:O404),$O$2:$O$1001,0),0), INDEX($V$1004:$AE$1004,1,MATCH(COLUMNS($V$1006:AA1006),$V$1006:$AE$1006,0)))),"Fix")))</f>
        <v>0</v>
      </c>
      <c r="H404" s="4">
        <f>IF(OR(INDEX($P$2:$P$1001,MATCH(ROWS($O$2:O404),$O$2:$O$1001,0),1)&gt;=100000,INDEX($V$1005:$AE$1005,1,MATCH(COLUMNS($V$1006:AB1006),$V$1006:$AE$1006,0))&gt;=100000), " ",IF(INDEX($V$2:$AE$1001,MATCH(ROWS($O$2:O404),$O$2:$O$1001,0),MATCH(COLUMNS($V$1006:AB1006),$V$1006:$AE$1006,0)), HYPERLINK("#",""), HYPERLINK(CONCATENATE("#Metadata!", ADDRESS(INDEX($Q$2:$Q$1001,MATCH(ROWS($O$2:O404),$O$2:$O$1001,0),0), INDEX($V$1004:$AE$1004,1,MATCH(COLUMNS($V$1006:AB1006),$V$1006:$AE$1006,0)))),"Fix")))</f>
        <v>0</v>
      </c>
      <c r="I404" s="4">
        <f>IF(OR(INDEX($P$2:$P$1001,MATCH(ROWS($O$2:O404),$O$2:$O$1001,0),1)&gt;=100000,INDEX($V$1005:$AE$1005,1,MATCH(COLUMNS($V$1006:AC1006),$V$1006:$AE$1006,0))&gt;=100000), " ",IF(INDEX($V$2:$AE$1001,MATCH(ROWS($O$2:O404),$O$2:$O$1001,0),MATCH(COLUMNS($V$1006:AC1006),$V$1006:$AE$1006,0)), HYPERLINK("#",""), HYPERLINK(CONCATENATE("#Metadata!", ADDRESS(INDEX($Q$2:$Q$1001,MATCH(ROWS($O$2:O404),$O$2:$O$1001,0),0), INDEX($V$1004:$AE$1004,1,MATCH(COLUMNS($V$1006:AC1006),$V$1006:$AE$1006,0)))),"Fix")))</f>
        <v>0</v>
      </c>
      <c r="J404" s="4">
        <f>IF(OR(INDEX($P$2:$P$1001,MATCH(ROWS($O$2:O404),$O$2:$O$1001,0),1)&gt;=100000,INDEX($V$1005:$AE$1005,1,MATCH(COLUMNS($V$1006:AD1006),$V$1006:$AE$1006,0))&gt;=100000), " ",IF(INDEX($V$2:$AE$1001,MATCH(ROWS($O$2:O404),$O$2:$O$1001,0),MATCH(COLUMNS($V$1006:AD1006),$V$1006:$AE$1006,0)), HYPERLINK("#",""), HYPERLINK(CONCATENATE("#Metadata!", ADDRESS(INDEX($Q$2:$Q$1001,MATCH(ROWS($O$2:O404),$O$2:$O$1001,0),0), INDEX($V$1004:$AE$1004,1,MATCH(COLUMNS($V$1006:AD1006),$V$1006:$AE$1006,0)))),"Fix")))</f>
        <v>0</v>
      </c>
      <c r="K404" s="4">
        <f>IF(OR(INDEX($P$2:$P$1001,MATCH(ROWS($O$2:O404),$O$2:$O$1001,0),1)&gt;=100000,INDEX($V$1005:$AE$1005,1,MATCH(COLUMNS($V$1006:AE1006),$V$1006:$AE$1006,0))&gt;=100000), " ",IF(INDEX($V$2:$AE$1001,MATCH(ROWS($O$2:O404),$O$2:$O$1001,0),MATCH(COLUMNS($V$1006:AE1006),$V$1006:$AE$1006,0)), HYPERLINK("#",""), HYPERLINK(CONCATENATE("#Metadata!", ADDRESS(INDEX($Q$2:$Q$1001,MATCH(ROWS($O$2:O404),$O$2:$O$1001,0),0), INDEX($V$1004:$AE$1004,1,MATCH(COLUMNS($V$1006:AE1006),$V$1006:$AE$1006,0)))),"Fix")))</f>
        <v>0</v>
      </c>
      <c r="O404">
        <v>0</v>
      </c>
      <c r="P404">
        <v>0</v>
      </c>
      <c r="Q404">
        <v>0</v>
      </c>
      <c r="R404">
        <f>IF(S404,TRUE,AND(V404:AE404))</f>
        <v>0</v>
      </c>
      <c r="S404">
        <f>COUNTBLANK(Metadata!B404:K404)=COLUMNS(Metadata!B404:K404)</f>
        <v>0</v>
      </c>
      <c r="T404">
        <v>0</v>
      </c>
      <c r="V404">
        <f>AND(IF(Metadata!B404="",FALSE,TRUE),COUNTIF(Metadata!B:B, Metadata!B404) = 1,NOT(ISERROR(SUMPRODUCT(SEARCH(MID(Metadata!B404,ROW(INDIRECT("1:"&amp;LEN(Metadata!B404))), 1),"0123456789abcdefghijklmnopqrstuvwxyzABCDEFGHIJKLMNOPQRSTUVWXYZ.")))))</f>
        <v>0</v>
      </c>
      <c r="W404">
        <f>AND(IF(Metadata!C404="",FALSE,TRUE),exact(Metadata!C404,"urban biome"))</f>
        <v>0</v>
      </c>
      <c r="X404">
        <f>AND(IF(Metadata!D404="",FALSE,TRUE),exact(Metadata!D404,"animal-associated habitat"))</f>
        <v>0</v>
      </c>
      <c r="Y404">
        <f>OR(AND(IF(Metadata!E404="",FALSE,TRUE),OR(exact(Metadata!E404,"not applicable"),exact(Metadata!E404,"missing: not collected"),exact(Metadata!E404,"missing: not provided"),exact(Metadata!E404,"missing: restricted access"))),AND(IF(Metadata!E404="",FALSE,ISNUMBER(VALUE(Metadata!E404))),Metadata!E404&gt;0))</f>
        <v>0</v>
      </c>
      <c r="Z404">
        <f>AND(IF(Metadata!F404="",FALSE,TRUE),exact(Metadata!F404,"weeks"))</f>
        <v>0</v>
      </c>
      <c r="AA404">
        <f>AND(IF(Metadata!G404="",FALSE,TRUE),exact(Metadata!G404,"mouse"))</f>
        <v>0</v>
      </c>
      <c r="AB404">
        <f>AND(IF(Metadata!H404="",FALSE,TRUE),exact(Metadata!H404,"Mus musculus"))</f>
        <v>0</v>
      </c>
      <c r="AC404">
        <f>AND(IF(Metadata!I404="",FALSE,TRUE),exact(Metadata!I404,"10090"))</f>
        <v>0</v>
      </c>
      <c r="AD404">
        <f>OR(AND(IF(Metadata!J404="",FALSE,TRUE),OR(exact(Metadata!J404,"not applicable"),exact(Metadata!J404,"missing: not collected"),exact(Metadata!J404,"missing: not provided"),exact(Metadata!J404,"missing: restricted access"))),AND(IF(Metadata!J404="",FALSE,ISNUMBER(VALUE(Metadata!J404))),Metadata!J404&gt;0))</f>
        <v>0</v>
      </c>
      <c r="AE404">
        <f>AND(IF(Metadata!K404="",FALSE,TRUE),exact(Metadata!K404,"g"))</f>
        <v>0</v>
      </c>
    </row>
    <row r="405" spans="1:31">
      <c r="A405" s="5">
        <f>IF(B405=" "," ",HYPERLINK(CONCATENATE("#metadata!",ADDRESS(INDEX($Q$2:$Q$1001,MATCH(ROWS($O$2:O405),$O$2:$O$1001,0),0),1)),INDEX($T$2:$T$1001,MATCH(ROWS($O$2:O405),$O$2:$O$1001,0),0)))</f>
        <v>0</v>
      </c>
      <c r="B405" s="4">
        <f>IF(OR(INDEX($P$2:$P$1001,MATCH(ROWS($O$2:O405),$O$2:$O$1001,0),1)&gt;=100000,INDEX($V$1005:$AE$1005,1,MATCH(COLUMNS($V$1006:V1006),$V$1006:$AE$1006,0))&gt;=100000), " ",IF(INDEX($V$2:$AE$1001,MATCH(ROWS($O$2:O405),$O$2:$O$1001,0),MATCH(COLUMNS($V$1006:V1006),$V$1006:$AE$1006,0)), HYPERLINK("#",""), HYPERLINK(CONCATENATE("#Metadata!", ADDRESS(INDEX($Q$2:$Q$1001,MATCH(ROWS($O$2:O405),$O$2:$O$1001,0),0), INDEX($V$1004:$AE$1004,1,MATCH(COLUMNS($V$1006:V1006),$V$1006:$AE$1006,0)))),"Fix")))</f>
        <v>0</v>
      </c>
      <c r="C405" s="4">
        <f>IF(OR(INDEX($P$2:$P$1001,MATCH(ROWS($O$2:O405),$O$2:$O$1001,0),1)&gt;=100000,INDEX($V$1005:$AE$1005,1,MATCH(COLUMNS($V$1006:W1006),$V$1006:$AE$1006,0))&gt;=100000), " ",IF(INDEX($V$2:$AE$1001,MATCH(ROWS($O$2:O405),$O$2:$O$1001,0),MATCH(COLUMNS($V$1006:W1006),$V$1006:$AE$1006,0)), HYPERLINK("#",""), HYPERLINK(CONCATENATE("#Metadata!", ADDRESS(INDEX($Q$2:$Q$1001,MATCH(ROWS($O$2:O405),$O$2:$O$1001,0),0), INDEX($V$1004:$AE$1004,1,MATCH(COLUMNS($V$1006:W1006),$V$1006:$AE$1006,0)))),"Fix")))</f>
        <v>0</v>
      </c>
      <c r="D405" s="4">
        <f>IF(OR(INDEX($P$2:$P$1001,MATCH(ROWS($O$2:O405),$O$2:$O$1001,0),1)&gt;=100000,INDEX($V$1005:$AE$1005,1,MATCH(COLUMNS($V$1006:X1006),$V$1006:$AE$1006,0))&gt;=100000), " ",IF(INDEX($V$2:$AE$1001,MATCH(ROWS($O$2:O405),$O$2:$O$1001,0),MATCH(COLUMNS($V$1006:X1006),$V$1006:$AE$1006,0)), HYPERLINK("#",""), HYPERLINK(CONCATENATE("#Metadata!", ADDRESS(INDEX($Q$2:$Q$1001,MATCH(ROWS($O$2:O405),$O$2:$O$1001,0),0), INDEX($V$1004:$AE$1004,1,MATCH(COLUMNS($V$1006:X1006),$V$1006:$AE$1006,0)))),"Fix")))</f>
        <v>0</v>
      </c>
      <c r="E405" s="4">
        <f>IF(OR(INDEX($P$2:$P$1001,MATCH(ROWS($O$2:O405),$O$2:$O$1001,0),1)&gt;=100000,INDEX($V$1005:$AE$1005,1,MATCH(COLUMNS($V$1006:Y1006),$V$1006:$AE$1006,0))&gt;=100000), " ",IF(INDEX($V$2:$AE$1001,MATCH(ROWS($O$2:O405),$O$2:$O$1001,0),MATCH(COLUMNS($V$1006:Y1006),$V$1006:$AE$1006,0)), HYPERLINK("#",""), HYPERLINK(CONCATENATE("#Metadata!", ADDRESS(INDEX($Q$2:$Q$1001,MATCH(ROWS($O$2:O405),$O$2:$O$1001,0),0), INDEX($V$1004:$AE$1004,1,MATCH(COLUMNS($V$1006:Y1006),$V$1006:$AE$1006,0)))),"Fix")))</f>
        <v>0</v>
      </c>
      <c r="F405" s="4">
        <f>IF(OR(INDEX($P$2:$P$1001,MATCH(ROWS($O$2:O405),$O$2:$O$1001,0),1)&gt;=100000,INDEX($V$1005:$AE$1005,1,MATCH(COLUMNS($V$1006:Z1006),$V$1006:$AE$1006,0))&gt;=100000), " ",IF(INDEX($V$2:$AE$1001,MATCH(ROWS($O$2:O405),$O$2:$O$1001,0),MATCH(COLUMNS($V$1006:Z1006),$V$1006:$AE$1006,0)), HYPERLINK("#",""), HYPERLINK(CONCATENATE("#Metadata!", ADDRESS(INDEX($Q$2:$Q$1001,MATCH(ROWS($O$2:O405),$O$2:$O$1001,0),0), INDEX($V$1004:$AE$1004,1,MATCH(COLUMNS($V$1006:Z1006),$V$1006:$AE$1006,0)))),"Fix")))</f>
        <v>0</v>
      </c>
      <c r="G405" s="4">
        <f>IF(OR(INDEX($P$2:$P$1001,MATCH(ROWS($O$2:O405),$O$2:$O$1001,0),1)&gt;=100000,INDEX($V$1005:$AE$1005,1,MATCH(COLUMNS($V$1006:AA1006),$V$1006:$AE$1006,0))&gt;=100000), " ",IF(INDEX($V$2:$AE$1001,MATCH(ROWS($O$2:O405),$O$2:$O$1001,0),MATCH(COLUMNS($V$1006:AA1006),$V$1006:$AE$1006,0)), HYPERLINK("#",""), HYPERLINK(CONCATENATE("#Metadata!", ADDRESS(INDEX($Q$2:$Q$1001,MATCH(ROWS($O$2:O405),$O$2:$O$1001,0),0), INDEX($V$1004:$AE$1004,1,MATCH(COLUMNS($V$1006:AA1006),$V$1006:$AE$1006,0)))),"Fix")))</f>
        <v>0</v>
      </c>
      <c r="H405" s="4">
        <f>IF(OR(INDEX($P$2:$P$1001,MATCH(ROWS($O$2:O405),$O$2:$O$1001,0),1)&gt;=100000,INDEX($V$1005:$AE$1005,1,MATCH(COLUMNS($V$1006:AB1006),$V$1006:$AE$1006,0))&gt;=100000), " ",IF(INDEX($V$2:$AE$1001,MATCH(ROWS($O$2:O405),$O$2:$O$1001,0),MATCH(COLUMNS($V$1006:AB1006),$V$1006:$AE$1006,0)), HYPERLINK("#",""), HYPERLINK(CONCATENATE("#Metadata!", ADDRESS(INDEX($Q$2:$Q$1001,MATCH(ROWS($O$2:O405),$O$2:$O$1001,0),0), INDEX($V$1004:$AE$1004,1,MATCH(COLUMNS($V$1006:AB1006),$V$1006:$AE$1006,0)))),"Fix")))</f>
        <v>0</v>
      </c>
      <c r="I405" s="4">
        <f>IF(OR(INDEX($P$2:$P$1001,MATCH(ROWS($O$2:O405),$O$2:$O$1001,0),1)&gt;=100000,INDEX($V$1005:$AE$1005,1,MATCH(COLUMNS($V$1006:AC1006),$V$1006:$AE$1006,0))&gt;=100000), " ",IF(INDEX($V$2:$AE$1001,MATCH(ROWS($O$2:O405),$O$2:$O$1001,0),MATCH(COLUMNS($V$1006:AC1006),$V$1006:$AE$1006,0)), HYPERLINK("#",""), HYPERLINK(CONCATENATE("#Metadata!", ADDRESS(INDEX($Q$2:$Q$1001,MATCH(ROWS($O$2:O405),$O$2:$O$1001,0),0), INDEX($V$1004:$AE$1004,1,MATCH(COLUMNS($V$1006:AC1006),$V$1006:$AE$1006,0)))),"Fix")))</f>
        <v>0</v>
      </c>
      <c r="J405" s="4">
        <f>IF(OR(INDEX($P$2:$P$1001,MATCH(ROWS($O$2:O405),$O$2:$O$1001,0),1)&gt;=100000,INDEX($V$1005:$AE$1005,1,MATCH(COLUMNS($V$1006:AD1006),$V$1006:$AE$1006,0))&gt;=100000), " ",IF(INDEX($V$2:$AE$1001,MATCH(ROWS($O$2:O405),$O$2:$O$1001,0),MATCH(COLUMNS($V$1006:AD1006),$V$1006:$AE$1006,0)), HYPERLINK("#",""), HYPERLINK(CONCATENATE("#Metadata!", ADDRESS(INDEX($Q$2:$Q$1001,MATCH(ROWS($O$2:O405),$O$2:$O$1001,0),0), INDEX($V$1004:$AE$1004,1,MATCH(COLUMNS($V$1006:AD1006),$V$1006:$AE$1006,0)))),"Fix")))</f>
        <v>0</v>
      </c>
      <c r="K405" s="4">
        <f>IF(OR(INDEX($P$2:$P$1001,MATCH(ROWS($O$2:O405),$O$2:$O$1001,0),1)&gt;=100000,INDEX($V$1005:$AE$1005,1,MATCH(COLUMNS($V$1006:AE1006),$V$1006:$AE$1006,0))&gt;=100000), " ",IF(INDEX($V$2:$AE$1001,MATCH(ROWS($O$2:O405),$O$2:$O$1001,0),MATCH(COLUMNS($V$1006:AE1006),$V$1006:$AE$1006,0)), HYPERLINK("#",""), HYPERLINK(CONCATENATE("#Metadata!", ADDRESS(INDEX($Q$2:$Q$1001,MATCH(ROWS($O$2:O405),$O$2:$O$1001,0),0), INDEX($V$1004:$AE$1004,1,MATCH(COLUMNS($V$1006:AE1006),$V$1006:$AE$1006,0)))),"Fix")))</f>
        <v>0</v>
      </c>
      <c r="O405">
        <v>0</v>
      </c>
      <c r="P405">
        <v>0</v>
      </c>
      <c r="Q405">
        <v>0</v>
      </c>
      <c r="R405">
        <f>IF(S405,TRUE,AND(V405:AE405))</f>
        <v>0</v>
      </c>
      <c r="S405">
        <f>COUNTBLANK(Metadata!B405:K405)=COLUMNS(Metadata!B405:K405)</f>
        <v>0</v>
      </c>
      <c r="T405">
        <v>0</v>
      </c>
      <c r="V405">
        <f>AND(IF(Metadata!B405="",FALSE,TRUE),COUNTIF(Metadata!B:B, Metadata!B405) = 1,NOT(ISERROR(SUMPRODUCT(SEARCH(MID(Metadata!B405,ROW(INDIRECT("1:"&amp;LEN(Metadata!B405))), 1),"0123456789abcdefghijklmnopqrstuvwxyzABCDEFGHIJKLMNOPQRSTUVWXYZ.")))))</f>
        <v>0</v>
      </c>
      <c r="W405">
        <f>AND(IF(Metadata!C405="",FALSE,TRUE),exact(Metadata!C405,"urban biome"))</f>
        <v>0</v>
      </c>
      <c r="X405">
        <f>AND(IF(Metadata!D405="",FALSE,TRUE),exact(Metadata!D405,"animal-associated habitat"))</f>
        <v>0</v>
      </c>
      <c r="Y405">
        <f>OR(AND(IF(Metadata!E405="",FALSE,TRUE),OR(exact(Metadata!E405,"not applicable"),exact(Metadata!E405,"missing: not collected"),exact(Metadata!E405,"missing: not provided"),exact(Metadata!E405,"missing: restricted access"))),AND(IF(Metadata!E405="",FALSE,ISNUMBER(VALUE(Metadata!E405))),Metadata!E405&gt;0))</f>
        <v>0</v>
      </c>
      <c r="Z405">
        <f>AND(IF(Metadata!F405="",FALSE,TRUE),exact(Metadata!F405,"weeks"))</f>
        <v>0</v>
      </c>
      <c r="AA405">
        <f>AND(IF(Metadata!G405="",FALSE,TRUE),exact(Metadata!G405,"mouse"))</f>
        <v>0</v>
      </c>
      <c r="AB405">
        <f>AND(IF(Metadata!H405="",FALSE,TRUE),exact(Metadata!H405,"Mus musculus"))</f>
        <v>0</v>
      </c>
      <c r="AC405">
        <f>AND(IF(Metadata!I405="",FALSE,TRUE),exact(Metadata!I405,"10090"))</f>
        <v>0</v>
      </c>
      <c r="AD405">
        <f>OR(AND(IF(Metadata!J405="",FALSE,TRUE),OR(exact(Metadata!J405,"not applicable"),exact(Metadata!J405,"missing: not collected"),exact(Metadata!J405,"missing: not provided"),exact(Metadata!J405,"missing: restricted access"))),AND(IF(Metadata!J405="",FALSE,ISNUMBER(VALUE(Metadata!J405))),Metadata!J405&gt;0))</f>
        <v>0</v>
      </c>
      <c r="AE405">
        <f>AND(IF(Metadata!K405="",FALSE,TRUE),exact(Metadata!K405,"g"))</f>
        <v>0</v>
      </c>
    </row>
    <row r="406" spans="1:31">
      <c r="A406" s="5">
        <f>IF(B406=" "," ",HYPERLINK(CONCATENATE("#metadata!",ADDRESS(INDEX($Q$2:$Q$1001,MATCH(ROWS($O$2:O406),$O$2:$O$1001,0),0),1)),INDEX($T$2:$T$1001,MATCH(ROWS($O$2:O406),$O$2:$O$1001,0),0)))</f>
        <v>0</v>
      </c>
      <c r="B406" s="4">
        <f>IF(OR(INDEX($P$2:$P$1001,MATCH(ROWS($O$2:O406),$O$2:$O$1001,0),1)&gt;=100000,INDEX($V$1005:$AE$1005,1,MATCH(COLUMNS($V$1006:V1006),$V$1006:$AE$1006,0))&gt;=100000), " ",IF(INDEX($V$2:$AE$1001,MATCH(ROWS($O$2:O406),$O$2:$O$1001,0),MATCH(COLUMNS($V$1006:V1006),$V$1006:$AE$1006,0)), HYPERLINK("#",""), HYPERLINK(CONCATENATE("#Metadata!", ADDRESS(INDEX($Q$2:$Q$1001,MATCH(ROWS($O$2:O406),$O$2:$O$1001,0),0), INDEX($V$1004:$AE$1004,1,MATCH(COLUMNS($V$1006:V1006),$V$1006:$AE$1006,0)))),"Fix")))</f>
        <v>0</v>
      </c>
      <c r="C406" s="4">
        <f>IF(OR(INDEX($P$2:$P$1001,MATCH(ROWS($O$2:O406),$O$2:$O$1001,0),1)&gt;=100000,INDEX($V$1005:$AE$1005,1,MATCH(COLUMNS($V$1006:W1006),$V$1006:$AE$1006,0))&gt;=100000), " ",IF(INDEX($V$2:$AE$1001,MATCH(ROWS($O$2:O406),$O$2:$O$1001,0),MATCH(COLUMNS($V$1006:W1006),$V$1006:$AE$1006,0)), HYPERLINK("#",""), HYPERLINK(CONCATENATE("#Metadata!", ADDRESS(INDEX($Q$2:$Q$1001,MATCH(ROWS($O$2:O406),$O$2:$O$1001,0),0), INDEX($V$1004:$AE$1004,1,MATCH(COLUMNS($V$1006:W1006),$V$1006:$AE$1006,0)))),"Fix")))</f>
        <v>0</v>
      </c>
      <c r="D406" s="4">
        <f>IF(OR(INDEX($P$2:$P$1001,MATCH(ROWS($O$2:O406),$O$2:$O$1001,0),1)&gt;=100000,INDEX($V$1005:$AE$1005,1,MATCH(COLUMNS($V$1006:X1006),$V$1006:$AE$1006,0))&gt;=100000), " ",IF(INDEX($V$2:$AE$1001,MATCH(ROWS($O$2:O406),$O$2:$O$1001,0),MATCH(COLUMNS($V$1006:X1006),$V$1006:$AE$1006,0)), HYPERLINK("#",""), HYPERLINK(CONCATENATE("#Metadata!", ADDRESS(INDEX($Q$2:$Q$1001,MATCH(ROWS($O$2:O406),$O$2:$O$1001,0),0), INDEX($V$1004:$AE$1004,1,MATCH(COLUMNS($V$1006:X1006),$V$1006:$AE$1006,0)))),"Fix")))</f>
        <v>0</v>
      </c>
      <c r="E406" s="4">
        <f>IF(OR(INDEX($P$2:$P$1001,MATCH(ROWS($O$2:O406),$O$2:$O$1001,0),1)&gt;=100000,INDEX($V$1005:$AE$1005,1,MATCH(COLUMNS($V$1006:Y1006),$V$1006:$AE$1006,0))&gt;=100000), " ",IF(INDEX($V$2:$AE$1001,MATCH(ROWS($O$2:O406),$O$2:$O$1001,0),MATCH(COLUMNS($V$1006:Y1006),$V$1006:$AE$1006,0)), HYPERLINK("#",""), HYPERLINK(CONCATENATE("#Metadata!", ADDRESS(INDEX($Q$2:$Q$1001,MATCH(ROWS($O$2:O406),$O$2:$O$1001,0),0), INDEX($V$1004:$AE$1004,1,MATCH(COLUMNS($V$1006:Y1006),$V$1006:$AE$1006,0)))),"Fix")))</f>
        <v>0</v>
      </c>
      <c r="F406" s="4">
        <f>IF(OR(INDEX($P$2:$P$1001,MATCH(ROWS($O$2:O406),$O$2:$O$1001,0),1)&gt;=100000,INDEX($V$1005:$AE$1005,1,MATCH(COLUMNS($V$1006:Z1006),$V$1006:$AE$1006,0))&gt;=100000), " ",IF(INDEX($V$2:$AE$1001,MATCH(ROWS($O$2:O406),$O$2:$O$1001,0),MATCH(COLUMNS($V$1006:Z1006),$V$1006:$AE$1006,0)), HYPERLINK("#",""), HYPERLINK(CONCATENATE("#Metadata!", ADDRESS(INDEX($Q$2:$Q$1001,MATCH(ROWS($O$2:O406),$O$2:$O$1001,0),0), INDEX($V$1004:$AE$1004,1,MATCH(COLUMNS($V$1006:Z1006),$V$1006:$AE$1006,0)))),"Fix")))</f>
        <v>0</v>
      </c>
      <c r="G406" s="4">
        <f>IF(OR(INDEX($P$2:$P$1001,MATCH(ROWS($O$2:O406),$O$2:$O$1001,0),1)&gt;=100000,INDEX($V$1005:$AE$1005,1,MATCH(COLUMNS($V$1006:AA1006),$V$1006:$AE$1006,0))&gt;=100000), " ",IF(INDEX($V$2:$AE$1001,MATCH(ROWS($O$2:O406),$O$2:$O$1001,0),MATCH(COLUMNS($V$1006:AA1006),$V$1006:$AE$1006,0)), HYPERLINK("#",""), HYPERLINK(CONCATENATE("#Metadata!", ADDRESS(INDEX($Q$2:$Q$1001,MATCH(ROWS($O$2:O406),$O$2:$O$1001,0),0), INDEX($V$1004:$AE$1004,1,MATCH(COLUMNS($V$1006:AA1006),$V$1006:$AE$1006,0)))),"Fix")))</f>
        <v>0</v>
      </c>
      <c r="H406" s="4">
        <f>IF(OR(INDEX($P$2:$P$1001,MATCH(ROWS($O$2:O406),$O$2:$O$1001,0),1)&gt;=100000,INDEX($V$1005:$AE$1005,1,MATCH(COLUMNS($V$1006:AB1006),$V$1006:$AE$1006,0))&gt;=100000), " ",IF(INDEX($V$2:$AE$1001,MATCH(ROWS($O$2:O406),$O$2:$O$1001,0),MATCH(COLUMNS($V$1006:AB1006),$V$1006:$AE$1006,0)), HYPERLINK("#",""), HYPERLINK(CONCATENATE("#Metadata!", ADDRESS(INDEX($Q$2:$Q$1001,MATCH(ROWS($O$2:O406),$O$2:$O$1001,0),0), INDEX($V$1004:$AE$1004,1,MATCH(COLUMNS($V$1006:AB1006),$V$1006:$AE$1006,0)))),"Fix")))</f>
        <v>0</v>
      </c>
      <c r="I406" s="4">
        <f>IF(OR(INDEX($P$2:$P$1001,MATCH(ROWS($O$2:O406),$O$2:$O$1001,0),1)&gt;=100000,INDEX($V$1005:$AE$1005,1,MATCH(COLUMNS($V$1006:AC1006),$V$1006:$AE$1006,0))&gt;=100000), " ",IF(INDEX($V$2:$AE$1001,MATCH(ROWS($O$2:O406),$O$2:$O$1001,0),MATCH(COLUMNS($V$1006:AC1006),$V$1006:$AE$1006,0)), HYPERLINK("#",""), HYPERLINK(CONCATENATE("#Metadata!", ADDRESS(INDEX($Q$2:$Q$1001,MATCH(ROWS($O$2:O406),$O$2:$O$1001,0),0), INDEX($V$1004:$AE$1004,1,MATCH(COLUMNS($V$1006:AC1006),$V$1006:$AE$1006,0)))),"Fix")))</f>
        <v>0</v>
      </c>
      <c r="J406" s="4">
        <f>IF(OR(INDEX($P$2:$P$1001,MATCH(ROWS($O$2:O406),$O$2:$O$1001,0),1)&gt;=100000,INDEX($V$1005:$AE$1005,1,MATCH(COLUMNS($V$1006:AD1006),$V$1006:$AE$1006,0))&gt;=100000), " ",IF(INDEX($V$2:$AE$1001,MATCH(ROWS($O$2:O406),$O$2:$O$1001,0),MATCH(COLUMNS($V$1006:AD1006),$V$1006:$AE$1006,0)), HYPERLINK("#",""), HYPERLINK(CONCATENATE("#Metadata!", ADDRESS(INDEX($Q$2:$Q$1001,MATCH(ROWS($O$2:O406),$O$2:$O$1001,0),0), INDEX($V$1004:$AE$1004,1,MATCH(COLUMNS($V$1006:AD1006),$V$1006:$AE$1006,0)))),"Fix")))</f>
        <v>0</v>
      </c>
      <c r="K406" s="4">
        <f>IF(OR(INDEX($P$2:$P$1001,MATCH(ROWS($O$2:O406),$O$2:$O$1001,0),1)&gt;=100000,INDEX($V$1005:$AE$1005,1,MATCH(COLUMNS($V$1006:AE1006),$V$1006:$AE$1006,0))&gt;=100000), " ",IF(INDEX($V$2:$AE$1001,MATCH(ROWS($O$2:O406),$O$2:$O$1001,0),MATCH(COLUMNS($V$1006:AE1006),$V$1006:$AE$1006,0)), HYPERLINK("#",""), HYPERLINK(CONCATENATE("#Metadata!", ADDRESS(INDEX($Q$2:$Q$1001,MATCH(ROWS($O$2:O406),$O$2:$O$1001,0),0), INDEX($V$1004:$AE$1004,1,MATCH(COLUMNS($V$1006:AE1006),$V$1006:$AE$1006,0)))),"Fix")))</f>
        <v>0</v>
      </c>
      <c r="O406">
        <v>0</v>
      </c>
      <c r="P406">
        <v>0</v>
      </c>
      <c r="Q406">
        <v>0</v>
      </c>
      <c r="R406">
        <f>IF(S406,TRUE,AND(V406:AE406))</f>
        <v>0</v>
      </c>
      <c r="S406">
        <f>COUNTBLANK(Metadata!B406:K406)=COLUMNS(Metadata!B406:K406)</f>
        <v>0</v>
      </c>
      <c r="T406">
        <v>0</v>
      </c>
      <c r="V406">
        <f>AND(IF(Metadata!B406="",FALSE,TRUE),COUNTIF(Metadata!B:B, Metadata!B406) = 1,NOT(ISERROR(SUMPRODUCT(SEARCH(MID(Metadata!B406,ROW(INDIRECT("1:"&amp;LEN(Metadata!B406))), 1),"0123456789abcdefghijklmnopqrstuvwxyzABCDEFGHIJKLMNOPQRSTUVWXYZ.")))))</f>
        <v>0</v>
      </c>
      <c r="W406">
        <f>AND(IF(Metadata!C406="",FALSE,TRUE),exact(Metadata!C406,"urban biome"))</f>
        <v>0</v>
      </c>
      <c r="X406">
        <f>AND(IF(Metadata!D406="",FALSE,TRUE),exact(Metadata!D406,"animal-associated habitat"))</f>
        <v>0</v>
      </c>
      <c r="Y406">
        <f>OR(AND(IF(Metadata!E406="",FALSE,TRUE),OR(exact(Metadata!E406,"not applicable"),exact(Metadata!E406,"missing: not collected"),exact(Metadata!E406,"missing: not provided"),exact(Metadata!E406,"missing: restricted access"))),AND(IF(Metadata!E406="",FALSE,ISNUMBER(VALUE(Metadata!E406))),Metadata!E406&gt;0))</f>
        <v>0</v>
      </c>
      <c r="Z406">
        <f>AND(IF(Metadata!F406="",FALSE,TRUE),exact(Metadata!F406,"weeks"))</f>
        <v>0</v>
      </c>
      <c r="AA406">
        <f>AND(IF(Metadata!G406="",FALSE,TRUE),exact(Metadata!G406,"mouse"))</f>
        <v>0</v>
      </c>
      <c r="AB406">
        <f>AND(IF(Metadata!H406="",FALSE,TRUE),exact(Metadata!H406,"Mus musculus"))</f>
        <v>0</v>
      </c>
      <c r="AC406">
        <f>AND(IF(Metadata!I406="",FALSE,TRUE),exact(Metadata!I406,"10090"))</f>
        <v>0</v>
      </c>
      <c r="AD406">
        <f>OR(AND(IF(Metadata!J406="",FALSE,TRUE),OR(exact(Metadata!J406,"not applicable"),exact(Metadata!J406,"missing: not collected"),exact(Metadata!J406,"missing: not provided"),exact(Metadata!J406,"missing: restricted access"))),AND(IF(Metadata!J406="",FALSE,ISNUMBER(VALUE(Metadata!J406))),Metadata!J406&gt;0))</f>
        <v>0</v>
      </c>
      <c r="AE406">
        <f>AND(IF(Metadata!K406="",FALSE,TRUE),exact(Metadata!K406,"g"))</f>
        <v>0</v>
      </c>
    </row>
    <row r="407" spans="1:31">
      <c r="A407" s="5">
        <f>IF(B407=" "," ",HYPERLINK(CONCATENATE("#metadata!",ADDRESS(INDEX($Q$2:$Q$1001,MATCH(ROWS($O$2:O407),$O$2:$O$1001,0),0),1)),INDEX($T$2:$T$1001,MATCH(ROWS($O$2:O407),$O$2:$O$1001,0),0)))</f>
        <v>0</v>
      </c>
      <c r="B407" s="4">
        <f>IF(OR(INDEX($P$2:$P$1001,MATCH(ROWS($O$2:O407),$O$2:$O$1001,0),1)&gt;=100000,INDEX($V$1005:$AE$1005,1,MATCH(COLUMNS($V$1006:V1006),$V$1006:$AE$1006,0))&gt;=100000), " ",IF(INDEX($V$2:$AE$1001,MATCH(ROWS($O$2:O407),$O$2:$O$1001,0),MATCH(COLUMNS($V$1006:V1006),$V$1006:$AE$1006,0)), HYPERLINK("#",""), HYPERLINK(CONCATENATE("#Metadata!", ADDRESS(INDEX($Q$2:$Q$1001,MATCH(ROWS($O$2:O407),$O$2:$O$1001,0),0), INDEX($V$1004:$AE$1004,1,MATCH(COLUMNS($V$1006:V1006),$V$1006:$AE$1006,0)))),"Fix")))</f>
        <v>0</v>
      </c>
      <c r="C407" s="4">
        <f>IF(OR(INDEX($P$2:$P$1001,MATCH(ROWS($O$2:O407),$O$2:$O$1001,0),1)&gt;=100000,INDEX($V$1005:$AE$1005,1,MATCH(COLUMNS($V$1006:W1006),$V$1006:$AE$1006,0))&gt;=100000), " ",IF(INDEX($V$2:$AE$1001,MATCH(ROWS($O$2:O407),$O$2:$O$1001,0),MATCH(COLUMNS($V$1006:W1006),$V$1006:$AE$1006,0)), HYPERLINK("#",""), HYPERLINK(CONCATENATE("#Metadata!", ADDRESS(INDEX($Q$2:$Q$1001,MATCH(ROWS($O$2:O407),$O$2:$O$1001,0),0), INDEX($V$1004:$AE$1004,1,MATCH(COLUMNS($V$1006:W1006),$V$1006:$AE$1006,0)))),"Fix")))</f>
        <v>0</v>
      </c>
      <c r="D407" s="4">
        <f>IF(OR(INDEX($P$2:$P$1001,MATCH(ROWS($O$2:O407),$O$2:$O$1001,0),1)&gt;=100000,INDEX($V$1005:$AE$1005,1,MATCH(COLUMNS($V$1006:X1006),$V$1006:$AE$1006,0))&gt;=100000), " ",IF(INDEX($V$2:$AE$1001,MATCH(ROWS($O$2:O407),$O$2:$O$1001,0),MATCH(COLUMNS($V$1006:X1006),$V$1006:$AE$1006,0)), HYPERLINK("#",""), HYPERLINK(CONCATENATE("#Metadata!", ADDRESS(INDEX($Q$2:$Q$1001,MATCH(ROWS($O$2:O407),$O$2:$O$1001,0),0), INDEX($V$1004:$AE$1004,1,MATCH(COLUMNS($V$1006:X1006),$V$1006:$AE$1006,0)))),"Fix")))</f>
        <v>0</v>
      </c>
      <c r="E407" s="4">
        <f>IF(OR(INDEX($P$2:$P$1001,MATCH(ROWS($O$2:O407),$O$2:$O$1001,0),1)&gt;=100000,INDEX($V$1005:$AE$1005,1,MATCH(COLUMNS($V$1006:Y1006),$V$1006:$AE$1006,0))&gt;=100000), " ",IF(INDEX($V$2:$AE$1001,MATCH(ROWS($O$2:O407),$O$2:$O$1001,0),MATCH(COLUMNS($V$1006:Y1006),$V$1006:$AE$1006,0)), HYPERLINK("#",""), HYPERLINK(CONCATENATE("#Metadata!", ADDRESS(INDEX($Q$2:$Q$1001,MATCH(ROWS($O$2:O407),$O$2:$O$1001,0),0), INDEX($V$1004:$AE$1004,1,MATCH(COLUMNS($V$1006:Y1006),$V$1006:$AE$1006,0)))),"Fix")))</f>
        <v>0</v>
      </c>
      <c r="F407" s="4">
        <f>IF(OR(INDEX($P$2:$P$1001,MATCH(ROWS($O$2:O407),$O$2:$O$1001,0),1)&gt;=100000,INDEX($V$1005:$AE$1005,1,MATCH(COLUMNS($V$1006:Z1006),$V$1006:$AE$1006,0))&gt;=100000), " ",IF(INDEX($V$2:$AE$1001,MATCH(ROWS($O$2:O407),$O$2:$O$1001,0),MATCH(COLUMNS($V$1006:Z1006),$V$1006:$AE$1006,0)), HYPERLINK("#",""), HYPERLINK(CONCATENATE("#Metadata!", ADDRESS(INDEX($Q$2:$Q$1001,MATCH(ROWS($O$2:O407),$O$2:$O$1001,0),0), INDEX($V$1004:$AE$1004,1,MATCH(COLUMNS($V$1006:Z1006),$V$1006:$AE$1006,0)))),"Fix")))</f>
        <v>0</v>
      </c>
      <c r="G407" s="4">
        <f>IF(OR(INDEX($P$2:$P$1001,MATCH(ROWS($O$2:O407),$O$2:$O$1001,0),1)&gt;=100000,INDEX($V$1005:$AE$1005,1,MATCH(COLUMNS($V$1006:AA1006),$V$1006:$AE$1006,0))&gt;=100000), " ",IF(INDEX($V$2:$AE$1001,MATCH(ROWS($O$2:O407),$O$2:$O$1001,0),MATCH(COLUMNS($V$1006:AA1006),$V$1006:$AE$1006,0)), HYPERLINK("#",""), HYPERLINK(CONCATENATE("#Metadata!", ADDRESS(INDEX($Q$2:$Q$1001,MATCH(ROWS($O$2:O407),$O$2:$O$1001,0),0), INDEX($V$1004:$AE$1004,1,MATCH(COLUMNS($V$1006:AA1006),$V$1006:$AE$1006,0)))),"Fix")))</f>
        <v>0</v>
      </c>
      <c r="H407" s="4">
        <f>IF(OR(INDEX($P$2:$P$1001,MATCH(ROWS($O$2:O407),$O$2:$O$1001,0),1)&gt;=100000,INDEX($V$1005:$AE$1005,1,MATCH(COLUMNS($V$1006:AB1006),$V$1006:$AE$1006,0))&gt;=100000), " ",IF(INDEX($V$2:$AE$1001,MATCH(ROWS($O$2:O407),$O$2:$O$1001,0),MATCH(COLUMNS($V$1006:AB1006),$V$1006:$AE$1006,0)), HYPERLINK("#",""), HYPERLINK(CONCATENATE("#Metadata!", ADDRESS(INDEX($Q$2:$Q$1001,MATCH(ROWS($O$2:O407),$O$2:$O$1001,0),0), INDEX($V$1004:$AE$1004,1,MATCH(COLUMNS($V$1006:AB1006),$V$1006:$AE$1006,0)))),"Fix")))</f>
        <v>0</v>
      </c>
      <c r="I407" s="4">
        <f>IF(OR(INDEX($P$2:$P$1001,MATCH(ROWS($O$2:O407),$O$2:$O$1001,0),1)&gt;=100000,INDEX($V$1005:$AE$1005,1,MATCH(COLUMNS($V$1006:AC1006),$V$1006:$AE$1006,0))&gt;=100000), " ",IF(INDEX($V$2:$AE$1001,MATCH(ROWS($O$2:O407),$O$2:$O$1001,0),MATCH(COLUMNS($V$1006:AC1006),$V$1006:$AE$1006,0)), HYPERLINK("#",""), HYPERLINK(CONCATENATE("#Metadata!", ADDRESS(INDEX($Q$2:$Q$1001,MATCH(ROWS($O$2:O407),$O$2:$O$1001,0),0), INDEX($V$1004:$AE$1004,1,MATCH(COLUMNS($V$1006:AC1006),$V$1006:$AE$1006,0)))),"Fix")))</f>
        <v>0</v>
      </c>
      <c r="J407" s="4">
        <f>IF(OR(INDEX($P$2:$P$1001,MATCH(ROWS($O$2:O407),$O$2:$O$1001,0),1)&gt;=100000,INDEX($V$1005:$AE$1005,1,MATCH(COLUMNS($V$1006:AD1006),$V$1006:$AE$1006,0))&gt;=100000), " ",IF(INDEX($V$2:$AE$1001,MATCH(ROWS($O$2:O407),$O$2:$O$1001,0),MATCH(COLUMNS($V$1006:AD1006),$V$1006:$AE$1006,0)), HYPERLINK("#",""), HYPERLINK(CONCATENATE("#Metadata!", ADDRESS(INDEX($Q$2:$Q$1001,MATCH(ROWS($O$2:O407),$O$2:$O$1001,0),0), INDEX($V$1004:$AE$1004,1,MATCH(COLUMNS($V$1006:AD1006),$V$1006:$AE$1006,0)))),"Fix")))</f>
        <v>0</v>
      </c>
      <c r="K407" s="4">
        <f>IF(OR(INDEX($P$2:$P$1001,MATCH(ROWS($O$2:O407),$O$2:$O$1001,0),1)&gt;=100000,INDEX($V$1005:$AE$1005,1,MATCH(COLUMNS($V$1006:AE1006),$V$1006:$AE$1006,0))&gt;=100000), " ",IF(INDEX($V$2:$AE$1001,MATCH(ROWS($O$2:O407),$O$2:$O$1001,0),MATCH(COLUMNS($V$1006:AE1006),$V$1006:$AE$1006,0)), HYPERLINK("#",""), HYPERLINK(CONCATENATE("#Metadata!", ADDRESS(INDEX($Q$2:$Q$1001,MATCH(ROWS($O$2:O407),$O$2:$O$1001,0),0), INDEX($V$1004:$AE$1004,1,MATCH(COLUMNS($V$1006:AE1006),$V$1006:$AE$1006,0)))),"Fix")))</f>
        <v>0</v>
      </c>
      <c r="O407">
        <v>0</v>
      </c>
      <c r="P407">
        <v>0</v>
      </c>
      <c r="Q407">
        <v>0</v>
      </c>
      <c r="R407">
        <f>IF(S407,TRUE,AND(V407:AE407))</f>
        <v>0</v>
      </c>
      <c r="S407">
        <f>COUNTBLANK(Metadata!B407:K407)=COLUMNS(Metadata!B407:K407)</f>
        <v>0</v>
      </c>
      <c r="T407">
        <v>0</v>
      </c>
      <c r="V407">
        <f>AND(IF(Metadata!B407="",FALSE,TRUE),COUNTIF(Metadata!B:B, Metadata!B407) = 1,NOT(ISERROR(SUMPRODUCT(SEARCH(MID(Metadata!B407,ROW(INDIRECT("1:"&amp;LEN(Metadata!B407))), 1),"0123456789abcdefghijklmnopqrstuvwxyzABCDEFGHIJKLMNOPQRSTUVWXYZ.")))))</f>
        <v>0</v>
      </c>
      <c r="W407">
        <f>AND(IF(Metadata!C407="",FALSE,TRUE),exact(Metadata!C407,"urban biome"))</f>
        <v>0</v>
      </c>
      <c r="X407">
        <f>AND(IF(Metadata!D407="",FALSE,TRUE),exact(Metadata!D407,"animal-associated habitat"))</f>
        <v>0</v>
      </c>
      <c r="Y407">
        <f>OR(AND(IF(Metadata!E407="",FALSE,TRUE),OR(exact(Metadata!E407,"not applicable"),exact(Metadata!E407,"missing: not collected"),exact(Metadata!E407,"missing: not provided"),exact(Metadata!E407,"missing: restricted access"))),AND(IF(Metadata!E407="",FALSE,ISNUMBER(VALUE(Metadata!E407))),Metadata!E407&gt;0))</f>
        <v>0</v>
      </c>
      <c r="Z407">
        <f>AND(IF(Metadata!F407="",FALSE,TRUE),exact(Metadata!F407,"weeks"))</f>
        <v>0</v>
      </c>
      <c r="AA407">
        <f>AND(IF(Metadata!G407="",FALSE,TRUE),exact(Metadata!G407,"mouse"))</f>
        <v>0</v>
      </c>
      <c r="AB407">
        <f>AND(IF(Metadata!H407="",FALSE,TRUE),exact(Metadata!H407,"Mus musculus"))</f>
        <v>0</v>
      </c>
      <c r="AC407">
        <f>AND(IF(Metadata!I407="",FALSE,TRUE),exact(Metadata!I407,"10090"))</f>
        <v>0</v>
      </c>
      <c r="AD407">
        <f>OR(AND(IF(Metadata!J407="",FALSE,TRUE),OR(exact(Metadata!J407,"not applicable"),exact(Metadata!J407,"missing: not collected"),exact(Metadata!J407,"missing: not provided"),exact(Metadata!J407,"missing: restricted access"))),AND(IF(Metadata!J407="",FALSE,ISNUMBER(VALUE(Metadata!J407))),Metadata!J407&gt;0))</f>
        <v>0</v>
      </c>
      <c r="AE407">
        <f>AND(IF(Metadata!K407="",FALSE,TRUE),exact(Metadata!K407,"g"))</f>
        <v>0</v>
      </c>
    </row>
    <row r="408" spans="1:31">
      <c r="A408" s="5">
        <f>IF(B408=" "," ",HYPERLINK(CONCATENATE("#metadata!",ADDRESS(INDEX($Q$2:$Q$1001,MATCH(ROWS($O$2:O408),$O$2:$O$1001,0),0),1)),INDEX($T$2:$T$1001,MATCH(ROWS($O$2:O408),$O$2:$O$1001,0),0)))</f>
        <v>0</v>
      </c>
      <c r="B408" s="4">
        <f>IF(OR(INDEX($P$2:$P$1001,MATCH(ROWS($O$2:O408),$O$2:$O$1001,0),1)&gt;=100000,INDEX($V$1005:$AE$1005,1,MATCH(COLUMNS($V$1006:V1006),$V$1006:$AE$1006,0))&gt;=100000), " ",IF(INDEX($V$2:$AE$1001,MATCH(ROWS($O$2:O408),$O$2:$O$1001,0),MATCH(COLUMNS($V$1006:V1006),$V$1006:$AE$1006,0)), HYPERLINK("#",""), HYPERLINK(CONCATENATE("#Metadata!", ADDRESS(INDEX($Q$2:$Q$1001,MATCH(ROWS($O$2:O408),$O$2:$O$1001,0),0), INDEX($V$1004:$AE$1004,1,MATCH(COLUMNS($V$1006:V1006),$V$1006:$AE$1006,0)))),"Fix")))</f>
        <v>0</v>
      </c>
      <c r="C408" s="4">
        <f>IF(OR(INDEX($P$2:$P$1001,MATCH(ROWS($O$2:O408),$O$2:$O$1001,0),1)&gt;=100000,INDEX($V$1005:$AE$1005,1,MATCH(COLUMNS($V$1006:W1006),$V$1006:$AE$1006,0))&gt;=100000), " ",IF(INDEX($V$2:$AE$1001,MATCH(ROWS($O$2:O408),$O$2:$O$1001,0),MATCH(COLUMNS($V$1006:W1006),$V$1006:$AE$1006,0)), HYPERLINK("#",""), HYPERLINK(CONCATENATE("#Metadata!", ADDRESS(INDEX($Q$2:$Q$1001,MATCH(ROWS($O$2:O408),$O$2:$O$1001,0),0), INDEX($V$1004:$AE$1004,1,MATCH(COLUMNS($V$1006:W1006),$V$1006:$AE$1006,0)))),"Fix")))</f>
        <v>0</v>
      </c>
      <c r="D408" s="4">
        <f>IF(OR(INDEX($P$2:$P$1001,MATCH(ROWS($O$2:O408),$O$2:$O$1001,0),1)&gt;=100000,INDEX($V$1005:$AE$1005,1,MATCH(COLUMNS($V$1006:X1006),$V$1006:$AE$1006,0))&gt;=100000), " ",IF(INDEX($V$2:$AE$1001,MATCH(ROWS($O$2:O408),$O$2:$O$1001,0),MATCH(COLUMNS($V$1006:X1006),$V$1006:$AE$1006,0)), HYPERLINK("#",""), HYPERLINK(CONCATENATE("#Metadata!", ADDRESS(INDEX($Q$2:$Q$1001,MATCH(ROWS($O$2:O408),$O$2:$O$1001,0),0), INDEX($V$1004:$AE$1004,1,MATCH(COLUMNS($V$1006:X1006),$V$1006:$AE$1006,0)))),"Fix")))</f>
        <v>0</v>
      </c>
      <c r="E408" s="4">
        <f>IF(OR(INDEX($P$2:$P$1001,MATCH(ROWS($O$2:O408),$O$2:$O$1001,0),1)&gt;=100000,INDEX($V$1005:$AE$1005,1,MATCH(COLUMNS($V$1006:Y1006),$V$1006:$AE$1006,0))&gt;=100000), " ",IF(INDEX($V$2:$AE$1001,MATCH(ROWS($O$2:O408),$O$2:$O$1001,0),MATCH(COLUMNS($V$1006:Y1006),$V$1006:$AE$1006,0)), HYPERLINK("#",""), HYPERLINK(CONCATENATE("#Metadata!", ADDRESS(INDEX($Q$2:$Q$1001,MATCH(ROWS($O$2:O408),$O$2:$O$1001,0),0), INDEX($V$1004:$AE$1004,1,MATCH(COLUMNS($V$1006:Y1006),$V$1006:$AE$1006,0)))),"Fix")))</f>
        <v>0</v>
      </c>
      <c r="F408" s="4">
        <f>IF(OR(INDEX($P$2:$P$1001,MATCH(ROWS($O$2:O408),$O$2:$O$1001,0),1)&gt;=100000,INDEX($V$1005:$AE$1005,1,MATCH(COLUMNS($V$1006:Z1006),$V$1006:$AE$1006,0))&gt;=100000), " ",IF(INDEX($V$2:$AE$1001,MATCH(ROWS($O$2:O408),$O$2:$O$1001,0),MATCH(COLUMNS($V$1006:Z1006),$V$1006:$AE$1006,0)), HYPERLINK("#",""), HYPERLINK(CONCATENATE("#Metadata!", ADDRESS(INDEX($Q$2:$Q$1001,MATCH(ROWS($O$2:O408),$O$2:$O$1001,0),0), INDEX($V$1004:$AE$1004,1,MATCH(COLUMNS($V$1006:Z1006),$V$1006:$AE$1006,0)))),"Fix")))</f>
        <v>0</v>
      </c>
      <c r="G408" s="4">
        <f>IF(OR(INDEX($P$2:$P$1001,MATCH(ROWS($O$2:O408),$O$2:$O$1001,0),1)&gt;=100000,INDEX($V$1005:$AE$1005,1,MATCH(COLUMNS($V$1006:AA1006),$V$1006:$AE$1006,0))&gt;=100000), " ",IF(INDEX($V$2:$AE$1001,MATCH(ROWS($O$2:O408),$O$2:$O$1001,0),MATCH(COLUMNS($V$1006:AA1006),$V$1006:$AE$1006,0)), HYPERLINK("#",""), HYPERLINK(CONCATENATE("#Metadata!", ADDRESS(INDEX($Q$2:$Q$1001,MATCH(ROWS($O$2:O408),$O$2:$O$1001,0),0), INDEX($V$1004:$AE$1004,1,MATCH(COLUMNS($V$1006:AA1006),$V$1006:$AE$1006,0)))),"Fix")))</f>
        <v>0</v>
      </c>
      <c r="H408" s="4">
        <f>IF(OR(INDEX($P$2:$P$1001,MATCH(ROWS($O$2:O408),$O$2:$O$1001,0),1)&gt;=100000,INDEX($V$1005:$AE$1005,1,MATCH(COLUMNS($V$1006:AB1006),$V$1006:$AE$1006,0))&gt;=100000), " ",IF(INDEX($V$2:$AE$1001,MATCH(ROWS($O$2:O408),$O$2:$O$1001,0),MATCH(COLUMNS($V$1006:AB1006),$V$1006:$AE$1006,0)), HYPERLINK("#",""), HYPERLINK(CONCATENATE("#Metadata!", ADDRESS(INDEX($Q$2:$Q$1001,MATCH(ROWS($O$2:O408),$O$2:$O$1001,0),0), INDEX($V$1004:$AE$1004,1,MATCH(COLUMNS($V$1006:AB1006),$V$1006:$AE$1006,0)))),"Fix")))</f>
        <v>0</v>
      </c>
      <c r="I408" s="4">
        <f>IF(OR(INDEX($P$2:$P$1001,MATCH(ROWS($O$2:O408),$O$2:$O$1001,0),1)&gt;=100000,INDEX($V$1005:$AE$1005,1,MATCH(COLUMNS($V$1006:AC1006),$V$1006:$AE$1006,0))&gt;=100000), " ",IF(INDEX($V$2:$AE$1001,MATCH(ROWS($O$2:O408),$O$2:$O$1001,0),MATCH(COLUMNS($V$1006:AC1006),$V$1006:$AE$1006,0)), HYPERLINK("#",""), HYPERLINK(CONCATENATE("#Metadata!", ADDRESS(INDEX($Q$2:$Q$1001,MATCH(ROWS($O$2:O408),$O$2:$O$1001,0),0), INDEX($V$1004:$AE$1004,1,MATCH(COLUMNS($V$1006:AC1006),$V$1006:$AE$1006,0)))),"Fix")))</f>
        <v>0</v>
      </c>
      <c r="J408" s="4">
        <f>IF(OR(INDEX($P$2:$P$1001,MATCH(ROWS($O$2:O408),$O$2:$O$1001,0),1)&gt;=100000,INDEX($V$1005:$AE$1005,1,MATCH(COLUMNS($V$1006:AD1006),$V$1006:$AE$1006,0))&gt;=100000), " ",IF(INDEX($V$2:$AE$1001,MATCH(ROWS($O$2:O408),$O$2:$O$1001,0),MATCH(COLUMNS($V$1006:AD1006),$V$1006:$AE$1006,0)), HYPERLINK("#",""), HYPERLINK(CONCATENATE("#Metadata!", ADDRESS(INDEX($Q$2:$Q$1001,MATCH(ROWS($O$2:O408),$O$2:$O$1001,0),0), INDEX($V$1004:$AE$1004,1,MATCH(COLUMNS($V$1006:AD1006),$V$1006:$AE$1006,0)))),"Fix")))</f>
        <v>0</v>
      </c>
      <c r="K408" s="4">
        <f>IF(OR(INDEX($P$2:$P$1001,MATCH(ROWS($O$2:O408),$O$2:$O$1001,0),1)&gt;=100000,INDEX($V$1005:$AE$1005,1,MATCH(COLUMNS($V$1006:AE1006),$V$1006:$AE$1006,0))&gt;=100000), " ",IF(INDEX($V$2:$AE$1001,MATCH(ROWS($O$2:O408),$O$2:$O$1001,0),MATCH(COLUMNS($V$1006:AE1006),$V$1006:$AE$1006,0)), HYPERLINK("#",""), HYPERLINK(CONCATENATE("#Metadata!", ADDRESS(INDEX($Q$2:$Q$1001,MATCH(ROWS($O$2:O408),$O$2:$O$1001,0),0), INDEX($V$1004:$AE$1004,1,MATCH(COLUMNS($V$1006:AE1006),$V$1006:$AE$1006,0)))),"Fix")))</f>
        <v>0</v>
      </c>
      <c r="O408">
        <v>0</v>
      </c>
      <c r="P408">
        <v>0</v>
      </c>
      <c r="Q408">
        <v>0</v>
      </c>
      <c r="R408">
        <f>IF(S408,TRUE,AND(V408:AE408))</f>
        <v>0</v>
      </c>
      <c r="S408">
        <f>COUNTBLANK(Metadata!B408:K408)=COLUMNS(Metadata!B408:K408)</f>
        <v>0</v>
      </c>
      <c r="T408">
        <v>0</v>
      </c>
      <c r="V408">
        <f>AND(IF(Metadata!B408="",FALSE,TRUE),COUNTIF(Metadata!B:B, Metadata!B408) = 1,NOT(ISERROR(SUMPRODUCT(SEARCH(MID(Metadata!B408,ROW(INDIRECT("1:"&amp;LEN(Metadata!B408))), 1),"0123456789abcdefghijklmnopqrstuvwxyzABCDEFGHIJKLMNOPQRSTUVWXYZ.")))))</f>
        <v>0</v>
      </c>
      <c r="W408">
        <f>AND(IF(Metadata!C408="",FALSE,TRUE),exact(Metadata!C408,"urban biome"))</f>
        <v>0</v>
      </c>
      <c r="X408">
        <f>AND(IF(Metadata!D408="",FALSE,TRUE),exact(Metadata!D408,"animal-associated habitat"))</f>
        <v>0</v>
      </c>
      <c r="Y408">
        <f>OR(AND(IF(Metadata!E408="",FALSE,TRUE),OR(exact(Metadata!E408,"not applicable"),exact(Metadata!E408,"missing: not collected"),exact(Metadata!E408,"missing: not provided"),exact(Metadata!E408,"missing: restricted access"))),AND(IF(Metadata!E408="",FALSE,ISNUMBER(VALUE(Metadata!E408))),Metadata!E408&gt;0))</f>
        <v>0</v>
      </c>
      <c r="Z408">
        <f>AND(IF(Metadata!F408="",FALSE,TRUE),exact(Metadata!F408,"weeks"))</f>
        <v>0</v>
      </c>
      <c r="AA408">
        <f>AND(IF(Metadata!G408="",FALSE,TRUE),exact(Metadata!G408,"mouse"))</f>
        <v>0</v>
      </c>
      <c r="AB408">
        <f>AND(IF(Metadata!H408="",FALSE,TRUE),exact(Metadata!H408,"Mus musculus"))</f>
        <v>0</v>
      </c>
      <c r="AC408">
        <f>AND(IF(Metadata!I408="",FALSE,TRUE),exact(Metadata!I408,"10090"))</f>
        <v>0</v>
      </c>
      <c r="AD408">
        <f>OR(AND(IF(Metadata!J408="",FALSE,TRUE),OR(exact(Metadata!J408,"not applicable"),exact(Metadata!J408,"missing: not collected"),exact(Metadata!J408,"missing: not provided"),exact(Metadata!J408,"missing: restricted access"))),AND(IF(Metadata!J408="",FALSE,ISNUMBER(VALUE(Metadata!J408))),Metadata!J408&gt;0))</f>
        <v>0</v>
      </c>
      <c r="AE408">
        <f>AND(IF(Metadata!K408="",FALSE,TRUE),exact(Metadata!K408,"g"))</f>
        <v>0</v>
      </c>
    </row>
    <row r="409" spans="1:31">
      <c r="A409" s="5">
        <f>IF(B409=" "," ",HYPERLINK(CONCATENATE("#metadata!",ADDRESS(INDEX($Q$2:$Q$1001,MATCH(ROWS($O$2:O409),$O$2:$O$1001,0),0),1)),INDEX($T$2:$T$1001,MATCH(ROWS($O$2:O409),$O$2:$O$1001,0),0)))</f>
        <v>0</v>
      </c>
      <c r="B409" s="4">
        <f>IF(OR(INDEX($P$2:$P$1001,MATCH(ROWS($O$2:O409),$O$2:$O$1001,0),1)&gt;=100000,INDEX($V$1005:$AE$1005,1,MATCH(COLUMNS($V$1006:V1006),$V$1006:$AE$1006,0))&gt;=100000), " ",IF(INDEX($V$2:$AE$1001,MATCH(ROWS($O$2:O409),$O$2:$O$1001,0),MATCH(COLUMNS($V$1006:V1006),$V$1006:$AE$1006,0)), HYPERLINK("#",""), HYPERLINK(CONCATENATE("#Metadata!", ADDRESS(INDEX($Q$2:$Q$1001,MATCH(ROWS($O$2:O409),$O$2:$O$1001,0),0), INDEX($V$1004:$AE$1004,1,MATCH(COLUMNS($V$1006:V1006),$V$1006:$AE$1006,0)))),"Fix")))</f>
        <v>0</v>
      </c>
      <c r="C409" s="4">
        <f>IF(OR(INDEX($P$2:$P$1001,MATCH(ROWS($O$2:O409),$O$2:$O$1001,0),1)&gt;=100000,INDEX($V$1005:$AE$1005,1,MATCH(COLUMNS($V$1006:W1006),$V$1006:$AE$1006,0))&gt;=100000), " ",IF(INDEX($V$2:$AE$1001,MATCH(ROWS($O$2:O409),$O$2:$O$1001,0),MATCH(COLUMNS($V$1006:W1006),$V$1006:$AE$1006,0)), HYPERLINK("#",""), HYPERLINK(CONCATENATE("#Metadata!", ADDRESS(INDEX($Q$2:$Q$1001,MATCH(ROWS($O$2:O409),$O$2:$O$1001,0),0), INDEX($V$1004:$AE$1004,1,MATCH(COLUMNS($V$1006:W1006),$V$1006:$AE$1006,0)))),"Fix")))</f>
        <v>0</v>
      </c>
      <c r="D409" s="4">
        <f>IF(OR(INDEX($P$2:$P$1001,MATCH(ROWS($O$2:O409),$O$2:$O$1001,0),1)&gt;=100000,INDEX($V$1005:$AE$1005,1,MATCH(COLUMNS($V$1006:X1006),$V$1006:$AE$1006,0))&gt;=100000), " ",IF(INDEX($V$2:$AE$1001,MATCH(ROWS($O$2:O409),$O$2:$O$1001,0),MATCH(COLUMNS($V$1006:X1006),$V$1006:$AE$1006,0)), HYPERLINK("#",""), HYPERLINK(CONCATENATE("#Metadata!", ADDRESS(INDEX($Q$2:$Q$1001,MATCH(ROWS($O$2:O409),$O$2:$O$1001,0),0), INDEX($V$1004:$AE$1004,1,MATCH(COLUMNS($V$1006:X1006),$V$1006:$AE$1006,0)))),"Fix")))</f>
        <v>0</v>
      </c>
      <c r="E409" s="4">
        <f>IF(OR(INDEX($P$2:$P$1001,MATCH(ROWS($O$2:O409),$O$2:$O$1001,0),1)&gt;=100000,INDEX($V$1005:$AE$1005,1,MATCH(COLUMNS($V$1006:Y1006),$V$1006:$AE$1006,0))&gt;=100000), " ",IF(INDEX($V$2:$AE$1001,MATCH(ROWS($O$2:O409),$O$2:$O$1001,0),MATCH(COLUMNS($V$1006:Y1006),$V$1006:$AE$1006,0)), HYPERLINK("#",""), HYPERLINK(CONCATENATE("#Metadata!", ADDRESS(INDEX($Q$2:$Q$1001,MATCH(ROWS($O$2:O409),$O$2:$O$1001,0),0), INDEX($V$1004:$AE$1004,1,MATCH(COLUMNS($V$1006:Y1006),$V$1006:$AE$1006,0)))),"Fix")))</f>
        <v>0</v>
      </c>
      <c r="F409" s="4">
        <f>IF(OR(INDEX($P$2:$P$1001,MATCH(ROWS($O$2:O409),$O$2:$O$1001,0),1)&gt;=100000,INDEX($V$1005:$AE$1005,1,MATCH(COLUMNS($V$1006:Z1006),$V$1006:$AE$1006,0))&gt;=100000), " ",IF(INDEX($V$2:$AE$1001,MATCH(ROWS($O$2:O409),$O$2:$O$1001,0),MATCH(COLUMNS($V$1006:Z1006),$V$1006:$AE$1006,0)), HYPERLINK("#",""), HYPERLINK(CONCATENATE("#Metadata!", ADDRESS(INDEX($Q$2:$Q$1001,MATCH(ROWS($O$2:O409),$O$2:$O$1001,0),0), INDEX($V$1004:$AE$1004,1,MATCH(COLUMNS($V$1006:Z1006),$V$1006:$AE$1006,0)))),"Fix")))</f>
        <v>0</v>
      </c>
      <c r="G409" s="4">
        <f>IF(OR(INDEX($P$2:$P$1001,MATCH(ROWS($O$2:O409),$O$2:$O$1001,0),1)&gt;=100000,INDEX($V$1005:$AE$1005,1,MATCH(COLUMNS($V$1006:AA1006),$V$1006:$AE$1006,0))&gt;=100000), " ",IF(INDEX($V$2:$AE$1001,MATCH(ROWS($O$2:O409),$O$2:$O$1001,0),MATCH(COLUMNS($V$1006:AA1006),$V$1006:$AE$1006,0)), HYPERLINK("#",""), HYPERLINK(CONCATENATE("#Metadata!", ADDRESS(INDEX($Q$2:$Q$1001,MATCH(ROWS($O$2:O409),$O$2:$O$1001,0),0), INDEX($V$1004:$AE$1004,1,MATCH(COLUMNS($V$1006:AA1006),$V$1006:$AE$1006,0)))),"Fix")))</f>
        <v>0</v>
      </c>
      <c r="H409" s="4">
        <f>IF(OR(INDEX($P$2:$P$1001,MATCH(ROWS($O$2:O409),$O$2:$O$1001,0),1)&gt;=100000,INDEX($V$1005:$AE$1005,1,MATCH(COLUMNS($V$1006:AB1006),$V$1006:$AE$1006,0))&gt;=100000), " ",IF(INDEX($V$2:$AE$1001,MATCH(ROWS($O$2:O409),$O$2:$O$1001,0),MATCH(COLUMNS($V$1006:AB1006),$V$1006:$AE$1006,0)), HYPERLINK("#",""), HYPERLINK(CONCATENATE("#Metadata!", ADDRESS(INDEX($Q$2:$Q$1001,MATCH(ROWS($O$2:O409),$O$2:$O$1001,0),0), INDEX($V$1004:$AE$1004,1,MATCH(COLUMNS($V$1006:AB1006),$V$1006:$AE$1006,0)))),"Fix")))</f>
        <v>0</v>
      </c>
      <c r="I409" s="4">
        <f>IF(OR(INDEX($P$2:$P$1001,MATCH(ROWS($O$2:O409),$O$2:$O$1001,0),1)&gt;=100000,INDEX($V$1005:$AE$1005,1,MATCH(COLUMNS($V$1006:AC1006),$V$1006:$AE$1006,0))&gt;=100000), " ",IF(INDEX($V$2:$AE$1001,MATCH(ROWS($O$2:O409),$O$2:$O$1001,0),MATCH(COLUMNS($V$1006:AC1006),$V$1006:$AE$1006,0)), HYPERLINK("#",""), HYPERLINK(CONCATENATE("#Metadata!", ADDRESS(INDEX($Q$2:$Q$1001,MATCH(ROWS($O$2:O409),$O$2:$O$1001,0),0), INDEX($V$1004:$AE$1004,1,MATCH(COLUMNS($V$1006:AC1006),$V$1006:$AE$1006,0)))),"Fix")))</f>
        <v>0</v>
      </c>
      <c r="J409" s="4">
        <f>IF(OR(INDEX($P$2:$P$1001,MATCH(ROWS($O$2:O409),$O$2:$O$1001,0),1)&gt;=100000,INDEX($V$1005:$AE$1005,1,MATCH(COLUMNS($V$1006:AD1006),$V$1006:$AE$1006,0))&gt;=100000), " ",IF(INDEX($V$2:$AE$1001,MATCH(ROWS($O$2:O409),$O$2:$O$1001,0),MATCH(COLUMNS($V$1006:AD1006),$V$1006:$AE$1006,0)), HYPERLINK("#",""), HYPERLINK(CONCATENATE("#Metadata!", ADDRESS(INDEX($Q$2:$Q$1001,MATCH(ROWS($O$2:O409),$O$2:$O$1001,0),0), INDEX($V$1004:$AE$1004,1,MATCH(COLUMNS($V$1006:AD1006),$V$1006:$AE$1006,0)))),"Fix")))</f>
        <v>0</v>
      </c>
      <c r="K409" s="4">
        <f>IF(OR(INDEX($P$2:$P$1001,MATCH(ROWS($O$2:O409),$O$2:$O$1001,0),1)&gt;=100000,INDEX($V$1005:$AE$1005,1,MATCH(COLUMNS($V$1006:AE1006),$V$1006:$AE$1006,0))&gt;=100000), " ",IF(INDEX($V$2:$AE$1001,MATCH(ROWS($O$2:O409),$O$2:$O$1001,0),MATCH(COLUMNS($V$1006:AE1006),$V$1006:$AE$1006,0)), HYPERLINK("#",""), HYPERLINK(CONCATENATE("#Metadata!", ADDRESS(INDEX($Q$2:$Q$1001,MATCH(ROWS($O$2:O409),$O$2:$O$1001,0),0), INDEX($V$1004:$AE$1004,1,MATCH(COLUMNS($V$1006:AE1006),$V$1006:$AE$1006,0)))),"Fix")))</f>
        <v>0</v>
      </c>
      <c r="O409">
        <v>0</v>
      </c>
      <c r="P409">
        <v>0</v>
      </c>
      <c r="Q409">
        <v>0</v>
      </c>
      <c r="R409">
        <f>IF(S409,TRUE,AND(V409:AE409))</f>
        <v>0</v>
      </c>
      <c r="S409">
        <f>COUNTBLANK(Metadata!B409:K409)=COLUMNS(Metadata!B409:K409)</f>
        <v>0</v>
      </c>
      <c r="T409">
        <v>0</v>
      </c>
      <c r="V409">
        <f>AND(IF(Metadata!B409="",FALSE,TRUE),COUNTIF(Metadata!B:B, Metadata!B409) = 1,NOT(ISERROR(SUMPRODUCT(SEARCH(MID(Metadata!B409,ROW(INDIRECT("1:"&amp;LEN(Metadata!B409))), 1),"0123456789abcdefghijklmnopqrstuvwxyzABCDEFGHIJKLMNOPQRSTUVWXYZ.")))))</f>
        <v>0</v>
      </c>
      <c r="W409">
        <f>AND(IF(Metadata!C409="",FALSE,TRUE),exact(Metadata!C409,"urban biome"))</f>
        <v>0</v>
      </c>
      <c r="X409">
        <f>AND(IF(Metadata!D409="",FALSE,TRUE),exact(Metadata!D409,"animal-associated habitat"))</f>
        <v>0</v>
      </c>
      <c r="Y409">
        <f>OR(AND(IF(Metadata!E409="",FALSE,TRUE),OR(exact(Metadata!E409,"not applicable"),exact(Metadata!E409,"missing: not collected"),exact(Metadata!E409,"missing: not provided"),exact(Metadata!E409,"missing: restricted access"))),AND(IF(Metadata!E409="",FALSE,ISNUMBER(VALUE(Metadata!E409))),Metadata!E409&gt;0))</f>
        <v>0</v>
      </c>
      <c r="Z409">
        <f>AND(IF(Metadata!F409="",FALSE,TRUE),exact(Metadata!F409,"weeks"))</f>
        <v>0</v>
      </c>
      <c r="AA409">
        <f>AND(IF(Metadata!G409="",FALSE,TRUE),exact(Metadata!G409,"mouse"))</f>
        <v>0</v>
      </c>
      <c r="AB409">
        <f>AND(IF(Metadata!H409="",FALSE,TRUE),exact(Metadata!H409,"Mus musculus"))</f>
        <v>0</v>
      </c>
      <c r="AC409">
        <f>AND(IF(Metadata!I409="",FALSE,TRUE),exact(Metadata!I409,"10090"))</f>
        <v>0</v>
      </c>
      <c r="AD409">
        <f>OR(AND(IF(Metadata!J409="",FALSE,TRUE),OR(exact(Metadata!J409,"not applicable"),exact(Metadata!J409,"missing: not collected"),exact(Metadata!J409,"missing: not provided"),exact(Metadata!J409,"missing: restricted access"))),AND(IF(Metadata!J409="",FALSE,ISNUMBER(VALUE(Metadata!J409))),Metadata!J409&gt;0))</f>
        <v>0</v>
      </c>
      <c r="AE409">
        <f>AND(IF(Metadata!K409="",FALSE,TRUE),exact(Metadata!K409,"g"))</f>
        <v>0</v>
      </c>
    </row>
    <row r="410" spans="1:31">
      <c r="A410" s="5">
        <f>IF(B410=" "," ",HYPERLINK(CONCATENATE("#metadata!",ADDRESS(INDEX($Q$2:$Q$1001,MATCH(ROWS($O$2:O410),$O$2:$O$1001,0),0),1)),INDEX($T$2:$T$1001,MATCH(ROWS($O$2:O410),$O$2:$O$1001,0),0)))</f>
        <v>0</v>
      </c>
      <c r="B410" s="4">
        <f>IF(OR(INDEX($P$2:$P$1001,MATCH(ROWS($O$2:O410),$O$2:$O$1001,0),1)&gt;=100000,INDEX($V$1005:$AE$1005,1,MATCH(COLUMNS($V$1006:V1006),$V$1006:$AE$1006,0))&gt;=100000), " ",IF(INDEX($V$2:$AE$1001,MATCH(ROWS($O$2:O410),$O$2:$O$1001,0),MATCH(COLUMNS($V$1006:V1006),$V$1006:$AE$1006,0)), HYPERLINK("#",""), HYPERLINK(CONCATENATE("#Metadata!", ADDRESS(INDEX($Q$2:$Q$1001,MATCH(ROWS($O$2:O410),$O$2:$O$1001,0),0), INDEX($V$1004:$AE$1004,1,MATCH(COLUMNS($V$1006:V1006),$V$1006:$AE$1006,0)))),"Fix")))</f>
        <v>0</v>
      </c>
      <c r="C410" s="4">
        <f>IF(OR(INDEX($P$2:$P$1001,MATCH(ROWS($O$2:O410),$O$2:$O$1001,0),1)&gt;=100000,INDEX($V$1005:$AE$1005,1,MATCH(COLUMNS($V$1006:W1006),$V$1006:$AE$1006,0))&gt;=100000), " ",IF(INDEX($V$2:$AE$1001,MATCH(ROWS($O$2:O410),$O$2:$O$1001,0),MATCH(COLUMNS($V$1006:W1006),$V$1006:$AE$1006,0)), HYPERLINK("#",""), HYPERLINK(CONCATENATE("#Metadata!", ADDRESS(INDEX($Q$2:$Q$1001,MATCH(ROWS($O$2:O410),$O$2:$O$1001,0),0), INDEX($V$1004:$AE$1004,1,MATCH(COLUMNS($V$1006:W1006),$V$1006:$AE$1006,0)))),"Fix")))</f>
        <v>0</v>
      </c>
      <c r="D410" s="4">
        <f>IF(OR(INDEX($P$2:$P$1001,MATCH(ROWS($O$2:O410),$O$2:$O$1001,0),1)&gt;=100000,INDEX($V$1005:$AE$1005,1,MATCH(COLUMNS($V$1006:X1006),$V$1006:$AE$1006,0))&gt;=100000), " ",IF(INDEX($V$2:$AE$1001,MATCH(ROWS($O$2:O410),$O$2:$O$1001,0),MATCH(COLUMNS($V$1006:X1006),$V$1006:$AE$1006,0)), HYPERLINK("#",""), HYPERLINK(CONCATENATE("#Metadata!", ADDRESS(INDEX($Q$2:$Q$1001,MATCH(ROWS($O$2:O410),$O$2:$O$1001,0),0), INDEX($V$1004:$AE$1004,1,MATCH(COLUMNS($V$1006:X1006),$V$1006:$AE$1006,0)))),"Fix")))</f>
        <v>0</v>
      </c>
      <c r="E410" s="4">
        <f>IF(OR(INDEX($P$2:$P$1001,MATCH(ROWS($O$2:O410),$O$2:$O$1001,0),1)&gt;=100000,INDEX($V$1005:$AE$1005,1,MATCH(COLUMNS($V$1006:Y1006),$V$1006:$AE$1006,0))&gt;=100000), " ",IF(INDEX($V$2:$AE$1001,MATCH(ROWS($O$2:O410),$O$2:$O$1001,0),MATCH(COLUMNS($V$1006:Y1006),$V$1006:$AE$1006,0)), HYPERLINK("#",""), HYPERLINK(CONCATENATE("#Metadata!", ADDRESS(INDEX($Q$2:$Q$1001,MATCH(ROWS($O$2:O410),$O$2:$O$1001,0),0), INDEX($V$1004:$AE$1004,1,MATCH(COLUMNS($V$1006:Y1006),$V$1006:$AE$1006,0)))),"Fix")))</f>
        <v>0</v>
      </c>
      <c r="F410" s="4">
        <f>IF(OR(INDEX($P$2:$P$1001,MATCH(ROWS($O$2:O410),$O$2:$O$1001,0),1)&gt;=100000,INDEX($V$1005:$AE$1005,1,MATCH(COLUMNS($V$1006:Z1006),$V$1006:$AE$1006,0))&gt;=100000), " ",IF(INDEX($V$2:$AE$1001,MATCH(ROWS($O$2:O410),$O$2:$O$1001,0),MATCH(COLUMNS($V$1006:Z1006),$V$1006:$AE$1006,0)), HYPERLINK("#",""), HYPERLINK(CONCATENATE("#Metadata!", ADDRESS(INDEX($Q$2:$Q$1001,MATCH(ROWS($O$2:O410),$O$2:$O$1001,0),0), INDEX($V$1004:$AE$1004,1,MATCH(COLUMNS($V$1006:Z1006),$V$1006:$AE$1006,0)))),"Fix")))</f>
        <v>0</v>
      </c>
      <c r="G410" s="4">
        <f>IF(OR(INDEX($P$2:$P$1001,MATCH(ROWS($O$2:O410),$O$2:$O$1001,0),1)&gt;=100000,INDEX($V$1005:$AE$1005,1,MATCH(COLUMNS($V$1006:AA1006),$V$1006:$AE$1006,0))&gt;=100000), " ",IF(INDEX($V$2:$AE$1001,MATCH(ROWS($O$2:O410),$O$2:$O$1001,0),MATCH(COLUMNS($V$1006:AA1006),$V$1006:$AE$1006,0)), HYPERLINK("#",""), HYPERLINK(CONCATENATE("#Metadata!", ADDRESS(INDEX($Q$2:$Q$1001,MATCH(ROWS($O$2:O410),$O$2:$O$1001,0),0), INDEX($V$1004:$AE$1004,1,MATCH(COLUMNS($V$1006:AA1006),$V$1006:$AE$1006,0)))),"Fix")))</f>
        <v>0</v>
      </c>
      <c r="H410" s="4">
        <f>IF(OR(INDEX($P$2:$P$1001,MATCH(ROWS($O$2:O410),$O$2:$O$1001,0),1)&gt;=100000,INDEX($V$1005:$AE$1005,1,MATCH(COLUMNS($V$1006:AB1006),$V$1006:$AE$1006,0))&gt;=100000), " ",IF(INDEX($V$2:$AE$1001,MATCH(ROWS($O$2:O410),$O$2:$O$1001,0),MATCH(COLUMNS($V$1006:AB1006),$V$1006:$AE$1006,0)), HYPERLINK("#",""), HYPERLINK(CONCATENATE("#Metadata!", ADDRESS(INDEX($Q$2:$Q$1001,MATCH(ROWS($O$2:O410),$O$2:$O$1001,0),0), INDEX($V$1004:$AE$1004,1,MATCH(COLUMNS($V$1006:AB1006),$V$1006:$AE$1006,0)))),"Fix")))</f>
        <v>0</v>
      </c>
      <c r="I410" s="4">
        <f>IF(OR(INDEX($P$2:$P$1001,MATCH(ROWS($O$2:O410),$O$2:$O$1001,0),1)&gt;=100000,INDEX($V$1005:$AE$1005,1,MATCH(COLUMNS($V$1006:AC1006),$V$1006:$AE$1006,0))&gt;=100000), " ",IF(INDEX($V$2:$AE$1001,MATCH(ROWS($O$2:O410),$O$2:$O$1001,0),MATCH(COLUMNS($V$1006:AC1006),$V$1006:$AE$1006,0)), HYPERLINK("#",""), HYPERLINK(CONCATENATE("#Metadata!", ADDRESS(INDEX($Q$2:$Q$1001,MATCH(ROWS($O$2:O410),$O$2:$O$1001,0),0), INDEX($V$1004:$AE$1004,1,MATCH(COLUMNS($V$1006:AC1006),$V$1006:$AE$1006,0)))),"Fix")))</f>
        <v>0</v>
      </c>
      <c r="J410" s="4">
        <f>IF(OR(INDEX($P$2:$P$1001,MATCH(ROWS($O$2:O410),$O$2:$O$1001,0),1)&gt;=100000,INDEX($V$1005:$AE$1005,1,MATCH(COLUMNS($V$1006:AD1006),$V$1006:$AE$1006,0))&gt;=100000), " ",IF(INDEX($V$2:$AE$1001,MATCH(ROWS($O$2:O410),$O$2:$O$1001,0),MATCH(COLUMNS($V$1006:AD1006),$V$1006:$AE$1006,0)), HYPERLINK("#",""), HYPERLINK(CONCATENATE("#Metadata!", ADDRESS(INDEX($Q$2:$Q$1001,MATCH(ROWS($O$2:O410),$O$2:$O$1001,0),0), INDEX($V$1004:$AE$1004,1,MATCH(COLUMNS($V$1006:AD1006),$V$1006:$AE$1006,0)))),"Fix")))</f>
        <v>0</v>
      </c>
      <c r="K410" s="4">
        <f>IF(OR(INDEX($P$2:$P$1001,MATCH(ROWS($O$2:O410),$O$2:$O$1001,0),1)&gt;=100000,INDEX($V$1005:$AE$1005,1,MATCH(COLUMNS($V$1006:AE1006),$V$1006:$AE$1006,0))&gt;=100000), " ",IF(INDEX($V$2:$AE$1001,MATCH(ROWS($O$2:O410),$O$2:$O$1001,0),MATCH(COLUMNS($V$1006:AE1006),$V$1006:$AE$1006,0)), HYPERLINK("#",""), HYPERLINK(CONCATENATE("#Metadata!", ADDRESS(INDEX($Q$2:$Q$1001,MATCH(ROWS($O$2:O410),$O$2:$O$1001,0),0), INDEX($V$1004:$AE$1004,1,MATCH(COLUMNS($V$1006:AE1006),$V$1006:$AE$1006,0)))),"Fix")))</f>
        <v>0</v>
      </c>
      <c r="O410">
        <v>0</v>
      </c>
      <c r="P410">
        <v>0</v>
      </c>
      <c r="Q410">
        <v>0</v>
      </c>
      <c r="R410">
        <f>IF(S410,TRUE,AND(V410:AE410))</f>
        <v>0</v>
      </c>
      <c r="S410">
        <f>COUNTBLANK(Metadata!B410:K410)=COLUMNS(Metadata!B410:K410)</f>
        <v>0</v>
      </c>
      <c r="T410">
        <v>0</v>
      </c>
      <c r="V410">
        <f>AND(IF(Metadata!B410="",FALSE,TRUE),COUNTIF(Metadata!B:B, Metadata!B410) = 1,NOT(ISERROR(SUMPRODUCT(SEARCH(MID(Metadata!B410,ROW(INDIRECT("1:"&amp;LEN(Metadata!B410))), 1),"0123456789abcdefghijklmnopqrstuvwxyzABCDEFGHIJKLMNOPQRSTUVWXYZ.")))))</f>
        <v>0</v>
      </c>
      <c r="W410">
        <f>AND(IF(Metadata!C410="",FALSE,TRUE),exact(Metadata!C410,"urban biome"))</f>
        <v>0</v>
      </c>
      <c r="X410">
        <f>AND(IF(Metadata!D410="",FALSE,TRUE),exact(Metadata!D410,"animal-associated habitat"))</f>
        <v>0</v>
      </c>
      <c r="Y410">
        <f>OR(AND(IF(Metadata!E410="",FALSE,TRUE),OR(exact(Metadata!E410,"not applicable"),exact(Metadata!E410,"missing: not collected"),exact(Metadata!E410,"missing: not provided"),exact(Metadata!E410,"missing: restricted access"))),AND(IF(Metadata!E410="",FALSE,ISNUMBER(VALUE(Metadata!E410))),Metadata!E410&gt;0))</f>
        <v>0</v>
      </c>
      <c r="Z410">
        <f>AND(IF(Metadata!F410="",FALSE,TRUE),exact(Metadata!F410,"weeks"))</f>
        <v>0</v>
      </c>
      <c r="AA410">
        <f>AND(IF(Metadata!G410="",FALSE,TRUE),exact(Metadata!G410,"mouse"))</f>
        <v>0</v>
      </c>
      <c r="AB410">
        <f>AND(IF(Metadata!H410="",FALSE,TRUE),exact(Metadata!H410,"Mus musculus"))</f>
        <v>0</v>
      </c>
      <c r="AC410">
        <f>AND(IF(Metadata!I410="",FALSE,TRUE),exact(Metadata!I410,"10090"))</f>
        <v>0</v>
      </c>
      <c r="AD410">
        <f>OR(AND(IF(Metadata!J410="",FALSE,TRUE),OR(exact(Metadata!J410,"not applicable"),exact(Metadata!J410,"missing: not collected"),exact(Metadata!J410,"missing: not provided"),exact(Metadata!J410,"missing: restricted access"))),AND(IF(Metadata!J410="",FALSE,ISNUMBER(VALUE(Metadata!J410))),Metadata!J410&gt;0))</f>
        <v>0</v>
      </c>
      <c r="AE410">
        <f>AND(IF(Metadata!K410="",FALSE,TRUE),exact(Metadata!K410,"g"))</f>
        <v>0</v>
      </c>
    </row>
    <row r="411" spans="1:31">
      <c r="A411" s="5">
        <f>IF(B411=" "," ",HYPERLINK(CONCATENATE("#metadata!",ADDRESS(INDEX($Q$2:$Q$1001,MATCH(ROWS($O$2:O411),$O$2:$O$1001,0),0),1)),INDEX($T$2:$T$1001,MATCH(ROWS($O$2:O411),$O$2:$O$1001,0),0)))</f>
        <v>0</v>
      </c>
      <c r="B411" s="4">
        <f>IF(OR(INDEX($P$2:$P$1001,MATCH(ROWS($O$2:O411),$O$2:$O$1001,0),1)&gt;=100000,INDEX($V$1005:$AE$1005,1,MATCH(COLUMNS($V$1006:V1006),$V$1006:$AE$1006,0))&gt;=100000), " ",IF(INDEX($V$2:$AE$1001,MATCH(ROWS($O$2:O411),$O$2:$O$1001,0),MATCH(COLUMNS($V$1006:V1006),$V$1006:$AE$1006,0)), HYPERLINK("#",""), HYPERLINK(CONCATENATE("#Metadata!", ADDRESS(INDEX($Q$2:$Q$1001,MATCH(ROWS($O$2:O411),$O$2:$O$1001,0),0), INDEX($V$1004:$AE$1004,1,MATCH(COLUMNS($V$1006:V1006),$V$1006:$AE$1006,0)))),"Fix")))</f>
        <v>0</v>
      </c>
      <c r="C411" s="4">
        <f>IF(OR(INDEX($P$2:$P$1001,MATCH(ROWS($O$2:O411),$O$2:$O$1001,0),1)&gt;=100000,INDEX($V$1005:$AE$1005,1,MATCH(COLUMNS($V$1006:W1006),$V$1006:$AE$1006,0))&gt;=100000), " ",IF(INDEX($V$2:$AE$1001,MATCH(ROWS($O$2:O411),$O$2:$O$1001,0),MATCH(COLUMNS($V$1006:W1006),$V$1006:$AE$1006,0)), HYPERLINK("#",""), HYPERLINK(CONCATENATE("#Metadata!", ADDRESS(INDEX($Q$2:$Q$1001,MATCH(ROWS($O$2:O411),$O$2:$O$1001,0),0), INDEX($V$1004:$AE$1004,1,MATCH(COLUMNS($V$1006:W1006),$V$1006:$AE$1006,0)))),"Fix")))</f>
        <v>0</v>
      </c>
      <c r="D411" s="4">
        <f>IF(OR(INDEX($P$2:$P$1001,MATCH(ROWS($O$2:O411),$O$2:$O$1001,0),1)&gt;=100000,INDEX($V$1005:$AE$1005,1,MATCH(COLUMNS($V$1006:X1006),$V$1006:$AE$1006,0))&gt;=100000), " ",IF(INDEX($V$2:$AE$1001,MATCH(ROWS($O$2:O411),$O$2:$O$1001,0),MATCH(COLUMNS($V$1006:X1006),$V$1006:$AE$1006,0)), HYPERLINK("#",""), HYPERLINK(CONCATENATE("#Metadata!", ADDRESS(INDEX($Q$2:$Q$1001,MATCH(ROWS($O$2:O411),$O$2:$O$1001,0),0), INDEX($V$1004:$AE$1004,1,MATCH(COLUMNS($V$1006:X1006),$V$1006:$AE$1006,0)))),"Fix")))</f>
        <v>0</v>
      </c>
      <c r="E411" s="4">
        <f>IF(OR(INDEX($P$2:$P$1001,MATCH(ROWS($O$2:O411),$O$2:$O$1001,0),1)&gt;=100000,INDEX($V$1005:$AE$1005,1,MATCH(COLUMNS($V$1006:Y1006),$V$1006:$AE$1006,0))&gt;=100000), " ",IF(INDEX($V$2:$AE$1001,MATCH(ROWS($O$2:O411),$O$2:$O$1001,0),MATCH(COLUMNS($V$1006:Y1006),$V$1006:$AE$1006,0)), HYPERLINK("#",""), HYPERLINK(CONCATENATE("#Metadata!", ADDRESS(INDEX($Q$2:$Q$1001,MATCH(ROWS($O$2:O411),$O$2:$O$1001,0),0), INDEX($V$1004:$AE$1004,1,MATCH(COLUMNS($V$1006:Y1006),$V$1006:$AE$1006,0)))),"Fix")))</f>
        <v>0</v>
      </c>
      <c r="F411" s="4">
        <f>IF(OR(INDEX($P$2:$P$1001,MATCH(ROWS($O$2:O411),$O$2:$O$1001,0),1)&gt;=100000,INDEX($V$1005:$AE$1005,1,MATCH(COLUMNS($V$1006:Z1006),$V$1006:$AE$1006,0))&gt;=100000), " ",IF(INDEX($V$2:$AE$1001,MATCH(ROWS($O$2:O411),$O$2:$O$1001,0),MATCH(COLUMNS($V$1006:Z1006),$V$1006:$AE$1006,0)), HYPERLINK("#",""), HYPERLINK(CONCATENATE("#Metadata!", ADDRESS(INDEX($Q$2:$Q$1001,MATCH(ROWS($O$2:O411),$O$2:$O$1001,0),0), INDEX($V$1004:$AE$1004,1,MATCH(COLUMNS($V$1006:Z1006),$V$1006:$AE$1006,0)))),"Fix")))</f>
        <v>0</v>
      </c>
      <c r="G411" s="4">
        <f>IF(OR(INDEX($P$2:$P$1001,MATCH(ROWS($O$2:O411),$O$2:$O$1001,0),1)&gt;=100000,INDEX($V$1005:$AE$1005,1,MATCH(COLUMNS($V$1006:AA1006),$V$1006:$AE$1006,0))&gt;=100000), " ",IF(INDEX($V$2:$AE$1001,MATCH(ROWS($O$2:O411),$O$2:$O$1001,0),MATCH(COLUMNS($V$1006:AA1006),$V$1006:$AE$1006,0)), HYPERLINK("#",""), HYPERLINK(CONCATENATE("#Metadata!", ADDRESS(INDEX($Q$2:$Q$1001,MATCH(ROWS($O$2:O411),$O$2:$O$1001,0),0), INDEX($V$1004:$AE$1004,1,MATCH(COLUMNS($V$1006:AA1006),$V$1006:$AE$1006,0)))),"Fix")))</f>
        <v>0</v>
      </c>
      <c r="H411" s="4">
        <f>IF(OR(INDEX($P$2:$P$1001,MATCH(ROWS($O$2:O411),$O$2:$O$1001,0),1)&gt;=100000,INDEX($V$1005:$AE$1005,1,MATCH(COLUMNS($V$1006:AB1006),$V$1006:$AE$1006,0))&gt;=100000), " ",IF(INDEX($V$2:$AE$1001,MATCH(ROWS($O$2:O411),$O$2:$O$1001,0),MATCH(COLUMNS($V$1006:AB1006),$V$1006:$AE$1006,0)), HYPERLINK("#",""), HYPERLINK(CONCATENATE("#Metadata!", ADDRESS(INDEX($Q$2:$Q$1001,MATCH(ROWS($O$2:O411),$O$2:$O$1001,0),0), INDEX($V$1004:$AE$1004,1,MATCH(COLUMNS($V$1006:AB1006),$V$1006:$AE$1006,0)))),"Fix")))</f>
        <v>0</v>
      </c>
      <c r="I411" s="4">
        <f>IF(OR(INDEX($P$2:$P$1001,MATCH(ROWS($O$2:O411),$O$2:$O$1001,0),1)&gt;=100000,INDEX($V$1005:$AE$1005,1,MATCH(COLUMNS($V$1006:AC1006),$V$1006:$AE$1006,0))&gt;=100000), " ",IF(INDEX($V$2:$AE$1001,MATCH(ROWS($O$2:O411),$O$2:$O$1001,0),MATCH(COLUMNS($V$1006:AC1006),$V$1006:$AE$1006,0)), HYPERLINK("#",""), HYPERLINK(CONCATENATE("#Metadata!", ADDRESS(INDEX($Q$2:$Q$1001,MATCH(ROWS($O$2:O411),$O$2:$O$1001,0),0), INDEX($V$1004:$AE$1004,1,MATCH(COLUMNS($V$1006:AC1006),$V$1006:$AE$1006,0)))),"Fix")))</f>
        <v>0</v>
      </c>
      <c r="J411" s="4">
        <f>IF(OR(INDEX($P$2:$P$1001,MATCH(ROWS($O$2:O411),$O$2:$O$1001,0),1)&gt;=100000,INDEX($V$1005:$AE$1005,1,MATCH(COLUMNS($V$1006:AD1006),$V$1006:$AE$1006,0))&gt;=100000), " ",IF(INDEX($V$2:$AE$1001,MATCH(ROWS($O$2:O411),$O$2:$O$1001,0),MATCH(COLUMNS($V$1006:AD1006),$V$1006:$AE$1006,0)), HYPERLINK("#",""), HYPERLINK(CONCATENATE("#Metadata!", ADDRESS(INDEX($Q$2:$Q$1001,MATCH(ROWS($O$2:O411),$O$2:$O$1001,0),0), INDEX($V$1004:$AE$1004,1,MATCH(COLUMNS($V$1006:AD1006),$V$1006:$AE$1006,0)))),"Fix")))</f>
        <v>0</v>
      </c>
      <c r="K411" s="4">
        <f>IF(OR(INDEX($P$2:$P$1001,MATCH(ROWS($O$2:O411),$O$2:$O$1001,0),1)&gt;=100000,INDEX($V$1005:$AE$1005,1,MATCH(COLUMNS($V$1006:AE1006),$V$1006:$AE$1006,0))&gt;=100000), " ",IF(INDEX($V$2:$AE$1001,MATCH(ROWS($O$2:O411),$O$2:$O$1001,0),MATCH(COLUMNS($V$1006:AE1006),$V$1006:$AE$1006,0)), HYPERLINK("#",""), HYPERLINK(CONCATENATE("#Metadata!", ADDRESS(INDEX($Q$2:$Q$1001,MATCH(ROWS($O$2:O411),$O$2:$O$1001,0),0), INDEX($V$1004:$AE$1004,1,MATCH(COLUMNS($V$1006:AE1006),$V$1006:$AE$1006,0)))),"Fix")))</f>
        <v>0</v>
      </c>
      <c r="O411">
        <v>0</v>
      </c>
      <c r="P411">
        <v>0</v>
      </c>
      <c r="Q411">
        <v>0</v>
      </c>
      <c r="R411">
        <f>IF(S411,TRUE,AND(V411:AE411))</f>
        <v>0</v>
      </c>
      <c r="S411">
        <f>COUNTBLANK(Metadata!B411:K411)=COLUMNS(Metadata!B411:K411)</f>
        <v>0</v>
      </c>
      <c r="T411">
        <v>0</v>
      </c>
      <c r="V411">
        <f>AND(IF(Metadata!B411="",FALSE,TRUE),COUNTIF(Metadata!B:B, Metadata!B411) = 1,NOT(ISERROR(SUMPRODUCT(SEARCH(MID(Metadata!B411,ROW(INDIRECT("1:"&amp;LEN(Metadata!B411))), 1),"0123456789abcdefghijklmnopqrstuvwxyzABCDEFGHIJKLMNOPQRSTUVWXYZ.")))))</f>
        <v>0</v>
      </c>
      <c r="W411">
        <f>AND(IF(Metadata!C411="",FALSE,TRUE),exact(Metadata!C411,"urban biome"))</f>
        <v>0</v>
      </c>
      <c r="X411">
        <f>AND(IF(Metadata!D411="",FALSE,TRUE),exact(Metadata!D411,"animal-associated habitat"))</f>
        <v>0</v>
      </c>
      <c r="Y411">
        <f>OR(AND(IF(Metadata!E411="",FALSE,TRUE),OR(exact(Metadata!E411,"not applicable"),exact(Metadata!E411,"missing: not collected"),exact(Metadata!E411,"missing: not provided"),exact(Metadata!E411,"missing: restricted access"))),AND(IF(Metadata!E411="",FALSE,ISNUMBER(VALUE(Metadata!E411))),Metadata!E411&gt;0))</f>
        <v>0</v>
      </c>
      <c r="Z411">
        <f>AND(IF(Metadata!F411="",FALSE,TRUE),exact(Metadata!F411,"weeks"))</f>
        <v>0</v>
      </c>
      <c r="AA411">
        <f>AND(IF(Metadata!G411="",FALSE,TRUE),exact(Metadata!G411,"mouse"))</f>
        <v>0</v>
      </c>
      <c r="AB411">
        <f>AND(IF(Metadata!H411="",FALSE,TRUE),exact(Metadata!H411,"Mus musculus"))</f>
        <v>0</v>
      </c>
      <c r="AC411">
        <f>AND(IF(Metadata!I411="",FALSE,TRUE),exact(Metadata!I411,"10090"))</f>
        <v>0</v>
      </c>
      <c r="AD411">
        <f>OR(AND(IF(Metadata!J411="",FALSE,TRUE),OR(exact(Metadata!J411,"not applicable"),exact(Metadata!J411,"missing: not collected"),exact(Metadata!J411,"missing: not provided"),exact(Metadata!J411,"missing: restricted access"))),AND(IF(Metadata!J411="",FALSE,ISNUMBER(VALUE(Metadata!J411))),Metadata!J411&gt;0))</f>
        <v>0</v>
      </c>
      <c r="AE411">
        <f>AND(IF(Metadata!K411="",FALSE,TRUE),exact(Metadata!K411,"g"))</f>
        <v>0</v>
      </c>
    </row>
    <row r="412" spans="1:31">
      <c r="A412" s="5">
        <f>IF(B412=" "," ",HYPERLINK(CONCATENATE("#metadata!",ADDRESS(INDEX($Q$2:$Q$1001,MATCH(ROWS($O$2:O412),$O$2:$O$1001,0),0),1)),INDEX($T$2:$T$1001,MATCH(ROWS($O$2:O412),$O$2:$O$1001,0),0)))</f>
        <v>0</v>
      </c>
      <c r="B412" s="4">
        <f>IF(OR(INDEX($P$2:$P$1001,MATCH(ROWS($O$2:O412),$O$2:$O$1001,0),1)&gt;=100000,INDEX($V$1005:$AE$1005,1,MATCH(COLUMNS($V$1006:V1006),$V$1006:$AE$1006,0))&gt;=100000), " ",IF(INDEX($V$2:$AE$1001,MATCH(ROWS($O$2:O412),$O$2:$O$1001,0),MATCH(COLUMNS($V$1006:V1006),$V$1006:$AE$1006,0)), HYPERLINK("#",""), HYPERLINK(CONCATENATE("#Metadata!", ADDRESS(INDEX($Q$2:$Q$1001,MATCH(ROWS($O$2:O412),$O$2:$O$1001,0),0), INDEX($V$1004:$AE$1004,1,MATCH(COLUMNS($V$1006:V1006),$V$1006:$AE$1006,0)))),"Fix")))</f>
        <v>0</v>
      </c>
      <c r="C412" s="4">
        <f>IF(OR(INDEX($P$2:$P$1001,MATCH(ROWS($O$2:O412),$O$2:$O$1001,0),1)&gt;=100000,INDEX($V$1005:$AE$1005,1,MATCH(COLUMNS($V$1006:W1006),$V$1006:$AE$1006,0))&gt;=100000), " ",IF(INDEX($V$2:$AE$1001,MATCH(ROWS($O$2:O412),$O$2:$O$1001,0),MATCH(COLUMNS($V$1006:W1006),$V$1006:$AE$1006,0)), HYPERLINK("#",""), HYPERLINK(CONCATENATE("#Metadata!", ADDRESS(INDEX($Q$2:$Q$1001,MATCH(ROWS($O$2:O412),$O$2:$O$1001,0),0), INDEX($V$1004:$AE$1004,1,MATCH(COLUMNS($V$1006:W1006),$V$1006:$AE$1006,0)))),"Fix")))</f>
        <v>0</v>
      </c>
      <c r="D412" s="4">
        <f>IF(OR(INDEX($P$2:$P$1001,MATCH(ROWS($O$2:O412),$O$2:$O$1001,0),1)&gt;=100000,INDEX($V$1005:$AE$1005,1,MATCH(COLUMNS($V$1006:X1006),$V$1006:$AE$1006,0))&gt;=100000), " ",IF(INDEX($V$2:$AE$1001,MATCH(ROWS($O$2:O412),$O$2:$O$1001,0),MATCH(COLUMNS($V$1006:X1006),$V$1006:$AE$1006,0)), HYPERLINK("#",""), HYPERLINK(CONCATENATE("#Metadata!", ADDRESS(INDEX($Q$2:$Q$1001,MATCH(ROWS($O$2:O412),$O$2:$O$1001,0),0), INDEX($V$1004:$AE$1004,1,MATCH(COLUMNS($V$1006:X1006),$V$1006:$AE$1006,0)))),"Fix")))</f>
        <v>0</v>
      </c>
      <c r="E412" s="4">
        <f>IF(OR(INDEX($P$2:$P$1001,MATCH(ROWS($O$2:O412),$O$2:$O$1001,0),1)&gt;=100000,INDEX($V$1005:$AE$1005,1,MATCH(COLUMNS($V$1006:Y1006),$V$1006:$AE$1006,0))&gt;=100000), " ",IF(INDEX($V$2:$AE$1001,MATCH(ROWS($O$2:O412),$O$2:$O$1001,0),MATCH(COLUMNS($V$1006:Y1006),$V$1006:$AE$1006,0)), HYPERLINK("#",""), HYPERLINK(CONCATENATE("#Metadata!", ADDRESS(INDEX($Q$2:$Q$1001,MATCH(ROWS($O$2:O412),$O$2:$O$1001,0),0), INDEX($V$1004:$AE$1004,1,MATCH(COLUMNS($V$1006:Y1006),$V$1006:$AE$1006,0)))),"Fix")))</f>
        <v>0</v>
      </c>
      <c r="F412" s="4">
        <f>IF(OR(INDEX($P$2:$P$1001,MATCH(ROWS($O$2:O412),$O$2:$O$1001,0),1)&gt;=100000,INDEX($V$1005:$AE$1005,1,MATCH(COLUMNS($V$1006:Z1006),$V$1006:$AE$1006,0))&gt;=100000), " ",IF(INDEX($V$2:$AE$1001,MATCH(ROWS($O$2:O412),$O$2:$O$1001,0),MATCH(COLUMNS($V$1006:Z1006),$V$1006:$AE$1006,0)), HYPERLINK("#",""), HYPERLINK(CONCATENATE("#Metadata!", ADDRESS(INDEX($Q$2:$Q$1001,MATCH(ROWS($O$2:O412),$O$2:$O$1001,0),0), INDEX($V$1004:$AE$1004,1,MATCH(COLUMNS($V$1006:Z1006),$V$1006:$AE$1006,0)))),"Fix")))</f>
        <v>0</v>
      </c>
      <c r="G412" s="4">
        <f>IF(OR(INDEX($P$2:$P$1001,MATCH(ROWS($O$2:O412),$O$2:$O$1001,0),1)&gt;=100000,INDEX($V$1005:$AE$1005,1,MATCH(COLUMNS($V$1006:AA1006),$V$1006:$AE$1006,0))&gt;=100000), " ",IF(INDEX($V$2:$AE$1001,MATCH(ROWS($O$2:O412),$O$2:$O$1001,0),MATCH(COLUMNS($V$1006:AA1006),$V$1006:$AE$1006,0)), HYPERLINK("#",""), HYPERLINK(CONCATENATE("#Metadata!", ADDRESS(INDEX($Q$2:$Q$1001,MATCH(ROWS($O$2:O412),$O$2:$O$1001,0),0), INDEX($V$1004:$AE$1004,1,MATCH(COLUMNS($V$1006:AA1006),$V$1006:$AE$1006,0)))),"Fix")))</f>
        <v>0</v>
      </c>
      <c r="H412" s="4">
        <f>IF(OR(INDEX($P$2:$P$1001,MATCH(ROWS($O$2:O412),$O$2:$O$1001,0),1)&gt;=100000,INDEX($V$1005:$AE$1005,1,MATCH(COLUMNS($V$1006:AB1006),$V$1006:$AE$1006,0))&gt;=100000), " ",IF(INDEX($V$2:$AE$1001,MATCH(ROWS($O$2:O412),$O$2:$O$1001,0),MATCH(COLUMNS($V$1006:AB1006),$V$1006:$AE$1006,0)), HYPERLINK("#",""), HYPERLINK(CONCATENATE("#Metadata!", ADDRESS(INDEX($Q$2:$Q$1001,MATCH(ROWS($O$2:O412),$O$2:$O$1001,0),0), INDEX($V$1004:$AE$1004,1,MATCH(COLUMNS($V$1006:AB1006),$V$1006:$AE$1006,0)))),"Fix")))</f>
        <v>0</v>
      </c>
      <c r="I412" s="4">
        <f>IF(OR(INDEX($P$2:$P$1001,MATCH(ROWS($O$2:O412),$O$2:$O$1001,0),1)&gt;=100000,INDEX($V$1005:$AE$1005,1,MATCH(COLUMNS($V$1006:AC1006),$V$1006:$AE$1006,0))&gt;=100000), " ",IF(INDEX($V$2:$AE$1001,MATCH(ROWS($O$2:O412),$O$2:$O$1001,0),MATCH(COLUMNS($V$1006:AC1006),$V$1006:$AE$1006,0)), HYPERLINK("#",""), HYPERLINK(CONCATENATE("#Metadata!", ADDRESS(INDEX($Q$2:$Q$1001,MATCH(ROWS($O$2:O412),$O$2:$O$1001,0),0), INDEX($V$1004:$AE$1004,1,MATCH(COLUMNS($V$1006:AC1006),$V$1006:$AE$1006,0)))),"Fix")))</f>
        <v>0</v>
      </c>
      <c r="J412" s="4">
        <f>IF(OR(INDEX($P$2:$P$1001,MATCH(ROWS($O$2:O412),$O$2:$O$1001,0),1)&gt;=100000,INDEX($V$1005:$AE$1005,1,MATCH(COLUMNS($V$1006:AD1006),$V$1006:$AE$1006,0))&gt;=100000), " ",IF(INDEX($V$2:$AE$1001,MATCH(ROWS($O$2:O412),$O$2:$O$1001,0),MATCH(COLUMNS($V$1006:AD1006),$V$1006:$AE$1006,0)), HYPERLINK("#",""), HYPERLINK(CONCATENATE("#Metadata!", ADDRESS(INDEX($Q$2:$Q$1001,MATCH(ROWS($O$2:O412),$O$2:$O$1001,0),0), INDEX($V$1004:$AE$1004,1,MATCH(COLUMNS($V$1006:AD1006),$V$1006:$AE$1006,0)))),"Fix")))</f>
        <v>0</v>
      </c>
      <c r="K412" s="4">
        <f>IF(OR(INDEX($P$2:$P$1001,MATCH(ROWS($O$2:O412),$O$2:$O$1001,0),1)&gt;=100000,INDEX($V$1005:$AE$1005,1,MATCH(COLUMNS($V$1006:AE1006),$V$1006:$AE$1006,0))&gt;=100000), " ",IF(INDEX($V$2:$AE$1001,MATCH(ROWS($O$2:O412),$O$2:$O$1001,0),MATCH(COLUMNS($V$1006:AE1006),$V$1006:$AE$1006,0)), HYPERLINK("#",""), HYPERLINK(CONCATENATE("#Metadata!", ADDRESS(INDEX($Q$2:$Q$1001,MATCH(ROWS($O$2:O412),$O$2:$O$1001,0),0), INDEX($V$1004:$AE$1004,1,MATCH(COLUMNS($V$1006:AE1006),$V$1006:$AE$1006,0)))),"Fix")))</f>
        <v>0</v>
      </c>
      <c r="O412">
        <v>0</v>
      </c>
      <c r="P412">
        <v>0</v>
      </c>
      <c r="Q412">
        <v>0</v>
      </c>
      <c r="R412">
        <f>IF(S412,TRUE,AND(V412:AE412))</f>
        <v>0</v>
      </c>
      <c r="S412">
        <f>COUNTBLANK(Metadata!B412:K412)=COLUMNS(Metadata!B412:K412)</f>
        <v>0</v>
      </c>
      <c r="T412">
        <v>0</v>
      </c>
      <c r="V412">
        <f>AND(IF(Metadata!B412="",FALSE,TRUE),COUNTIF(Metadata!B:B, Metadata!B412) = 1,NOT(ISERROR(SUMPRODUCT(SEARCH(MID(Metadata!B412,ROW(INDIRECT("1:"&amp;LEN(Metadata!B412))), 1),"0123456789abcdefghijklmnopqrstuvwxyzABCDEFGHIJKLMNOPQRSTUVWXYZ.")))))</f>
        <v>0</v>
      </c>
      <c r="W412">
        <f>AND(IF(Metadata!C412="",FALSE,TRUE),exact(Metadata!C412,"urban biome"))</f>
        <v>0</v>
      </c>
      <c r="X412">
        <f>AND(IF(Metadata!D412="",FALSE,TRUE),exact(Metadata!D412,"animal-associated habitat"))</f>
        <v>0</v>
      </c>
      <c r="Y412">
        <f>OR(AND(IF(Metadata!E412="",FALSE,TRUE),OR(exact(Metadata!E412,"not applicable"),exact(Metadata!E412,"missing: not collected"),exact(Metadata!E412,"missing: not provided"),exact(Metadata!E412,"missing: restricted access"))),AND(IF(Metadata!E412="",FALSE,ISNUMBER(VALUE(Metadata!E412))),Metadata!E412&gt;0))</f>
        <v>0</v>
      </c>
      <c r="Z412">
        <f>AND(IF(Metadata!F412="",FALSE,TRUE),exact(Metadata!F412,"weeks"))</f>
        <v>0</v>
      </c>
      <c r="AA412">
        <f>AND(IF(Metadata!G412="",FALSE,TRUE),exact(Metadata!G412,"mouse"))</f>
        <v>0</v>
      </c>
      <c r="AB412">
        <f>AND(IF(Metadata!H412="",FALSE,TRUE),exact(Metadata!H412,"Mus musculus"))</f>
        <v>0</v>
      </c>
      <c r="AC412">
        <f>AND(IF(Metadata!I412="",FALSE,TRUE),exact(Metadata!I412,"10090"))</f>
        <v>0</v>
      </c>
      <c r="AD412">
        <f>OR(AND(IF(Metadata!J412="",FALSE,TRUE),OR(exact(Metadata!J412,"not applicable"),exact(Metadata!J412,"missing: not collected"),exact(Metadata!J412,"missing: not provided"),exact(Metadata!J412,"missing: restricted access"))),AND(IF(Metadata!J412="",FALSE,ISNUMBER(VALUE(Metadata!J412))),Metadata!J412&gt;0))</f>
        <v>0</v>
      </c>
      <c r="AE412">
        <f>AND(IF(Metadata!K412="",FALSE,TRUE),exact(Metadata!K412,"g"))</f>
        <v>0</v>
      </c>
    </row>
    <row r="413" spans="1:31">
      <c r="A413" s="5">
        <f>IF(B413=" "," ",HYPERLINK(CONCATENATE("#metadata!",ADDRESS(INDEX($Q$2:$Q$1001,MATCH(ROWS($O$2:O413),$O$2:$O$1001,0),0),1)),INDEX($T$2:$T$1001,MATCH(ROWS($O$2:O413),$O$2:$O$1001,0),0)))</f>
        <v>0</v>
      </c>
      <c r="B413" s="4">
        <f>IF(OR(INDEX($P$2:$P$1001,MATCH(ROWS($O$2:O413),$O$2:$O$1001,0),1)&gt;=100000,INDEX($V$1005:$AE$1005,1,MATCH(COLUMNS($V$1006:V1006),$V$1006:$AE$1006,0))&gt;=100000), " ",IF(INDEX($V$2:$AE$1001,MATCH(ROWS($O$2:O413),$O$2:$O$1001,0),MATCH(COLUMNS($V$1006:V1006),$V$1006:$AE$1006,0)), HYPERLINK("#",""), HYPERLINK(CONCATENATE("#Metadata!", ADDRESS(INDEX($Q$2:$Q$1001,MATCH(ROWS($O$2:O413),$O$2:$O$1001,0),0), INDEX($V$1004:$AE$1004,1,MATCH(COLUMNS($V$1006:V1006),$V$1006:$AE$1006,0)))),"Fix")))</f>
        <v>0</v>
      </c>
      <c r="C413" s="4">
        <f>IF(OR(INDEX($P$2:$P$1001,MATCH(ROWS($O$2:O413),$O$2:$O$1001,0),1)&gt;=100000,INDEX($V$1005:$AE$1005,1,MATCH(COLUMNS($V$1006:W1006),$V$1006:$AE$1006,0))&gt;=100000), " ",IF(INDEX($V$2:$AE$1001,MATCH(ROWS($O$2:O413),$O$2:$O$1001,0),MATCH(COLUMNS($V$1006:W1006),$V$1006:$AE$1006,0)), HYPERLINK("#",""), HYPERLINK(CONCATENATE("#Metadata!", ADDRESS(INDEX($Q$2:$Q$1001,MATCH(ROWS($O$2:O413),$O$2:$O$1001,0),0), INDEX($V$1004:$AE$1004,1,MATCH(COLUMNS($V$1006:W1006),$V$1006:$AE$1006,0)))),"Fix")))</f>
        <v>0</v>
      </c>
      <c r="D413" s="4">
        <f>IF(OR(INDEX($P$2:$P$1001,MATCH(ROWS($O$2:O413),$O$2:$O$1001,0),1)&gt;=100000,INDEX($V$1005:$AE$1005,1,MATCH(COLUMNS($V$1006:X1006),$V$1006:$AE$1006,0))&gt;=100000), " ",IF(INDEX($V$2:$AE$1001,MATCH(ROWS($O$2:O413),$O$2:$O$1001,0),MATCH(COLUMNS($V$1006:X1006),$V$1006:$AE$1006,0)), HYPERLINK("#",""), HYPERLINK(CONCATENATE("#Metadata!", ADDRESS(INDEX($Q$2:$Q$1001,MATCH(ROWS($O$2:O413),$O$2:$O$1001,0),0), INDEX($V$1004:$AE$1004,1,MATCH(COLUMNS($V$1006:X1006),$V$1006:$AE$1006,0)))),"Fix")))</f>
        <v>0</v>
      </c>
      <c r="E413" s="4">
        <f>IF(OR(INDEX($P$2:$P$1001,MATCH(ROWS($O$2:O413),$O$2:$O$1001,0),1)&gt;=100000,INDEX($V$1005:$AE$1005,1,MATCH(COLUMNS($V$1006:Y1006),$V$1006:$AE$1006,0))&gt;=100000), " ",IF(INDEX($V$2:$AE$1001,MATCH(ROWS($O$2:O413),$O$2:$O$1001,0),MATCH(COLUMNS($V$1006:Y1006),$V$1006:$AE$1006,0)), HYPERLINK("#",""), HYPERLINK(CONCATENATE("#Metadata!", ADDRESS(INDEX($Q$2:$Q$1001,MATCH(ROWS($O$2:O413),$O$2:$O$1001,0),0), INDEX($V$1004:$AE$1004,1,MATCH(COLUMNS($V$1006:Y1006),$V$1006:$AE$1006,0)))),"Fix")))</f>
        <v>0</v>
      </c>
      <c r="F413" s="4">
        <f>IF(OR(INDEX($P$2:$P$1001,MATCH(ROWS($O$2:O413),$O$2:$O$1001,0),1)&gt;=100000,INDEX($V$1005:$AE$1005,1,MATCH(COLUMNS($V$1006:Z1006),$V$1006:$AE$1006,0))&gt;=100000), " ",IF(INDEX($V$2:$AE$1001,MATCH(ROWS($O$2:O413),$O$2:$O$1001,0),MATCH(COLUMNS($V$1006:Z1006),$V$1006:$AE$1006,0)), HYPERLINK("#",""), HYPERLINK(CONCATENATE("#Metadata!", ADDRESS(INDEX($Q$2:$Q$1001,MATCH(ROWS($O$2:O413),$O$2:$O$1001,0),0), INDEX($V$1004:$AE$1004,1,MATCH(COLUMNS($V$1006:Z1006),$V$1006:$AE$1006,0)))),"Fix")))</f>
        <v>0</v>
      </c>
      <c r="G413" s="4">
        <f>IF(OR(INDEX($P$2:$P$1001,MATCH(ROWS($O$2:O413),$O$2:$O$1001,0),1)&gt;=100000,INDEX($V$1005:$AE$1005,1,MATCH(COLUMNS($V$1006:AA1006),$V$1006:$AE$1006,0))&gt;=100000), " ",IF(INDEX($V$2:$AE$1001,MATCH(ROWS($O$2:O413),$O$2:$O$1001,0),MATCH(COLUMNS($V$1006:AA1006),$V$1006:$AE$1006,0)), HYPERLINK("#",""), HYPERLINK(CONCATENATE("#Metadata!", ADDRESS(INDEX($Q$2:$Q$1001,MATCH(ROWS($O$2:O413),$O$2:$O$1001,0),0), INDEX($V$1004:$AE$1004,1,MATCH(COLUMNS($V$1006:AA1006),$V$1006:$AE$1006,0)))),"Fix")))</f>
        <v>0</v>
      </c>
      <c r="H413" s="4">
        <f>IF(OR(INDEX($P$2:$P$1001,MATCH(ROWS($O$2:O413),$O$2:$O$1001,0),1)&gt;=100000,INDEX($V$1005:$AE$1005,1,MATCH(COLUMNS($V$1006:AB1006),$V$1006:$AE$1006,0))&gt;=100000), " ",IF(INDEX($V$2:$AE$1001,MATCH(ROWS($O$2:O413),$O$2:$O$1001,0),MATCH(COLUMNS($V$1006:AB1006),$V$1006:$AE$1006,0)), HYPERLINK("#",""), HYPERLINK(CONCATENATE("#Metadata!", ADDRESS(INDEX($Q$2:$Q$1001,MATCH(ROWS($O$2:O413),$O$2:$O$1001,0),0), INDEX($V$1004:$AE$1004,1,MATCH(COLUMNS($V$1006:AB1006),$V$1006:$AE$1006,0)))),"Fix")))</f>
        <v>0</v>
      </c>
      <c r="I413" s="4">
        <f>IF(OR(INDEX($P$2:$P$1001,MATCH(ROWS($O$2:O413),$O$2:$O$1001,0),1)&gt;=100000,INDEX($V$1005:$AE$1005,1,MATCH(COLUMNS($V$1006:AC1006),$V$1006:$AE$1006,0))&gt;=100000), " ",IF(INDEX($V$2:$AE$1001,MATCH(ROWS($O$2:O413),$O$2:$O$1001,0),MATCH(COLUMNS($V$1006:AC1006),$V$1006:$AE$1006,0)), HYPERLINK("#",""), HYPERLINK(CONCATENATE("#Metadata!", ADDRESS(INDEX($Q$2:$Q$1001,MATCH(ROWS($O$2:O413),$O$2:$O$1001,0),0), INDEX($V$1004:$AE$1004,1,MATCH(COLUMNS($V$1006:AC1006),$V$1006:$AE$1006,0)))),"Fix")))</f>
        <v>0</v>
      </c>
      <c r="J413" s="4">
        <f>IF(OR(INDEX($P$2:$P$1001,MATCH(ROWS($O$2:O413),$O$2:$O$1001,0),1)&gt;=100000,INDEX($V$1005:$AE$1005,1,MATCH(COLUMNS($V$1006:AD1006),$V$1006:$AE$1006,0))&gt;=100000), " ",IF(INDEX($V$2:$AE$1001,MATCH(ROWS($O$2:O413),$O$2:$O$1001,0),MATCH(COLUMNS($V$1006:AD1006),$V$1006:$AE$1006,0)), HYPERLINK("#",""), HYPERLINK(CONCATENATE("#Metadata!", ADDRESS(INDEX($Q$2:$Q$1001,MATCH(ROWS($O$2:O413),$O$2:$O$1001,0),0), INDEX($V$1004:$AE$1004,1,MATCH(COLUMNS($V$1006:AD1006),$V$1006:$AE$1006,0)))),"Fix")))</f>
        <v>0</v>
      </c>
      <c r="K413" s="4">
        <f>IF(OR(INDEX($P$2:$P$1001,MATCH(ROWS($O$2:O413),$O$2:$O$1001,0),1)&gt;=100000,INDEX($V$1005:$AE$1005,1,MATCH(COLUMNS($V$1006:AE1006),$V$1006:$AE$1006,0))&gt;=100000), " ",IF(INDEX($V$2:$AE$1001,MATCH(ROWS($O$2:O413),$O$2:$O$1001,0),MATCH(COLUMNS($V$1006:AE1006),$V$1006:$AE$1006,0)), HYPERLINK("#",""), HYPERLINK(CONCATENATE("#Metadata!", ADDRESS(INDEX($Q$2:$Q$1001,MATCH(ROWS($O$2:O413),$O$2:$O$1001,0),0), INDEX($V$1004:$AE$1004,1,MATCH(COLUMNS($V$1006:AE1006),$V$1006:$AE$1006,0)))),"Fix")))</f>
        <v>0</v>
      </c>
      <c r="O413">
        <v>0</v>
      </c>
      <c r="P413">
        <v>0</v>
      </c>
      <c r="Q413">
        <v>0</v>
      </c>
      <c r="R413">
        <f>IF(S413,TRUE,AND(V413:AE413))</f>
        <v>0</v>
      </c>
      <c r="S413">
        <f>COUNTBLANK(Metadata!B413:K413)=COLUMNS(Metadata!B413:K413)</f>
        <v>0</v>
      </c>
      <c r="T413">
        <v>0</v>
      </c>
      <c r="V413">
        <f>AND(IF(Metadata!B413="",FALSE,TRUE),COUNTIF(Metadata!B:B, Metadata!B413) = 1,NOT(ISERROR(SUMPRODUCT(SEARCH(MID(Metadata!B413,ROW(INDIRECT("1:"&amp;LEN(Metadata!B413))), 1),"0123456789abcdefghijklmnopqrstuvwxyzABCDEFGHIJKLMNOPQRSTUVWXYZ.")))))</f>
        <v>0</v>
      </c>
      <c r="W413">
        <f>AND(IF(Metadata!C413="",FALSE,TRUE),exact(Metadata!C413,"urban biome"))</f>
        <v>0</v>
      </c>
      <c r="X413">
        <f>AND(IF(Metadata!D413="",FALSE,TRUE),exact(Metadata!D413,"animal-associated habitat"))</f>
        <v>0</v>
      </c>
      <c r="Y413">
        <f>OR(AND(IF(Metadata!E413="",FALSE,TRUE),OR(exact(Metadata!E413,"not applicable"),exact(Metadata!E413,"missing: not collected"),exact(Metadata!E413,"missing: not provided"),exact(Metadata!E413,"missing: restricted access"))),AND(IF(Metadata!E413="",FALSE,ISNUMBER(VALUE(Metadata!E413))),Metadata!E413&gt;0))</f>
        <v>0</v>
      </c>
      <c r="Z413">
        <f>AND(IF(Metadata!F413="",FALSE,TRUE),exact(Metadata!F413,"weeks"))</f>
        <v>0</v>
      </c>
      <c r="AA413">
        <f>AND(IF(Metadata!G413="",FALSE,TRUE),exact(Metadata!G413,"mouse"))</f>
        <v>0</v>
      </c>
      <c r="AB413">
        <f>AND(IF(Metadata!H413="",FALSE,TRUE),exact(Metadata!H413,"Mus musculus"))</f>
        <v>0</v>
      </c>
      <c r="AC413">
        <f>AND(IF(Metadata!I413="",FALSE,TRUE),exact(Metadata!I413,"10090"))</f>
        <v>0</v>
      </c>
      <c r="AD413">
        <f>OR(AND(IF(Metadata!J413="",FALSE,TRUE),OR(exact(Metadata!J413,"not applicable"),exact(Metadata!J413,"missing: not collected"),exact(Metadata!J413,"missing: not provided"),exact(Metadata!J413,"missing: restricted access"))),AND(IF(Metadata!J413="",FALSE,ISNUMBER(VALUE(Metadata!J413))),Metadata!J413&gt;0))</f>
        <v>0</v>
      </c>
      <c r="AE413">
        <f>AND(IF(Metadata!K413="",FALSE,TRUE),exact(Metadata!K413,"g"))</f>
        <v>0</v>
      </c>
    </row>
    <row r="414" spans="1:31">
      <c r="A414" s="5">
        <f>IF(B414=" "," ",HYPERLINK(CONCATENATE("#metadata!",ADDRESS(INDEX($Q$2:$Q$1001,MATCH(ROWS($O$2:O414),$O$2:$O$1001,0),0),1)),INDEX($T$2:$T$1001,MATCH(ROWS($O$2:O414),$O$2:$O$1001,0),0)))</f>
        <v>0</v>
      </c>
      <c r="B414" s="4">
        <f>IF(OR(INDEX($P$2:$P$1001,MATCH(ROWS($O$2:O414),$O$2:$O$1001,0),1)&gt;=100000,INDEX($V$1005:$AE$1005,1,MATCH(COLUMNS($V$1006:V1006),$V$1006:$AE$1006,0))&gt;=100000), " ",IF(INDEX($V$2:$AE$1001,MATCH(ROWS($O$2:O414),$O$2:$O$1001,0),MATCH(COLUMNS($V$1006:V1006),$V$1006:$AE$1006,0)), HYPERLINK("#",""), HYPERLINK(CONCATENATE("#Metadata!", ADDRESS(INDEX($Q$2:$Q$1001,MATCH(ROWS($O$2:O414),$O$2:$O$1001,0),0), INDEX($V$1004:$AE$1004,1,MATCH(COLUMNS($V$1006:V1006),$V$1006:$AE$1006,0)))),"Fix")))</f>
        <v>0</v>
      </c>
      <c r="C414" s="4">
        <f>IF(OR(INDEX($P$2:$P$1001,MATCH(ROWS($O$2:O414),$O$2:$O$1001,0),1)&gt;=100000,INDEX($V$1005:$AE$1005,1,MATCH(COLUMNS($V$1006:W1006),$V$1006:$AE$1006,0))&gt;=100000), " ",IF(INDEX($V$2:$AE$1001,MATCH(ROWS($O$2:O414),$O$2:$O$1001,0),MATCH(COLUMNS($V$1006:W1006),$V$1006:$AE$1006,0)), HYPERLINK("#",""), HYPERLINK(CONCATENATE("#Metadata!", ADDRESS(INDEX($Q$2:$Q$1001,MATCH(ROWS($O$2:O414),$O$2:$O$1001,0),0), INDEX($V$1004:$AE$1004,1,MATCH(COLUMNS($V$1006:W1006),$V$1006:$AE$1006,0)))),"Fix")))</f>
        <v>0</v>
      </c>
      <c r="D414" s="4">
        <f>IF(OR(INDEX($P$2:$P$1001,MATCH(ROWS($O$2:O414),$O$2:$O$1001,0),1)&gt;=100000,INDEX($V$1005:$AE$1005,1,MATCH(COLUMNS($V$1006:X1006),$V$1006:$AE$1006,0))&gt;=100000), " ",IF(INDEX($V$2:$AE$1001,MATCH(ROWS($O$2:O414),$O$2:$O$1001,0),MATCH(COLUMNS($V$1006:X1006),$V$1006:$AE$1006,0)), HYPERLINK("#",""), HYPERLINK(CONCATENATE("#Metadata!", ADDRESS(INDEX($Q$2:$Q$1001,MATCH(ROWS($O$2:O414),$O$2:$O$1001,0),0), INDEX($V$1004:$AE$1004,1,MATCH(COLUMNS($V$1006:X1006),$V$1006:$AE$1006,0)))),"Fix")))</f>
        <v>0</v>
      </c>
      <c r="E414" s="4">
        <f>IF(OR(INDEX($P$2:$P$1001,MATCH(ROWS($O$2:O414),$O$2:$O$1001,0),1)&gt;=100000,INDEX($V$1005:$AE$1005,1,MATCH(COLUMNS($V$1006:Y1006),$V$1006:$AE$1006,0))&gt;=100000), " ",IF(INDEX($V$2:$AE$1001,MATCH(ROWS($O$2:O414),$O$2:$O$1001,0),MATCH(COLUMNS($V$1006:Y1006),$V$1006:$AE$1006,0)), HYPERLINK("#",""), HYPERLINK(CONCATENATE("#Metadata!", ADDRESS(INDEX($Q$2:$Q$1001,MATCH(ROWS($O$2:O414),$O$2:$O$1001,0),0), INDEX($V$1004:$AE$1004,1,MATCH(COLUMNS($V$1006:Y1006),$V$1006:$AE$1006,0)))),"Fix")))</f>
        <v>0</v>
      </c>
      <c r="F414" s="4">
        <f>IF(OR(INDEX($P$2:$P$1001,MATCH(ROWS($O$2:O414),$O$2:$O$1001,0),1)&gt;=100000,INDEX($V$1005:$AE$1005,1,MATCH(COLUMNS($V$1006:Z1006),$V$1006:$AE$1006,0))&gt;=100000), " ",IF(INDEX($V$2:$AE$1001,MATCH(ROWS($O$2:O414),$O$2:$O$1001,0),MATCH(COLUMNS($V$1006:Z1006),$V$1006:$AE$1006,0)), HYPERLINK("#",""), HYPERLINK(CONCATENATE("#Metadata!", ADDRESS(INDEX($Q$2:$Q$1001,MATCH(ROWS($O$2:O414),$O$2:$O$1001,0),0), INDEX($V$1004:$AE$1004,1,MATCH(COLUMNS($V$1006:Z1006),$V$1006:$AE$1006,0)))),"Fix")))</f>
        <v>0</v>
      </c>
      <c r="G414" s="4">
        <f>IF(OR(INDEX($P$2:$P$1001,MATCH(ROWS($O$2:O414),$O$2:$O$1001,0),1)&gt;=100000,INDEX($V$1005:$AE$1005,1,MATCH(COLUMNS($V$1006:AA1006),$V$1006:$AE$1006,0))&gt;=100000), " ",IF(INDEX($V$2:$AE$1001,MATCH(ROWS($O$2:O414),$O$2:$O$1001,0),MATCH(COLUMNS($V$1006:AA1006),$V$1006:$AE$1006,0)), HYPERLINK("#",""), HYPERLINK(CONCATENATE("#Metadata!", ADDRESS(INDEX($Q$2:$Q$1001,MATCH(ROWS($O$2:O414),$O$2:$O$1001,0),0), INDEX($V$1004:$AE$1004,1,MATCH(COLUMNS($V$1006:AA1006),$V$1006:$AE$1006,0)))),"Fix")))</f>
        <v>0</v>
      </c>
      <c r="H414" s="4">
        <f>IF(OR(INDEX($P$2:$P$1001,MATCH(ROWS($O$2:O414),$O$2:$O$1001,0),1)&gt;=100000,INDEX($V$1005:$AE$1005,1,MATCH(COLUMNS($V$1006:AB1006),$V$1006:$AE$1006,0))&gt;=100000), " ",IF(INDEX($V$2:$AE$1001,MATCH(ROWS($O$2:O414),$O$2:$O$1001,0),MATCH(COLUMNS($V$1006:AB1006),$V$1006:$AE$1006,0)), HYPERLINK("#",""), HYPERLINK(CONCATENATE("#Metadata!", ADDRESS(INDEX($Q$2:$Q$1001,MATCH(ROWS($O$2:O414),$O$2:$O$1001,0),0), INDEX($V$1004:$AE$1004,1,MATCH(COLUMNS($V$1006:AB1006),$V$1006:$AE$1006,0)))),"Fix")))</f>
        <v>0</v>
      </c>
      <c r="I414" s="4">
        <f>IF(OR(INDEX($P$2:$P$1001,MATCH(ROWS($O$2:O414),$O$2:$O$1001,0),1)&gt;=100000,INDEX($V$1005:$AE$1005,1,MATCH(COLUMNS($V$1006:AC1006),$V$1006:$AE$1006,0))&gt;=100000), " ",IF(INDEX($V$2:$AE$1001,MATCH(ROWS($O$2:O414),$O$2:$O$1001,0),MATCH(COLUMNS($V$1006:AC1006),$V$1006:$AE$1006,0)), HYPERLINK("#",""), HYPERLINK(CONCATENATE("#Metadata!", ADDRESS(INDEX($Q$2:$Q$1001,MATCH(ROWS($O$2:O414),$O$2:$O$1001,0),0), INDEX($V$1004:$AE$1004,1,MATCH(COLUMNS($V$1006:AC1006),$V$1006:$AE$1006,0)))),"Fix")))</f>
        <v>0</v>
      </c>
      <c r="J414" s="4">
        <f>IF(OR(INDEX($P$2:$P$1001,MATCH(ROWS($O$2:O414),$O$2:$O$1001,0),1)&gt;=100000,INDEX($V$1005:$AE$1005,1,MATCH(COLUMNS($V$1006:AD1006),$V$1006:$AE$1006,0))&gt;=100000), " ",IF(INDEX($V$2:$AE$1001,MATCH(ROWS($O$2:O414),$O$2:$O$1001,0),MATCH(COLUMNS($V$1006:AD1006),$V$1006:$AE$1006,0)), HYPERLINK("#",""), HYPERLINK(CONCATENATE("#Metadata!", ADDRESS(INDEX($Q$2:$Q$1001,MATCH(ROWS($O$2:O414),$O$2:$O$1001,0),0), INDEX($V$1004:$AE$1004,1,MATCH(COLUMNS($V$1006:AD1006),$V$1006:$AE$1006,0)))),"Fix")))</f>
        <v>0</v>
      </c>
      <c r="K414" s="4">
        <f>IF(OR(INDEX($P$2:$P$1001,MATCH(ROWS($O$2:O414),$O$2:$O$1001,0),1)&gt;=100000,INDEX($V$1005:$AE$1005,1,MATCH(COLUMNS($V$1006:AE1006),$V$1006:$AE$1006,0))&gt;=100000), " ",IF(INDEX($V$2:$AE$1001,MATCH(ROWS($O$2:O414),$O$2:$O$1001,0),MATCH(COLUMNS($V$1006:AE1006),$V$1006:$AE$1006,0)), HYPERLINK("#",""), HYPERLINK(CONCATENATE("#Metadata!", ADDRESS(INDEX($Q$2:$Q$1001,MATCH(ROWS($O$2:O414),$O$2:$O$1001,0),0), INDEX($V$1004:$AE$1004,1,MATCH(COLUMNS($V$1006:AE1006),$V$1006:$AE$1006,0)))),"Fix")))</f>
        <v>0</v>
      </c>
      <c r="O414">
        <v>0</v>
      </c>
      <c r="P414">
        <v>0</v>
      </c>
      <c r="Q414">
        <v>0</v>
      </c>
      <c r="R414">
        <f>IF(S414,TRUE,AND(V414:AE414))</f>
        <v>0</v>
      </c>
      <c r="S414">
        <f>COUNTBLANK(Metadata!B414:K414)=COLUMNS(Metadata!B414:K414)</f>
        <v>0</v>
      </c>
      <c r="T414">
        <v>0</v>
      </c>
      <c r="V414">
        <f>AND(IF(Metadata!B414="",FALSE,TRUE),COUNTIF(Metadata!B:B, Metadata!B414) = 1,NOT(ISERROR(SUMPRODUCT(SEARCH(MID(Metadata!B414,ROW(INDIRECT("1:"&amp;LEN(Metadata!B414))), 1),"0123456789abcdefghijklmnopqrstuvwxyzABCDEFGHIJKLMNOPQRSTUVWXYZ.")))))</f>
        <v>0</v>
      </c>
      <c r="W414">
        <f>AND(IF(Metadata!C414="",FALSE,TRUE),exact(Metadata!C414,"urban biome"))</f>
        <v>0</v>
      </c>
      <c r="X414">
        <f>AND(IF(Metadata!D414="",FALSE,TRUE),exact(Metadata!D414,"animal-associated habitat"))</f>
        <v>0</v>
      </c>
      <c r="Y414">
        <f>OR(AND(IF(Metadata!E414="",FALSE,TRUE),OR(exact(Metadata!E414,"not applicable"),exact(Metadata!E414,"missing: not collected"),exact(Metadata!E414,"missing: not provided"),exact(Metadata!E414,"missing: restricted access"))),AND(IF(Metadata!E414="",FALSE,ISNUMBER(VALUE(Metadata!E414))),Metadata!E414&gt;0))</f>
        <v>0</v>
      </c>
      <c r="Z414">
        <f>AND(IF(Metadata!F414="",FALSE,TRUE),exact(Metadata!F414,"weeks"))</f>
        <v>0</v>
      </c>
      <c r="AA414">
        <f>AND(IF(Metadata!G414="",FALSE,TRUE),exact(Metadata!G414,"mouse"))</f>
        <v>0</v>
      </c>
      <c r="AB414">
        <f>AND(IF(Metadata!H414="",FALSE,TRUE),exact(Metadata!H414,"Mus musculus"))</f>
        <v>0</v>
      </c>
      <c r="AC414">
        <f>AND(IF(Metadata!I414="",FALSE,TRUE),exact(Metadata!I414,"10090"))</f>
        <v>0</v>
      </c>
      <c r="AD414">
        <f>OR(AND(IF(Metadata!J414="",FALSE,TRUE),OR(exact(Metadata!J414,"not applicable"),exact(Metadata!J414,"missing: not collected"),exact(Metadata!J414,"missing: not provided"),exact(Metadata!J414,"missing: restricted access"))),AND(IF(Metadata!J414="",FALSE,ISNUMBER(VALUE(Metadata!J414))),Metadata!J414&gt;0))</f>
        <v>0</v>
      </c>
      <c r="AE414">
        <f>AND(IF(Metadata!K414="",FALSE,TRUE),exact(Metadata!K414,"g"))</f>
        <v>0</v>
      </c>
    </row>
    <row r="415" spans="1:31">
      <c r="A415" s="5">
        <f>IF(B415=" "," ",HYPERLINK(CONCATENATE("#metadata!",ADDRESS(INDEX($Q$2:$Q$1001,MATCH(ROWS($O$2:O415),$O$2:$O$1001,0),0),1)),INDEX($T$2:$T$1001,MATCH(ROWS($O$2:O415),$O$2:$O$1001,0),0)))</f>
        <v>0</v>
      </c>
      <c r="B415" s="4">
        <f>IF(OR(INDEX($P$2:$P$1001,MATCH(ROWS($O$2:O415),$O$2:$O$1001,0),1)&gt;=100000,INDEX($V$1005:$AE$1005,1,MATCH(COLUMNS($V$1006:V1006),$V$1006:$AE$1006,0))&gt;=100000), " ",IF(INDEX($V$2:$AE$1001,MATCH(ROWS($O$2:O415),$O$2:$O$1001,0),MATCH(COLUMNS($V$1006:V1006),$V$1006:$AE$1006,0)), HYPERLINK("#",""), HYPERLINK(CONCATENATE("#Metadata!", ADDRESS(INDEX($Q$2:$Q$1001,MATCH(ROWS($O$2:O415),$O$2:$O$1001,0),0), INDEX($V$1004:$AE$1004,1,MATCH(COLUMNS($V$1006:V1006),$V$1006:$AE$1006,0)))),"Fix")))</f>
        <v>0</v>
      </c>
      <c r="C415" s="4">
        <f>IF(OR(INDEX($P$2:$P$1001,MATCH(ROWS($O$2:O415),$O$2:$O$1001,0),1)&gt;=100000,INDEX($V$1005:$AE$1005,1,MATCH(COLUMNS($V$1006:W1006),$V$1006:$AE$1006,0))&gt;=100000), " ",IF(INDEX($V$2:$AE$1001,MATCH(ROWS($O$2:O415),$O$2:$O$1001,0),MATCH(COLUMNS($V$1006:W1006),$V$1006:$AE$1006,0)), HYPERLINK("#",""), HYPERLINK(CONCATENATE("#Metadata!", ADDRESS(INDEX($Q$2:$Q$1001,MATCH(ROWS($O$2:O415),$O$2:$O$1001,0),0), INDEX($V$1004:$AE$1004,1,MATCH(COLUMNS($V$1006:W1006),$V$1006:$AE$1006,0)))),"Fix")))</f>
        <v>0</v>
      </c>
      <c r="D415" s="4">
        <f>IF(OR(INDEX($P$2:$P$1001,MATCH(ROWS($O$2:O415),$O$2:$O$1001,0),1)&gt;=100000,INDEX($V$1005:$AE$1005,1,MATCH(COLUMNS($V$1006:X1006),$V$1006:$AE$1006,0))&gt;=100000), " ",IF(INDEX($V$2:$AE$1001,MATCH(ROWS($O$2:O415),$O$2:$O$1001,0),MATCH(COLUMNS($V$1006:X1006),$V$1006:$AE$1006,0)), HYPERLINK("#",""), HYPERLINK(CONCATENATE("#Metadata!", ADDRESS(INDEX($Q$2:$Q$1001,MATCH(ROWS($O$2:O415),$O$2:$O$1001,0),0), INDEX($V$1004:$AE$1004,1,MATCH(COLUMNS($V$1006:X1006),$V$1006:$AE$1006,0)))),"Fix")))</f>
        <v>0</v>
      </c>
      <c r="E415" s="4">
        <f>IF(OR(INDEX($P$2:$P$1001,MATCH(ROWS($O$2:O415),$O$2:$O$1001,0),1)&gt;=100000,INDEX($V$1005:$AE$1005,1,MATCH(COLUMNS($V$1006:Y1006),$V$1006:$AE$1006,0))&gt;=100000), " ",IF(INDEX($V$2:$AE$1001,MATCH(ROWS($O$2:O415),$O$2:$O$1001,0),MATCH(COLUMNS($V$1006:Y1006),$V$1006:$AE$1006,0)), HYPERLINK("#",""), HYPERLINK(CONCATENATE("#Metadata!", ADDRESS(INDEX($Q$2:$Q$1001,MATCH(ROWS($O$2:O415),$O$2:$O$1001,0),0), INDEX($V$1004:$AE$1004,1,MATCH(COLUMNS($V$1006:Y1006),$V$1006:$AE$1006,0)))),"Fix")))</f>
        <v>0</v>
      </c>
      <c r="F415" s="4">
        <f>IF(OR(INDEX($P$2:$P$1001,MATCH(ROWS($O$2:O415),$O$2:$O$1001,0),1)&gt;=100000,INDEX($V$1005:$AE$1005,1,MATCH(COLUMNS($V$1006:Z1006),$V$1006:$AE$1006,0))&gt;=100000), " ",IF(INDEX($V$2:$AE$1001,MATCH(ROWS($O$2:O415),$O$2:$O$1001,0),MATCH(COLUMNS($V$1006:Z1006),$V$1006:$AE$1006,0)), HYPERLINK("#",""), HYPERLINK(CONCATENATE("#Metadata!", ADDRESS(INDEX($Q$2:$Q$1001,MATCH(ROWS($O$2:O415),$O$2:$O$1001,0),0), INDEX($V$1004:$AE$1004,1,MATCH(COLUMNS($V$1006:Z1006),$V$1006:$AE$1006,0)))),"Fix")))</f>
        <v>0</v>
      </c>
      <c r="G415" s="4">
        <f>IF(OR(INDEX($P$2:$P$1001,MATCH(ROWS($O$2:O415),$O$2:$O$1001,0),1)&gt;=100000,INDEX($V$1005:$AE$1005,1,MATCH(COLUMNS($V$1006:AA1006),$V$1006:$AE$1006,0))&gt;=100000), " ",IF(INDEX($V$2:$AE$1001,MATCH(ROWS($O$2:O415),$O$2:$O$1001,0),MATCH(COLUMNS($V$1006:AA1006),$V$1006:$AE$1006,0)), HYPERLINK("#",""), HYPERLINK(CONCATENATE("#Metadata!", ADDRESS(INDEX($Q$2:$Q$1001,MATCH(ROWS($O$2:O415),$O$2:$O$1001,0),0), INDEX($V$1004:$AE$1004,1,MATCH(COLUMNS($V$1006:AA1006),$V$1006:$AE$1006,0)))),"Fix")))</f>
        <v>0</v>
      </c>
      <c r="H415" s="4">
        <f>IF(OR(INDEX($P$2:$P$1001,MATCH(ROWS($O$2:O415),$O$2:$O$1001,0),1)&gt;=100000,INDEX($V$1005:$AE$1005,1,MATCH(COLUMNS($V$1006:AB1006),$V$1006:$AE$1006,0))&gt;=100000), " ",IF(INDEX($V$2:$AE$1001,MATCH(ROWS($O$2:O415),$O$2:$O$1001,0),MATCH(COLUMNS($V$1006:AB1006),$V$1006:$AE$1006,0)), HYPERLINK("#",""), HYPERLINK(CONCATENATE("#Metadata!", ADDRESS(INDEX($Q$2:$Q$1001,MATCH(ROWS($O$2:O415),$O$2:$O$1001,0),0), INDEX($V$1004:$AE$1004,1,MATCH(COLUMNS($V$1006:AB1006),$V$1006:$AE$1006,0)))),"Fix")))</f>
        <v>0</v>
      </c>
      <c r="I415" s="4">
        <f>IF(OR(INDEX($P$2:$P$1001,MATCH(ROWS($O$2:O415),$O$2:$O$1001,0),1)&gt;=100000,INDEX($V$1005:$AE$1005,1,MATCH(COLUMNS($V$1006:AC1006),$V$1006:$AE$1006,0))&gt;=100000), " ",IF(INDEX($V$2:$AE$1001,MATCH(ROWS($O$2:O415),$O$2:$O$1001,0),MATCH(COLUMNS($V$1006:AC1006),$V$1006:$AE$1006,0)), HYPERLINK("#",""), HYPERLINK(CONCATENATE("#Metadata!", ADDRESS(INDEX($Q$2:$Q$1001,MATCH(ROWS($O$2:O415),$O$2:$O$1001,0),0), INDEX($V$1004:$AE$1004,1,MATCH(COLUMNS($V$1006:AC1006),$V$1006:$AE$1006,0)))),"Fix")))</f>
        <v>0</v>
      </c>
      <c r="J415" s="4">
        <f>IF(OR(INDEX($P$2:$P$1001,MATCH(ROWS($O$2:O415),$O$2:$O$1001,0),1)&gt;=100000,INDEX($V$1005:$AE$1005,1,MATCH(COLUMNS($V$1006:AD1006),$V$1006:$AE$1006,0))&gt;=100000), " ",IF(INDEX($V$2:$AE$1001,MATCH(ROWS($O$2:O415),$O$2:$O$1001,0),MATCH(COLUMNS($V$1006:AD1006),$V$1006:$AE$1006,0)), HYPERLINK("#",""), HYPERLINK(CONCATENATE("#Metadata!", ADDRESS(INDEX($Q$2:$Q$1001,MATCH(ROWS($O$2:O415),$O$2:$O$1001,0),0), INDEX($V$1004:$AE$1004,1,MATCH(COLUMNS($V$1006:AD1006),$V$1006:$AE$1006,0)))),"Fix")))</f>
        <v>0</v>
      </c>
      <c r="K415" s="4">
        <f>IF(OR(INDEX($P$2:$P$1001,MATCH(ROWS($O$2:O415),$O$2:$O$1001,0),1)&gt;=100000,INDEX($V$1005:$AE$1005,1,MATCH(COLUMNS($V$1006:AE1006),$V$1006:$AE$1006,0))&gt;=100000), " ",IF(INDEX($V$2:$AE$1001,MATCH(ROWS($O$2:O415),$O$2:$O$1001,0),MATCH(COLUMNS($V$1006:AE1006),$V$1006:$AE$1006,0)), HYPERLINK("#",""), HYPERLINK(CONCATENATE("#Metadata!", ADDRESS(INDEX($Q$2:$Q$1001,MATCH(ROWS($O$2:O415),$O$2:$O$1001,0),0), INDEX($V$1004:$AE$1004,1,MATCH(COLUMNS($V$1006:AE1006),$V$1006:$AE$1006,0)))),"Fix")))</f>
        <v>0</v>
      </c>
      <c r="O415">
        <v>0</v>
      </c>
      <c r="P415">
        <v>0</v>
      </c>
      <c r="Q415">
        <v>0</v>
      </c>
      <c r="R415">
        <f>IF(S415,TRUE,AND(V415:AE415))</f>
        <v>0</v>
      </c>
      <c r="S415">
        <f>COUNTBLANK(Metadata!B415:K415)=COLUMNS(Metadata!B415:K415)</f>
        <v>0</v>
      </c>
      <c r="T415">
        <v>0</v>
      </c>
      <c r="V415">
        <f>AND(IF(Metadata!B415="",FALSE,TRUE),COUNTIF(Metadata!B:B, Metadata!B415) = 1,NOT(ISERROR(SUMPRODUCT(SEARCH(MID(Metadata!B415,ROW(INDIRECT("1:"&amp;LEN(Metadata!B415))), 1),"0123456789abcdefghijklmnopqrstuvwxyzABCDEFGHIJKLMNOPQRSTUVWXYZ.")))))</f>
        <v>0</v>
      </c>
      <c r="W415">
        <f>AND(IF(Metadata!C415="",FALSE,TRUE),exact(Metadata!C415,"urban biome"))</f>
        <v>0</v>
      </c>
      <c r="X415">
        <f>AND(IF(Metadata!D415="",FALSE,TRUE),exact(Metadata!D415,"animal-associated habitat"))</f>
        <v>0</v>
      </c>
      <c r="Y415">
        <f>OR(AND(IF(Metadata!E415="",FALSE,TRUE),OR(exact(Metadata!E415,"not applicable"),exact(Metadata!E415,"missing: not collected"),exact(Metadata!E415,"missing: not provided"),exact(Metadata!E415,"missing: restricted access"))),AND(IF(Metadata!E415="",FALSE,ISNUMBER(VALUE(Metadata!E415))),Metadata!E415&gt;0))</f>
        <v>0</v>
      </c>
      <c r="Z415">
        <f>AND(IF(Metadata!F415="",FALSE,TRUE),exact(Metadata!F415,"weeks"))</f>
        <v>0</v>
      </c>
      <c r="AA415">
        <f>AND(IF(Metadata!G415="",FALSE,TRUE),exact(Metadata!G415,"mouse"))</f>
        <v>0</v>
      </c>
      <c r="AB415">
        <f>AND(IF(Metadata!H415="",FALSE,TRUE),exact(Metadata!H415,"Mus musculus"))</f>
        <v>0</v>
      </c>
      <c r="AC415">
        <f>AND(IF(Metadata!I415="",FALSE,TRUE),exact(Metadata!I415,"10090"))</f>
        <v>0</v>
      </c>
      <c r="AD415">
        <f>OR(AND(IF(Metadata!J415="",FALSE,TRUE),OR(exact(Metadata!J415,"not applicable"),exact(Metadata!J415,"missing: not collected"),exact(Metadata!J415,"missing: not provided"),exact(Metadata!J415,"missing: restricted access"))),AND(IF(Metadata!J415="",FALSE,ISNUMBER(VALUE(Metadata!J415))),Metadata!J415&gt;0))</f>
        <v>0</v>
      </c>
      <c r="AE415">
        <f>AND(IF(Metadata!K415="",FALSE,TRUE),exact(Metadata!K415,"g"))</f>
        <v>0</v>
      </c>
    </row>
    <row r="416" spans="1:31">
      <c r="A416" s="5">
        <f>IF(B416=" "," ",HYPERLINK(CONCATENATE("#metadata!",ADDRESS(INDEX($Q$2:$Q$1001,MATCH(ROWS($O$2:O416),$O$2:$O$1001,0),0),1)),INDEX($T$2:$T$1001,MATCH(ROWS($O$2:O416),$O$2:$O$1001,0),0)))</f>
        <v>0</v>
      </c>
      <c r="B416" s="4">
        <f>IF(OR(INDEX($P$2:$P$1001,MATCH(ROWS($O$2:O416),$O$2:$O$1001,0),1)&gt;=100000,INDEX($V$1005:$AE$1005,1,MATCH(COLUMNS($V$1006:V1006),$V$1006:$AE$1006,0))&gt;=100000), " ",IF(INDEX($V$2:$AE$1001,MATCH(ROWS($O$2:O416),$O$2:$O$1001,0),MATCH(COLUMNS($V$1006:V1006),$V$1006:$AE$1006,0)), HYPERLINK("#",""), HYPERLINK(CONCATENATE("#Metadata!", ADDRESS(INDEX($Q$2:$Q$1001,MATCH(ROWS($O$2:O416),$O$2:$O$1001,0),0), INDEX($V$1004:$AE$1004,1,MATCH(COLUMNS($V$1006:V1006),$V$1006:$AE$1006,0)))),"Fix")))</f>
        <v>0</v>
      </c>
      <c r="C416" s="4">
        <f>IF(OR(INDEX($P$2:$P$1001,MATCH(ROWS($O$2:O416),$O$2:$O$1001,0),1)&gt;=100000,INDEX($V$1005:$AE$1005,1,MATCH(COLUMNS($V$1006:W1006),$V$1006:$AE$1006,0))&gt;=100000), " ",IF(INDEX($V$2:$AE$1001,MATCH(ROWS($O$2:O416),$O$2:$O$1001,0),MATCH(COLUMNS($V$1006:W1006),$V$1006:$AE$1006,0)), HYPERLINK("#",""), HYPERLINK(CONCATENATE("#Metadata!", ADDRESS(INDEX($Q$2:$Q$1001,MATCH(ROWS($O$2:O416),$O$2:$O$1001,0),0), INDEX($V$1004:$AE$1004,1,MATCH(COLUMNS($V$1006:W1006),$V$1006:$AE$1006,0)))),"Fix")))</f>
        <v>0</v>
      </c>
      <c r="D416" s="4">
        <f>IF(OR(INDEX($P$2:$P$1001,MATCH(ROWS($O$2:O416),$O$2:$O$1001,0),1)&gt;=100000,INDEX($V$1005:$AE$1005,1,MATCH(COLUMNS($V$1006:X1006),$V$1006:$AE$1006,0))&gt;=100000), " ",IF(INDEX($V$2:$AE$1001,MATCH(ROWS($O$2:O416),$O$2:$O$1001,0),MATCH(COLUMNS($V$1006:X1006),$V$1006:$AE$1006,0)), HYPERLINK("#",""), HYPERLINK(CONCATENATE("#Metadata!", ADDRESS(INDEX($Q$2:$Q$1001,MATCH(ROWS($O$2:O416),$O$2:$O$1001,0),0), INDEX($V$1004:$AE$1004,1,MATCH(COLUMNS($V$1006:X1006),$V$1006:$AE$1006,0)))),"Fix")))</f>
        <v>0</v>
      </c>
      <c r="E416" s="4">
        <f>IF(OR(INDEX($P$2:$P$1001,MATCH(ROWS($O$2:O416),$O$2:$O$1001,0),1)&gt;=100000,INDEX($V$1005:$AE$1005,1,MATCH(COLUMNS($V$1006:Y1006),$V$1006:$AE$1006,0))&gt;=100000), " ",IF(INDEX($V$2:$AE$1001,MATCH(ROWS($O$2:O416),$O$2:$O$1001,0),MATCH(COLUMNS($V$1006:Y1006),$V$1006:$AE$1006,0)), HYPERLINK("#",""), HYPERLINK(CONCATENATE("#Metadata!", ADDRESS(INDEX($Q$2:$Q$1001,MATCH(ROWS($O$2:O416),$O$2:$O$1001,0),0), INDEX($V$1004:$AE$1004,1,MATCH(COLUMNS($V$1006:Y1006),$V$1006:$AE$1006,0)))),"Fix")))</f>
        <v>0</v>
      </c>
      <c r="F416" s="4">
        <f>IF(OR(INDEX($P$2:$P$1001,MATCH(ROWS($O$2:O416),$O$2:$O$1001,0),1)&gt;=100000,INDEX($V$1005:$AE$1005,1,MATCH(COLUMNS($V$1006:Z1006),$V$1006:$AE$1006,0))&gt;=100000), " ",IF(INDEX($V$2:$AE$1001,MATCH(ROWS($O$2:O416),$O$2:$O$1001,0),MATCH(COLUMNS($V$1006:Z1006),$V$1006:$AE$1006,0)), HYPERLINK("#",""), HYPERLINK(CONCATENATE("#Metadata!", ADDRESS(INDEX($Q$2:$Q$1001,MATCH(ROWS($O$2:O416),$O$2:$O$1001,0),0), INDEX($V$1004:$AE$1004,1,MATCH(COLUMNS($V$1006:Z1006),$V$1006:$AE$1006,0)))),"Fix")))</f>
        <v>0</v>
      </c>
      <c r="G416" s="4">
        <f>IF(OR(INDEX($P$2:$P$1001,MATCH(ROWS($O$2:O416),$O$2:$O$1001,0),1)&gt;=100000,INDEX($V$1005:$AE$1005,1,MATCH(COLUMNS($V$1006:AA1006),$V$1006:$AE$1006,0))&gt;=100000), " ",IF(INDEX($V$2:$AE$1001,MATCH(ROWS($O$2:O416),$O$2:$O$1001,0),MATCH(COLUMNS($V$1006:AA1006),$V$1006:$AE$1006,0)), HYPERLINK("#",""), HYPERLINK(CONCATENATE("#Metadata!", ADDRESS(INDEX($Q$2:$Q$1001,MATCH(ROWS($O$2:O416),$O$2:$O$1001,0),0), INDEX($V$1004:$AE$1004,1,MATCH(COLUMNS($V$1006:AA1006),$V$1006:$AE$1006,0)))),"Fix")))</f>
        <v>0</v>
      </c>
      <c r="H416" s="4">
        <f>IF(OR(INDEX($P$2:$P$1001,MATCH(ROWS($O$2:O416),$O$2:$O$1001,0),1)&gt;=100000,INDEX($V$1005:$AE$1005,1,MATCH(COLUMNS($V$1006:AB1006),$V$1006:$AE$1006,0))&gt;=100000), " ",IF(INDEX($V$2:$AE$1001,MATCH(ROWS($O$2:O416),$O$2:$O$1001,0),MATCH(COLUMNS($V$1006:AB1006),$V$1006:$AE$1006,0)), HYPERLINK("#",""), HYPERLINK(CONCATENATE("#Metadata!", ADDRESS(INDEX($Q$2:$Q$1001,MATCH(ROWS($O$2:O416),$O$2:$O$1001,0),0), INDEX($V$1004:$AE$1004,1,MATCH(COLUMNS($V$1006:AB1006),$V$1006:$AE$1006,0)))),"Fix")))</f>
        <v>0</v>
      </c>
      <c r="I416" s="4">
        <f>IF(OR(INDEX($P$2:$P$1001,MATCH(ROWS($O$2:O416),$O$2:$O$1001,0),1)&gt;=100000,INDEX($V$1005:$AE$1005,1,MATCH(COLUMNS($V$1006:AC1006),$V$1006:$AE$1006,0))&gt;=100000), " ",IF(INDEX($V$2:$AE$1001,MATCH(ROWS($O$2:O416),$O$2:$O$1001,0),MATCH(COLUMNS($V$1006:AC1006),$V$1006:$AE$1006,0)), HYPERLINK("#",""), HYPERLINK(CONCATENATE("#Metadata!", ADDRESS(INDEX($Q$2:$Q$1001,MATCH(ROWS($O$2:O416),$O$2:$O$1001,0),0), INDEX($V$1004:$AE$1004,1,MATCH(COLUMNS($V$1006:AC1006),$V$1006:$AE$1006,0)))),"Fix")))</f>
        <v>0</v>
      </c>
      <c r="J416" s="4">
        <f>IF(OR(INDEX($P$2:$P$1001,MATCH(ROWS($O$2:O416),$O$2:$O$1001,0),1)&gt;=100000,INDEX($V$1005:$AE$1005,1,MATCH(COLUMNS($V$1006:AD1006),$V$1006:$AE$1006,0))&gt;=100000), " ",IF(INDEX($V$2:$AE$1001,MATCH(ROWS($O$2:O416),$O$2:$O$1001,0),MATCH(COLUMNS($V$1006:AD1006),$V$1006:$AE$1006,0)), HYPERLINK("#",""), HYPERLINK(CONCATENATE("#Metadata!", ADDRESS(INDEX($Q$2:$Q$1001,MATCH(ROWS($O$2:O416),$O$2:$O$1001,0),0), INDEX($V$1004:$AE$1004,1,MATCH(COLUMNS($V$1006:AD1006),$V$1006:$AE$1006,0)))),"Fix")))</f>
        <v>0</v>
      </c>
      <c r="K416" s="4">
        <f>IF(OR(INDEX($P$2:$P$1001,MATCH(ROWS($O$2:O416),$O$2:$O$1001,0),1)&gt;=100000,INDEX($V$1005:$AE$1005,1,MATCH(COLUMNS($V$1006:AE1006),$V$1006:$AE$1006,0))&gt;=100000), " ",IF(INDEX($V$2:$AE$1001,MATCH(ROWS($O$2:O416),$O$2:$O$1001,0),MATCH(COLUMNS($V$1006:AE1006),$V$1006:$AE$1006,0)), HYPERLINK("#",""), HYPERLINK(CONCATENATE("#Metadata!", ADDRESS(INDEX($Q$2:$Q$1001,MATCH(ROWS($O$2:O416),$O$2:$O$1001,0),0), INDEX($V$1004:$AE$1004,1,MATCH(COLUMNS($V$1006:AE1006),$V$1006:$AE$1006,0)))),"Fix")))</f>
        <v>0</v>
      </c>
      <c r="O416">
        <v>0</v>
      </c>
      <c r="P416">
        <v>0</v>
      </c>
      <c r="Q416">
        <v>0</v>
      </c>
      <c r="R416">
        <f>IF(S416,TRUE,AND(V416:AE416))</f>
        <v>0</v>
      </c>
      <c r="S416">
        <f>COUNTBLANK(Metadata!B416:K416)=COLUMNS(Metadata!B416:K416)</f>
        <v>0</v>
      </c>
      <c r="T416">
        <v>0</v>
      </c>
      <c r="V416">
        <f>AND(IF(Metadata!B416="",FALSE,TRUE),COUNTIF(Metadata!B:B, Metadata!B416) = 1,NOT(ISERROR(SUMPRODUCT(SEARCH(MID(Metadata!B416,ROW(INDIRECT("1:"&amp;LEN(Metadata!B416))), 1),"0123456789abcdefghijklmnopqrstuvwxyzABCDEFGHIJKLMNOPQRSTUVWXYZ.")))))</f>
        <v>0</v>
      </c>
      <c r="W416">
        <f>AND(IF(Metadata!C416="",FALSE,TRUE),exact(Metadata!C416,"urban biome"))</f>
        <v>0</v>
      </c>
      <c r="X416">
        <f>AND(IF(Metadata!D416="",FALSE,TRUE),exact(Metadata!D416,"animal-associated habitat"))</f>
        <v>0</v>
      </c>
      <c r="Y416">
        <f>OR(AND(IF(Metadata!E416="",FALSE,TRUE),OR(exact(Metadata!E416,"not applicable"),exact(Metadata!E416,"missing: not collected"),exact(Metadata!E416,"missing: not provided"),exact(Metadata!E416,"missing: restricted access"))),AND(IF(Metadata!E416="",FALSE,ISNUMBER(VALUE(Metadata!E416))),Metadata!E416&gt;0))</f>
        <v>0</v>
      </c>
      <c r="Z416">
        <f>AND(IF(Metadata!F416="",FALSE,TRUE),exact(Metadata!F416,"weeks"))</f>
        <v>0</v>
      </c>
      <c r="AA416">
        <f>AND(IF(Metadata!G416="",FALSE,TRUE),exact(Metadata!G416,"mouse"))</f>
        <v>0</v>
      </c>
      <c r="AB416">
        <f>AND(IF(Metadata!H416="",FALSE,TRUE),exact(Metadata!H416,"Mus musculus"))</f>
        <v>0</v>
      </c>
      <c r="AC416">
        <f>AND(IF(Metadata!I416="",FALSE,TRUE),exact(Metadata!I416,"10090"))</f>
        <v>0</v>
      </c>
      <c r="AD416">
        <f>OR(AND(IF(Metadata!J416="",FALSE,TRUE),OR(exact(Metadata!J416,"not applicable"),exact(Metadata!J416,"missing: not collected"),exact(Metadata!J416,"missing: not provided"),exact(Metadata!J416,"missing: restricted access"))),AND(IF(Metadata!J416="",FALSE,ISNUMBER(VALUE(Metadata!J416))),Metadata!J416&gt;0))</f>
        <v>0</v>
      </c>
      <c r="AE416">
        <f>AND(IF(Metadata!K416="",FALSE,TRUE),exact(Metadata!K416,"g"))</f>
        <v>0</v>
      </c>
    </row>
    <row r="417" spans="1:31">
      <c r="A417" s="5">
        <f>IF(B417=" "," ",HYPERLINK(CONCATENATE("#metadata!",ADDRESS(INDEX($Q$2:$Q$1001,MATCH(ROWS($O$2:O417),$O$2:$O$1001,0),0),1)),INDEX($T$2:$T$1001,MATCH(ROWS($O$2:O417),$O$2:$O$1001,0),0)))</f>
        <v>0</v>
      </c>
      <c r="B417" s="4">
        <f>IF(OR(INDEX($P$2:$P$1001,MATCH(ROWS($O$2:O417),$O$2:$O$1001,0),1)&gt;=100000,INDEX($V$1005:$AE$1005,1,MATCH(COLUMNS($V$1006:V1006),$V$1006:$AE$1006,0))&gt;=100000), " ",IF(INDEX($V$2:$AE$1001,MATCH(ROWS($O$2:O417),$O$2:$O$1001,0),MATCH(COLUMNS($V$1006:V1006),$V$1006:$AE$1006,0)), HYPERLINK("#",""), HYPERLINK(CONCATENATE("#Metadata!", ADDRESS(INDEX($Q$2:$Q$1001,MATCH(ROWS($O$2:O417),$O$2:$O$1001,0),0), INDEX($V$1004:$AE$1004,1,MATCH(COLUMNS($V$1006:V1006),$V$1006:$AE$1006,0)))),"Fix")))</f>
        <v>0</v>
      </c>
      <c r="C417" s="4">
        <f>IF(OR(INDEX($P$2:$P$1001,MATCH(ROWS($O$2:O417),$O$2:$O$1001,0),1)&gt;=100000,INDEX($V$1005:$AE$1005,1,MATCH(COLUMNS($V$1006:W1006),$V$1006:$AE$1006,0))&gt;=100000), " ",IF(INDEX($V$2:$AE$1001,MATCH(ROWS($O$2:O417),$O$2:$O$1001,0),MATCH(COLUMNS($V$1006:W1006),$V$1006:$AE$1006,0)), HYPERLINK("#",""), HYPERLINK(CONCATENATE("#Metadata!", ADDRESS(INDEX($Q$2:$Q$1001,MATCH(ROWS($O$2:O417),$O$2:$O$1001,0),0), INDEX($V$1004:$AE$1004,1,MATCH(COLUMNS($V$1006:W1006),$V$1006:$AE$1006,0)))),"Fix")))</f>
        <v>0</v>
      </c>
      <c r="D417" s="4">
        <f>IF(OR(INDEX($P$2:$P$1001,MATCH(ROWS($O$2:O417),$O$2:$O$1001,0),1)&gt;=100000,INDEX($V$1005:$AE$1005,1,MATCH(COLUMNS($V$1006:X1006),$V$1006:$AE$1006,0))&gt;=100000), " ",IF(INDEX($V$2:$AE$1001,MATCH(ROWS($O$2:O417),$O$2:$O$1001,0),MATCH(COLUMNS($V$1006:X1006),$V$1006:$AE$1006,0)), HYPERLINK("#",""), HYPERLINK(CONCATENATE("#Metadata!", ADDRESS(INDEX($Q$2:$Q$1001,MATCH(ROWS($O$2:O417),$O$2:$O$1001,0),0), INDEX($V$1004:$AE$1004,1,MATCH(COLUMNS($V$1006:X1006),$V$1006:$AE$1006,0)))),"Fix")))</f>
        <v>0</v>
      </c>
      <c r="E417" s="4">
        <f>IF(OR(INDEX($P$2:$P$1001,MATCH(ROWS($O$2:O417),$O$2:$O$1001,0),1)&gt;=100000,INDEX($V$1005:$AE$1005,1,MATCH(COLUMNS($V$1006:Y1006),$V$1006:$AE$1006,0))&gt;=100000), " ",IF(INDEX($V$2:$AE$1001,MATCH(ROWS($O$2:O417),$O$2:$O$1001,0),MATCH(COLUMNS($V$1006:Y1006),$V$1006:$AE$1006,0)), HYPERLINK("#",""), HYPERLINK(CONCATENATE("#Metadata!", ADDRESS(INDEX($Q$2:$Q$1001,MATCH(ROWS($O$2:O417),$O$2:$O$1001,0),0), INDEX($V$1004:$AE$1004,1,MATCH(COLUMNS($V$1006:Y1006),$V$1006:$AE$1006,0)))),"Fix")))</f>
        <v>0</v>
      </c>
      <c r="F417" s="4">
        <f>IF(OR(INDEX($P$2:$P$1001,MATCH(ROWS($O$2:O417),$O$2:$O$1001,0),1)&gt;=100000,INDEX($V$1005:$AE$1005,1,MATCH(COLUMNS($V$1006:Z1006),$V$1006:$AE$1006,0))&gt;=100000), " ",IF(INDEX($V$2:$AE$1001,MATCH(ROWS($O$2:O417),$O$2:$O$1001,0),MATCH(COLUMNS($V$1006:Z1006),$V$1006:$AE$1006,0)), HYPERLINK("#",""), HYPERLINK(CONCATENATE("#Metadata!", ADDRESS(INDEX($Q$2:$Q$1001,MATCH(ROWS($O$2:O417),$O$2:$O$1001,0),0), INDEX($V$1004:$AE$1004,1,MATCH(COLUMNS($V$1006:Z1006),$V$1006:$AE$1006,0)))),"Fix")))</f>
        <v>0</v>
      </c>
      <c r="G417" s="4">
        <f>IF(OR(INDEX($P$2:$P$1001,MATCH(ROWS($O$2:O417),$O$2:$O$1001,0),1)&gt;=100000,INDEX($V$1005:$AE$1005,1,MATCH(COLUMNS($V$1006:AA1006),$V$1006:$AE$1006,0))&gt;=100000), " ",IF(INDEX($V$2:$AE$1001,MATCH(ROWS($O$2:O417),$O$2:$O$1001,0),MATCH(COLUMNS($V$1006:AA1006),$V$1006:$AE$1006,0)), HYPERLINK("#",""), HYPERLINK(CONCATENATE("#Metadata!", ADDRESS(INDEX($Q$2:$Q$1001,MATCH(ROWS($O$2:O417),$O$2:$O$1001,0),0), INDEX($V$1004:$AE$1004,1,MATCH(COLUMNS($V$1006:AA1006),$V$1006:$AE$1006,0)))),"Fix")))</f>
        <v>0</v>
      </c>
      <c r="H417" s="4">
        <f>IF(OR(INDEX($P$2:$P$1001,MATCH(ROWS($O$2:O417),$O$2:$O$1001,0),1)&gt;=100000,INDEX($V$1005:$AE$1005,1,MATCH(COLUMNS($V$1006:AB1006),$V$1006:$AE$1006,0))&gt;=100000), " ",IF(INDEX($V$2:$AE$1001,MATCH(ROWS($O$2:O417),$O$2:$O$1001,0),MATCH(COLUMNS($V$1006:AB1006),$V$1006:$AE$1006,0)), HYPERLINK("#",""), HYPERLINK(CONCATENATE("#Metadata!", ADDRESS(INDEX($Q$2:$Q$1001,MATCH(ROWS($O$2:O417),$O$2:$O$1001,0),0), INDEX($V$1004:$AE$1004,1,MATCH(COLUMNS($V$1006:AB1006),$V$1006:$AE$1006,0)))),"Fix")))</f>
        <v>0</v>
      </c>
      <c r="I417" s="4">
        <f>IF(OR(INDEX($P$2:$P$1001,MATCH(ROWS($O$2:O417),$O$2:$O$1001,0),1)&gt;=100000,INDEX($V$1005:$AE$1005,1,MATCH(COLUMNS($V$1006:AC1006),$V$1006:$AE$1006,0))&gt;=100000), " ",IF(INDEX($V$2:$AE$1001,MATCH(ROWS($O$2:O417),$O$2:$O$1001,0),MATCH(COLUMNS($V$1006:AC1006),$V$1006:$AE$1006,0)), HYPERLINK("#",""), HYPERLINK(CONCATENATE("#Metadata!", ADDRESS(INDEX($Q$2:$Q$1001,MATCH(ROWS($O$2:O417),$O$2:$O$1001,0),0), INDEX($V$1004:$AE$1004,1,MATCH(COLUMNS($V$1006:AC1006),$V$1006:$AE$1006,0)))),"Fix")))</f>
        <v>0</v>
      </c>
      <c r="J417" s="4">
        <f>IF(OR(INDEX($P$2:$P$1001,MATCH(ROWS($O$2:O417),$O$2:$O$1001,0),1)&gt;=100000,INDEX($V$1005:$AE$1005,1,MATCH(COLUMNS($V$1006:AD1006),$V$1006:$AE$1006,0))&gt;=100000), " ",IF(INDEX($V$2:$AE$1001,MATCH(ROWS($O$2:O417),$O$2:$O$1001,0),MATCH(COLUMNS($V$1006:AD1006),$V$1006:$AE$1006,0)), HYPERLINK("#",""), HYPERLINK(CONCATENATE("#Metadata!", ADDRESS(INDEX($Q$2:$Q$1001,MATCH(ROWS($O$2:O417),$O$2:$O$1001,0),0), INDEX($V$1004:$AE$1004,1,MATCH(COLUMNS($V$1006:AD1006),$V$1006:$AE$1006,0)))),"Fix")))</f>
        <v>0</v>
      </c>
      <c r="K417" s="4">
        <f>IF(OR(INDEX($P$2:$P$1001,MATCH(ROWS($O$2:O417),$O$2:$O$1001,0),1)&gt;=100000,INDEX($V$1005:$AE$1005,1,MATCH(COLUMNS($V$1006:AE1006),$V$1006:$AE$1006,0))&gt;=100000), " ",IF(INDEX($V$2:$AE$1001,MATCH(ROWS($O$2:O417),$O$2:$O$1001,0),MATCH(COLUMNS($V$1006:AE1006),$V$1006:$AE$1006,0)), HYPERLINK("#",""), HYPERLINK(CONCATENATE("#Metadata!", ADDRESS(INDEX($Q$2:$Q$1001,MATCH(ROWS($O$2:O417),$O$2:$O$1001,0),0), INDEX($V$1004:$AE$1004,1,MATCH(COLUMNS($V$1006:AE1006),$V$1006:$AE$1006,0)))),"Fix")))</f>
        <v>0</v>
      </c>
      <c r="O417">
        <v>0</v>
      </c>
      <c r="P417">
        <v>0</v>
      </c>
      <c r="Q417">
        <v>0</v>
      </c>
      <c r="R417">
        <f>IF(S417,TRUE,AND(V417:AE417))</f>
        <v>0</v>
      </c>
      <c r="S417">
        <f>COUNTBLANK(Metadata!B417:K417)=COLUMNS(Metadata!B417:K417)</f>
        <v>0</v>
      </c>
      <c r="T417">
        <v>0</v>
      </c>
      <c r="V417">
        <f>AND(IF(Metadata!B417="",FALSE,TRUE),COUNTIF(Metadata!B:B, Metadata!B417) = 1,NOT(ISERROR(SUMPRODUCT(SEARCH(MID(Metadata!B417,ROW(INDIRECT("1:"&amp;LEN(Metadata!B417))), 1),"0123456789abcdefghijklmnopqrstuvwxyzABCDEFGHIJKLMNOPQRSTUVWXYZ.")))))</f>
        <v>0</v>
      </c>
      <c r="W417">
        <f>AND(IF(Metadata!C417="",FALSE,TRUE),exact(Metadata!C417,"urban biome"))</f>
        <v>0</v>
      </c>
      <c r="X417">
        <f>AND(IF(Metadata!D417="",FALSE,TRUE),exact(Metadata!D417,"animal-associated habitat"))</f>
        <v>0</v>
      </c>
      <c r="Y417">
        <f>OR(AND(IF(Metadata!E417="",FALSE,TRUE),OR(exact(Metadata!E417,"not applicable"),exact(Metadata!E417,"missing: not collected"),exact(Metadata!E417,"missing: not provided"),exact(Metadata!E417,"missing: restricted access"))),AND(IF(Metadata!E417="",FALSE,ISNUMBER(VALUE(Metadata!E417))),Metadata!E417&gt;0))</f>
        <v>0</v>
      </c>
      <c r="Z417">
        <f>AND(IF(Metadata!F417="",FALSE,TRUE),exact(Metadata!F417,"weeks"))</f>
        <v>0</v>
      </c>
      <c r="AA417">
        <f>AND(IF(Metadata!G417="",FALSE,TRUE),exact(Metadata!G417,"mouse"))</f>
        <v>0</v>
      </c>
      <c r="AB417">
        <f>AND(IF(Metadata!H417="",FALSE,TRUE),exact(Metadata!H417,"Mus musculus"))</f>
        <v>0</v>
      </c>
      <c r="AC417">
        <f>AND(IF(Metadata!I417="",FALSE,TRUE),exact(Metadata!I417,"10090"))</f>
        <v>0</v>
      </c>
      <c r="AD417">
        <f>OR(AND(IF(Metadata!J417="",FALSE,TRUE),OR(exact(Metadata!J417,"not applicable"),exact(Metadata!J417,"missing: not collected"),exact(Metadata!J417,"missing: not provided"),exact(Metadata!J417,"missing: restricted access"))),AND(IF(Metadata!J417="",FALSE,ISNUMBER(VALUE(Metadata!J417))),Metadata!J417&gt;0))</f>
        <v>0</v>
      </c>
      <c r="AE417">
        <f>AND(IF(Metadata!K417="",FALSE,TRUE),exact(Metadata!K417,"g"))</f>
        <v>0</v>
      </c>
    </row>
    <row r="418" spans="1:31">
      <c r="A418" s="5">
        <f>IF(B418=" "," ",HYPERLINK(CONCATENATE("#metadata!",ADDRESS(INDEX($Q$2:$Q$1001,MATCH(ROWS($O$2:O418),$O$2:$O$1001,0),0),1)),INDEX($T$2:$T$1001,MATCH(ROWS($O$2:O418),$O$2:$O$1001,0),0)))</f>
        <v>0</v>
      </c>
      <c r="B418" s="4">
        <f>IF(OR(INDEX($P$2:$P$1001,MATCH(ROWS($O$2:O418),$O$2:$O$1001,0),1)&gt;=100000,INDEX($V$1005:$AE$1005,1,MATCH(COLUMNS($V$1006:V1006),$V$1006:$AE$1006,0))&gt;=100000), " ",IF(INDEX($V$2:$AE$1001,MATCH(ROWS($O$2:O418),$O$2:$O$1001,0),MATCH(COLUMNS($V$1006:V1006),$V$1006:$AE$1006,0)), HYPERLINK("#",""), HYPERLINK(CONCATENATE("#Metadata!", ADDRESS(INDEX($Q$2:$Q$1001,MATCH(ROWS($O$2:O418),$O$2:$O$1001,0),0), INDEX($V$1004:$AE$1004,1,MATCH(COLUMNS($V$1006:V1006),$V$1006:$AE$1006,0)))),"Fix")))</f>
        <v>0</v>
      </c>
      <c r="C418" s="4">
        <f>IF(OR(INDEX($P$2:$P$1001,MATCH(ROWS($O$2:O418),$O$2:$O$1001,0),1)&gt;=100000,INDEX($V$1005:$AE$1005,1,MATCH(COLUMNS($V$1006:W1006),$V$1006:$AE$1006,0))&gt;=100000), " ",IF(INDEX($V$2:$AE$1001,MATCH(ROWS($O$2:O418),$O$2:$O$1001,0),MATCH(COLUMNS($V$1006:W1006),$V$1006:$AE$1006,0)), HYPERLINK("#",""), HYPERLINK(CONCATENATE("#Metadata!", ADDRESS(INDEX($Q$2:$Q$1001,MATCH(ROWS($O$2:O418),$O$2:$O$1001,0),0), INDEX($V$1004:$AE$1004,1,MATCH(COLUMNS($V$1006:W1006),$V$1006:$AE$1006,0)))),"Fix")))</f>
        <v>0</v>
      </c>
      <c r="D418" s="4">
        <f>IF(OR(INDEX($P$2:$P$1001,MATCH(ROWS($O$2:O418),$O$2:$O$1001,0),1)&gt;=100000,INDEX($V$1005:$AE$1005,1,MATCH(COLUMNS($V$1006:X1006),$V$1006:$AE$1006,0))&gt;=100000), " ",IF(INDEX($V$2:$AE$1001,MATCH(ROWS($O$2:O418),$O$2:$O$1001,0),MATCH(COLUMNS($V$1006:X1006),$V$1006:$AE$1006,0)), HYPERLINK("#",""), HYPERLINK(CONCATENATE("#Metadata!", ADDRESS(INDEX($Q$2:$Q$1001,MATCH(ROWS($O$2:O418),$O$2:$O$1001,0),0), INDEX($V$1004:$AE$1004,1,MATCH(COLUMNS($V$1006:X1006),$V$1006:$AE$1006,0)))),"Fix")))</f>
        <v>0</v>
      </c>
      <c r="E418" s="4">
        <f>IF(OR(INDEX($P$2:$P$1001,MATCH(ROWS($O$2:O418),$O$2:$O$1001,0),1)&gt;=100000,INDEX($V$1005:$AE$1005,1,MATCH(COLUMNS($V$1006:Y1006),$V$1006:$AE$1006,0))&gt;=100000), " ",IF(INDEX($V$2:$AE$1001,MATCH(ROWS($O$2:O418),$O$2:$O$1001,0),MATCH(COLUMNS($V$1006:Y1006),$V$1006:$AE$1006,0)), HYPERLINK("#",""), HYPERLINK(CONCATENATE("#Metadata!", ADDRESS(INDEX($Q$2:$Q$1001,MATCH(ROWS($O$2:O418),$O$2:$O$1001,0),0), INDEX($V$1004:$AE$1004,1,MATCH(COLUMNS($V$1006:Y1006),$V$1006:$AE$1006,0)))),"Fix")))</f>
        <v>0</v>
      </c>
      <c r="F418" s="4">
        <f>IF(OR(INDEX($P$2:$P$1001,MATCH(ROWS($O$2:O418),$O$2:$O$1001,0),1)&gt;=100000,INDEX($V$1005:$AE$1005,1,MATCH(COLUMNS($V$1006:Z1006),$V$1006:$AE$1006,0))&gt;=100000), " ",IF(INDEX($V$2:$AE$1001,MATCH(ROWS($O$2:O418),$O$2:$O$1001,0),MATCH(COLUMNS($V$1006:Z1006),$V$1006:$AE$1006,0)), HYPERLINK("#",""), HYPERLINK(CONCATENATE("#Metadata!", ADDRESS(INDEX($Q$2:$Q$1001,MATCH(ROWS($O$2:O418),$O$2:$O$1001,0),0), INDEX($V$1004:$AE$1004,1,MATCH(COLUMNS($V$1006:Z1006),$V$1006:$AE$1006,0)))),"Fix")))</f>
        <v>0</v>
      </c>
      <c r="G418" s="4">
        <f>IF(OR(INDEX($P$2:$P$1001,MATCH(ROWS($O$2:O418),$O$2:$O$1001,0),1)&gt;=100000,INDEX($V$1005:$AE$1005,1,MATCH(COLUMNS($V$1006:AA1006),$V$1006:$AE$1006,0))&gt;=100000), " ",IF(INDEX($V$2:$AE$1001,MATCH(ROWS($O$2:O418),$O$2:$O$1001,0),MATCH(COLUMNS($V$1006:AA1006),$V$1006:$AE$1006,0)), HYPERLINK("#",""), HYPERLINK(CONCATENATE("#Metadata!", ADDRESS(INDEX($Q$2:$Q$1001,MATCH(ROWS($O$2:O418),$O$2:$O$1001,0),0), INDEX($V$1004:$AE$1004,1,MATCH(COLUMNS($V$1006:AA1006),$V$1006:$AE$1006,0)))),"Fix")))</f>
        <v>0</v>
      </c>
      <c r="H418" s="4">
        <f>IF(OR(INDEX($P$2:$P$1001,MATCH(ROWS($O$2:O418),$O$2:$O$1001,0),1)&gt;=100000,INDEX($V$1005:$AE$1005,1,MATCH(COLUMNS($V$1006:AB1006),$V$1006:$AE$1006,0))&gt;=100000), " ",IF(INDEX($V$2:$AE$1001,MATCH(ROWS($O$2:O418),$O$2:$O$1001,0),MATCH(COLUMNS($V$1006:AB1006),$V$1006:$AE$1006,0)), HYPERLINK("#",""), HYPERLINK(CONCATENATE("#Metadata!", ADDRESS(INDEX($Q$2:$Q$1001,MATCH(ROWS($O$2:O418),$O$2:$O$1001,0),0), INDEX($V$1004:$AE$1004,1,MATCH(COLUMNS($V$1006:AB1006),$V$1006:$AE$1006,0)))),"Fix")))</f>
        <v>0</v>
      </c>
      <c r="I418" s="4">
        <f>IF(OR(INDEX($P$2:$P$1001,MATCH(ROWS($O$2:O418),$O$2:$O$1001,0),1)&gt;=100000,INDEX($V$1005:$AE$1005,1,MATCH(COLUMNS($V$1006:AC1006),$V$1006:$AE$1006,0))&gt;=100000), " ",IF(INDEX($V$2:$AE$1001,MATCH(ROWS($O$2:O418),$O$2:$O$1001,0),MATCH(COLUMNS($V$1006:AC1006),$V$1006:$AE$1006,0)), HYPERLINK("#",""), HYPERLINK(CONCATENATE("#Metadata!", ADDRESS(INDEX($Q$2:$Q$1001,MATCH(ROWS($O$2:O418),$O$2:$O$1001,0),0), INDEX($V$1004:$AE$1004,1,MATCH(COLUMNS($V$1006:AC1006),$V$1006:$AE$1006,0)))),"Fix")))</f>
        <v>0</v>
      </c>
      <c r="J418" s="4">
        <f>IF(OR(INDEX($P$2:$P$1001,MATCH(ROWS($O$2:O418),$O$2:$O$1001,0),1)&gt;=100000,INDEX($V$1005:$AE$1005,1,MATCH(COLUMNS($V$1006:AD1006),$V$1006:$AE$1006,0))&gt;=100000), " ",IF(INDEX($V$2:$AE$1001,MATCH(ROWS($O$2:O418),$O$2:$O$1001,0),MATCH(COLUMNS($V$1006:AD1006),$V$1006:$AE$1006,0)), HYPERLINK("#",""), HYPERLINK(CONCATENATE("#Metadata!", ADDRESS(INDEX($Q$2:$Q$1001,MATCH(ROWS($O$2:O418),$O$2:$O$1001,0),0), INDEX($V$1004:$AE$1004,1,MATCH(COLUMNS($V$1006:AD1006),$V$1006:$AE$1006,0)))),"Fix")))</f>
        <v>0</v>
      </c>
      <c r="K418" s="4">
        <f>IF(OR(INDEX($P$2:$P$1001,MATCH(ROWS($O$2:O418),$O$2:$O$1001,0),1)&gt;=100000,INDEX($V$1005:$AE$1005,1,MATCH(COLUMNS($V$1006:AE1006),$V$1006:$AE$1006,0))&gt;=100000), " ",IF(INDEX($V$2:$AE$1001,MATCH(ROWS($O$2:O418),$O$2:$O$1001,0),MATCH(COLUMNS($V$1006:AE1006),$V$1006:$AE$1006,0)), HYPERLINK("#",""), HYPERLINK(CONCATENATE("#Metadata!", ADDRESS(INDEX($Q$2:$Q$1001,MATCH(ROWS($O$2:O418),$O$2:$O$1001,0),0), INDEX($V$1004:$AE$1004,1,MATCH(COLUMNS($V$1006:AE1006),$V$1006:$AE$1006,0)))),"Fix")))</f>
        <v>0</v>
      </c>
      <c r="O418">
        <v>0</v>
      </c>
      <c r="P418">
        <v>0</v>
      </c>
      <c r="Q418">
        <v>0</v>
      </c>
      <c r="R418">
        <f>IF(S418,TRUE,AND(V418:AE418))</f>
        <v>0</v>
      </c>
      <c r="S418">
        <f>COUNTBLANK(Metadata!B418:K418)=COLUMNS(Metadata!B418:K418)</f>
        <v>0</v>
      </c>
      <c r="T418">
        <v>0</v>
      </c>
      <c r="V418">
        <f>AND(IF(Metadata!B418="",FALSE,TRUE),COUNTIF(Metadata!B:B, Metadata!B418) = 1,NOT(ISERROR(SUMPRODUCT(SEARCH(MID(Metadata!B418,ROW(INDIRECT("1:"&amp;LEN(Metadata!B418))), 1),"0123456789abcdefghijklmnopqrstuvwxyzABCDEFGHIJKLMNOPQRSTUVWXYZ.")))))</f>
        <v>0</v>
      </c>
      <c r="W418">
        <f>AND(IF(Metadata!C418="",FALSE,TRUE),exact(Metadata!C418,"urban biome"))</f>
        <v>0</v>
      </c>
      <c r="X418">
        <f>AND(IF(Metadata!D418="",FALSE,TRUE),exact(Metadata!D418,"animal-associated habitat"))</f>
        <v>0</v>
      </c>
      <c r="Y418">
        <f>OR(AND(IF(Metadata!E418="",FALSE,TRUE),OR(exact(Metadata!E418,"not applicable"),exact(Metadata!E418,"missing: not collected"),exact(Metadata!E418,"missing: not provided"),exact(Metadata!E418,"missing: restricted access"))),AND(IF(Metadata!E418="",FALSE,ISNUMBER(VALUE(Metadata!E418))),Metadata!E418&gt;0))</f>
        <v>0</v>
      </c>
      <c r="Z418">
        <f>AND(IF(Metadata!F418="",FALSE,TRUE),exact(Metadata!F418,"weeks"))</f>
        <v>0</v>
      </c>
      <c r="AA418">
        <f>AND(IF(Metadata!G418="",FALSE,TRUE),exact(Metadata!G418,"mouse"))</f>
        <v>0</v>
      </c>
      <c r="AB418">
        <f>AND(IF(Metadata!H418="",FALSE,TRUE),exact(Metadata!H418,"Mus musculus"))</f>
        <v>0</v>
      </c>
      <c r="AC418">
        <f>AND(IF(Metadata!I418="",FALSE,TRUE),exact(Metadata!I418,"10090"))</f>
        <v>0</v>
      </c>
      <c r="AD418">
        <f>OR(AND(IF(Metadata!J418="",FALSE,TRUE),OR(exact(Metadata!J418,"not applicable"),exact(Metadata!J418,"missing: not collected"),exact(Metadata!J418,"missing: not provided"),exact(Metadata!J418,"missing: restricted access"))),AND(IF(Metadata!J418="",FALSE,ISNUMBER(VALUE(Metadata!J418))),Metadata!J418&gt;0))</f>
        <v>0</v>
      </c>
      <c r="AE418">
        <f>AND(IF(Metadata!K418="",FALSE,TRUE),exact(Metadata!K418,"g"))</f>
        <v>0</v>
      </c>
    </row>
    <row r="419" spans="1:31">
      <c r="A419" s="5">
        <f>IF(B419=" "," ",HYPERLINK(CONCATENATE("#metadata!",ADDRESS(INDEX($Q$2:$Q$1001,MATCH(ROWS($O$2:O419),$O$2:$O$1001,0),0),1)),INDEX($T$2:$T$1001,MATCH(ROWS($O$2:O419),$O$2:$O$1001,0),0)))</f>
        <v>0</v>
      </c>
      <c r="B419" s="4">
        <f>IF(OR(INDEX($P$2:$P$1001,MATCH(ROWS($O$2:O419),$O$2:$O$1001,0),1)&gt;=100000,INDEX($V$1005:$AE$1005,1,MATCH(COLUMNS($V$1006:V1006),$V$1006:$AE$1006,0))&gt;=100000), " ",IF(INDEX($V$2:$AE$1001,MATCH(ROWS($O$2:O419),$O$2:$O$1001,0),MATCH(COLUMNS($V$1006:V1006),$V$1006:$AE$1006,0)), HYPERLINK("#",""), HYPERLINK(CONCATENATE("#Metadata!", ADDRESS(INDEX($Q$2:$Q$1001,MATCH(ROWS($O$2:O419),$O$2:$O$1001,0),0), INDEX($V$1004:$AE$1004,1,MATCH(COLUMNS($V$1006:V1006),$V$1006:$AE$1006,0)))),"Fix")))</f>
        <v>0</v>
      </c>
      <c r="C419" s="4">
        <f>IF(OR(INDEX($P$2:$P$1001,MATCH(ROWS($O$2:O419),$O$2:$O$1001,0),1)&gt;=100000,INDEX($V$1005:$AE$1005,1,MATCH(COLUMNS($V$1006:W1006),$V$1006:$AE$1006,0))&gt;=100000), " ",IF(INDEX($V$2:$AE$1001,MATCH(ROWS($O$2:O419),$O$2:$O$1001,0),MATCH(COLUMNS($V$1006:W1006),$V$1006:$AE$1006,0)), HYPERLINK("#",""), HYPERLINK(CONCATENATE("#Metadata!", ADDRESS(INDEX($Q$2:$Q$1001,MATCH(ROWS($O$2:O419),$O$2:$O$1001,0),0), INDEX($V$1004:$AE$1004,1,MATCH(COLUMNS($V$1006:W1006),$V$1006:$AE$1006,0)))),"Fix")))</f>
        <v>0</v>
      </c>
      <c r="D419" s="4">
        <f>IF(OR(INDEX($P$2:$P$1001,MATCH(ROWS($O$2:O419),$O$2:$O$1001,0),1)&gt;=100000,INDEX($V$1005:$AE$1005,1,MATCH(COLUMNS($V$1006:X1006),$V$1006:$AE$1006,0))&gt;=100000), " ",IF(INDEX($V$2:$AE$1001,MATCH(ROWS($O$2:O419),$O$2:$O$1001,0),MATCH(COLUMNS($V$1006:X1006),$V$1006:$AE$1006,0)), HYPERLINK("#",""), HYPERLINK(CONCATENATE("#Metadata!", ADDRESS(INDEX($Q$2:$Q$1001,MATCH(ROWS($O$2:O419),$O$2:$O$1001,0),0), INDEX($V$1004:$AE$1004,1,MATCH(COLUMNS($V$1006:X1006),$V$1006:$AE$1006,0)))),"Fix")))</f>
        <v>0</v>
      </c>
      <c r="E419" s="4">
        <f>IF(OR(INDEX($P$2:$P$1001,MATCH(ROWS($O$2:O419),$O$2:$O$1001,0),1)&gt;=100000,INDEX($V$1005:$AE$1005,1,MATCH(COLUMNS($V$1006:Y1006),$V$1006:$AE$1006,0))&gt;=100000), " ",IF(INDEX($V$2:$AE$1001,MATCH(ROWS($O$2:O419),$O$2:$O$1001,0),MATCH(COLUMNS($V$1006:Y1006),$V$1006:$AE$1006,0)), HYPERLINK("#",""), HYPERLINK(CONCATENATE("#Metadata!", ADDRESS(INDEX($Q$2:$Q$1001,MATCH(ROWS($O$2:O419),$O$2:$O$1001,0),0), INDEX($V$1004:$AE$1004,1,MATCH(COLUMNS($V$1006:Y1006),$V$1006:$AE$1006,0)))),"Fix")))</f>
        <v>0</v>
      </c>
      <c r="F419" s="4">
        <f>IF(OR(INDEX($P$2:$P$1001,MATCH(ROWS($O$2:O419),$O$2:$O$1001,0),1)&gt;=100000,INDEX($V$1005:$AE$1005,1,MATCH(COLUMNS($V$1006:Z1006),$V$1006:$AE$1006,0))&gt;=100000), " ",IF(INDEX($V$2:$AE$1001,MATCH(ROWS($O$2:O419),$O$2:$O$1001,0),MATCH(COLUMNS($V$1006:Z1006),$V$1006:$AE$1006,0)), HYPERLINK("#",""), HYPERLINK(CONCATENATE("#Metadata!", ADDRESS(INDEX($Q$2:$Q$1001,MATCH(ROWS($O$2:O419),$O$2:$O$1001,0),0), INDEX($V$1004:$AE$1004,1,MATCH(COLUMNS($V$1006:Z1006),$V$1006:$AE$1006,0)))),"Fix")))</f>
        <v>0</v>
      </c>
      <c r="G419" s="4">
        <f>IF(OR(INDEX($P$2:$P$1001,MATCH(ROWS($O$2:O419),$O$2:$O$1001,0),1)&gt;=100000,INDEX($V$1005:$AE$1005,1,MATCH(COLUMNS($V$1006:AA1006),$V$1006:$AE$1006,0))&gt;=100000), " ",IF(INDEX($V$2:$AE$1001,MATCH(ROWS($O$2:O419),$O$2:$O$1001,0),MATCH(COLUMNS($V$1006:AA1006),$V$1006:$AE$1006,0)), HYPERLINK("#",""), HYPERLINK(CONCATENATE("#Metadata!", ADDRESS(INDEX($Q$2:$Q$1001,MATCH(ROWS($O$2:O419),$O$2:$O$1001,0),0), INDEX($V$1004:$AE$1004,1,MATCH(COLUMNS($V$1006:AA1006),$V$1006:$AE$1006,0)))),"Fix")))</f>
        <v>0</v>
      </c>
      <c r="H419" s="4">
        <f>IF(OR(INDEX($P$2:$P$1001,MATCH(ROWS($O$2:O419),$O$2:$O$1001,0),1)&gt;=100000,INDEX($V$1005:$AE$1005,1,MATCH(COLUMNS($V$1006:AB1006),$V$1006:$AE$1006,0))&gt;=100000), " ",IF(INDEX($V$2:$AE$1001,MATCH(ROWS($O$2:O419),$O$2:$O$1001,0),MATCH(COLUMNS($V$1006:AB1006),$V$1006:$AE$1006,0)), HYPERLINK("#",""), HYPERLINK(CONCATENATE("#Metadata!", ADDRESS(INDEX($Q$2:$Q$1001,MATCH(ROWS($O$2:O419),$O$2:$O$1001,0),0), INDEX($V$1004:$AE$1004,1,MATCH(COLUMNS($V$1006:AB1006),$V$1006:$AE$1006,0)))),"Fix")))</f>
        <v>0</v>
      </c>
      <c r="I419" s="4">
        <f>IF(OR(INDEX($P$2:$P$1001,MATCH(ROWS($O$2:O419),$O$2:$O$1001,0),1)&gt;=100000,INDEX($V$1005:$AE$1005,1,MATCH(COLUMNS($V$1006:AC1006),$V$1006:$AE$1006,0))&gt;=100000), " ",IF(INDEX($V$2:$AE$1001,MATCH(ROWS($O$2:O419),$O$2:$O$1001,0),MATCH(COLUMNS($V$1006:AC1006),$V$1006:$AE$1006,0)), HYPERLINK("#",""), HYPERLINK(CONCATENATE("#Metadata!", ADDRESS(INDEX($Q$2:$Q$1001,MATCH(ROWS($O$2:O419),$O$2:$O$1001,0),0), INDEX($V$1004:$AE$1004,1,MATCH(COLUMNS($V$1006:AC1006),$V$1006:$AE$1006,0)))),"Fix")))</f>
        <v>0</v>
      </c>
      <c r="J419" s="4">
        <f>IF(OR(INDEX($P$2:$P$1001,MATCH(ROWS($O$2:O419),$O$2:$O$1001,0),1)&gt;=100000,INDEX($V$1005:$AE$1005,1,MATCH(COLUMNS($V$1006:AD1006),$V$1006:$AE$1006,0))&gt;=100000), " ",IF(INDEX($V$2:$AE$1001,MATCH(ROWS($O$2:O419),$O$2:$O$1001,0),MATCH(COLUMNS($V$1006:AD1006),$V$1006:$AE$1006,0)), HYPERLINK("#",""), HYPERLINK(CONCATENATE("#Metadata!", ADDRESS(INDEX($Q$2:$Q$1001,MATCH(ROWS($O$2:O419),$O$2:$O$1001,0),0), INDEX($V$1004:$AE$1004,1,MATCH(COLUMNS($V$1006:AD1006),$V$1006:$AE$1006,0)))),"Fix")))</f>
        <v>0</v>
      </c>
      <c r="K419" s="4">
        <f>IF(OR(INDEX($P$2:$P$1001,MATCH(ROWS($O$2:O419),$O$2:$O$1001,0),1)&gt;=100000,INDEX($V$1005:$AE$1005,1,MATCH(COLUMNS($V$1006:AE1006),$V$1006:$AE$1006,0))&gt;=100000), " ",IF(INDEX($V$2:$AE$1001,MATCH(ROWS($O$2:O419),$O$2:$O$1001,0),MATCH(COLUMNS($V$1006:AE1006),$V$1006:$AE$1006,0)), HYPERLINK("#",""), HYPERLINK(CONCATENATE("#Metadata!", ADDRESS(INDEX($Q$2:$Q$1001,MATCH(ROWS($O$2:O419),$O$2:$O$1001,0),0), INDEX($V$1004:$AE$1004,1,MATCH(COLUMNS($V$1006:AE1006),$V$1006:$AE$1006,0)))),"Fix")))</f>
        <v>0</v>
      </c>
      <c r="O419">
        <v>0</v>
      </c>
      <c r="P419">
        <v>0</v>
      </c>
      <c r="Q419">
        <v>0</v>
      </c>
      <c r="R419">
        <f>IF(S419,TRUE,AND(V419:AE419))</f>
        <v>0</v>
      </c>
      <c r="S419">
        <f>COUNTBLANK(Metadata!B419:K419)=COLUMNS(Metadata!B419:K419)</f>
        <v>0</v>
      </c>
      <c r="T419">
        <v>0</v>
      </c>
      <c r="V419">
        <f>AND(IF(Metadata!B419="",FALSE,TRUE),COUNTIF(Metadata!B:B, Metadata!B419) = 1,NOT(ISERROR(SUMPRODUCT(SEARCH(MID(Metadata!B419,ROW(INDIRECT("1:"&amp;LEN(Metadata!B419))), 1),"0123456789abcdefghijklmnopqrstuvwxyzABCDEFGHIJKLMNOPQRSTUVWXYZ.")))))</f>
        <v>0</v>
      </c>
      <c r="W419">
        <f>AND(IF(Metadata!C419="",FALSE,TRUE),exact(Metadata!C419,"urban biome"))</f>
        <v>0</v>
      </c>
      <c r="X419">
        <f>AND(IF(Metadata!D419="",FALSE,TRUE),exact(Metadata!D419,"animal-associated habitat"))</f>
        <v>0</v>
      </c>
      <c r="Y419">
        <f>OR(AND(IF(Metadata!E419="",FALSE,TRUE),OR(exact(Metadata!E419,"not applicable"),exact(Metadata!E419,"missing: not collected"),exact(Metadata!E419,"missing: not provided"),exact(Metadata!E419,"missing: restricted access"))),AND(IF(Metadata!E419="",FALSE,ISNUMBER(VALUE(Metadata!E419))),Metadata!E419&gt;0))</f>
        <v>0</v>
      </c>
      <c r="Z419">
        <f>AND(IF(Metadata!F419="",FALSE,TRUE),exact(Metadata!F419,"weeks"))</f>
        <v>0</v>
      </c>
      <c r="AA419">
        <f>AND(IF(Metadata!G419="",FALSE,TRUE),exact(Metadata!G419,"mouse"))</f>
        <v>0</v>
      </c>
      <c r="AB419">
        <f>AND(IF(Metadata!H419="",FALSE,TRUE),exact(Metadata!H419,"Mus musculus"))</f>
        <v>0</v>
      </c>
      <c r="AC419">
        <f>AND(IF(Metadata!I419="",FALSE,TRUE),exact(Metadata!I419,"10090"))</f>
        <v>0</v>
      </c>
      <c r="AD419">
        <f>OR(AND(IF(Metadata!J419="",FALSE,TRUE),OR(exact(Metadata!J419,"not applicable"),exact(Metadata!J419,"missing: not collected"),exact(Metadata!J419,"missing: not provided"),exact(Metadata!J419,"missing: restricted access"))),AND(IF(Metadata!J419="",FALSE,ISNUMBER(VALUE(Metadata!J419))),Metadata!J419&gt;0))</f>
        <v>0</v>
      </c>
      <c r="AE419">
        <f>AND(IF(Metadata!K419="",FALSE,TRUE),exact(Metadata!K419,"g"))</f>
        <v>0</v>
      </c>
    </row>
    <row r="420" spans="1:31">
      <c r="A420" s="5">
        <f>IF(B420=" "," ",HYPERLINK(CONCATENATE("#metadata!",ADDRESS(INDEX($Q$2:$Q$1001,MATCH(ROWS($O$2:O420),$O$2:$O$1001,0),0),1)),INDEX($T$2:$T$1001,MATCH(ROWS($O$2:O420),$O$2:$O$1001,0),0)))</f>
        <v>0</v>
      </c>
      <c r="B420" s="4">
        <f>IF(OR(INDEX($P$2:$P$1001,MATCH(ROWS($O$2:O420),$O$2:$O$1001,0),1)&gt;=100000,INDEX($V$1005:$AE$1005,1,MATCH(COLUMNS($V$1006:V1006),$V$1006:$AE$1006,0))&gt;=100000), " ",IF(INDEX($V$2:$AE$1001,MATCH(ROWS($O$2:O420),$O$2:$O$1001,0),MATCH(COLUMNS($V$1006:V1006),$V$1006:$AE$1006,0)), HYPERLINK("#",""), HYPERLINK(CONCATENATE("#Metadata!", ADDRESS(INDEX($Q$2:$Q$1001,MATCH(ROWS($O$2:O420),$O$2:$O$1001,0),0), INDEX($V$1004:$AE$1004,1,MATCH(COLUMNS($V$1006:V1006),$V$1006:$AE$1006,0)))),"Fix")))</f>
        <v>0</v>
      </c>
      <c r="C420" s="4">
        <f>IF(OR(INDEX($P$2:$P$1001,MATCH(ROWS($O$2:O420),$O$2:$O$1001,0),1)&gt;=100000,INDEX($V$1005:$AE$1005,1,MATCH(COLUMNS($V$1006:W1006),$V$1006:$AE$1006,0))&gt;=100000), " ",IF(INDEX($V$2:$AE$1001,MATCH(ROWS($O$2:O420),$O$2:$O$1001,0),MATCH(COLUMNS($V$1006:W1006),$V$1006:$AE$1006,0)), HYPERLINK("#",""), HYPERLINK(CONCATENATE("#Metadata!", ADDRESS(INDEX($Q$2:$Q$1001,MATCH(ROWS($O$2:O420),$O$2:$O$1001,0),0), INDEX($V$1004:$AE$1004,1,MATCH(COLUMNS($V$1006:W1006),$V$1006:$AE$1006,0)))),"Fix")))</f>
        <v>0</v>
      </c>
      <c r="D420" s="4">
        <f>IF(OR(INDEX($P$2:$P$1001,MATCH(ROWS($O$2:O420),$O$2:$O$1001,0),1)&gt;=100000,INDEX($V$1005:$AE$1005,1,MATCH(COLUMNS($V$1006:X1006),$V$1006:$AE$1006,0))&gt;=100000), " ",IF(INDEX($V$2:$AE$1001,MATCH(ROWS($O$2:O420),$O$2:$O$1001,0),MATCH(COLUMNS($V$1006:X1006),$V$1006:$AE$1006,0)), HYPERLINK("#",""), HYPERLINK(CONCATENATE("#Metadata!", ADDRESS(INDEX($Q$2:$Q$1001,MATCH(ROWS($O$2:O420),$O$2:$O$1001,0),0), INDEX($V$1004:$AE$1004,1,MATCH(COLUMNS($V$1006:X1006),$V$1006:$AE$1006,0)))),"Fix")))</f>
        <v>0</v>
      </c>
      <c r="E420" s="4">
        <f>IF(OR(INDEX($P$2:$P$1001,MATCH(ROWS($O$2:O420),$O$2:$O$1001,0),1)&gt;=100000,INDEX($V$1005:$AE$1005,1,MATCH(COLUMNS($V$1006:Y1006),$V$1006:$AE$1006,0))&gt;=100000), " ",IF(INDEX($V$2:$AE$1001,MATCH(ROWS($O$2:O420),$O$2:$O$1001,0),MATCH(COLUMNS($V$1006:Y1006),$V$1006:$AE$1006,0)), HYPERLINK("#",""), HYPERLINK(CONCATENATE("#Metadata!", ADDRESS(INDEX($Q$2:$Q$1001,MATCH(ROWS($O$2:O420),$O$2:$O$1001,0),0), INDEX($V$1004:$AE$1004,1,MATCH(COLUMNS($V$1006:Y1006),$V$1006:$AE$1006,0)))),"Fix")))</f>
        <v>0</v>
      </c>
      <c r="F420" s="4">
        <f>IF(OR(INDEX($P$2:$P$1001,MATCH(ROWS($O$2:O420),$O$2:$O$1001,0),1)&gt;=100000,INDEX($V$1005:$AE$1005,1,MATCH(COLUMNS($V$1006:Z1006),$V$1006:$AE$1006,0))&gt;=100000), " ",IF(INDEX($V$2:$AE$1001,MATCH(ROWS($O$2:O420),$O$2:$O$1001,0),MATCH(COLUMNS($V$1006:Z1006),$V$1006:$AE$1006,0)), HYPERLINK("#",""), HYPERLINK(CONCATENATE("#Metadata!", ADDRESS(INDEX($Q$2:$Q$1001,MATCH(ROWS($O$2:O420),$O$2:$O$1001,0),0), INDEX($V$1004:$AE$1004,1,MATCH(COLUMNS($V$1006:Z1006),$V$1006:$AE$1006,0)))),"Fix")))</f>
        <v>0</v>
      </c>
      <c r="G420" s="4">
        <f>IF(OR(INDEX($P$2:$P$1001,MATCH(ROWS($O$2:O420),$O$2:$O$1001,0),1)&gt;=100000,INDEX($V$1005:$AE$1005,1,MATCH(COLUMNS($V$1006:AA1006),$V$1006:$AE$1006,0))&gt;=100000), " ",IF(INDEX($V$2:$AE$1001,MATCH(ROWS($O$2:O420),$O$2:$O$1001,0),MATCH(COLUMNS($V$1006:AA1006),$V$1006:$AE$1006,0)), HYPERLINK("#",""), HYPERLINK(CONCATENATE("#Metadata!", ADDRESS(INDEX($Q$2:$Q$1001,MATCH(ROWS($O$2:O420),$O$2:$O$1001,0),0), INDEX($V$1004:$AE$1004,1,MATCH(COLUMNS($V$1006:AA1006),$V$1006:$AE$1006,0)))),"Fix")))</f>
        <v>0</v>
      </c>
      <c r="H420" s="4">
        <f>IF(OR(INDEX($P$2:$P$1001,MATCH(ROWS($O$2:O420),$O$2:$O$1001,0),1)&gt;=100000,INDEX($V$1005:$AE$1005,1,MATCH(COLUMNS($V$1006:AB1006),$V$1006:$AE$1006,0))&gt;=100000), " ",IF(INDEX($V$2:$AE$1001,MATCH(ROWS($O$2:O420),$O$2:$O$1001,0),MATCH(COLUMNS($V$1006:AB1006),$V$1006:$AE$1006,0)), HYPERLINK("#",""), HYPERLINK(CONCATENATE("#Metadata!", ADDRESS(INDEX($Q$2:$Q$1001,MATCH(ROWS($O$2:O420),$O$2:$O$1001,0),0), INDEX($V$1004:$AE$1004,1,MATCH(COLUMNS($V$1006:AB1006),$V$1006:$AE$1006,0)))),"Fix")))</f>
        <v>0</v>
      </c>
      <c r="I420" s="4">
        <f>IF(OR(INDEX($P$2:$P$1001,MATCH(ROWS($O$2:O420),$O$2:$O$1001,0),1)&gt;=100000,INDEX($V$1005:$AE$1005,1,MATCH(COLUMNS($V$1006:AC1006),$V$1006:$AE$1006,0))&gt;=100000), " ",IF(INDEX($V$2:$AE$1001,MATCH(ROWS($O$2:O420),$O$2:$O$1001,0),MATCH(COLUMNS($V$1006:AC1006),$V$1006:$AE$1006,0)), HYPERLINK("#",""), HYPERLINK(CONCATENATE("#Metadata!", ADDRESS(INDEX($Q$2:$Q$1001,MATCH(ROWS($O$2:O420),$O$2:$O$1001,0),0), INDEX($V$1004:$AE$1004,1,MATCH(COLUMNS($V$1006:AC1006),$V$1006:$AE$1006,0)))),"Fix")))</f>
        <v>0</v>
      </c>
      <c r="J420" s="4">
        <f>IF(OR(INDEX($P$2:$P$1001,MATCH(ROWS($O$2:O420),$O$2:$O$1001,0),1)&gt;=100000,INDEX($V$1005:$AE$1005,1,MATCH(COLUMNS($V$1006:AD1006),$V$1006:$AE$1006,0))&gt;=100000), " ",IF(INDEX($V$2:$AE$1001,MATCH(ROWS($O$2:O420),$O$2:$O$1001,0),MATCH(COLUMNS($V$1006:AD1006),$V$1006:$AE$1006,0)), HYPERLINK("#",""), HYPERLINK(CONCATENATE("#Metadata!", ADDRESS(INDEX($Q$2:$Q$1001,MATCH(ROWS($O$2:O420),$O$2:$O$1001,0),0), INDEX($V$1004:$AE$1004,1,MATCH(COLUMNS($V$1006:AD1006),$V$1006:$AE$1006,0)))),"Fix")))</f>
        <v>0</v>
      </c>
      <c r="K420" s="4">
        <f>IF(OR(INDEX($P$2:$P$1001,MATCH(ROWS($O$2:O420),$O$2:$O$1001,0),1)&gt;=100000,INDEX($V$1005:$AE$1005,1,MATCH(COLUMNS($V$1006:AE1006),$V$1006:$AE$1006,0))&gt;=100000), " ",IF(INDEX($V$2:$AE$1001,MATCH(ROWS($O$2:O420),$O$2:$O$1001,0),MATCH(COLUMNS($V$1006:AE1006),$V$1006:$AE$1006,0)), HYPERLINK("#",""), HYPERLINK(CONCATENATE("#Metadata!", ADDRESS(INDEX($Q$2:$Q$1001,MATCH(ROWS($O$2:O420),$O$2:$O$1001,0),0), INDEX($V$1004:$AE$1004,1,MATCH(COLUMNS($V$1006:AE1006),$V$1006:$AE$1006,0)))),"Fix")))</f>
        <v>0</v>
      </c>
      <c r="O420">
        <v>0</v>
      </c>
      <c r="P420">
        <v>0</v>
      </c>
      <c r="Q420">
        <v>0</v>
      </c>
      <c r="R420">
        <f>IF(S420,TRUE,AND(V420:AE420))</f>
        <v>0</v>
      </c>
      <c r="S420">
        <f>COUNTBLANK(Metadata!B420:K420)=COLUMNS(Metadata!B420:K420)</f>
        <v>0</v>
      </c>
      <c r="T420">
        <v>0</v>
      </c>
      <c r="V420">
        <f>AND(IF(Metadata!B420="",FALSE,TRUE),COUNTIF(Metadata!B:B, Metadata!B420) = 1,NOT(ISERROR(SUMPRODUCT(SEARCH(MID(Metadata!B420,ROW(INDIRECT("1:"&amp;LEN(Metadata!B420))), 1),"0123456789abcdefghijklmnopqrstuvwxyzABCDEFGHIJKLMNOPQRSTUVWXYZ.")))))</f>
        <v>0</v>
      </c>
      <c r="W420">
        <f>AND(IF(Metadata!C420="",FALSE,TRUE),exact(Metadata!C420,"urban biome"))</f>
        <v>0</v>
      </c>
      <c r="X420">
        <f>AND(IF(Metadata!D420="",FALSE,TRUE),exact(Metadata!D420,"animal-associated habitat"))</f>
        <v>0</v>
      </c>
      <c r="Y420">
        <f>OR(AND(IF(Metadata!E420="",FALSE,TRUE),OR(exact(Metadata!E420,"not applicable"),exact(Metadata!E420,"missing: not collected"),exact(Metadata!E420,"missing: not provided"),exact(Metadata!E420,"missing: restricted access"))),AND(IF(Metadata!E420="",FALSE,ISNUMBER(VALUE(Metadata!E420))),Metadata!E420&gt;0))</f>
        <v>0</v>
      </c>
      <c r="Z420">
        <f>AND(IF(Metadata!F420="",FALSE,TRUE),exact(Metadata!F420,"weeks"))</f>
        <v>0</v>
      </c>
      <c r="AA420">
        <f>AND(IF(Metadata!G420="",FALSE,TRUE),exact(Metadata!G420,"mouse"))</f>
        <v>0</v>
      </c>
      <c r="AB420">
        <f>AND(IF(Metadata!H420="",FALSE,TRUE),exact(Metadata!H420,"Mus musculus"))</f>
        <v>0</v>
      </c>
      <c r="AC420">
        <f>AND(IF(Metadata!I420="",FALSE,TRUE),exact(Metadata!I420,"10090"))</f>
        <v>0</v>
      </c>
      <c r="AD420">
        <f>OR(AND(IF(Metadata!J420="",FALSE,TRUE),OR(exact(Metadata!J420,"not applicable"),exact(Metadata!J420,"missing: not collected"),exact(Metadata!J420,"missing: not provided"),exact(Metadata!J420,"missing: restricted access"))),AND(IF(Metadata!J420="",FALSE,ISNUMBER(VALUE(Metadata!J420))),Metadata!J420&gt;0))</f>
        <v>0</v>
      </c>
      <c r="AE420">
        <f>AND(IF(Metadata!K420="",FALSE,TRUE),exact(Metadata!K420,"g"))</f>
        <v>0</v>
      </c>
    </row>
    <row r="421" spans="1:31">
      <c r="A421" s="5">
        <f>IF(B421=" "," ",HYPERLINK(CONCATENATE("#metadata!",ADDRESS(INDEX($Q$2:$Q$1001,MATCH(ROWS($O$2:O421),$O$2:$O$1001,0),0),1)),INDEX($T$2:$T$1001,MATCH(ROWS($O$2:O421),$O$2:$O$1001,0),0)))</f>
        <v>0</v>
      </c>
      <c r="B421" s="4">
        <f>IF(OR(INDEX($P$2:$P$1001,MATCH(ROWS($O$2:O421),$O$2:$O$1001,0),1)&gt;=100000,INDEX($V$1005:$AE$1005,1,MATCH(COLUMNS($V$1006:V1006),$V$1006:$AE$1006,0))&gt;=100000), " ",IF(INDEX($V$2:$AE$1001,MATCH(ROWS($O$2:O421),$O$2:$O$1001,0),MATCH(COLUMNS($V$1006:V1006),$V$1006:$AE$1006,0)), HYPERLINK("#",""), HYPERLINK(CONCATENATE("#Metadata!", ADDRESS(INDEX($Q$2:$Q$1001,MATCH(ROWS($O$2:O421),$O$2:$O$1001,0),0), INDEX($V$1004:$AE$1004,1,MATCH(COLUMNS($V$1006:V1006),$V$1006:$AE$1006,0)))),"Fix")))</f>
        <v>0</v>
      </c>
      <c r="C421" s="4">
        <f>IF(OR(INDEX($P$2:$P$1001,MATCH(ROWS($O$2:O421),$O$2:$O$1001,0),1)&gt;=100000,INDEX($V$1005:$AE$1005,1,MATCH(COLUMNS($V$1006:W1006),$V$1006:$AE$1006,0))&gt;=100000), " ",IF(INDEX($V$2:$AE$1001,MATCH(ROWS($O$2:O421),$O$2:$O$1001,0),MATCH(COLUMNS($V$1006:W1006),$V$1006:$AE$1006,0)), HYPERLINK("#",""), HYPERLINK(CONCATENATE("#Metadata!", ADDRESS(INDEX($Q$2:$Q$1001,MATCH(ROWS($O$2:O421),$O$2:$O$1001,0),0), INDEX($V$1004:$AE$1004,1,MATCH(COLUMNS($V$1006:W1006),$V$1006:$AE$1006,0)))),"Fix")))</f>
        <v>0</v>
      </c>
      <c r="D421" s="4">
        <f>IF(OR(INDEX($P$2:$P$1001,MATCH(ROWS($O$2:O421),$O$2:$O$1001,0),1)&gt;=100000,INDEX($V$1005:$AE$1005,1,MATCH(COLUMNS($V$1006:X1006),$V$1006:$AE$1006,0))&gt;=100000), " ",IF(INDEX($V$2:$AE$1001,MATCH(ROWS($O$2:O421),$O$2:$O$1001,0),MATCH(COLUMNS($V$1006:X1006),$V$1006:$AE$1006,0)), HYPERLINK("#",""), HYPERLINK(CONCATENATE("#Metadata!", ADDRESS(INDEX($Q$2:$Q$1001,MATCH(ROWS($O$2:O421),$O$2:$O$1001,0),0), INDEX($V$1004:$AE$1004,1,MATCH(COLUMNS($V$1006:X1006),$V$1006:$AE$1006,0)))),"Fix")))</f>
        <v>0</v>
      </c>
      <c r="E421" s="4">
        <f>IF(OR(INDEX($P$2:$P$1001,MATCH(ROWS($O$2:O421),$O$2:$O$1001,0),1)&gt;=100000,INDEX($V$1005:$AE$1005,1,MATCH(COLUMNS($V$1006:Y1006),$V$1006:$AE$1006,0))&gt;=100000), " ",IF(INDEX($V$2:$AE$1001,MATCH(ROWS($O$2:O421),$O$2:$O$1001,0),MATCH(COLUMNS($V$1006:Y1006),$V$1006:$AE$1006,0)), HYPERLINK("#",""), HYPERLINK(CONCATENATE("#Metadata!", ADDRESS(INDEX($Q$2:$Q$1001,MATCH(ROWS($O$2:O421),$O$2:$O$1001,0),0), INDEX($V$1004:$AE$1004,1,MATCH(COLUMNS($V$1006:Y1006),$V$1006:$AE$1006,0)))),"Fix")))</f>
        <v>0</v>
      </c>
      <c r="F421" s="4">
        <f>IF(OR(INDEX($P$2:$P$1001,MATCH(ROWS($O$2:O421),$O$2:$O$1001,0),1)&gt;=100000,INDEX($V$1005:$AE$1005,1,MATCH(COLUMNS($V$1006:Z1006),$V$1006:$AE$1006,0))&gt;=100000), " ",IF(INDEX($V$2:$AE$1001,MATCH(ROWS($O$2:O421),$O$2:$O$1001,0),MATCH(COLUMNS($V$1006:Z1006),$V$1006:$AE$1006,0)), HYPERLINK("#",""), HYPERLINK(CONCATENATE("#Metadata!", ADDRESS(INDEX($Q$2:$Q$1001,MATCH(ROWS($O$2:O421),$O$2:$O$1001,0),0), INDEX($V$1004:$AE$1004,1,MATCH(COLUMNS($V$1006:Z1006),$V$1006:$AE$1006,0)))),"Fix")))</f>
        <v>0</v>
      </c>
      <c r="G421" s="4">
        <f>IF(OR(INDEX($P$2:$P$1001,MATCH(ROWS($O$2:O421),$O$2:$O$1001,0),1)&gt;=100000,INDEX($V$1005:$AE$1005,1,MATCH(COLUMNS($V$1006:AA1006),$V$1006:$AE$1006,0))&gt;=100000), " ",IF(INDEX($V$2:$AE$1001,MATCH(ROWS($O$2:O421),$O$2:$O$1001,0),MATCH(COLUMNS($V$1006:AA1006),$V$1006:$AE$1006,0)), HYPERLINK("#",""), HYPERLINK(CONCATENATE("#Metadata!", ADDRESS(INDEX($Q$2:$Q$1001,MATCH(ROWS($O$2:O421),$O$2:$O$1001,0),0), INDEX($V$1004:$AE$1004,1,MATCH(COLUMNS($V$1006:AA1006),$V$1006:$AE$1006,0)))),"Fix")))</f>
        <v>0</v>
      </c>
      <c r="H421" s="4">
        <f>IF(OR(INDEX($P$2:$P$1001,MATCH(ROWS($O$2:O421),$O$2:$O$1001,0),1)&gt;=100000,INDEX($V$1005:$AE$1005,1,MATCH(COLUMNS($V$1006:AB1006),$V$1006:$AE$1006,0))&gt;=100000), " ",IF(INDEX($V$2:$AE$1001,MATCH(ROWS($O$2:O421),$O$2:$O$1001,0),MATCH(COLUMNS($V$1006:AB1006),$V$1006:$AE$1006,0)), HYPERLINK("#",""), HYPERLINK(CONCATENATE("#Metadata!", ADDRESS(INDEX($Q$2:$Q$1001,MATCH(ROWS($O$2:O421),$O$2:$O$1001,0),0), INDEX($V$1004:$AE$1004,1,MATCH(COLUMNS($V$1006:AB1006),$V$1006:$AE$1006,0)))),"Fix")))</f>
        <v>0</v>
      </c>
      <c r="I421" s="4">
        <f>IF(OR(INDEX($P$2:$P$1001,MATCH(ROWS($O$2:O421),$O$2:$O$1001,0),1)&gt;=100000,INDEX($V$1005:$AE$1005,1,MATCH(COLUMNS($V$1006:AC1006),$V$1006:$AE$1006,0))&gt;=100000), " ",IF(INDEX($V$2:$AE$1001,MATCH(ROWS($O$2:O421),$O$2:$O$1001,0),MATCH(COLUMNS($V$1006:AC1006),$V$1006:$AE$1006,0)), HYPERLINK("#",""), HYPERLINK(CONCATENATE("#Metadata!", ADDRESS(INDEX($Q$2:$Q$1001,MATCH(ROWS($O$2:O421),$O$2:$O$1001,0),0), INDEX($V$1004:$AE$1004,1,MATCH(COLUMNS($V$1006:AC1006),$V$1006:$AE$1006,0)))),"Fix")))</f>
        <v>0</v>
      </c>
      <c r="J421" s="4">
        <f>IF(OR(INDEX($P$2:$P$1001,MATCH(ROWS($O$2:O421),$O$2:$O$1001,0),1)&gt;=100000,INDEX($V$1005:$AE$1005,1,MATCH(COLUMNS($V$1006:AD1006),$V$1006:$AE$1006,0))&gt;=100000), " ",IF(INDEX($V$2:$AE$1001,MATCH(ROWS($O$2:O421),$O$2:$O$1001,0),MATCH(COLUMNS($V$1006:AD1006),$V$1006:$AE$1006,0)), HYPERLINK("#",""), HYPERLINK(CONCATENATE("#Metadata!", ADDRESS(INDEX($Q$2:$Q$1001,MATCH(ROWS($O$2:O421),$O$2:$O$1001,0),0), INDEX($V$1004:$AE$1004,1,MATCH(COLUMNS($V$1006:AD1006),$V$1006:$AE$1006,0)))),"Fix")))</f>
        <v>0</v>
      </c>
      <c r="K421" s="4">
        <f>IF(OR(INDEX($P$2:$P$1001,MATCH(ROWS($O$2:O421),$O$2:$O$1001,0),1)&gt;=100000,INDEX($V$1005:$AE$1005,1,MATCH(COLUMNS($V$1006:AE1006),$V$1006:$AE$1006,0))&gt;=100000), " ",IF(INDEX($V$2:$AE$1001,MATCH(ROWS($O$2:O421),$O$2:$O$1001,0),MATCH(COLUMNS($V$1006:AE1006),$V$1006:$AE$1006,0)), HYPERLINK("#",""), HYPERLINK(CONCATENATE("#Metadata!", ADDRESS(INDEX($Q$2:$Q$1001,MATCH(ROWS($O$2:O421),$O$2:$O$1001,0),0), INDEX($V$1004:$AE$1004,1,MATCH(COLUMNS($V$1006:AE1006),$V$1006:$AE$1006,0)))),"Fix")))</f>
        <v>0</v>
      </c>
      <c r="O421">
        <v>0</v>
      </c>
      <c r="P421">
        <v>0</v>
      </c>
      <c r="Q421">
        <v>0</v>
      </c>
      <c r="R421">
        <f>IF(S421,TRUE,AND(V421:AE421))</f>
        <v>0</v>
      </c>
      <c r="S421">
        <f>COUNTBLANK(Metadata!B421:K421)=COLUMNS(Metadata!B421:K421)</f>
        <v>0</v>
      </c>
      <c r="T421">
        <v>0</v>
      </c>
      <c r="V421">
        <f>AND(IF(Metadata!B421="",FALSE,TRUE),COUNTIF(Metadata!B:B, Metadata!B421) = 1,NOT(ISERROR(SUMPRODUCT(SEARCH(MID(Metadata!B421,ROW(INDIRECT("1:"&amp;LEN(Metadata!B421))), 1),"0123456789abcdefghijklmnopqrstuvwxyzABCDEFGHIJKLMNOPQRSTUVWXYZ.")))))</f>
        <v>0</v>
      </c>
      <c r="W421">
        <f>AND(IF(Metadata!C421="",FALSE,TRUE),exact(Metadata!C421,"urban biome"))</f>
        <v>0</v>
      </c>
      <c r="X421">
        <f>AND(IF(Metadata!D421="",FALSE,TRUE),exact(Metadata!D421,"animal-associated habitat"))</f>
        <v>0</v>
      </c>
      <c r="Y421">
        <f>OR(AND(IF(Metadata!E421="",FALSE,TRUE),OR(exact(Metadata!E421,"not applicable"),exact(Metadata!E421,"missing: not collected"),exact(Metadata!E421,"missing: not provided"),exact(Metadata!E421,"missing: restricted access"))),AND(IF(Metadata!E421="",FALSE,ISNUMBER(VALUE(Metadata!E421))),Metadata!E421&gt;0))</f>
        <v>0</v>
      </c>
      <c r="Z421">
        <f>AND(IF(Metadata!F421="",FALSE,TRUE),exact(Metadata!F421,"weeks"))</f>
        <v>0</v>
      </c>
      <c r="AA421">
        <f>AND(IF(Metadata!G421="",FALSE,TRUE),exact(Metadata!G421,"mouse"))</f>
        <v>0</v>
      </c>
      <c r="AB421">
        <f>AND(IF(Metadata!H421="",FALSE,TRUE),exact(Metadata!H421,"Mus musculus"))</f>
        <v>0</v>
      </c>
      <c r="AC421">
        <f>AND(IF(Metadata!I421="",FALSE,TRUE),exact(Metadata!I421,"10090"))</f>
        <v>0</v>
      </c>
      <c r="AD421">
        <f>OR(AND(IF(Metadata!J421="",FALSE,TRUE),OR(exact(Metadata!J421,"not applicable"),exact(Metadata!J421,"missing: not collected"),exact(Metadata!J421,"missing: not provided"),exact(Metadata!J421,"missing: restricted access"))),AND(IF(Metadata!J421="",FALSE,ISNUMBER(VALUE(Metadata!J421))),Metadata!J421&gt;0))</f>
        <v>0</v>
      </c>
      <c r="AE421">
        <f>AND(IF(Metadata!K421="",FALSE,TRUE),exact(Metadata!K421,"g"))</f>
        <v>0</v>
      </c>
    </row>
    <row r="422" spans="1:31">
      <c r="A422" s="5">
        <f>IF(B422=" "," ",HYPERLINK(CONCATENATE("#metadata!",ADDRESS(INDEX($Q$2:$Q$1001,MATCH(ROWS($O$2:O422),$O$2:$O$1001,0),0),1)),INDEX($T$2:$T$1001,MATCH(ROWS($O$2:O422),$O$2:$O$1001,0),0)))</f>
        <v>0</v>
      </c>
      <c r="B422" s="4">
        <f>IF(OR(INDEX($P$2:$P$1001,MATCH(ROWS($O$2:O422),$O$2:$O$1001,0),1)&gt;=100000,INDEX($V$1005:$AE$1005,1,MATCH(COLUMNS($V$1006:V1006),$V$1006:$AE$1006,0))&gt;=100000), " ",IF(INDEX($V$2:$AE$1001,MATCH(ROWS($O$2:O422),$O$2:$O$1001,0),MATCH(COLUMNS($V$1006:V1006),$V$1006:$AE$1006,0)), HYPERLINK("#",""), HYPERLINK(CONCATENATE("#Metadata!", ADDRESS(INDEX($Q$2:$Q$1001,MATCH(ROWS($O$2:O422),$O$2:$O$1001,0),0), INDEX($V$1004:$AE$1004,1,MATCH(COLUMNS($V$1006:V1006),$V$1006:$AE$1006,0)))),"Fix")))</f>
        <v>0</v>
      </c>
      <c r="C422" s="4">
        <f>IF(OR(INDEX($P$2:$P$1001,MATCH(ROWS($O$2:O422),$O$2:$O$1001,0),1)&gt;=100000,INDEX($V$1005:$AE$1005,1,MATCH(COLUMNS($V$1006:W1006),$V$1006:$AE$1006,0))&gt;=100000), " ",IF(INDEX($V$2:$AE$1001,MATCH(ROWS($O$2:O422),$O$2:$O$1001,0),MATCH(COLUMNS($V$1006:W1006),$V$1006:$AE$1006,0)), HYPERLINK("#",""), HYPERLINK(CONCATENATE("#Metadata!", ADDRESS(INDEX($Q$2:$Q$1001,MATCH(ROWS($O$2:O422),$O$2:$O$1001,0),0), INDEX($V$1004:$AE$1004,1,MATCH(COLUMNS($V$1006:W1006),$V$1006:$AE$1006,0)))),"Fix")))</f>
        <v>0</v>
      </c>
      <c r="D422" s="4">
        <f>IF(OR(INDEX($P$2:$P$1001,MATCH(ROWS($O$2:O422),$O$2:$O$1001,0),1)&gt;=100000,INDEX($V$1005:$AE$1005,1,MATCH(COLUMNS($V$1006:X1006),$V$1006:$AE$1006,0))&gt;=100000), " ",IF(INDEX($V$2:$AE$1001,MATCH(ROWS($O$2:O422),$O$2:$O$1001,0),MATCH(COLUMNS($V$1006:X1006),$V$1006:$AE$1006,0)), HYPERLINK("#",""), HYPERLINK(CONCATENATE("#Metadata!", ADDRESS(INDEX($Q$2:$Q$1001,MATCH(ROWS($O$2:O422),$O$2:$O$1001,0),0), INDEX($V$1004:$AE$1004,1,MATCH(COLUMNS($V$1006:X1006),$V$1006:$AE$1006,0)))),"Fix")))</f>
        <v>0</v>
      </c>
      <c r="E422" s="4">
        <f>IF(OR(INDEX($P$2:$P$1001,MATCH(ROWS($O$2:O422),$O$2:$O$1001,0),1)&gt;=100000,INDEX($V$1005:$AE$1005,1,MATCH(COLUMNS($V$1006:Y1006),$V$1006:$AE$1006,0))&gt;=100000), " ",IF(INDEX($V$2:$AE$1001,MATCH(ROWS($O$2:O422),$O$2:$O$1001,0),MATCH(COLUMNS($V$1006:Y1006),$V$1006:$AE$1006,0)), HYPERLINK("#",""), HYPERLINK(CONCATENATE("#Metadata!", ADDRESS(INDEX($Q$2:$Q$1001,MATCH(ROWS($O$2:O422),$O$2:$O$1001,0),0), INDEX($V$1004:$AE$1004,1,MATCH(COLUMNS($V$1006:Y1006),$V$1006:$AE$1006,0)))),"Fix")))</f>
        <v>0</v>
      </c>
      <c r="F422" s="4">
        <f>IF(OR(INDEX($P$2:$P$1001,MATCH(ROWS($O$2:O422),$O$2:$O$1001,0),1)&gt;=100000,INDEX($V$1005:$AE$1005,1,MATCH(COLUMNS($V$1006:Z1006),$V$1006:$AE$1006,0))&gt;=100000), " ",IF(INDEX($V$2:$AE$1001,MATCH(ROWS($O$2:O422),$O$2:$O$1001,0),MATCH(COLUMNS($V$1006:Z1006),$V$1006:$AE$1006,0)), HYPERLINK("#",""), HYPERLINK(CONCATENATE("#Metadata!", ADDRESS(INDEX($Q$2:$Q$1001,MATCH(ROWS($O$2:O422),$O$2:$O$1001,0),0), INDEX($V$1004:$AE$1004,1,MATCH(COLUMNS($V$1006:Z1006),$V$1006:$AE$1006,0)))),"Fix")))</f>
        <v>0</v>
      </c>
      <c r="G422" s="4">
        <f>IF(OR(INDEX($P$2:$P$1001,MATCH(ROWS($O$2:O422),$O$2:$O$1001,0),1)&gt;=100000,INDEX($V$1005:$AE$1005,1,MATCH(COLUMNS($V$1006:AA1006),$V$1006:$AE$1006,0))&gt;=100000), " ",IF(INDEX($V$2:$AE$1001,MATCH(ROWS($O$2:O422),$O$2:$O$1001,0),MATCH(COLUMNS($V$1006:AA1006),$V$1006:$AE$1006,0)), HYPERLINK("#",""), HYPERLINK(CONCATENATE("#Metadata!", ADDRESS(INDEX($Q$2:$Q$1001,MATCH(ROWS($O$2:O422),$O$2:$O$1001,0),0), INDEX($V$1004:$AE$1004,1,MATCH(COLUMNS($V$1006:AA1006),$V$1006:$AE$1006,0)))),"Fix")))</f>
        <v>0</v>
      </c>
      <c r="H422" s="4">
        <f>IF(OR(INDEX($P$2:$P$1001,MATCH(ROWS($O$2:O422),$O$2:$O$1001,0),1)&gt;=100000,INDEX($V$1005:$AE$1005,1,MATCH(COLUMNS($V$1006:AB1006),$V$1006:$AE$1006,0))&gt;=100000), " ",IF(INDEX($V$2:$AE$1001,MATCH(ROWS($O$2:O422),$O$2:$O$1001,0),MATCH(COLUMNS($V$1006:AB1006),$V$1006:$AE$1006,0)), HYPERLINK("#",""), HYPERLINK(CONCATENATE("#Metadata!", ADDRESS(INDEX($Q$2:$Q$1001,MATCH(ROWS($O$2:O422),$O$2:$O$1001,0),0), INDEX($V$1004:$AE$1004,1,MATCH(COLUMNS($V$1006:AB1006),$V$1006:$AE$1006,0)))),"Fix")))</f>
        <v>0</v>
      </c>
      <c r="I422" s="4">
        <f>IF(OR(INDEX($P$2:$P$1001,MATCH(ROWS($O$2:O422),$O$2:$O$1001,0),1)&gt;=100000,INDEX($V$1005:$AE$1005,1,MATCH(COLUMNS($V$1006:AC1006),$V$1006:$AE$1006,0))&gt;=100000), " ",IF(INDEX($V$2:$AE$1001,MATCH(ROWS($O$2:O422),$O$2:$O$1001,0),MATCH(COLUMNS($V$1006:AC1006),$V$1006:$AE$1006,0)), HYPERLINK("#",""), HYPERLINK(CONCATENATE("#Metadata!", ADDRESS(INDEX($Q$2:$Q$1001,MATCH(ROWS($O$2:O422),$O$2:$O$1001,0),0), INDEX($V$1004:$AE$1004,1,MATCH(COLUMNS($V$1006:AC1006),$V$1006:$AE$1006,0)))),"Fix")))</f>
        <v>0</v>
      </c>
      <c r="J422" s="4">
        <f>IF(OR(INDEX($P$2:$P$1001,MATCH(ROWS($O$2:O422),$O$2:$O$1001,0),1)&gt;=100000,INDEX($V$1005:$AE$1005,1,MATCH(COLUMNS($V$1006:AD1006),$V$1006:$AE$1006,0))&gt;=100000), " ",IF(INDEX($V$2:$AE$1001,MATCH(ROWS($O$2:O422),$O$2:$O$1001,0),MATCH(COLUMNS($V$1006:AD1006),$V$1006:$AE$1006,0)), HYPERLINK("#",""), HYPERLINK(CONCATENATE("#Metadata!", ADDRESS(INDEX($Q$2:$Q$1001,MATCH(ROWS($O$2:O422),$O$2:$O$1001,0),0), INDEX($V$1004:$AE$1004,1,MATCH(COLUMNS($V$1006:AD1006),$V$1006:$AE$1006,0)))),"Fix")))</f>
        <v>0</v>
      </c>
      <c r="K422" s="4">
        <f>IF(OR(INDEX($P$2:$P$1001,MATCH(ROWS($O$2:O422),$O$2:$O$1001,0),1)&gt;=100000,INDEX($V$1005:$AE$1005,1,MATCH(COLUMNS($V$1006:AE1006),$V$1006:$AE$1006,0))&gt;=100000), " ",IF(INDEX($V$2:$AE$1001,MATCH(ROWS($O$2:O422),$O$2:$O$1001,0),MATCH(COLUMNS($V$1006:AE1006),$V$1006:$AE$1006,0)), HYPERLINK("#",""), HYPERLINK(CONCATENATE("#Metadata!", ADDRESS(INDEX($Q$2:$Q$1001,MATCH(ROWS($O$2:O422),$O$2:$O$1001,0),0), INDEX($V$1004:$AE$1004,1,MATCH(COLUMNS($V$1006:AE1006),$V$1006:$AE$1006,0)))),"Fix")))</f>
        <v>0</v>
      </c>
      <c r="O422">
        <v>0</v>
      </c>
      <c r="P422">
        <v>0</v>
      </c>
      <c r="Q422">
        <v>0</v>
      </c>
      <c r="R422">
        <f>IF(S422,TRUE,AND(V422:AE422))</f>
        <v>0</v>
      </c>
      <c r="S422">
        <f>COUNTBLANK(Metadata!B422:K422)=COLUMNS(Metadata!B422:K422)</f>
        <v>0</v>
      </c>
      <c r="T422">
        <v>0</v>
      </c>
      <c r="V422">
        <f>AND(IF(Metadata!B422="",FALSE,TRUE),COUNTIF(Metadata!B:B, Metadata!B422) = 1,NOT(ISERROR(SUMPRODUCT(SEARCH(MID(Metadata!B422,ROW(INDIRECT("1:"&amp;LEN(Metadata!B422))), 1),"0123456789abcdefghijklmnopqrstuvwxyzABCDEFGHIJKLMNOPQRSTUVWXYZ.")))))</f>
        <v>0</v>
      </c>
      <c r="W422">
        <f>AND(IF(Metadata!C422="",FALSE,TRUE),exact(Metadata!C422,"urban biome"))</f>
        <v>0</v>
      </c>
      <c r="X422">
        <f>AND(IF(Metadata!D422="",FALSE,TRUE),exact(Metadata!D422,"animal-associated habitat"))</f>
        <v>0</v>
      </c>
      <c r="Y422">
        <f>OR(AND(IF(Metadata!E422="",FALSE,TRUE),OR(exact(Metadata!E422,"not applicable"),exact(Metadata!E422,"missing: not collected"),exact(Metadata!E422,"missing: not provided"),exact(Metadata!E422,"missing: restricted access"))),AND(IF(Metadata!E422="",FALSE,ISNUMBER(VALUE(Metadata!E422))),Metadata!E422&gt;0))</f>
        <v>0</v>
      </c>
      <c r="Z422">
        <f>AND(IF(Metadata!F422="",FALSE,TRUE),exact(Metadata!F422,"weeks"))</f>
        <v>0</v>
      </c>
      <c r="AA422">
        <f>AND(IF(Metadata!G422="",FALSE,TRUE),exact(Metadata!G422,"mouse"))</f>
        <v>0</v>
      </c>
      <c r="AB422">
        <f>AND(IF(Metadata!H422="",FALSE,TRUE),exact(Metadata!H422,"Mus musculus"))</f>
        <v>0</v>
      </c>
      <c r="AC422">
        <f>AND(IF(Metadata!I422="",FALSE,TRUE),exact(Metadata!I422,"10090"))</f>
        <v>0</v>
      </c>
      <c r="AD422">
        <f>OR(AND(IF(Metadata!J422="",FALSE,TRUE),OR(exact(Metadata!J422,"not applicable"),exact(Metadata!J422,"missing: not collected"),exact(Metadata!J422,"missing: not provided"),exact(Metadata!J422,"missing: restricted access"))),AND(IF(Metadata!J422="",FALSE,ISNUMBER(VALUE(Metadata!J422))),Metadata!J422&gt;0))</f>
        <v>0</v>
      </c>
      <c r="AE422">
        <f>AND(IF(Metadata!K422="",FALSE,TRUE),exact(Metadata!K422,"g"))</f>
        <v>0</v>
      </c>
    </row>
    <row r="423" spans="1:31">
      <c r="A423" s="5">
        <f>IF(B423=" "," ",HYPERLINK(CONCATENATE("#metadata!",ADDRESS(INDEX($Q$2:$Q$1001,MATCH(ROWS($O$2:O423),$O$2:$O$1001,0),0),1)),INDEX($T$2:$T$1001,MATCH(ROWS($O$2:O423),$O$2:$O$1001,0),0)))</f>
        <v>0</v>
      </c>
      <c r="B423" s="4">
        <f>IF(OR(INDEX($P$2:$P$1001,MATCH(ROWS($O$2:O423),$O$2:$O$1001,0),1)&gt;=100000,INDEX($V$1005:$AE$1005,1,MATCH(COLUMNS($V$1006:V1006),$V$1006:$AE$1006,0))&gt;=100000), " ",IF(INDEX($V$2:$AE$1001,MATCH(ROWS($O$2:O423),$O$2:$O$1001,0),MATCH(COLUMNS($V$1006:V1006),$V$1006:$AE$1006,0)), HYPERLINK("#",""), HYPERLINK(CONCATENATE("#Metadata!", ADDRESS(INDEX($Q$2:$Q$1001,MATCH(ROWS($O$2:O423),$O$2:$O$1001,0),0), INDEX($V$1004:$AE$1004,1,MATCH(COLUMNS($V$1006:V1006),$V$1006:$AE$1006,0)))),"Fix")))</f>
        <v>0</v>
      </c>
      <c r="C423" s="4">
        <f>IF(OR(INDEX($P$2:$P$1001,MATCH(ROWS($O$2:O423),$O$2:$O$1001,0),1)&gt;=100000,INDEX($V$1005:$AE$1005,1,MATCH(COLUMNS($V$1006:W1006),$V$1006:$AE$1006,0))&gt;=100000), " ",IF(INDEX($V$2:$AE$1001,MATCH(ROWS($O$2:O423),$O$2:$O$1001,0),MATCH(COLUMNS($V$1006:W1006),$V$1006:$AE$1006,0)), HYPERLINK("#",""), HYPERLINK(CONCATENATE("#Metadata!", ADDRESS(INDEX($Q$2:$Q$1001,MATCH(ROWS($O$2:O423),$O$2:$O$1001,0),0), INDEX($V$1004:$AE$1004,1,MATCH(COLUMNS($V$1006:W1006),$V$1006:$AE$1006,0)))),"Fix")))</f>
        <v>0</v>
      </c>
      <c r="D423" s="4">
        <f>IF(OR(INDEX($P$2:$P$1001,MATCH(ROWS($O$2:O423),$O$2:$O$1001,0),1)&gt;=100000,INDEX($V$1005:$AE$1005,1,MATCH(COLUMNS($V$1006:X1006),$V$1006:$AE$1006,0))&gt;=100000), " ",IF(INDEX($V$2:$AE$1001,MATCH(ROWS($O$2:O423),$O$2:$O$1001,0),MATCH(COLUMNS($V$1006:X1006),$V$1006:$AE$1006,0)), HYPERLINK("#",""), HYPERLINK(CONCATENATE("#Metadata!", ADDRESS(INDEX($Q$2:$Q$1001,MATCH(ROWS($O$2:O423),$O$2:$O$1001,0),0), INDEX($V$1004:$AE$1004,1,MATCH(COLUMNS($V$1006:X1006),$V$1006:$AE$1006,0)))),"Fix")))</f>
        <v>0</v>
      </c>
      <c r="E423" s="4">
        <f>IF(OR(INDEX($P$2:$P$1001,MATCH(ROWS($O$2:O423),$O$2:$O$1001,0),1)&gt;=100000,INDEX($V$1005:$AE$1005,1,MATCH(COLUMNS($V$1006:Y1006),$V$1006:$AE$1006,0))&gt;=100000), " ",IF(INDEX($V$2:$AE$1001,MATCH(ROWS($O$2:O423),$O$2:$O$1001,0),MATCH(COLUMNS($V$1006:Y1006),$V$1006:$AE$1006,0)), HYPERLINK("#",""), HYPERLINK(CONCATENATE("#Metadata!", ADDRESS(INDEX($Q$2:$Q$1001,MATCH(ROWS($O$2:O423),$O$2:$O$1001,0),0), INDEX($V$1004:$AE$1004,1,MATCH(COLUMNS($V$1006:Y1006),$V$1006:$AE$1006,0)))),"Fix")))</f>
        <v>0</v>
      </c>
      <c r="F423" s="4">
        <f>IF(OR(INDEX($P$2:$P$1001,MATCH(ROWS($O$2:O423),$O$2:$O$1001,0),1)&gt;=100000,INDEX($V$1005:$AE$1005,1,MATCH(COLUMNS($V$1006:Z1006),$V$1006:$AE$1006,0))&gt;=100000), " ",IF(INDEX($V$2:$AE$1001,MATCH(ROWS($O$2:O423),$O$2:$O$1001,0),MATCH(COLUMNS($V$1006:Z1006),$V$1006:$AE$1006,0)), HYPERLINK("#",""), HYPERLINK(CONCATENATE("#Metadata!", ADDRESS(INDEX($Q$2:$Q$1001,MATCH(ROWS($O$2:O423),$O$2:$O$1001,0),0), INDEX($V$1004:$AE$1004,1,MATCH(COLUMNS($V$1006:Z1006),$V$1006:$AE$1006,0)))),"Fix")))</f>
        <v>0</v>
      </c>
      <c r="G423" s="4">
        <f>IF(OR(INDEX($P$2:$P$1001,MATCH(ROWS($O$2:O423),$O$2:$O$1001,0),1)&gt;=100000,INDEX($V$1005:$AE$1005,1,MATCH(COLUMNS($V$1006:AA1006),$V$1006:$AE$1006,0))&gt;=100000), " ",IF(INDEX($V$2:$AE$1001,MATCH(ROWS($O$2:O423),$O$2:$O$1001,0),MATCH(COLUMNS($V$1006:AA1006),$V$1006:$AE$1006,0)), HYPERLINK("#",""), HYPERLINK(CONCATENATE("#Metadata!", ADDRESS(INDEX($Q$2:$Q$1001,MATCH(ROWS($O$2:O423),$O$2:$O$1001,0),0), INDEX($V$1004:$AE$1004,1,MATCH(COLUMNS($V$1006:AA1006),$V$1006:$AE$1006,0)))),"Fix")))</f>
        <v>0</v>
      </c>
      <c r="H423" s="4">
        <f>IF(OR(INDEX($P$2:$P$1001,MATCH(ROWS($O$2:O423),$O$2:$O$1001,0),1)&gt;=100000,INDEX($V$1005:$AE$1005,1,MATCH(COLUMNS($V$1006:AB1006),$V$1006:$AE$1006,0))&gt;=100000), " ",IF(INDEX($V$2:$AE$1001,MATCH(ROWS($O$2:O423),$O$2:$O$1001,0),MATCH(COLUMNS($V$1006:AB1006),$V$1006:$AE$1006,0)), HYPERLINK("#",""), HYPERLINK(CONCATENATE("#Metadata!", ADDRESS(INDEX($Q$2:$Q$1001,MATCH(ROWS($O$2:O423),$O$2:$O$1001,0),0), INDEX($V$1004:$AE$1004,1,MATCH(COLUMNS($V$1006:AB1006),$V$1006:$AE$1006,0)))),"Fix")))</f>
        <v>0</v>
      </c>
      <c r="I423" s="4">
        <f>IF(OR(INDEX($P$2:$P$1001,MATCH(ROWS($O$2:O423),$O$2:$O$1001,0),1)&gt;=100000,INDEX($V$1005:$AE$1005,1,MATCH(COLUMNS($V$1006:AC1006),$V$1006:$AE$1006,0))&gt;=100000), " ",IF(INDEX($V$2:$AE$1001,MATCH(ROWS($O$2:O423),$O$2:$O$1001,0),MATCH(COLUMNS($V$1006:AC1006),$V$1006:$AE$1006,0)), HYPERLINK("#",""), HYPERLINK(CONCATENATE("#Metadata!", ADDRESS(INDEX($Q$2:$Q$1001,MATCH(ROWS($O$2:O423),$O$2:$O$1001,0),0), INDEX($V$1004:$AE$1004,1,MATCH(COLUMNS($V$1006:AC1006),$V$1006:$AE$1006,0)))),"Fix")))</f>
        <v>0</v>
      </c>
      <c r="J423" s="4">
        <f>IF(OR(INDEX($P$2:$P$1001,MATCH(ROWS($O$2:O423),$O$2:$O$1001,0),1)&gt;=100000,INDEX($V$1005:$AE$1005,1,MATCH(COLUMNS($V$1006:AD1006),$V$1006:$AE$1006,0))&gt;=100000), " ",IF(INDEX($V$2:$AE$1001,MATCH(ROWS($O$2:O423),$O$2:$O$1001,0),MATCH(COLUMNS($V$1006:AD1006),$V$1006:$AE$1006,0)), HYPERLINK("#",""), HYPERLINK(CONCATENATE("#Metadata!", ADDRESS(INDEX($Q$2:$Q$1001,MATCH(ROWS($O$2:O423),$O$2:$O$1001,0),0), INDEX($V$1004:$AE$1004,1,MATCH(COLUMNS($V$1006:AD1006),$V$1006:$AE$1006,0)))),"Fix")))</f>
        <v>0</v>
      </c>
      <c r="K423" s="4">
        <f>IF(OR(INDEX($P$2:$P$1001,MATCH(ROWS($O$2:O423),$O$2:$O$1001,0),1)&gt;=100000,INDEX($V$1005:$AE$1005,1,MATCH(COLUMNS($V$1006:AE1006),$V$1006:$AE$1006,0))&gt;=100000), " ",IF(INDEX($V$2:$AE$1001,MATCH(ROWS($O$2:O423),$O$2:$O$1001,0),MATCH(COLUMNS($V$1006:AE1006),$V$1006:$AE$1006,0)), HYPERLINK("#",""), HYPERLINK(CONCATENATE("#Metadata!", ADDRESS(INDEX($Q$2:$Q$1001,MATCH(ROWS($O$2:O423),$O$2:$O$1001,0),0), INDEX($V$1004:$AE$1004,1,MATCH(COLUMNS($V$1006:AE1006),$V$1006:$AE$1006,0)))),"Fix")))</f>
        <v>0</v>
      </c>
      <c r="O423">
        <v>0</v>
      </c>
      <c r="P423">
        <v>0</v>
      </c>
      <c r="Q423">
        <v>0</v>
      </c>
      <c r="R423">
        <f>IF(S423,TRUE,AND(V423:AE423))</f>
        <v>0</v>
      </c>
      <c r="S423">
        <f>COUNTBLANK(Metadata!B423:K423)=COLUMNS(Metadata!B423:K423)</f>
        <v>0</v>
      </c>
      <c r="T423">
        <v>0</v>
      </c>
      <c r="V423">
        <f>AND(IF(Metadata!B423="",FALSE,TRUE),COUNTIF(Metadata!B:B, Metadata!B423) = 1,NOT(ISERROR(SUMPRODUCT(SEARCH(MID(Metadata!B423,ROW(INDIRECT("1:"&amp;LEN(Metadata!B423))), 1),"0123456789abcdefghijklmnopqrstuvwxyzABCDEFGHIJKLMNOPQRSTUVWXYZ.")))))</f>
        <v>0</v>
      </c>
      <c r="W423">
        <f>AND(IF(Metadata!C423="",FALSE,TRUE),exact(Metadata!C423,"urban biome"))</f>
        <v>0</v>
      </c>
      <c r="X423">
        <f>AND(IF(Metadata!D423="",FALSE,TRUE),exact(Metadata!D423,"animal-associated habitat"))</f>
        <v>0</v>
      </c>
      <c r="Y423">
        <f>OR(AND(IF(Metadata!E423="",FALSE,TRUE),OR(exact(Metadata!E423,"not applicable"),exact(Metadata!E423,"missing: not collected"),exact(Metadata!E423,"missing: not provided"),exact(Metadata!E423,"missing: restricted access"))),AND(IF(Metadata!E423="",FALSE,ISNUMBER(VALUE(Metadata!E423))),Metadata!E423&gt;0))</f>
        <v>0</v>
      </c>
      <c r="Z423">
        <f>AND(IF(Metadata!F423="",FALSE,TRUE),exact(Metadata!F423,"weeks"))</f>
        <v>0</v>
      </c>
      <c r="AA423">
        <f>AND(IF(Metadata!G423="",FALSE,TRUE),exact(Metadata!G423,"mouse"))</f>
        <v>0</v>
      </c>
      <c r="AB423">
        <f>AND(IF(Metadata!H423="",FALSE,TRUE),exact(Metadata!H423,"Mus musculus"))</f>
        <v>0</v>
      </c>
      <c r="AC423">
        <f>AND(IF(Metadata!I423="",FALSE,TRUE),exact(Metadata!I423,"10090"))</f>
        <v>0</v>
      </c>
      <c r="AD423">
        <f>OR(AND(IF(Metadata!J423="",FALSE,TRUE),OR(exact(Metadata!J423,"not applicable"),exact(Metadata!J423,"missing: not collected"),exact(Metadata!J423,"missing: not provided"),exact(Metadata!J423,"missing: restricted access"))),AND(IF(Metadata!J423="",FALSE,ISNUMBER(VALUE(Metadata!J423))),Metadata!J423&gt;0))</f>
        <v>0</v>
      </c>
      <c r="AE423">
        <f>AND(IF(Metadata!K423="",FALSE,TRUE),exact(Metadata!K423,"g"))</f>
        <v>0</v>
      </c>
    </row>
    <row r="424" spans="1:31">
      <c r="A424" s="5">
        <f>IF(B424=" "," ",HYPERLINK(CONCATENATE("#metadata!",ADDRESS(INDEX($Q$2:$Q$1001,MATCH(ROWS($O$2:O424),$O$2:$O$1001,0),0),1)),INDEX($T$2:$T$1001,MATCH(ROWS($O$2:O424),$O$2:$O$1001,0),0)))</f>
        <v>0</v>
      </c>
      <c r="B424" s="4">
        <f>IF(OR(INDEX($P$2:$P$1001,MATCH(ROWS($O$2:O424),$O$2:$O$1001,0),1)&gt;=100000,INDEX($V$1005:$AE$1005,1,MATCH(COLUMNS($V$1006:V1006),$V$1006:$AE$1006,0))&gt;=100000), " ",IF(INDEX($V$2:$AE$1001,MATCH(ROWS($O$2:O424),$O$2:$O$1001,0),MATCH(COLUMNS($V$1006:V1006),$V$1006:$AE$1006,0)), HYPERLINK("#",""), HYPERLINK(CONCATENATE("#Metadata!", ADDRESS(INDEX($Q$2:$Q$1001,MATCH(ROWS($O$2:O424),$O$2:$O$1001,0),0), INDEX($V$1004:$AE$1004,1,MATCH(COLUMNS($V$1006:V1006),$V$1006:$AE$1006,0)))),"Fix")))</f>
        <v>0</v>
      </c>
      <c r="C424" s="4">
        <f>IF(OR(INDEX($P$2:$P$1001,MATCH(ROWS($O$2:O424),$O$2:$O$1001,0),1)&gt;=100000,INDEX($V$1005:$AE$1005,1,MATCH(COLUMNS($V$1006:W1006),$V$1006:$AE$1006,0))&gt;=100000), " ",IF(INDEX($V$2:$AE$1001,MATCH(ROWS($O$2:O424),$O$2:$O$1001,0),MATCH(COLUMNS($V$1006:W1006),$V$1006:$AE$1006,0)), HYPERLINK("#",""), HYPERLINK(CONCATENATE("#Metadata!", ADDRESS(INDEX($Q$2:$Q$1001,MATCH(ROWS($O$2:O424),$O$2:$O$1001,0),0), INDEX($V$1004:$AE$1004,1,MATCH(COLUMNS($V$1006:W1006),$V$1006:$AE$1006,0)))),"Fix")))</f>
        <v>0</v>
      </c>
      <c r="D424" s="4">
        <f>IF(OR(INDEX($P$2:$P$1001,MATCH(ROWS($O$2:O424),$O$2:$O$1001,0),1)&gt;=100000,INDEX($V$1005:$AE$1005,1,MATCH(COLUMNS($V$1006:X1006),$V$1006:$AE$1006,0))&gt;=100000), " ",IF(INDEX($V$2:$AE$1001,MATCH(ROWS($O$2:O424),$O$2:$O$1001,0),MATCH(COLUMNS($V$1006:X1006),$V$1006:$AE$1006,0)), HYPERLINK("#",""), HYPERLINK(CONCATENATE("#Metadata!", ADDRESS(INDEX($Q$2:$Q$1001,MATCH(ROWS($O$2:O424),$O$2:$O$1001,0),0), INDEX($V$1004:$AE$1004,1,MATCH(COLUMNS($V$1006:X1006),$V$1006:$AE$1006,0)))),"Fix")))</f>
        <v>0</v>
      </c>
      <c r="E424" s="4">
        <f>IF(OR(INDEX($P$2:$P$1001,MATCH(ROWS($O$2:O424),$O$2:$O$1001,0),1)&gt;=100000,INDEX($V$1005:$AE$1005,1,MATCH(COLUMNS($V$1006:Y1006),$V$1006:$AE$1006,0))&gt;=100000), " ",IF(INDEX($V$2:$AE$1001,MATCH(ROWS($O$2:O424),$O$2:$O$1001,0),MATCH(COLUMNS($V$1006:Y1006),$V$1006:$AE$1006,0)), HYPERLINK("#",""), HYPERLINK(CONCATENATE("#Metadata!", ADDRESS(INDEX($Q$2:$Q$1001,MATCH(ROWS($O$2:O424),$O$2:$O$1001,0),0), INDEX($V$1004:$AE$1004,1,MATCH(COLUMNS($V$1006:Y1006),$V$1006:$AE$1006,0)))),"Fix")))</f>
        <v>0</v>
      </c>
      <c r="F424" s="4">
        <f>IF(OR(INDEX($P$2:$P$1001,MATCH(ROWS($O$2:O424),$O$2:$O$1001,0),1)&gt;=100000,INDEX($V$1005:$AE$1005,1,MATCH(COLUMNS($V$1006:Z1006),$V$1006:$AE$1006,0))&gt;=100000), " ",IF(INDEX($V$2:$AE$1001,MATCH(ROWS($O$2:O424),$O$2:$O$1001,0),MATCH(COLUMNS($V$1006:Z1006),$V$1006:$AE$1006,0)), HYPERLINK("#",""), HYPERLINK(CONCATENATE("#Metadata!", ADDRESS(INDEX($Q$2:$Q$1001,MATCH(ROWS($O$2:O424),$O$2:$O$1001,0),0), INDEX($V$1004:$AE$1004,1,MATCH(COLUMNS($V$1006:Z1006),$V$1006:$AE$1006,0)))),"Fix")))</f>
        <v>0</v>
      </c>
      <c r="G424" s="4">
        <f>IF(OR(INDEX($P$2:$P$1001,MATCH(ROWS($O$2:O424),$O$2:$O$1001,0),1)&gt;=100000,INDEX($V$1005:$AE$1005,1,MATCH(COLUMNS($V$1006:AA1006),$V$1006:$AE$1006,0))&gt;=100000), " ",IF(INDEX($V$2:$AE$1001,MATCH(ROWS($O$2:O424),$O$2:$O$1001,0),MATCH(COLUMNS($V$1006:AA1006),$V$1006:$AE$1006,0)), HYPERLINK("#",""), HYPERLINK(CONCATENATE("#Metadata!", ADDRESS(INDEX($Q$2:$Q$1001,MATCH(ROWS($O$2:O424),$O$2:$O$1001,0),0), INDEX($V$1004:$AE$1004,1,MATCH(COLUMNS($V$1006:AA1006),$V$1006:$AE$1006,0)))),"Fix")))</f>
        <v>0</v>
      </c>
      <c r="H424" s="4">
        <f>IF(OR(INDEX($P$2:$P$1001,MATCH(ROWS($O$2:O424),$O$2:$O$1001,0),1)&gt;=100000,INDEX($V$1005:$AE$1005,1,MATCH(COLUMNS($V$1006:AB1006),$V$1006:$AE$1006,0))&gt;=100000), " ",IF(INDEX($V$2:$AE$1001,MATCH(ROWS($O$2:O424),$O$2:$O$1001,0),MATCH(COLUMNS($V$1006:AB1006),$V$1006:$AE$1006,0)), HYPERLINK("#",""), HYPERLINK(CONCATENATE("#Metadata!", ADDRESS(INDEX($Q$2:$Q$1001,MATCH(ROWS($O$2:O424),$O$2:$O$1001,0),0), INDEX($V$1004:$AE$1004,1,MATCH(COLUMNS($V$1006:AB1006),$V$1006:$AE$1006,0)))),"Fix")))</f>
        <v>0</v>
      </c>
      <c r="I424" s="4">
        <f>IF(OR(INDEX($P$2:$P$1001,MATCH(ROWS($O$2:O424),$O$2:$O$1001,0),1)&gt;=100000,INDEX($V$1005:$AE$1005,1,MATCH(COLUMNS($V$1006:AC1006),$V$1006:$AE$1006,0))&gt;=100000), " ",IF(INDEX($V$2:$AE$1001,MATCH(ROWS($O$2:O424),$O$2:$O$1001,0),MATCH(COLUMNS($V$1006:AC1006),$V$1006:$AE$1006,0)), HYPERLINK("#",""), HYPERLINK(CONCATENATE("#Metadata!", ADDRESS(INDEX($Q$2:$Q$1001,MATCH(ROWS($O$2:O424),$O$2:$O$1001,0),0), INDEX($V$1004:$AE$1004,1,MATCH(COLUMNS($V$1006:AC1006),$V$1006:$AE$1006,0)))),"Fix")))</f>
        <v>0</v>
      </c>
      <c r="J424" s="4">
        <f>IF(OR(INDEX($P$2:$P$1001,MATCH(ROWS($O$2:O424),$O$2:$O$1001,0),1)&gt;=100000,INDEX($V$1005:$AE$1005,1,MATCH(COLUMNS($V$1006:AD1006),$V$1006:$AE$1006,0))&gt;=100000), " ",IF(INDEX($V$2:$AE$1001,MATCH(ROWS($O$2:O424),$O$2:$O$1001,0),MATCH(COLUMNS($V$1006:AD1006),$V$1006:$AE$1006,0)), HYPERLINK("#",""), HYPERLINK(CONCATENATE("#Metadata!", ADDRESS(INDEX($Q$2:$Q$1001,MATCH(ROWS($O$2:O424),$O$2:$O$1001,0),0), INDEX($V$1004:$AE$1004,1,MATCH(COLUMNS($V$1006:AD1006),$V$1006:$AE$1006,0)))),"Fix")))</f>
        <v>0</v>
      </c>
      <c r="K424" s="4">
        <f>IF(OR(INDEX($P$2:$P$1001,MATCH(ROWS($O$2:O424),$O$2:$O$1001,0),1)&gt;=100000,INDEX($V$1005:$AE$1005,1,MATCH(COLUMNS($V$1006:AE1006),$V$1006:$AE$1006,0))&gt;=100000), " ",IF(INDEX($V$2:$AE$1001,MATCH(ROWS($O$2:O424),$O$2:$O$1001,0),MATCH(COLUMNS($V$1006:AE1006),$V$1006:$AE$1006,0)), HYPERLINK("#",""), HYPERLINK(CONCATENATE("#Metadata!", ADDRESS(INDEX($Q$2:$Q$1001,MATCH(ROWS($O$2:O424),$O$2:$O$1001,0),0), INDEX($V$1004:$AE$1004,1,MATCH(COLUMNS($V$1006:AE1006),$V$1006:$AE$1006,0)))),"Fix")))</f>
        <v>0</v>
      </c>
      <c r="O424">
        <v>0</v>
      </c>
      <c r="P424">
        <v>0</v>
      </c>
      <c r="Q424">
        <v>0</v>
      </c>
      <c r="R424">
        <f>IF(S424,TRUE,AND(V424:AE424))</f>
        <v>0</v>
      </c>
      <c r="S424">
        <f>COUNTBLANK(Metadata!B424:K424)=COLUMNS(Metadata!B424:K424)</f>
        <v>0</v>
      </c>
      <c r="T424">
        <v>0</v>
      </c>
      <c r="V424">
        <f>AND(IF(Metadata!B424="",FALSE,TRUE),COUNTIF(Metadata!B:B, Metadata!B424) = 1,NOT(ISERROR(SUMPRODUCT(SEARCH(MID(Metadata!B424,ROW(INDIRECT("1:"&amp;LEN(Metadata!B424))), 1),"0123456789abcdefghijklmnopqrstuvwxyzABCDEFGHIJKLMNOPQRSTUVWXYZ.")))))</f>
        <v>0</v>
      </c>
      <c r="W424">
        <f>AND(IF(Metadata!C424="",FALSE,TRUE),exact(Metadata!C424,"urban biome"))</f>
        <v>0</v>
      </c>
      <c r="X424">
        <f>AND(IF(Metadata!D424="",FALSE,TRUE),exact(Metadata!D424,"animal-associated habitat"))</f>
        <v>0</v>
      </c>
      <c r="Y424">
        <f>OR(AND(IF(Metadata!E424="",FALSE,TRUE),OR(exact(Metadata!E424,"not applicable"),exact(Metadata!E424,"missing: not collected"),exact(Metadata!E424,"missing: not provided"),exact(Metadata!E424,"missing: restricted access"))),AND(IF(Metadata!E424="",FALSE,ISNUMBER(VALUE(Metadata!E424))),Metadata!E424&gt;0))</f>
        <v>0</v>
      </c>
      <c r="Z424">
        <f>AND(IF(Metadata!F424="",FALSE,TRUE),exact(Metadata!F424,"weeks"))</f>
        <v>0</v>
      </c>
      <c r="AA424">
        <f>AND(IF(Metadata!G424="",FALSE,TRUE),exact(Metadata!G424,"mouse"))</f>
        <v>0</v>
      </c>
      <c r="AB424">
        <f>AND(IF(Metadata!H424="",FALSE,TRUE),exact(Metadata!H424,"Mus musculus"))</f>
        <v>0</v>
      </c>
      <c r="AC424">
        <f>AND(IF(Metadata!I424="",FALSE,TRUE),exact(Metadata!I424,"10090"))</f>
        <v>0</v>
      </c>
      <c r="AD424">
        <f>OR(AND(IF(Metadata!J424="",FALSE,TRUE),OR(exact(Metadata!J424,"not applicable"),exact(Metadata!J424,"missing: not collected"),exact(Metadata!J424,"missing: not provided"),exact(Metadata!J424,"missing: restricted access"))),AND(IF(Metadata!J424="",FALSE,ISNUMBER(VALUE(Metadata!J424))),Metadata!J424&gt;0))</f>
        <v>0</v>
      </c>
      <c r="AE424">
        <f>AND(IF(Metadata!K424="",FALSE,TRUE),exact(Metadata!K424,"g"))</f>
        <v>0</v>
      </c>
    </row>
    <row r="425" spans="1:31">
      <c r="A425" s="5">
        <f>IF(B425=" "," ",HYPERLINK(CONCATENATE("#metadata!",ADDRESS(INDEX($Q$2:$Q$1001,MATCH(ROWS($O$2:O425),$O$2:$O$1001,0),0),1)),INDEX($T$2:$T$1001,MATCH(ROWS($O$2:O425),$O$2:$O$1001,0),0)))</f>
        <v>0</v>
      </c>
      <c r="B425" s="4">
        <f>IF(OR(INDEX($P$2:$P$1001,MATCH(ROWS($O$2:O425),$O$2:$O$1001,0),1)&gt;=100000,INDEX($V$1005:$AE$1005,1,MATCH(COLUMNS($V$1006:V1006),$V$1006:$AE$1006,0))&gt;=100000), " ",IF(INDEX($V$2:$AE$1001,MATCH(ROWS($O$2:O425),$O$2:$O$1001,0),MATCH(COLUMNS($V$1006:V1006),$V$1006:$AE$1006,0)), HYPERLINK("#",""), HYPERLINK(CONCATENATE("#Metadata!", ADDRESS(INDEX($Q$2:$Q$1001,MATCH(ROWS($O$2:O425),$O$2:$O$1001,0),0), INDEX($V$1004:$AE$1004,1,MATCH(COLUMNS($V$1006:V1006),$V$1006:$AE$1006,0)))),"Fix")))</f>
        <v>0</v>
      </c>
      <c r="C425" s="4">
        <f>IF(OR(INDEX($P$2:$P$1001,MATCH(ROWS($O$2:O425),$O$2:$O$1001,0),1)&gt;=100000,INDEX($V$1005:$AE$1005,1,MATCH(COLUMNS($V$1006:W1006),$V$1006:$AE$1006,0))&gt;=100000), " ",IF(INDEX($V$2:$AE$1001,MATCH(ROWS($O$2:O425),$O$2:$O$1001,0),MATCH(COLUMNS($V$1006:W1006),$V$1006:$AE$1006,0)), HYPERLINK("#",""), HYPERLINK(CONCATENATE("#Metadata!", ADDRESS(INDEX($Q$2:$Q$1001,MATCH(ROWS($O$2:O425),$O$2:$O$1001,0),0), INDEX($V$1004:$AE$1004,1,MATCH(COLUMNS($V$1006:W1006),$V$1006:$AE$1006,0)))),"Fix")))</f>
        <v>0</v>
      </c>
      <c r="D425" s="4">
        <f>IF(OR(INDEX($P$2:$P$1001,MATCH(ROWS($O$2:O425),$O$2:$O$1001,0),1)&gt;=100000,INDEX($V$1005:$AE$1005,1,MATCH(COLUMNS($V$1006:X1006),$V$1006:$AE$1006,0))&gt;=100000), " ",IF(INDEX($V$2:$AE$1001,MATCH(ROWS($O$2:O425),$O$2:$O$1001,0),MATCH(COLUMNS($V$1006:X1006),$V$1006:$AE$1006,0)), HYPERLINK("#",""), HYPERLINK(CONCATENATE("#Metadata!", ADDRESS(INDEX($Q$2:$Q$1001,MATCH(ROWS($O$2:O425),$O$2:$O$1001,0),0), INDEX($V$1004:$AE$1004,1,MATCH(COLUMNS($V$1006:X1006),$V$1006:$AE$1006,0)))),"Fix")))</f>
        <v>0</v>
      </c>
      <c r="E425" s="4">
        <f>IF(OR(INDEX($P$2:$P$1001,MATCH(ROWS($O$2:O425),$O$2:$O$1001,0),1)&gt;=100000,INDEX($V$1005:$AE$1005,1,MATCH(COLUMNS($V$1006:Y1006),$V$1006:$AE$1006,0))&gt;=100000), " ",IF(INDEX($V$2:$AE$1001,MATCH(ROWS($O$2:O425),$O$2:$O$1001,0),MATCH(COLUMNS($V$1006:Y1006),$V$1006:$AE$1006,0)), HYPERLINK("#",""), HYPERLINK(CONCATENATE("#Metadata!", ADDRESS(INDEX($Q$2:$Q$1001,MATCH(ROWS($O$2:O425),$O$2:$O$1001,0),0), INDEX($V$1004:$AE$1004,1,MATCH(COLUMNS($V$1006:Y1006),$V$1006:$AE$1006,0)))),"Fix")))</f>
        <v>0</v>
      </c>
      <c r="F425" s="4">
        <f>IF(OR(INDEX($P$2:$P$1001,MATCH(ROWS($O$2:O425),$O$2:$O$1001,0),1)&gt;=100000,INDEX($V$1005:$AE$1005,1,MATCH(COLUMNS($V$1006:Z1006),$V$1006:$AE$1006,0))&gt;=100000), " ",IF(INDEX($V$2:$AE$1001,MATCH(ROWS($O$2:O425),$O$2:$O$1001,0),MATCH(COLUMNS($V$1006:Z1006),$V$1006:$AE$1006,0)), HYPERLINK("#",""), HYPERLINK(CONCATENATE("#Metadata!", ADDRESS(INDEX($Q$2:$Q$1001,MATCH(ROWS($O$2:O425),$O$2:$O$1001,0),0), INDEX($V$1004:$AE$1004,1,MATCH(COLUMNS($V$1006:Z1006),$V$1006:$AE$1006,0)))),"Fix")))</f>
        <v>0</v>
      </c>
      <c r="G425" s="4">
        <f>IF(OR(INDEX($P$2:$P$1001,MATCH(ROWS($O$2:O425),$O$2:$O$1001,0),1)&gt;=100000,INDEX($V$1005:$AE$1005,1,MATCH(COLUMNS($V$1006:AA1006),$V$1006:$AE$1006,0))&gt;=100000), " ",IF(INDEX($V$2:$AE$1001,MATCH(ROWS($O$2:O425),$O$2:$O$1001,0),MATCH(COLUMNS($V$1006:AA1006),$V$1006:$AE$1006,0)), HYPERLINK("#",""), HYPERLINK(CONCATENATE("#Metadata!", ADDRESS(INDEX($Q$2:$Q$1001,MATCH(ROWS($O$2:O425),$O$2:$O$1001,0),0), INDEX($V$1004:$AE$1004,1,MATCH(COLUMNS($V$1006:AA1006),$V$1006:$AE$1006,0)))),"Fix")))</f>
        <v>0</v>
      </c>
      <c r="H425" s="4">
        <f>IF(OR(INDEX($P$2:$P$1001,MATCH(ROWS($O$2:O425),$O$2:$O$1001,0),1)&gt;=100000,INDEX($V$1005:$AE$1005,1,MATCH(COLUMNS($V$1006:AB1006),$V$1006:$AE$1006,0))&gt;=100000), " ",IF(INDEX($V$2:$AE$1001,MATCH(ROWS($O$2:O425),$O$2:$O$1001,0),MATCH(COLUMNS($V$1006:AB1006),$V$1006:$AE$1006,0)), HYPERLINK("#",""), HYPERLINK(CONCATENATE("#Metadata!", ADDRESS(INDEX($Q$2:$Q$1001,MATCH(ROWS($O$2:O425),$O$2:$O$1001,0),0), INDEX($V$1004:$AE$1004,1,MATCH(COLUMNS($V$1006:AB1006),$V$1006:$AE$1006,0)))),"Fix")))</f>
        <v>0</v>
      </c>
      <c r="I425" s="4">
        <f>IF(OR(INDEX($P$2:$P$1001,MATCH(ROWS($O$2:O425),$O$2:$O$1001,0),1)&gt;=100000,INDEX($V$1005:$AE$1005,1,MATCH(COLUMNS($V$1006:AC1006),$V$1006:$AE$1006,0))&gt;=100000), " ",IF(INDEX($V$2:$AE$1001,MATCH(ROWS($O$2:O425),$O$2:$O$1001,0),MATCH(COLUMNS($V$1006:AC1006),$V$1006:$AE$1006,0)), HYPERLINK("#",""), HYPERLINK(CONCATENATE("#Metadata!", ADDRESS(INDEX($Q$2:$Q$1001,MATCH(ROWS($O$2:O425),$O$2:$O$1001,0),0), INDEX($V$1004:$AE$1004,1,MATCH(COLUMNS($V$1006:AC1006),$V$1006:$AE$1006,0)))),"Fix")))</f>
        <v>0</v>
      </c>
      <c r="J425" s="4">
        <f>IF(OR(INDEX($P$2:$P$1001,MATCH(ROWS($O$2:O425),$O$2:$O$1001,0),1)&gt;=100000,INDEX($V$1005:$AE$1005,1,MATCH(COLUMNS($V$1006:AD1006),$V$1006:$AE$1006,0))&gt;=100000), " ",IF(INDEX($V$2:$AE$1001,MATCH(ROWS($O$2:O425),$O$2:$O$1001,0),MATCH(COLUMNS($V$1006:AD1006),$V$1006:$AE$1006,0)), HYPERLINK("#",""), HYPERLINK(CONCATENATE("#Metadata!", ADDRESS(INDEX($Q$2:$Q$1001,MATCH(ROWS($O$2:O425),$O$2:$O$1001,0),0), INDEX($V$1004:$AE$1004,1,MATCH(COLUMNS($V$1006:AD1006),$V$1006:$AE$1006,0)))),"Fix")))</f>
        <v>0</v>
      </c>
      <c r="K425" s="4">
        <f>IF(OR(INDEX($P$2:$P$1001,MATCH(ROWS($O$2:O425),$O$2:$O$1001,0),1)&gt;=100000,INDEX($V$1005:$AE$1005,1,MATCH(COLUMNS($V$1006:AE1006),$V$1006:$AE$1006,0))&gt;=100000), " ",IF(INDEX($V$2:$AE$1001,MATCH(ROWS($O$2:O425),$O$2:$O$1001,0),MATCH(COLUMNS($V$1006:AE1006),$V$1006:$AE$1006,0)), HYPERLINK("#",""), HYPERLINK(CONCATENATE("#Metadata!", ADDRESS(INDEX($Q$2:$Q$1001,MATCH(ROWS($O$2:O425),$O$2:$O$1001,0),0), INDEX($V$1004:$AE$1004,1,MATCH(COLUMNS($V$1006:AE1006),$V$1006:$AE$1006,0)))),"Fix")))</f>
        <v>0</v>
      </c>
      <c r="O425">
        <v>0</v>
      </c>
      <c r="P425">
        <v>0</v>
      </c>
      <c r="Q425">
        <v>0</v>
      </c>
      <c r="R425">
        <f>IF(S425,TRUE,AND(V425:AE425))</f>
        <v>0</v>
      </c>
      <c r="S425">
        <f>COUNTBLANK(Metadata!B425:K425)=COLUMNS(Metadata!B425:K425)</f>
        <v>0</v>
      </c>
      <c r="T425">
        <v>0</v>
      </c>
      <c r="V425">
        <f>AND(IF(Metadata!B425="",FALSE,TRUE),COUNTIF(Metadata!B:B, Metadata!B425) = 1,NOT(ISERROR(SUMPRODUCT(SEARCH(MID(Metadata!B425,ROW(INDIRECT("1:"&amp;LEN(Metadata!B425))), 1),"0123456789abcdefghijklmnopqrstuvwxyzABCDEFGHIJKLMNOPQRSTUVWXYZ.")))))</f>
        <v>0</v>
      </c>
      <c r="W425">
        <f>AND(IF(Metadata!C425="",FALSE,TRUE),exact(Metadata!C425,"urban biome"))</f>
        <v>0</v>
      </c>
      <c r="X425">
        <f>AND(IF(Metadata!D425="",FALSE,TRUE),exact(Metadata!D425,"animal-associated habitat"))</f>
        <v>0</v>
      </c>
      <c r="Y425">
        <f>OR(AND(IF(Metadata!E425="",FALSE,TRUE),OR(exact(Metadata!E425,"not applicable"),exact(Metadata!E425,"missing: not collected"),exact(Metadata!E425,"missing: not provided"),exact(Metadata!E425,"missing: restricted access"))),AND(IF(Metadata!E425="",FALSE,ISNUMBER(VALUE(Metadata!E425))),Metadata!E425&gt;0))</f>
        <v>0</v>
      </c>
      <c r="Z425">
        <f>AND(IF(Metadata!F425="",FALSE,TRUE),exact(Metadata!F425,"weeks"))</f>
        <v>0</v>
      </c>
      <c r="AA425">
        <f>AND(IF(Metadata!G425="",FALSE,TRUE),exact(Metadata!G425,"mouse"))</f>
        <v>0</v>
      </c>
      <c r="AB425">
        <f>AND(IF(Metadata!H425="",FALSE,TRUE),exact(Metadata!H425,"Mus musculus"))</f>
        <v>0</v>
      </c>
      <c r="AC425">
        <f>AND(IF(Metadata!I425="",FALSE,TRUE),exact(Metadata!I425,"10090"))</f>
        <v>0</v>
      </c>
      <c r="AD425">
        <f>OR(AND(IF(Metadata!J425="",FALSE,TRUE),OR(exact(Metadata!J425,"not applicable"),exact(Metadata!J425,"missing: not collected"),exact(Metadata!J425,"missing: not provided"),exact(Metadata!J425,"missing: restricted access"))),AND(IF(Metadata!J425="",FALSE,ISNUMBER(VALUE(Metadata!J425))),Metadata!J425&gt;0))</f>
        <v>0</v>
      </c>
      <c r="AE425">
        <f>AND(IF(Metadata!K425="",FALSE,TRUE),exact(Metadata!K425,"g"))</f>
        <v>0</v>
      </c>
    </row>
    <row r="426" spans="1:31">
      <c r="A426" s="5">
        <f>IF(B426=" "," ",HYPERLINK(CONCATENATE("#metadata!",ADDRESS(INDEX($Q$2:$Q$1001,MATCH(ROWS($O$2:O426),$O$2:$O$1001,0),0),1)),INDEX($T$2:$T$1001,MATCH(ROWS($O$2:O426),$O$2:$O$1001,0),0)))</f>
        <v>0</v>
      </c>
      <c r="B426" s="4">
        <f>IF(OR(INDEX($P$2:$P$1001,MATCH(ROWS($O$2:O426),$O$2:$O$1001,0),1)&gt;=100000,INDEX($V$1005:$AE$1005,1,MATCH(COLUMNS($V$1006:V1006),$V$1006:$AE$1006,0))&gt;=100000), " ",IF(INDEX($V$2:$AE$1001,MATCH(ROWS($O$2:O426),$O$2:$O$1001,0),MATCH(COLUMNS($V$1006:V1006),$V$1006:$AE$1006,0)), HYPERLINK("#",""), HYPERLINK(CONCATENATE("#Metadata!", ADDRESS(INDEX($Q$2:$Q$1001,MATCH(ROWS($O$2:O426),$O$2:$O$1001,0),0), INDEX($V$1004:$AE$1004,1,MATCH(COLUMNS($V$1006:V1006),$V$1006:$AE$1006,0)))),"Fix")))</f>
        <v>0</v>
      </c>
      <c r="C426" s="4">
        <f>IF(OR(INDEX($P$2:$P$1001,MATCH(ROWS($O$2:O426),$O$2:$O$1001,0),1)&gt;=100000,INDEX($V$1005:$AE$1005,1,MATCH(COLUMNS($V$1006:W1006),$V$1006:$AE$1006,0))&gt;=100000), " ",IF(INDEX($V$2:$AE$1001,MATCH(ROWS($O$2:O426),$O$2:$O$1001,0),MATCH(COLUMNS($V$1006:W1006),$V$1006:$AE$1006,0)), HYPERLINK("#",""), HYPERLINK(CONCATENATE("#Metadata!", ADDRESS(INDEX($Q$2:$Q$1001,MATCH(ROWS($O$2:O426),$O$2:$O$1001,0),0), INDEX($V$1004:$AE$1004,1,MATCH(COLUMNS($V$1006:W1006),$V$1006:$AE$1006,0)))),"Fix")))</f>
        <v>0</v>
      </c>
      <c r="D426" s="4">
        <f>IF(OR(INDEX($P$2:$P$1001,MATCH(ROWS($O$2:O426),$O$2:$O$1001,0),1)&gt;=100000,INDEX($V$1005:$AE$1005,1,MATCH(COLUMNS($V$1006:X1006),$V$1006:$AE$1006,0))&gt;=100000), " ",IF(INDEX($V$2:$AE$1001,MATCH(ROWS($O$2:O426),$O$2:$O$1001,0),MATCH(COLUMNS($V$1006:X1006),$V$1006:$AE$1006,0)), HYPERLINK("#",""), HYPERLINK(CONCATENATE("#Metadata!", ADDRESS(INDEX($Q$2:$Q$1001,MATCH(ROWS($O$2:O426),$O$2:$O$1001,0),0), INDEX($V$1004:$AE$1004,1,MATCH(COLUMNS($V$1006:X1006),$V$1006:$AE$1006,0)))),"Fix")))</f>
        <v>0</v>
      </c>
      <c r="E426" s="4">
        <f>IF(OR(INDEX($P$2:$P$1001,MATCH(ROWS($O$2:O426),$O$2:$O$1001,0),1)&gt;=100000,INDEX($V$1005:$AE$1005,1,MATCH(COLUMNS($V$1006:Y1006),$V$1006:$AE$1006,0))&gt;=100000), " ",IF(INDEX($V$2:$AE$1001,MATCH(ROWS($O$2:O426),$O$2:$O$1001,0),MATCH(COLUMNS($V$1006:Y1006),$V$1006:$AE$1006,0)), HYPERLINK("#",""), HYPERLINK(CONCATENATE("#Metadata!", ADDRESS(INDEX($Q$2:$Q$1001,MATCH(ROWS($O$2:O426),$O$2:$O$1001,0),0), INDEX($V$1004:$AE$1004,1,MATCH(COLUMNS($V$1006:Y1006),$V$1006:$AE$1006,0)))),"Fix")))</f>
        <v>0</v>
      </c>
      <c r="F426" s="4">
        <f>IF(OR(INDEX($P$2:$P$1001,MATCH(ROWS($O$2:O426),$O$2:$O$1001,0),1)&gt;=100000,INDEX($V$1005:$AE$1005,1,MATCH(COLUMNS($V$1006:Z1006),$V$1006:$AE$1006,0))&gt;=100000), " ",IF(INDEX($V$2:$AE$1001,MATCH(ROWS($O$2:O426),$O$2:$O$1001,0),MATCH(COLUMNS($V$1006:Z1006),$V$1006:$AE$1006,0)), HYPERLINK("#",""), HYPERLINK(CONCATENATE("#Metadata!", ADDRESS(INDEX($Q$2:$Q$1001,MATCH(ROWS($O$2:O426),$O$2:$O$1001,0),0), INDEX($V$1004:$AE$1004,1,MATCH(COLUMNS($V$1006:Z1006),$V$1006:$AE$1006,0)))),"Fix")))</f>
        <v>0</v>
      </c>
      <c r="G426" s="4">
        <f>IF(OR(INDEX($P$2:$P$1001,MATCH(ROWS($O$2:O426),$O$2:$O$1001,0),1)&gt;=100000,INDEX($V$1005:$AE$1005,1,MATCH(COLUMNS($V$1006:AA1006),$V$1006:$AE$1006,0))&gt;=100000), " ",IF(INDEX($V$2:$AE$1001,MATCH(ROWS($O$2:O426),$O$2:$O$1001,0),MATCH(COLUMNS($V$1006:AA1006),$V$1006:$AE$1006,0)), HYPERLINK("#",""), HYPERLINK(CONCATENATE("#Metadata!", ADDRESS(INDEX($Q$2:$Q$1001,MATCH(ROWS($O$2:O426),$O$2:$O$1001,0),0), INDEX($V$1004:$AE$1004,1,MATCH(COLUMNS($V$1006:AA1006),$V$1006:$AE$1006,0)))),"Fix")))</f>
        <v>0</v>
      </c>
      <c r="H426" s="4">
        <f>IF(OR(INDEX($P$2:$P$1001,MATCH(ROWS($O$2:O426),$O$2:$O$1001,0),1)&gt;=100000,INDEX($V$1005:$AE$1005,1,MATCH(COLUMNS($V$1006:AB1006),$V$1006:$AE$1006,0))&gt;=100000), " ",IF(INDEX($V$2:$AE$1001,MATCH(ROWS($O$2:O426),$O$2:$O$1001,0),MATCH(COLUMNS($V$1006:AB1006),$V$1006:$AE$1006,0)), HYPERLINK("#",""), HYPERLINK(CONCATENATE("#Metadata!", ADDRESS(INDEX($Q$2:$Q$1001,MATCH(ROWS($O$2:O426),$O$2:$O$1001,0),0), INDEX($V$1004:$AE$1004,1,MATCH(COLUMNS($V$1006:AB1006),$V$1006:$AE$1006,0)))),"Fix")))</f>
        <v>0</v>
      </c>
      <c r="I426" s="4">
        <f>IF(OR(INDEX($P$2:$P$1001,MATCH(ROWS($O$2:O426),$O$2:$O$1001,0),1)&gt;=100000,INDEX($V$1005:$AE$1005,1,MATCH(COLUMNS($V$1006:AC1006),$V$1006:$AE$1006,0))&gt;=100000), " ",IF(INDEX($V$2:$AE$1001,MATCH(ROWS($O$2:O426),$O$2:$O$1001,0),MATCH(COLUMNS($V$1006:AC1006),$V$1006:$AE$1006,0)), HYPERLINK("#",""), HYPERLINK(CONCATENATE("#Metadata!", ADDRESS(INDEX($Q$2:$Q$1001,MATCH(ROWS($O$2:O426),$O$2:$O$1001,0),0), INDEX($V$1004:$AE$1004,1,MATCH(COLUMNS($V$1006:AC1006),$V$1006:$AE$1006,0)))),"Fix")))</f>
        <v>0</v>
      </c>
      <c r="J426" s="4">
        <f>IF(OR(INDEX($P$2:$P$1001,MATCH(ROWS($O$2:O426),$O$2:$O$1001,0),1)&gt;=100000,INDEX($V$1005:$AE$1005,1,MATCH(COLUMNS($V$1006:AD1006),$V$1006:$AE$1006,0))&gt;=100000), " ",IF(INDEX($V$2:$AE$1001,MATCH(ROWS($O$2:O426),$O$2:$O$1001,0),MATCH(COLUMNS($V$1006:AD1006),$V$1006:$AE$1006,0)), HYPERLINK("#",""), HYPERLINK(CONCATENATE("#Metadata!", ADDRESS(INDEX($Q$2:$Q$1001,MATCH(ROWS($O$2:O426),$O$2:$O$1001,0),0), INDEX($V$1004:$AE$1004,1,MATCH(COLUMNS($V$1006:AD1006),$V$1006:$AE$1006,0)))),"Fix")))</f>
        <v>0</v>
      </c>
      <c r="K426" s="4">
        <f>IF(OR(INDEX($P$2:$P$1001,MATCH(ROWS($O$2:O426),$O$2:$O$1001,0),1)&gt;=100000,INDEX($V$1005:$AE$1005,1,MATCH(COLUMNS($V$1006:AE1006),$V$1006:$AE$1006,0))&gt;=100000), " ",IF(INDEX($V$2:$AE$1001,MATCH(ROWS($O$2:O426),$O$2:$O$1001,0),MATCH(COLUMNS($V$1006:AE1006),$V$1006:$AE$1006,0)), HYPERLINK("#",""), HYPERLINK(CONCATENATE("#Metadata!", ADDRESS(INDEX($Q$2:$Q$1001,MATCH(ROWS($O$2:O426),$O$2:$O$1001,0),0), INDEX($V$1004:$AE$1004,1,MATCH(COLUMNS($V$1006:AE1006),$V$1006:$AE$1006,0)))),"Fix")))</f>
        <v>0</v>
      </c>
      <c r="O426">
        <v>0</v>
      </c>
      <c r="P426">
        <v>0</v>
      </c>
      <c r="Q426">
        <v>0</v>
      </c>
      <c r="R426">
        <f>IF(S426,TRUE,AND(V426:AE426))</f>
        <v>0</v>
      </c>
      <c r="S426">
        <f>COUNTBLANK(Metadata!B426:K426)=COLUMNS(Metadata!B426:K426)</f>
        <v>0</v>
      </c>
      <c r="T426">
        <v>0</v>
      </c>
      <c r="V426">
        <f>AND(IF(Metadata!B426="",FALSE,TRUE),COUNTIF(Metadata!B:B, Metadata!B426) = 1,NOT(ISERROR(SUMPRODUCT(SEARCH(MID(Metadata!B426,ROW(INDIRECT("1:"&amp;LEN(Metadata!B426))), 1),"0123456789abcdefghijklmnopqrstuvwxyzABCDEFGHIJKLMNOPQRSTUVWXYZ.")))))</f>
        <v>0</v>
      </c>
      <c r="W426">
        <f>AND(IF(Metadata!C426="",FALSE,TRUE),exact(Metadata!C426,"urban biome"))</f>
        <v>0</v>
      </c>
      <c r="X426">
        <f>AND(IF(Metadata!D426="",FALSE,TRUE),exact(Metadata!D426,"animal-associated habitat"))</f>
        <v>0</v>
      </c>
      <c r="Y426">
        <f>OR(AND(IF(Metadata!E426="",FALSE,TRUE),OR(exact(Metadata!E426,"not applicable"),exact(Metadata!E426,"missing: not collected"),exact(Metadata!E426,"missing: not provided"),exact(Metadata!E426,"missing: restricted access"))),AND(IF(Metadata!E426="",FALSE,ISNUMBER(VALUE(Metadata!E426))),Metadata!E426&gt;0))</f>
        <v>0</v>
      </c>
      <c r="Z426">
        <f>AND(IF(Metadata!F426="",FALSE,TRUE),exact(Metadata!F426,"weeks"))</f>
        <v>0</v>
      </c>
      <c r="AA426">
        <f>AND(IF(Metadata!G426="",FALSE,TRUE),exact(Metadata!G426,"mouse"))</f>
        <v>0</v>
      </c>
      <c r="AB426">
        <f>AND(IF(Metadata!H426="",FALSE,TRUE),exact(Metadata!H426,"Mus musculus"))</f>
        <v>0</v>
      </c>
      <c r="AC426">
        <f>AND(IF(Metadata!I426="",FALSE,TRUE),exact(Metadata!I426,"10090"))</f>
        <v>0</v>
      </c>
      <c r="AD426">
        <f>OR(AND(IF(Metadata!J426="",FALSE,TRUE),OR(exact(Metadata!J426,"not applicable"),exact(Metadata!J426,"missing: not collected"),exact(Metadata!J426,"missing: not provided"),exact(Metadata!J426,"missing: restricted access"))),AND(IF(Metadata!J426="",FALSE,ISNUMBER(VALUE(Metadata!J426))),Metadata!J426&gt;0))</f>
        <v>0</v>
      </c>
      <c r="AE426">
        <f>AND(IF(Metadata!K426="",FALSE,TRUE),exact(Metadata!K426,"g"))</f>
        <v>0</v>
      </c>
    </row>
    <row r="427" spans="1:31">
      <c r="A427" s="5">
        <f>IF(B427=" "," ",HYPERLINK(CONCATENATE("#metadata!",ADDRESS(INDEX($Q$2:$Q$1001,MATCH(ROWS($O$2:O427),$O$2:$O$1001,0),0),1)),INDEX($T$2:$T$1001,MATCH(ROWS($O$2:O427),$O$2:$O$1001,0),0)))</f>
        <v>0</v>
      </c>
      <c r="B427" s="4">
        <f>IF(OR(INDEX($P$2:$P$1001,MATCH(ROWS($O$2:O427),$O$2:$O$1001,0),1)&gt;=100000,INDEX($V$1005:$AE$1005,1,MATCH(COLUMNS($V$1006:V1006),$V$1006:$AE$1006,0))&gt;=100000), " ",IF(INDEX($V$2:$AE$1001,MATCH(ROWS($O$2:O427),$O$2:$O$1001,0),MATCH(COLUMNS($V$1006:V1006),$V$1006:$AE$1006,0)), HYPERLINK("#",""), HYPERLINK(CONCATENATE("#Metadata!", ADDRESS(INDEX($Q$2:$Q$1001,MATCH(ROWS($O$2:O427),$O$2:$O$1001,0),0), INDEX($V$1004:$AE$1004,1,MATCH(COLUMNS($V$1006:V1006),$V$1006:$AE$1006,0)))),"Fix")))</f>
        <v>0</v>
      </c>
      <c r="C427" s="4">
        <f>IF(OR(INDEX($P$2:$P$1001,MATCH(ROWS($O$2:O427),$O$2:$O$1001,0),1)&gt;=100000,INDEX($V$1005:$AE$1005,1,MATCH(COLUMNS($V$1006:W1006),$V$1006:$AE$1006,0))&gt;=100000), " ",IF(INDEX($V$2:$AE$1001,MATCH(ROWS($O$2:O427),$O$2:$O$1001,0),MATCH(COLUMNS($V$1006:W1006),$V$1006:$AE$1006,0)), HYPERLINK("#",""), HYPERLINK(CONCATENATE("#Metadata!", ADDRESS(INDEX($Q$2:$Q$1001,MATCH(ROWS($O$2:O427),$O$2:$O$1001,0),0), INDEX($V$1004:$AE$1004,1,MATCH(COLUMNS($V$1006:W1006),$V$1006:$AE$1006,0)))),"Fix")))</f>
        <v>0</v>
      </c>
      <c r="D427" s="4">
        <f>IF(OR(INDEX($P$2:$P$1001,MATCH(ROWS($O$2:O427),$O$2:$O$1001,0),1)&gt;=100000,INDEX($V$1005:$AE$1005,1,MATCH(COLUMNS($V$1006:X1006),$V$1006:$AE$1006,0))&gt;=100000), " ",IF(INDEX($V$2:$AE$1001,MATCH(ROWS($O$2:O427),$O$2:$O$1001,0),MATCH(COLUMNS($V$1006:X1006),$V$1006:$AE$1006,0)), HYPERLINK("#",""), HYPERLINK(CONCATENATE("#Metadata!", ADDRESS(INDEX($Q$2:$Q$1001,MATCH(ROWS($O$2:O427),$O$2:$O$1001,0),0), INDEX($V$1004:$AE$1004,1,MATCH(COLUMNS($V$1006:X1006),$V$1006:$AE$1006,0)))),"Fix")))</f>
        <v>0</v>
      </c>
      <c r="E427" s="4">
        <f>IF(OR(INDEX($P$2:$P$1001,MATCH(ROWS($O$2:O427),$O$2:$O$1001,0),1)&gt;=100000,INDEX($V$1005:$AE$1005,1,MATCH(COLUMNS($V$1006:Y1006),$V$1006:$AE$1006,0))&gt;=100000), " ",IF(INDEX($V$2:$AE$1001,MATCH(ROWS($O$2:O427),$O$2:$O$1001,0),MATCH(COLUMNS($V$1006:Y1006),$V$1006:$AE$1006,0)), HYPERLINK("#",""), HYPERLINK(CONCATENATE("#Metadata!", ADDRESS(INDEX($Q$2:$Q$1001,MATCH(ROWS($O$2:O427),$O$2:$O$1001,0),0), INDEX($V$1004:$AE$1004,1,MATCH(COLUMNS($V$1006:Y1006),$V$1006:$AE$1006,0)))),"Fix")))</f>
        <v>0</v>
      </c>
      <c r="F427" s="4">
        <f>IF(OR(INDEX($P$2:$P$1001,MATCH(ROWS($O$2:O427),$O$2:$O$1001,0),1)&gt;=100000,INDEX($V$1005:$AE$1005,1,MATCH(COLUMNS($V$1006:Z1006),$V$1006:$AE$1006,0))&gt;=100000), " ",IF(INDEX($V$2:$AE$1001,MATCH(ROWS($O$2:O427),$O$2:$O$1001,0),MATCH(COLUMNS($V$1006:Z1006),$V$1006:$AE$1006,0)), HYPERLINK("#",""), HYPERLINK(CONCATENATE("#Metadata!", ADDRESS(INDEX($Q$2:$Q$1001,MATCH(ROWS($O$2:O427),$O$2:$O$1001,0),0), INDEX($V$1004:$AE$1004,1,MATCH(COLUMNS($V$1006:Z1006),$V$1006:$AE$1006,0)))),"Fix")))</f>
        <v>0</v>
      </c>
      <c r="G427" s="4">
        <f>IF(OR(INDEX($P$2:$P$1001,MATCH(ROWS($O$2:O427),$O$2:$O$1001,0),1)&gt;=100000,INDEX($V$1005:$AE$1005,1,MATCH(COLUMNS($V$1006:AA1006),$V$1006:$AE$1006,0))&gt;=100000), " ",IF(INDEX($V$2:$AE$1001,MATCH(ROWS($O$2:O427),$O$2:$O$1001,0),MATCH(COLUMNS($V$1006:AA1006),$V$1006:$AE$1006,0)), HYPERLINK("#",""), HYPERLINK(CONCATENATE("#Metadata!", ADDRESS(INDEX($Q$2:$Q$1001,MATCH(ROWS($O$2:O427),$O$2:$O$1001,0),0), INDEX($V$1004:$AE$1004,1,MATCH(COLUMNS($V$1006:AA1006),$V$1006:$AE$1006,0)))),"Fix")))</f>
        <v>0</v>
      </c>
      <c r="H427" s="4">
        <f>IF(OR(INDEX($P$2:$P$1001,MATCH(ROWS($O$2:O427),$O$2:$O$1001,0),1)&gt;=100000,INDEX($V$1005:$AE$1005,1,MATCH(COLUMNS($V$1006:AB1006),$V$1006:$AE$1006,0))&gt;=100000), " ",IF(INDEX($V$2:$AE$1001,MATCH(ROWS($O$2:O427),$O$2:$O$1001,0),MATCH(COLUMNS($V$1006:AB1006),$V$1006:$AE$1006,0)), HYPERLINK("#",""), HYPERLINK(CONCATENATE("#Metadata!", ADDRESS(INDEX($Q$2:$Q$1001,MATCH(ROWS($O$2:O427),$O$2:$O$1001,0),0), INDEX($V$1004:$AE$1004,1,MATCH(COLUMNS($V$1006:AB1006),$V$1006:$AE$1006,0)))),"Fix")))</f>
        <v>0</v>
      </c>
      <c r="I427" s="4">
        <f>IF(OR(INDEX($P$2:$P$1001,MATCH(ROWS($O$2:O427),$O$2:$O$1001,0),1)&gt;=100000,INDEX($V$1005:$AE$1005,1,MATCH(COLUMNS($V$1006:AC1006),$V$1006:$AE$1006,0))&gt;=100000), " ",IF(INDEX($V$2:$AE$1001,MATCH(ROWS($O$2:O427),$O$2:$O$1001,0),MATCH(COLUMNS($V$1006:AC1006),$V$1006:$AE$1006,0)), HYPERLINK("#",""), HYPERLINK(CONCATENATE("#Metadata!", ADDRESS(INDEX($Q$2:$Q$1001,MATCH(ROWS($O$2:O427),$O$2:$O$1001,0),0), INDEX($V$1004:$AE$1004,1,MATCH(COLUMNS($V$1006:AC1006),$V$1006:$AE$1006,0)))),"Fix")))</f>
        <v>0</v>
      </c>
      <c r="J427" s="4">
        <f>IF(OR(INDEX($P$2:$P$1001,MATCH(ROWS($O$2:O427),$O$2:$O$1001,0),1)&gt;=100000,INDEX($V$1005:$AE$1005,1,MATCH(COLUMNS($V$1006:AD1006),$V$1006:$AE$1006,0))&gt;=100000), " ",IF(INDEX($V$2:$AE$1001,MATCH(ROWS($O$2:O427),$O$2:$O$1001,0),MATCH(COLUMNS($V$1006:AD1006),$V$1006:$AE$1006,0)), HYPERLINK("#",""), HYPERLINK(CONCATENATE("#Metadata!", ADDRESS(INDEX($Q$2:$Q$1001,MATCH(ROWS($O$2:O427),$O$2:$O$1001,0),0), INDEX($V$1004:$AE$1004,1,MATCH(COLUMNS($V$1006:AD1006),$V$1006:$AE$1006,0)))),"Fix")))</f>
        <v>0</v>
      </c>
      <c r="K427" s="4">
        <f>IF(OR(INDEX($P$2:$P$1001,MATCH(ROWS($O$2:O427),$O$2:$O$1001,0),1)&gt;=100000,INDEX($V$1005:$AE$1005,1,MATCH(COLUMNS($V$1006:AE1006),$V$1006:$AE$1006,0))&gt;=100000), " ",IF(INDEX($V$2:$AE$1001,MATCH(ROWS($O$2:O427),$O$2:$O$1001,0),MATCH(COLUMNS($V$1006:AE1006),$V$1006:$AE$1006,0)), HYPERLINK("#",""), HYPERLINK(CONCATENATE("#Metadata!", ADDRESS(INDEX($Q$2:$Q$1001,MATCH(ROWS($O$2:O427),$O$2:$O$1001,0),0), INDEX($V$1004:$AE$1004,1,MATCH(COLUMNS($V$1006:AE1006),$V$1006:$AE$1006,0)))),"Fix")))</f>
        <v>0</v>
      </c>
      <c r="O427">
        <v>0</v>
      </c>
      <c r="P427">
        <v>0</v>
      </c>
      <c r="Q427">
        <v>0</v>
      </c>
      <c r="R427">
        <f>IF(S427,TRUE,AND(V427:AE427))</f>
        <v>0</v>
      </c>
      <c r="S427">
        <f>COUNTBLANK(Metadata!B427:K427)=COLUMNS(Metadata!B427:K427)</f>
        <v>0</v>
      </c>
      <c r="T427">
        <v>0</v>
      </c>
      <c r="V427">
        <f>AND(IF(Metadata!B427="",FALSE,TRUE),COUNTIF(Metadata!B:B, Metadata!B427) = 1,NOT(ISERROR(SUMPRODUCT(SEARCH(MID(Metadata!B427,ROW(INDIRECT("1:"&amp;LEN(Metadata!B427))), 1),"0123456789abcdefghijklmnopqrstuvwxyzABCDEFGHIJKLMNOPQRSTUVWXYZ.")))))</f>
        <v>0</v>
      </c>
      <c r="W427">
        <f>AND(IF(Metadata!C427="",FALSE,TRUE),exact(Metadata!C427,"urban biome"))</f>
        <v>0</v>
      </c>
      <c r="X427">
        <f>AND(IF(Metadata!D427="",FALSE,TRUE),exact(Metadata!D427,"animal-associated habitat"))</f>
        <v>0</v>
      </c>
      <c r="Y427">
        <f>OR(AND(IF(Metadata!E427="",FALSE,TRUE),OR(exact(Metadata!E427,"not applicable"),exact(Metadata!E427,"missing: not collected"),exact(Metadata!E427,"missing: not provided"),exact(Metadata!E427,"missing: restricted access"))),AND(IF(Metadata!E427="",FALSE,ISNUMBER(VALUE(Metadata!E427))),Metadata!E427&gt;0))</f>
        <v>0</v>
      </c>
      <c r="Z427">
        <f>AND(IF(Metadata!F427="",FALSE,TRUE),exact(Metadata!F427,"weeks"))</f>
        <v>0</v>
      </c>
      <c r="AA427">
        <f>AND(IF(Metadata!G427="",FALSE,TRUE),exact(Metadata!G427,"mouse"))</f>
        <v>0</v>
      </c>
      <c r="AB427">
        <f>AND(IF(Metadata!H427="",FALSE,TRUE),exact(Metadata!H427,"Mus musculus"))</f>
        <v>0</v>
      </c>
      <c r="AC427">
        <f>AND(IF(Metadata!I427="",FALSE,TRUE),exact(Metadata!I427,"10090"))</f>
        <v>0</v>
      </c>
      <c r="AD427">
        <f>OR(AND(IF(Metadata!J427="",FALSE,TRUE),OR(exact(Metadata!J427,"not applicable"),exact(Metadata!J427,"missing: not collected"),exact(Metadata!J427,"missing: not provided"),exact(Metadata!J427,"missing: restricted access"))),AND(IF(Metadata!J427="",FALSE,ISNUMBER(VALUE(Metadata!J427))),Metadata!J427&gt;0))</f>
        <v>0</v>
      </c>
      <c r="AE427">
        <f>AND(IF(Metadata!K427="",FALSE,TRUE),exact(Metadata!K427,"g"))</f>
        <v>0</v>
      </c>
    </row>
    <row r="428" spans="1:31">
      <c r="A428" s="5">
        <f>IF(B428=" "," ",HYPERLINK(CONCATENATE("#metadata!",ADDRESS(INDEX($Q$2:$Q$1001,MATCH(ROWS($O$2:O428),$O$2:$O$1001,0),0),1)),INDEX($T$2:$T$1001,MATCH(ROWS($O$2:O428),$O$2:$O$1001,0),0)))</f>
        <v>0</v>
      </c>
      <c r="B428" s="4">
        <f>IF(OR(INDEX($P$2:$P$1001,MATCH(ROWS($O$2:O428),$O$2:$O$1001,0),1)&gt;=100000,INDEX($V$1005:$AE$1005,1,MATCH(COLUMNS($V$1006:V1006),$V$1006:$AE$1006,0))&gt;=100000), " ",IF(INDEX($V$2:$AE$1001,MATCH(ROWS($O$2:O428),$O$2:$O$1001,0),MATCH(COLUMNS($V$1006:V1006),$V$1006:$AE$1006,0)), HYPERLINK("#",""), HYPERLINK(CONCATENATE("#Metadata!", ADDRESS(INDEX($Q$2:$Q$1001,MATCH(ROWS($O$2:O428),$O$2:$O$1001,0),0), INDEX($V$1004:$AE$1004,1,MATCH(COLUMNS($V$1006:V1006),$V$1006:$AE$1006,0)))),"Fix")))</f>
        <v>0</v>
      </c>
      <c r="C428" s="4">
        <f>IF(OR(INDEX($P$2:$P$1001,MATCH(ROWS($O$2:O428),$O$2:$O$1001,0),1)&gt;=100000,INDEX($V$1005:$AE$1005,1,MATCH(COLUMNS($V$1006:W1006),$V$1006:$AE$1006,0))&gt;=100000), " ",IF(INDEX($V$2:$AE$1001,MATCH(ROWS($O$2:O428),$O$2:$O$1001,0),MATCH(COLUMNS($V$1006:W1006),$V$1006:$AE$1006,0)), HYPERLINK("#",""), HYPERLINK(CONCATENATE("#Metadata!", ADDRESS(INDEX($Q$2:$Q$1001,MATCH(ROWS($O$2:O428),$O$2:$O$1001,0),0), INDEX($V$1004:$AE$1004,1,MATCH(COLUMNS($V$1006:W1006),$V$1006:$AE$1006,0)))),"Fix")))</f>
        <v>0</v>
      </c>
      <c r="D428" s="4">
        <f>IF(OR(INDEX($P$2:$P$1001,MATCH(ROWS($O$2:O428),$O$2:$O$1001,0),1)&gt;=100000,INDEX($V$1005:$AE$1005,1,MATCH(COLUMNS($V$1006:X1006),$V$1006:$AE$1006,0))&gt;=100000), " ",IF(INDEX($V$2:$AE$1001,MATCH(ROWS($O$2:O428),$O$2:$O$1001,0),MATCH(COLUMNS($V$1006:X1006),$V$1006:$AE$1006,0)), HYPERLINK("#",""), HYPERLINK(CONCATENATE("#Metadata!", ADDRESS(INDEX($Q$2:$Q$1001,MATCH(ROWS($O$2:O428),$O$2:$O$1001,0),0), INDEX($V$1004:$AE$1004,1,MATCH(COLUMNS($V$1006:X1006),$V$1006:$AE$1006,0)))),"Fix")))</f>
        <v>0</v>
      </c>
      <c r="E428" s="4">
        <f>IF(OR(INDEX($P$2:$P$1001,MATCH(ROWS($O$2:O428),$O$2:$O$1001,0),1)&gt;=100000,INDEX($V$1005:$AE$1005,1,MATCH(COLUMNS($V$1006:Y1006),$V$1006:$AE$1006,0))&gt;=100000), " ",IF(INDEX($V$2:$AE$1001,MATCH(ROWS($O$2:O428),$O$2:$O$1001,0),MATCH(COLUMNS($V$1006:Y1006),$V$1006:$AE$1006,0)), HYPERLINK("#",""), HYPERLINK(CONCATENATE("#Metadata!", ADDRESS(INDEX($Q$2:$Q$1001,MATCH(ROWS($O$2:O428),$O$2:$O$1001,0),0), INDEX($V$1004:$AE$1004,1,MATCH(COLUMNS($V$1006:Y1006),$V$1006:$AE$1006,0)))),"Fix")))</f>
        <v>0</v>
      </c>
      <c r="F428" s="4">
        <f>IF(OR(INDEX($P$2:$P$1001,MATCH(ROWS($O$2:O428),$O$2:$O$1001,0),1)&gt;=100000,INDEX($V$1005:$AE$1005,1,MATCH(COLUMNS($V$1006:Z1006),$V$1006:$AE$1006,0))&gt;=100000), " ",IF(INDEX($V$2:$AE$1001,MATCH(ROWS($O$2:O428),$O$2:$O$1001,0),MATCH(COLUMNS($V$1006:Z1006),$V$1006:$AE$1006,0)), HYPERLINK("#",""), HYPERLINK(CONCATENATE("#Metadata!", ADDRESS(INDEX($Q$2:$Q$1001,MATCH(ROWS($O$2:O428),$O$2:$O$1001,0),0), INDEX($V$1004:$AE$1004,1,MATCH(COLUMNS($V$1006:Z1006),$V$1006:$AE$1006,0)))),"Fix")))</f>
        <v>0</v>
      </c>
      <c r="G428" s="4">
        <f>IF(OR(INDEX($P$2:$P$1001,MATCH(ROWS($O$2:O428),$O$2:$O$1001,0),1)&gt;=100000,INDEX($V$1005:$AE$1005,1,MATCH(COLUMNS($V$1006:AA1006),$V$1006:$AE$1006,0))&gt;=100000), " ",IF(INDEX($V$2:$AE$1001,MATCH(ROWS($O$2:O428),$O$2:$O$1001,0),MATCH(COLUMNS($V$1006:AA1006),$V$1006:$AE$1006,0)), HYPERLINK("#",""), HYPERLINK(CONCATENATE("#Metadata!", ADDRESS(INDEX($Q$2:$Q$1001,MATCH(ROWS($O$2:O428),$O$2:$O$1001,0),0), INDEX($V$1004:$AE$1004,1,MATCH(COLUMNS($V$1006:AA1006),$V$1006:$AE$1006,0)))),"Fix")))</f>
        <v>0</v>
      </c>
      <c r="H428" s="4">
        <f>IF(OR(INDEX($P$2:$P$1001,MATCH(ROWS($O$2:O428),$O$2:$O$1001,0),1)&gt;=100000,INDEX($V$1005:$AE$1005,1,MATCH(COLUMNS($V$1006:AB1006),$V$1006:$AE$1006,0))&gt;=100000), " ",IF(INDEX($V$2:$AE$1001,MATCH(ROWS($O$2:O428),$O$2:$O$1001,0),MATCH(COLUMNS($V$1006:AB1006),$V$1006:$AE$1006,0)), HYPERLINK("#",""), HYPERLINK(CONCATENATE("#Metadata!", ADDRESS(INDEX($Q$2:$Q$1001,MATCH(ROWS($O$2:O428),$O$2:$O$1001,0),0), INDEX($V$1004:$AE$1004,1,MATCH(COLUMNS($V$1006:AB1006),$V$1006:$AE$1006,0)))),"Fix")))</f>
        <v>0</v>
      </c>
      <c r="I428" s="4">
        <f>IF(OR(INDEX($P$2:$P$1001,MATCH(ROWS($O$2:O428),$O$2:$O$1001,0),1)&gt;=100000,INDEX($V$1005:$AE$1005,1,MATCH(COLUMNS($V$1006:AC1006),$V$1006:$AE$1006,0))&gt;=100000), " ",IF(INDEX($V$2:$AE$1001,MATCH(ROWS($O$2:O428),$O$2:$O$1001,0),MATCH(COLUMNS($V$1006:AC1006),$V$1006:$AE$1006,0)), HYPERLINK("#",""), HYPERLINK(CONCATENATE("#Metadata!", ADDRESS(INDEX($Q$2:$Q$1001,MATCH(ROWS($O$2:O428),$O$2:$O$1001,0),0), INDEX($V$1004:$AE$1004,1,MATCH(COLUMNS($V$1006:AC1006),$V$1006:$AE$1006,0)))),"Fix")))</f>
        <v>0</v>
      </c>
      <c r="J428" s="4">
        <f>IF(OR(INDEX($P$2:$P$1001,MATCH(ROWS($O$2:O428),$O$2:$O$1001,0),1)&gt;=100000,INDEX($V$1005:$AE$1005,1,MATCH(COLUMNS($V$1006:AD1006),$V$1006:$AE$1006,0))&gt;=100000), " ",IF(INDEX($V$2:$AE$1001,MATCH(ROWS($O$2:O428),$O$2:$O$1001,0),MATCH(COLUMNS($V$1006:AD1006),$V$1006:$AE$1006,0)), HYPERLINK("#",""), HYPERLINK(CONCATENATE("#Metadata!", ADDRESS(INDEX($Q$2:$Q$1001,MATCH(ROWS($O$2:O428),$O$2:$O$1001,0),0), INDEX($V$1004:$AE$1004,1,MATCH(COLUMNS($V$1006:AD1006),$V$1006:$AE$1006,0)))),"Fix")))</f>
        <v>0</v>
      </c>
      <c r="K428" s="4">
        <f>IF(OR(INDEX($P$2:$P$1001,MATCH(ROWS($O$2:O428),$O$2:$O$1001,0),1)&gt;=100000,INDEX($V$1005:$AE$1005,1,MATCH(COLUMNS($V$1006:AE1006),$V$1006:$AE$1006,0))&gt;=100000), " ",IF(INDEX($V$2:$AE$1001,MATCH(ROWS($O$2:O428),$O$2:$O$1001,0),MATCH(COLUMNS($V$1006:AE1006),$V$1006:$AE$1006,0)), HYPERLINK("#",""), HYPERLINK(CONCATENATE("#Metadata!", ADDRESS(INDEX($Q$2:$Q$1001,MATCH(ROWS($O$2:O428),$O$2:$O$1001,0),0), INDEX($V$1004:$AE$1004,1,MATCH(COLUMNS($V$1006:AE1006),$V$1006:$AE$1006,0)))),"Fix")))</f>
        <v>0</v>
      </c>
      <c r="O428">
        <v>0</v>
      </c>
      <c r="P428">
        <v>0</v>
      </c>
      <c r="Q428">
        <v>0</v>
      </c>
      <c r="R428">
        <f>IF(S428,TRUE,AND(V428:AE428))</f>
        <v>0</v>
      </c>
      <c r="S428">
        <f>COUNTBLANK(Metadata!B428:K428)=COLUMNS(Metadata!B428:K428)</f>
        <v>0</v>
      </c>
      <c r="T428">
        <v>0</v>
      </c>
      <c r="V428">
        <f>AND(IF(Metadata!B428="",FALSE,TRUE),COUNTIF(Metadata!B:B, Metadata!B428) = 1,NOT(ISERROR(SUMPRODUCT(SEARCH(MID(Metadata!B428,ROW(INDIRECT("1:"&amp;LEN(Metadata!B428))), 1),"0123456789abcdefghijklmnopqrstuvwxyzABCDEFGHIJKLMNOPQRSTUVWXYZ.")))))</f>
        <v>0</v>
      </c>
      <c r="W428">
        <f>AND(IF(Metadata!C428="",FALSE,TRUE),exact(Metadata!C428,"urban biome"))</f>
        <v>0</v>
      </c>
      <c r="X428">
        <f>AND(IF(Metadata!D428="",FALSE,TRUE),exact(Metadata!D428,"animal-associated habitat"))</f>
        <v>0</v>
      </c>
      <c r="Y428">
        <f>OR(AND(IF(Metadata!E428="",FALSE,TRUE),OR(exact(Metadata!E428,"not applicable"),exact(Metadata!E428,"missing: not collected"),exact(Metadata!E428,"missing: not provided"),exact(Metadata!E428,"missing: restricted access"))),AND(IF(Metadata!E428="",FALSE,ISNUMBER(VALUE(Metadata!E428))),Metadata!E428&gt;0))</f>
        <v>0</v>
      </c>
      <c r="Z428">
        <f>AND(IF(Metadata!F428="",FALSE,TRUE),exact(Metadata!F428,"weeks"))</f>
        <v>0</v>
      </c>
      <c r="AA428">
        <f>AND(IF(Metadata!G428="",FALSE,TRUE),exact(Metadata!G428,"mouse"))</f>
        <v>0</v>
      </c>
      <c r="AB428">
        <f>AND(IF(Metadata!H428="",FALSE,TRUE),exact(Metadata!H428,"Mus musculus"))</f>
        <v>0</v>
      </c>
      <c r="AC428">
        <f>AND(IF(Metadata!I428="",FALSE,TRUE),exact(Metadata!I428,"10090"))</f>
        <v>0</v>
      </c>
      <c r="AD428">
        <f>OR(AND(IF(Metadata!J428="",FALSE,TRUE),OR(exact(Metadata!J428,"not applicable"),exact(Metadata!J428,"missing: not collected"),exact(Metadata!J428,"missing: not provided"),exact(Metadata!J428,"missing: restricted access"))),AND(IF(Metadata!J428="",FALSE,ISNUMBER(VALUE(Metadata!J428))),Metadata!J428&gt;0))</f>
        <v>0</v>
      </c>
      <c r="AE428">
        <f>AND(IF(Metadata!K428="",FALSE,TRUE),exact(Metadata!K428,"g"))</f>
        <v>0</v>
      </c>
    </row>
    <row r="429" spans="1:31">
      <c r="A429" s="5">
        <f>IF(B429=" "," ",HYPERLINK(CONCATENATE("#metadata!",ADDRESS(INDEX($Q$2:$Q$1001,MATCH(ROWS($O$2:O429),$O$2:$O$1001,0),0),1)),INDEX($T$2:$T$1001,MATCH(ROWS($O$2:O429),$O$2:$O$1001,0),0)))</f>
        <v>0</v>
      </c>
      <c r="B429" s="4">
        <f>IF(OR(INDEX($P$2:$P$1001,MATCH(ROWS($O$2:O429),$O$2:$O$1001,0),1)&gt;=100000,INDEX($V$1005:$AE$1005,1,MATCH(COLUMNS($V$1006:V1006),$V$1006:$AE$1006,0))&gt;=100000), " ",IF(INDEX($V$2:$AE$1001,MATCH(ROWS($O$2:O429),$O$2:$O$1001,0),MATCH(COLUMNS($V$1006:V1006),$V$1006:$AE$1006,0)), HYPERLINK("#",""), HYPERLINK(CONCATENATE("#Metadata!", ADDRESS(INDEX($Q$2:$Q$1001,MATCH(ROWS($O$2:O429),$O$2:$O$1001,0),0), INDEX($V$1004:$AE$1004,1,MATCH(COLUMNS($V$1006:V1006),$V$1006:$AE$1006,0)))),"Fix")))</f>
        <v>0</v>
      </c>
      <c r="C429" s="4">
        <f>IF(OR(INDEX($P$2:$P$1001,MATCH(ROWS($O$2:O429),$O$2:$O$1001,0),1)&gt;=100000,INDEX($V$1005:$AE$1005,1,MATCH(COLUMNS($V$1006:W1006),$V$1006:$AE$1006,0))&gt;=100000), " ",IF(INDEX($V$2:$AE$1001,MATCH(ROWS($O$2:O429),$O$2:$O$1001,0),MATCH(COLUMNS($V$1006:W1006),$V$1006:$AE$1006,0)), HYPERLINK("#",""), HYPERLINK(CONCATENATE("#Metadata!", ADDRESS(INDEX($Q$2:$Q$1001,MATCH(ROWS($O$2:O429),$O$2:$O$1001,0),0), INDEX($V$1004:$AE$1004,1,MATCH(COLUMNS($V$1006:W1006),$V$1006:$AE$1006,0)))),"Fix")))</f>
        <v>0</v>
      </c>
      <c r="D429" s="4">
        <f>IF(OR(INDEX($P$2:$P$1001,MATCH(ROWS($O$2:O429),$O$2:$O$1001,0),1)&gt;=100000,INDEX($V$1005:$AE$1005,1,MATCH(COLUMNS($V$1006:X1006),$V$1006:$AE$1006,0))&gt;=100000), " ",IF(INDEX($V$2:$AE$1001,MATCH(ROWS($O$2:O429),$O$2:$O$1001,0),MATCH(COLUMNS($V$1006:X1006),$V$1006:$AE$1006,0)), HYPERLINK("#",""), HYPERLINK(CONCATENATE("#Metadata!", ADDRESS(INDEX($Q$2:$Q$1001,MATCH(ROWS($O$2:O429),$O$2:$O$1001,0),0), INDEX($V$1004:$AE$1004,1,MATCH(COLUMNS($V$1006:X1006),$V$1006:$AE$1006,0)))),"Fix")))</f>
        <v>0</v>
      </c>
      <c r="E429" s="4">
        <f>IF(OR(INDEX($P$2:$P$1001,MATCH(ROWS($O$2:O429),$O$2:$O$1001,0),1)&gt;=100000,INDEX($V$1005:$AE$1005,1,MATCH(COLUMNS($V$1006:Y1006),$V$1006:$AE$1006,0))&gt;=100000), " ",IF(INDEX($V$2:$AE$1001,MATCH(ROWS($O$2:O429),$O$2:$O$1001,0),MATCH(COLUMNS($V$1006:Y1006),$V$1006:$AE$1006,0)), HYPERLINK("#",""), HYPERLINK(CONCATENATE("#Metadata!", ADDRESS(INDEX($Q$2:$Q$1001,MATCH(ROWS($O$2:O429),$O$2:$O$1001,0),0), INDEX($V$1004:$AE$1004,1,MATCH(COLUMNS($V$1006:Y1006),$V$1006:$AE$1006,0)))),"Fix")))</f>
        <v>0</v>
      </c>
      <c r="F429" s="4">
        <f>IF(OR(INDEX($P$2:$P$1001,MATCH(ROWS($O$2:O429),$O$2:$O$1001,0),1)&gt;=100000,INDEX($V$1005:$AE$1005,1,MATCH(COLUMNS($V$1006:Z1006),$V$1006:$AE$1006,0))&gt;=100000), " ",IF(INDEX($V$2:$AE$1001,MATCH(ROWS($O$2:O429),$O$2:$O$1001,0),MATCH(COLUMNS($V$1006:Z1006),$V$1006:$AE$1006,0)), HYPERLINK("#",""), HYPERLINK(CONCATENATE("#Metadata!", ADDRESS(INDEX($Q$2:$Q$1001,MATCH(ROWS($O$2:O429),$O$2:$O$1001,0),0), INDEX($V$1004:$AE$1004,1,MATCH(COLUMNS($V$1006:Z1006),$V$1006:$AE$1006,0)))),"Fix")))</f>
        <v>0</v>
      </c>
      <c r="G429" s="4">
        <f>IF(OR(INDEX($P$2:$P$1001,MATCH(ROWS($O$2:O429),$O$2:$O$1001,0),1)&gt;=100000,INDEX($V$1005:$AE$1005,1,MATCH(COLUMNS($V$1006:AA1006),$V$1006:$AE$1006,0))&gt;=100000), " ",IF(INDEX($V$2:$AE$1001,MATCH(ROWS($O$2:O429),$O$2:$O$1001,0),MATCH(COLUMNS($V$1006:AA1006),$V$1006:$AE$1006,0)), HYPERLINK("#",""), HYPERLINK(CONCATENATE("#Metadata!", ADDRESS(INDEX($Q$2:$Q$1001,MATCH(ROWS($O$2:O429),$O$2:$O$1001,0),0), INDEX($V$1004:$AE$1004,1,MATCH(COLUMNS($V$1006:AA1006),$V$1006:$AE$1006,0)))),"Fix")))</f>
        <v>0</v>
      </c>
      <c r="H429" s="4">
        <f>IF(OR(INDEX($P$2:$P$1001,MATCH(ROWS($O$2:O429),$O$2:$O$1001,0),1)&gt;=100000,INDEX($V$1005:$AE$1005,1,MATCH(COLUMNS($V$1006:AB1006),$V$1006:$AE$1006,0))&gt;=100000), " ",IF(INDEX($V$2:$AE$1001,MATCH(ROWS($O$2:O429),$O$2:$O$1001,0),MATCH(COLUMNS($V$1006:AB1006),$V$1006:$AE$1006,0)), HYPERLINK("#",""), HYPERLINK(CONCATENATE("#Metadata!", ADDRESS(INDEX($Q$2:$Q$1001,MATCH(ROWS($O$2:O429),$O$2:$O$1001,0),0), INDEX($V$1004:$AE$1004,1,MATCH(COLUMNS($V$1006:AB1006),$V$1006:$AE$1006,0)))),"Fix")))</f>
        <v>0</v>
      </c>
      <c r="I429" s="4">
        <f>IF(OR(INDEX($P$2:$P$1001,MATCH(ROWS($O$2:O429),$O$2:$O$1001,0),1)&gt;=100000,INDEX($V$1005:$AE$1005,1,MATCH(COLUMNS($V$1006:AC1006),$V$1006:$AE$1006,0))&gt;=100000), " ",IF(INDEX($V$2:$AE$1001,MATCH(ROWS($O$2:O429),$O$2:$O$1001,0),MATCH(COLUMNS($V$1006:AC1006),$V$1006:$AE$1006,0)), HYPERLINK("#",""), HYPERLINK(CONCATENATE("#Metadata!", ADDRESS(INDEX($Q$2:$Q$1001,MATCH(ROWS($O$2:O429),$O$2:$O$1001,0),0), INDEX($V$1004:$AE$1004,1,MATCH(COLUMNS($V$1006:AC1006),$V$1006:$AE$1006,0)))),"Fix")))</f>
        <v>0</v>
      </c>
      <c r="J429" s="4">
        <f>IF(OR(INDEX($P$2:$P$1001,MATCH(ROWS($O$2:O429),$O$2:$O$1001,0),1)&gt;=100000,INDEX($V$1005:$AE$1005,1,MATCH(COLUMNS($V$1006:AD1006),$V$1006:$AE$1006,0))&gt;=100000), " ",IF(INDEX($V$2:$AE$1001,MATCH(ROWS($O$2:O429),$O$2:$O$1001,0),MATCH(COLUMNS($V$1006:AD1006),$V$1006:$AE$1006,0)), HYPERLINK("#",""), HYPERLINK(CONCATENATE("#Metadata!", ADDRESS(INDEX($Q$2:$Q$1001,MATCH(ROWS($O$2:O429),$O$2:$O$1001,0),0), INDEX($V$1004:$AE$1004,1,MATCH(COLUMNS($V$1006:AD1006),$V$1006:$AE$1006,0)))),"Fix")))</f>
        <v>0</v>
      </c>
      <c r="K429" s="4">
        <f>IF(OR(INDEX($P$2:$P$1001,MATCH(ROWS($O$2:O429),$O$2:$O$1001,0),1)&gt;=100000,INDEX($V$1005:$AE$1005,1,MATCH(COLUMNS($V$1006:AE1006),$V$1006:$AE$1006,0))&gt;=100000), " ",IF(INDEX($V$2:$AE$1001,MATCH(ROWS($O$2:O429),$O$2:$O$1001,0),MATCH(COLUMNS($V$1006:AE1006),$V$1006:$AE$1006,0)), HYPERLINK("#",""), HYPERLINK(CONCATENATE("#Metadata!", ADDRESS(INDEX($Q$2:$Q$1001,MATCH(ROWS($O$2:O429),$O$2:$O$1001,0),0), INDEX($V$1004:$AE$1004,1,MATCH(COLUMNS($V$1006:AE1006),$V$1006:$AE$1006,0)))),"Fix")))</f>
        <v>0</v>
      </c>
      <c r="O429">
        <v>0</v>
      </c>
      <c r="P429">
        <v>0</v>
      </c>
      <c r="Q429">
        <v>0</v>
      </c>
      <c r="R429">
        <f>IF(S429,TRUE,AND(V429:AE429))</f>
        <v>0</v>
      </c>
      <c r="S429">
        <f>COUNTBLANK(Metadata!B429:K429)=COLUMNS(Metadata!B429:K429)</f>
        <v>0</v>
      </c>
      <c r="T429">
        <v>0</v>
      </c>
      <c r="V429">
        <f>AND(IF(Metadata!B429="",FALSE,TRUE),COUNTIF(Metadata!B:B, Metadata!B429) = 1,NOT(ISERROR(SUMPRODUCT(SEARCH(MID(Metadata!B429,ROW(INDIRECT("1:"&amp;LEN(Metadata!B429))), 1),"0123456789abcdefghijklmnopqrstuvwxyzABCDEFGHIJKLMNOPQRSTUVWXYZ.")))))</f>
        <v>0</v>
      </c>
      <c r="W429">
        <f>AND(IF(Metadata!C429="",FALSE,TRUE),exact(Metadata!C429,"urban biome"))</f>
        <v>0</v>
      </c>
      <c r="X429">
        <f>AND(IF(Metadata!D429="",FALSE,TRUE),exact(Metadata!D429,"animal-associated habitat"))</f>
        <v>0</v>
      </c>
      <c r="Y429">
        <f>OR(AND(IF(Metadata!E429="",FALSE,TRUE),OR(exact(Metadata!E429,"not applicable"),exact(Metadata!E429,"missing: not collected"),exact(Metadata!E429,"missing: not provided"),exact(Metadata!E429,"missing: restricted access"))),AND(IF(Metadata!E429="",FALSE,ISNUMBER(VALUE(Metadata!E429))),Metadata!E429&gt;0))</f>
        <v>0</v>
      </c>
      <c r="Z429">
        <f>AND(IF(Metadata!F429="",FALSE,TRUE),exact(Metadata!F429,"weeks"))</f>
        <v>0</v>
      </c>
      <c r="AA429">
        <f>AND(IF(Metadata!G429="",FALSE,TRUE),exact(Metadata!G429,"mouse"))</f>
        <v>0</v>
      </c>
      <c r="AB429">
        <f>AND(IF(Metadata!H429="",FALSE,TRUE),exact(Metadata!H429,"Mus musculus"))</f>
        <v>0</v>
      </c>
      <c r="AC429">
        <f>AND(IF(Metadata!I429="",FALSE,TRUE),exact(Metadata!I429,"10090"))</f>
        <v>0</v>
      </c>
      <c r="AD429">
        <f>OR(AND(IF(Metadata!J429="",FALSE,TRUE),OR(exact(Metadata!J429,"not applicable"),exact(Metadata!J429,"missing: not collected"),exact(Metadata!J429,"missing: not provided"),exact(Metadata!J429,"missing: restricted access"))),AND(IF(Metadata!J429="",FALSE,ISNUMBER(VALUE(Metadata!J429))),Metadata!J429&gt;0))</f>
        <v>0</v>
      </c>
      <c r="AE429">
        <f>AND(IF(Metadata!K429="",FALSE,TRUE),exact(Metadata!K429,"g"))</f>
        <v>0</v>
      </c>
    </row>
    <row r="430" spans="1:31">
      <c r="A430" s="5">
        <f>IF(B430=" "," ",HYPERLINK(CONCATENATE("#metadata!",ADDRESS(INDEX($Q$2:$Q$1001,MATCH(ROWS($O$2:O430),$O$2:$O$1001,0),0),1)),INDEX($T$2:$T$1001,MATCH(ROWS($O$2:O430),$O$2:$O$1001,0),0)))</f>
        <v>0</v>
      </c>
      <c r="B430" s="4">
        <f>IF(OR(INDEX($P$2:$P$1001,MATCH(ROWS($O$2:O430),$O$2:$O$1001,0),1)&gt;=100000,INDEX($V$1005:$AE$1005,1,MATCH(COLUMNS($V$1006:V1006),$V$1006:$AE$1006,0))&gt;=100000), " ",IF(INDEX($V$2:$AE$1001,MATCH(ROWS($O$2:O430),$O$2:$O$1001,0),MATCH(COLUMNS($V$1006:V1006),$V$1006:$AE$1006,0)), HYPERLINK("#",""), HYPERLINK(CONCATENATE("#Metadata!", ADDRESS(INDEX($Q$2:$Q$1001,MATCH(ROWS($O$2:O430),$O$2:$O$1001,0),0), INDEX($V$1004:$AE$1004,1,MATCH(COLUMNS($V$1006:V1006),$V$1006:$AE$1006,0)))),"Fix")))</f>
        <v>0</v>
      </c>
      <c r="C430" s="4">
        <f>IF(OR(INDEX($P$2:$P$1001,MATCH(ROWS($O$2:O430),$O$2:$O$1001,0),1)&gt;=100000,INDEX($V$1005:$AE$1005,1,MATCH(COLUMNS($V$1006:W1006),$V$1006:$AE$1006,0))&gt;=100000), " ",IF(INDEX($V$2:$AE$1001,MATCH(ROWS($O$2:O430),$O$2:$O$1001,0),MATCH(COLUMNS($V$1006:W1006),$V$1006:$AE$1006,0)), HYPERLINK("#",""), HYPERLINK(CONCATENATE("#Metadata!", ADDRESS(INDEX($Q$2:$Q$1001,MATCH(ROWS($O$2:O430),$O$2:$O$1001,0),0), INDEX($V$1004:$AE$1004,1,MATCH(COLUMNS($V$1006:W1006),$V$1006:$AE$1006,0)))),"Fix")))</f>
        <v>0</v>
      </c>
      <c r="D430" s="4">
        <f>IF(OR(INDEX($P$2:$P$1001,MATCH(ROWS($O$2:O430),$O$2:$O$1001,0),1)&gt;=100000,INDEX($V$1005:$AE$1005,1,MATCH(COLUMNS($V$1006:X1006),$V$1006:$AE$1006,0))&gt;=100000), " ",IF(INDEX($V$2:$AE$1001,MATCH(ROWS($O$2:O430),$O$2:$O$1001,0),MATCH(COLUMNS($V$1006:X1006),$V$1006:$AE$1006,0)), HYPERLINK("#",""), HYPERLINK(CONCATENATE("#Metadata!", ADDRESS(INDEX($Q$2:$Q$1001,MATCH(ROWS($O$2:O430),$O$2:$O$1001,0),0), INDEX($V$1004:$AE$1004,1,MATCH(COLUMNS($V$1006:X1006),$V$1006:$AE$1006,0)))),"Fix")))</f>
        <v>0</v>
      </c>
      <c r="E430" s="4">
        <f>IF(OR(INDEX($P$2:$P$1001,MATCH(ROWS($O$2:O430),$O$2:$O$1001,0),1)&gt;=100000,INDEX($V$1005:$AE$1005,1,MATCH(COLUMNS($V$1006:Y1006),$V$1006:$AE$1006,0))&gt;=100000), " ",IF(INDEX($V$2:$AE$1001,MATCH(ROWS($O$2:O430),$O$2:$O$1001,0),MATCH(COLUMNS($V$1006:Y1006),$V$1006:$AE$1006,0)), HYPERLINK("#",""), HYPERLINK(CONCATENATE("#Metadata!", ADDRESS(INDEX($Q$2:$Q$1001,MATCH(ROWS($O$2:O430),$O$2:$O$1001,0),0), INDEX($V$1004:$AE$1004,1,MATCH(COLUMNS($V$1006:Y1006),$V$1006:$AE$1006,0)))),"Fix")))</f>
        <v>0</v>
      </c>
      <c r="F430" s="4">
        <f>IF(OR(INDEX($P$2:$P$1001,MATCH(ROWS($O$2:O430),$O$2:$O$1001,0),1)&gt;=100000,INDEX($V$1005:$AE$1005,1,MATCH(COLUMNS($V$1006:Z1006),$V$1006:$AE$1006,0))&gt;=100000), " ",IF(INDEX($V$2:$AE$1001,MATCH(ROWS($O$2:O430),$O$2:$O$1001,0),MATCH(COLUMNS($V$1006:Z1006),$V$1006:$AE$1006,0)), HYPERLINK("#",""), HYPERLINK(CONCATENATE("#Metadata!", ADDRESS(INDEX($Q$2:$Q$1001,MATCH(ROWS($O$2:O430),$O$2:$O$1001,0),0), INDEX($V$1004:$AE$1004,1,MATCH(COLUMNS($V$1006:Z1006),$V$1006:$AE$1006,0)))),"Fix")))</f>
        <v>0</v>
      </c>
      <c r="G430" s="4">
        <f>IF(OR(INDEX($P$2:$P$1001,MATCH(ROWS($O$2:O430),$O$2:$O$1001,0),1)&gt;=100000,INDEX($V$1005:$AE$1005,1,MATCH(COLUMNS($V$1006:AA1006),$V$1006:$AE$1006,0))&gt;=100000), " ",IF(INDEX($V$2:$AE$1001,MATCH(ROWS($O$2:O430),$O$2:$O$1001,0),MATCH(COLUMNS($V$1006:AA1006),$V$1006:$AE$1006,0)), HYPERLINK("#",""), HYPERLINK(CONCATENATE("#Metadata!", ADDRESS(INDEX($Q$2:$Q$1001,MATCH(ROWS($O$2:O430),$O$2:$O$1001,0),0), INDEX($V$1004:$AE$1004,1,MATCH(COLUMNS($V$1006:AA1006),$V$1006:$AE$1006,0)))),"Fix")))</f>
        <v>0</v>
      </c>
      <c r="H430" s="4">
        <f>IF(OR(INDEX($P$2:$P$1001,MATCH(ROWS($O$2:O430),$O$2:$O$1001,0),1)&gt;=100000,INDEX($V$1005:$AE$1005,1,MATCH(COLUMNS($V$1006:AB1006),$V$1006:$AE$1006,0))&gt;=100000), " ",IF(INDEX($V$2:$AE$1001,MATCH(ROWS($O$2:O430),$O$2:$O$1001,0),MATCH(COLUMNS($V$1006:AB1006),$V$1006:$AE$1006,0)), HYPERLINK("#",""), HYPERLINK(CONCATENATE("#Metadata!", ADDRESS(INDEX($Q$2:$Q$1001,MATCH(ROWS($O$2:O430),$O$2:$O$1001,0),0), INDEX($V$1004:$AE$1004,1,MATCH(COLUMNS($V$1006:AB1006),$V$1006:$AE$1006,0)))),"Fix")))</f>
        <v>0</v>
      </c>
      <c r="I430" s="4">
        <f>IF(OR(INDEX($P$2:$P$1001,MATCH(ROWS($O$2:O430),$O$2:$O$1001,0),1)&gt;=100000,INDEX($V$1005:$AE$1005,1,MATCH(COLUMNS($V$1006:AC1006),$V$1006:$AE$1006,0))&gt;=100000), " ",IF(INDEX($V$2:$AE$1001,MATCH(ROWS($O$2:O430),$O$2:$O$1001,0),MATCH(COLUMNS($V$1006:AC1006),$V$1006:$AE$1006,0)), HYPERLINK("#",""), HYPERLINK(CONCATENATE("#Metadata!", ADDRESS(INDEX($Q$2:$Q$1001,MATCH(ROWS($O$2:O430),$O$2:$O$1001,0),0), INDEX($V$1004:$AE$1004,1,MATCH(COLUMNS($V$1006:AC1006),$V$1006:$AE$1006,0)))),"Fix")))</f>
        <v>0</v>
      </c>
      <c r="J430" s="4">
        <f>IF(OR(INDEX($P$2:$P$1001,MATCH(ROWS($O$2:O430),$O$2:$O$1001,0),1)&gt;=100000,INDEX($V$1005:$AE$1005,1,MATCH(COLUMNS($V$1006:AD1006),$V$1006:$AE$1006,0))&gt;=100000), " ",IF(INDEX($V$2:$AE$1001,MATCH(ROWS($O$2:O430),$O$2:$O$1001,0),MATCH(COLUMNS($V$1006:AD1006),$V$1006:$AE$1006,0)), HYPERLINK("#",""), HYPERLINK(CONCATENATE("#Metadata!", ADDRESS(INDEX($Q$2:$Q$1001,MATCH(ROWS($O$2:O430),$O$2:$O$1001,0),0), INDEX($V$1004:$AE$1004,1,MATCH(COLUMNS($V$1006:AD1006),$V$1006:$AE$1006,0)))),"Fix")))</f>
        <v>0</v>
      </c>
      <c r="K430" s="4">
        <f>IF(OR(INDEX($P$2:$P$1001,MATCH(ROWS($O$2:O430),$O$2:$O$1001,0),1)&gt;=100000,INDEX($V$1005:$AE$1005,1,MATCH(COLUMNS($V$1006:AE1006),$V$1006:$AE$1006,0))&gt;=100000), " ",IF(INDEX($V$2:$AE$1001,MATCH(ROWS($O$2:O430),$O$2:$O$1001,0),MATCH(COLUMNS($V$1006:AE1006),$V$1006:$AE$1006,0)), HYPERLINK("#",""), HYPERLINK(CONCATENATE("#Metadata!", ADDRESS(INDEX($Q$2:$Q$1001,MATCH(ROWS($O$2:O430),$O$2:$O$1001,0),0), INDEX($V$1004:$AE$1004,1,MATCH(COLUMNS($V$1006:AE1006),$V$1006:$AE$1006,0)))),"Fix")))</f>
        <v>0</v>
      </c>
      <c r="O430">
        <v>0</v>
      </c>
      <c r="P430">
        <v>0</v>
      </c>
      <c r="Q430">
        <v>0</v>
      </c>
      <c r="R430">
        <f>IF(S430,TRUE,AND(V430:AE430))</f>
        <v>0</v>
      </c>
      <c r="S430">
        <f>COUNTBLANK(Metadata!B430:K430)=COLUMNS(Metadata!B430:K430)</f>
        <v>0</v>
      </c>
      <c r="T430">
        <v>0</v>
      </c>
      <c r="V430">
        <f>AND(IF(Metadata!B430="",FALSE,TRUE),COUNTIF(Metadata!B:B, Metadata!B430) = 1,NOT(ISERROR(SUMPRODUCT(SEARCH(MID(Metadata!B430,ROW(INDIRECT("1:"&amp;LEN(Metadata!B430))), 1),"0123456789abcdefghijklmnopqrstuvwxyzABCDEFGHIJKLMNOPQRSTUVWXYZ.")))))</f>
        <v>0</v>
      </c>
      <c r="W430">
        <f>AND(IF(Metadata!C430="",FALSE,TRUE),exact(Metadata!C430,"urban biome"))</f>
        <v>0</v>
      </c>
      <c r="X430">
        <f>AND(IF(Metadata!D430="",FALSE,TRUE),exact(Metadata!D430,"animal-associated habitat"))</f>
        <v>0</v>
      </c>
      <c r="Y430">
        <f>OR(AND(IF(Metadata!E430="",FALSE,TRUE),OR(exact(Metadata!E430,"not applicable"),exact(Metadata!E430,"missing: not collected"),exact(Metadata!E430,"missing: not provided"),exact(Metadata!E430,"missing: restricted access"))),AND(IF(Metadata!E430="",FALSE,ISNUMBER(VALUE(Metadata!E430))),Metadata!E430&gt;0))</f>
        <v>0</v>
      </c>
      <c r="Z430">
        <f>AND(IF(Metadata!F430="",FALSE,TRUE),exact(Metadata!F430,"weeks"))</f>
        <v>0</v>
      </c>
      <c r="AA430">
        <f>AND(IF(Metadata!G430="",FALSE,TRUE),exact(Metadata!G430,"mouse"))</f>
        <v>0</v>
      </c>
      <c r="AB430">
        <f>AND(IF(Metadata!H430="",FALSE,TRUE),exact(Metadata!H430,"Mus musculus"))</f>
        <v>0</v>
      </c>
      <c r="AC430">
        <f>AND(IF(Metadata!I430="",FALSE,TRUE),exact(Metadata!I430,"10090"))</f>
        <v>0</v>
      </c>
      <c r="AD430">
        <f>OR(AND(IF(Metadata!J430="",FALSE,TRUE),OR(exact(Metadata!J430,"not applicable"),exact(Metadata!J430,"missing: not collected"),exact(Metadata!J430,"missing: not provided"),exact(Metadata!J430,"missing: restricted access"))),AND(IF(Metadata!J430="",FALSE,ISNUMBER(VALUE(Metadata!J430))),Metadata!J430&gt;0))</f>
        <v>0</v>
      </c>
      <c r="AE430">
        <f>AND(IF(Metadata!K430="",FALSE,TRUE),exact(Metadata!K430,"g"))</f>
        <v>0</v>
      </c>
    </row>
    <row r="431" spans="1:31">
      <c r="A431" s="5">
        <f>IF(B431=" "," ",HYPERLINK(CONCATENATE("#metadata!",ADDRESS(INDEX($Q$2:$Q$1001,MATCH(ROWS($O$2:O431),$O$2:$O$1001,0),0),1)),INDEX($T$2:$T$1001,MATCH(ROWS($O$2:O431),$O$2:$O$1001,0),0)))</f>
        <v>0</v>
      </c>
      <c r="B431" s="4">
        <f>IF(OR(INDEX($P$2:$P$1001,MATCH(ROWS($O$2:O431),$O$2:$O$1001,0),1)&gt;=100000,INDEX($V$1005:$AE$1005,1,MATCH(COLUMNS($V$1006:V1006),$V$1006:$AE$1006,0))&gt;=100000), " ",IF(INDEX($V$2:$AE$1001,MATCH(ROWS($O$2:O431),$O$2:$O$1001,0),MATCH(COLUMNS($V$1006:V1006),$V$1006:$AE$1006,0)), HYPERLINK("#",""), HYPERLINK(CONCATENATE("#Metadata!", ADDRESS(INDEX($Q$2:$Q$1001,MATCH(ROWS($O$2:O431),$O$2:$O$1001,0),0), INDEX($V$1004:$AE$1004,1,MATCH(COLUMNS($V$1006:V1006),$V$1006:$AE$1006,0)))),"Fix")))</f>
        <v>0</v>
      </c>
      <c r="C431" s="4">
        <f>IF(OR(INDEX($P$2:$P$1001,MATCH(ROWS($O$2:O431),$O$2:$O$1001,0),1)&gt;=100000,INDEX($V$1005:$AE$1005,1,MATCH(COLUMNS($V$1006:W1006),$V$1006:$AE$1006,0))&gt;=100000), " ",IF(INDEX($V$2:$AE$1001,MATCH(ROWS($O$2:O431),$O$2:$O$1001,0),MATCH(COLUMNS($V$1006:W1006),$V$1006:$AE$1006,0)), HYPERLINK("#",""), HYPERLINK(CONCATENATE("#Metadata!", ADDRESS(INDEX($Q$2:$Q$1001,MATCH(ROWS($O$2:O431),$O$2:$O$1001,0),0), INDEX($V$1004:$AE$1004,1,MATCH(COLUMNS($V$1006:W1006),$V$1006:$AE$1006,0)))),"Fix")))</f>
        <v>0</v>
      </c>
      <c r="D431" s="4">
        <f>IF(OR(INDEX($P$2:$P$1001,MATCH(ROWS($O$2:O431),$O$2:$O$1001,0),1)&gt;=100000,INDEX($V$1005:$AE$1005,1,MATCH(COLUMNS($V$1006:X1006),$V$1006:$AE$1006,0))&gt;=100000), " ",IF(INDEX($V$2:$AE$1001,MATCH(ROWS($O$2:O431),$O$2:$O$1001,0),MATCH(COLUMNS($V$1006:X1006),$V$1006:$AE$1006,0)), HYPERLINK("#",""), HYPERLINK(CONCATENATE("#Metadata!", ADDRESS(INDEX($Q$2:$Q$1001,MATCH(ROWS($O$2:O431),$O$2:$O$1001,0),0), INDEX($V$1004:$AE$1004,1,MATCH(COLUMNS($V$1006:X1006),$V$1006:$AE$1006,0)))),"Fix")))</f>
        <v>0</v>
      </c>
      <c r="E431" s="4">
        <f>IF(OR(INDEX($P$2:$P$1001,MATCH(ROWS($O$2:O431),$O$2:$O$1001,0),1)&gt;=100000,INDEX($V$1005:$AE$1005,1,MATCH(COLUMNS($V$1006:Y1006),$V$1006:$AE$1006,0))&gt;=100000), " ",IF(INDEX($V$2:$AE$1001,MATCH(ROWS($O$2:O431),$O$2:$O$1001,0),MATCH(COLUMNS($V$1006:Y1006),$V$1006:$AE$1006,0)), HYPERLINK("#",""), HYPERLINK(CONCATENATE("#Metadata!", ADDRESS(INDEX($Q$2:$Q$1001,MATCH(ROWS($O$2:O431),$O$2:$O$1001,0),0), INDEX($V$1004:$AE$1004,1,MATCH(COLUMNS($V$1006:Y1006),$V$1006:$AE$1006,0)))),"Fix")))</f>
        <v>0</v>
      </c>
      <c r="F431" s="4">
        <f>IF(OR(INDEX($P$2:$P$1001,MATCH(ROWS($O$2:O431),$O$2:$O$1001,0),1)&gt;=100000,INDEX($V$1005:$AE$1005,1,MATCH(COLUMNS($V$1006:Z1006),$V$1006:$AE$1006,0))&gt;=100000), " ",IF(INDEX($V$2:$AE$1001,MATCH(ROWS($O$2:O431),$O$2:$O$1001,0),MATCH(COLUMNS($V$1006:Z1006),$V$1006:$AE$1006,0)), HYPERLINK("#",""), HYPERLINK(CONCATENATE("#Metadata!", ADDRESS(INDEX($Q$2:$Q$1001,MATCH(ROWS($O$2:O431),$O$2:$O$1001,0),0), INDEX($V$1004:$AE$1004,1,MATCH(COLUMNS($V$1006:Z1006),$V$1006:$AE$1006,0)))),"Fix")))</f>
        <v>0</v>
      </c>
      <c r="G431" s="4">
        <f>IF(OR(INDEX($P$2:$P$1001,MATCH(ROWS($O$2:O431),$O$2:$O$1001,0),1)&gt;=100000,INDEX($V$1005:$AE$1005,1,MATCH(COLUMNS($V$1006:AA1006),$V$1006:$AE$1006,0))&gt;=100000), " ",IF(INDEX($V$2:$AE$1001,MATCH(ROWS($O$2:O431),$O$2:$O$1001,0),MATCH(COLUMNS($V$1006:AA1006),$V$1006:$AE$1006,0)), HYPERLINK("#",""), HYPERLINK(CONCATENATE("#Metadata!", ADDRESS(INDEX($Q$2:$Q$1001,MATCH(ROWS($O$2:O431),$O$2:$O$1001,0),0), INDEX($V$1004:$AE$1004,1,MATCH(COLUMNS($V$1006:AA1006),$V$1006:$AE$1006,0)))),"Fix")))</f>
        <v>0</v>
      </c>
      <c r="H431" s="4">
        <f>IF(OR(INDEX($P$2:$P$1001,MATCH(ROWS($O$2:O431),$O$2:$O$1001,0),1)&gt;=100000,INDEX($V$1005:$AE$1005,1,MATCH(COLUMNS($V$1006:AB1006),$V$1006:$AE$1006,0))&gt;=100000), " ",IF(INDEX($V$2:$AE$1001,MATCH(ROWS($O$2:O431),$O$2:$O$1001,0),MATCH(COLUMNS($V$1006:AB1006),$V$1006:$AE$1006,0)), HYPERLINK("#",""), HYPERLINK(CONCATENATE("#Metadata!", ADDRESS(INDEX($Q$2:$Q$1001,MATCH(ROWS($O$2:O431),$O$2:$O$1001,0),0), INDEX($V$1004:$AE$1004,1,MATCH(COLUMNS($V$1006:AB1006),$V$1006:$AE$1006,0)))),"Fix")))</f>
        <v>0</v>
      </c>
      <c r="I431" s="4">
        <f>IF(OR(INDEX($P$2:$P$1001,MATCH(ROWS($O$2:O431),$O$2:$O$1001,0),1)&gt;=100000,INDEX($V$1005:$AE$1005,1,MATCH(COLUMNS($V$1006:AC1006),$V$1006:$AE$1006,0))&gt;=100000), " ",IF(INDEX($V$2:$AE$1001,MATCH(ROWS($O$2:O431),$O$2:$O$1001,0),MATCH(COLUMNS($V$1006:AC1006),$V$1006:$AE$1006,0)), HYPERLINK("#",""), HYPERLINK(CONCATENATE("#Metadata!", ADDRESS(INDEX($Q$2:$Q$1001,MATCH(ROWS($O$2:O431),$O$2:$O$1001,0),0), INDEX($V$1004:$AE$1004,1,MATCH(COLUMNS($V$1006:AC1006),$V$1006:$AE$1006,0)))),"Fix")))</f>
        <v>0</v>
      </c>
      <c r="J431" s="4">
        <f>IF(OR(INDEX($P$2:$P$1001,MATCH(ROWS($O$2:O431),$O$2:$O$1001,0),1)&gt;=100000,INDEX($V$1005:$AE$1005,1,MATCH(COLUMNS($V$1006:AD1006),$V$1006:$AE$1006,0))&gt;=100000), " ",IF(INDEX($V$2:$AE$1001,MATCH(ROWS($O$2:O431),$O$2:$O$1001,0),MATCH(COLUMNS($V$1006:AD1006),$V$1006:$AE$1006,0)), HYPERLINK("#",""), HYPERLINK(CONCATENATE("#Metadata!", ADDRESS(INDEX($Q$2:$Q$1001,MATCH(ROWS($O$2:O431),$O$2:$O$1001,0),0), INDEX($V$1004:$AE$1004,1,MATCH(COLUMNS($V$1006:AD1006),$V$1006:$AE$1006,0)))),"Fix")))</f>
        <v>0</v>
      </c>
      <c r="K431" s="4">
        <f>IF(OR(INDEX($P$2:$P$1001,MATCH(ROWS($O$2:O431),$O$2:$O$1001,0),1)&gt;=100000,INDEX($V$1005:$AE$1005,1,MATCH(COLUMNS($V$1006:AE1006),$V$1006:$AE$1006,0))&gt;=100000), " ",IF(INDEX($V$2:$AE$1001,MATCH(ROWS($O$2:O431),$O$2:$O$1001,0),MATCH(COLUMNS($V$1006:AE1006),$V$1006:$AE$1006,0)), HYPERLINK("#",""), HYPERLINK(CONCATENATE("#Metadata!", ADDRESS(INDEX($Q$2:$Q$1001,MATCH(ROWS($O$2:O431),$O$2:$O$1001,0),0), INDEX($V$1004:$AE$1004,1,MATCH(COLUMNS($V$1006:AE1006),$V$1006:$AE$1006,0)))),"Fix")))</f>
        <v>0</v>
      </c>
      <c r="O431">
        <v>0</v>
      </c>
      <c r="P431">
        <v>0</v>
      </c>
      <c r="Q431">
        <v>0</v>
      </c>
      <c r="R431">
        <f>IF(S431,TRUE,AND(V431:AE431))</f>
        <v>0</v>
      </c>
      <c r="S431">
        <f>COUNTBLANK(Metadata!B431:K431)=COLUMNS(Metadata!B431:K431)</f>
        <v>0</v>
      </c>
      <c r="T431">
        <v>0</v>
      </c>
      <c r="V431">
        <f>AND(IF(Metadata!B431="",FALSE,TRUE),COUNTIF(Metadata!B:B, Metadata!B431) = 1,NOT(ISERROR(SUMPRODUCT(SEARCH(MID(Metadata!B431,ROW(INDIRECT("1:"&amp;LEN(Metadata!B431))), 1),"0123456789abcdefghijklmnopqrstuvwxyzABCDEFGHIJKLMNOPQRSTUVWXYZ.")))))</f>
        <v>0</v>
      </c>
      <c r="W431">
        <f>AND(IF(Metadata!C431="",FALSE,TRUE),exact(Metadata!C431,"urban biome"))</f>
        <v>0</v>
      </c>
      <c r="X431">
        <f>AND(IF(Metadata!D431="",FALSE,TRUE),exact(Metadata!D431,"animal-associated habitat"))</f>
        <v>0</v>
      </c>
      <c r="Y431">
        <f>OR(AND(IF(Metadata!E431="",FALSE,TRUE),OR(exact(Metadata!E431,"not applicable"),exact(Metadata!E431,"missing: not collected"),exact(Metadata!E431,"missing: not provided"),exact(Metadata!E431,"missing: restricted access"))),AND(IF(Metadata!E431="",FALSE,ISNUMBER(VALUE(Metadata!E431))),Metadata!E431&gt;0))</f>
        <v>0</v>
      </c>
      <c r="Z431">
        <f>AND(IF(Metadata!F431="",FALSE,TRUE),exact(Metadata!F431,"weeks"))</f>
        <v>0</v>
      </c>
      <c r="AA431">
        <f>AND(IF(Metadata!G431="",FALSE,TRUE),exact(Metadata!G431,"mouse"))</f>
        <v>0</v>
      </c>
      <c r="AB431">
        <f>AND(IF(Metadata!H431="",FALSE,TRUE),exact(Metadata!H431,"Mus musculus"))</f>
        <v>0</v>
      </c>
      <c r="AC431">
        <f>AND(IF(Metadata!I431="",FALSE,TRUE),exact(Metadata!I431,"10090"))</f>
        <v>0</v>
      </c>
      <c r="AD431">
        <f>OR(AND(IF(Metadata!J431="",FALSE,TRUE),OR(exact(Metadata!J431,"not applicable"),exact(Metadata!J431,"missing: not collected"),exact(Metadata!J431,"missing: not provided"),exact(Metadata!J431,"missing: restricted access"))),AND(IF(Metadata!J431="",FALSE,ISNUMBER(VALUE(Metadata!J431))),Metadata!J431&gt;0))</f>
        <v>0</v>
      </c>
      <c r="AE431">
        <f>AND(IF(Metadata!K431="",FALSE,TRUE),exact(Metadata!K431,"g"))</f>
        <v>0</v>
      </c>
    </row>
    <row r="432" spans="1:31">
      <c r="A432" s="5">
        <f>IF(B432=" "," ",HYPERLINK(CONCATENATE("#metadata!",ADDRESS(INDEX($Q$2:$Q$1001,MATCH(ROWS($O$2:O432),$O$2:$O$1001,0),0),1)),INDEX($T$2:$T$1001,MATCH(ROWS($O$2:O432),$O$2:$O$1001,0),0)))</f>
        <v>0</v>
      </c>
      <c r="B432" s="4">
        <f>IF(OR(INDEX($P$2:$P$1001,MATCH(ROWS($O$2:O432),$O$2:$O$1001,0),1)&gt;=100000,INDEX($V$1005:$AE$1005,1,MATCH(COLUMNS($V$1006:V1006),$V$1006:$AE$1006,0))&gt;=100000), " ",IF(INDEX($V$2:$AE$1001,MATCH(ROWS($O$2:O432),$O$2:$O$1001,0),MATCH(COLUMNS($V$1006:V1006),$V$1006:$AE$1006,0)), HYPERLINK("#",""), HYPERLINK(CONCATENATE("#Metadata!", ADDRESS(INDEX($Q$2:$Q$1001,MATCH(ROWS($O$2:O432),$O$2:$O$1001,0),0), INDEX($V$1004:$AE$1004,1,MATCH(COLUMNS($V$1006:V1006),$V$1006:$AE$1006,0)))),"Fix")))</f>
        <v>0</v>
      </c>
      <c r="C432" s="4">
        <f>IF(OR(INDEX($P$2:$P$1001,MATCH(ROWS($O$2:O432),$O$2:$O$1001,0),1)&gt;=100000,INDEX($V$1005:$AE$1005,1,MATCH(COLUMNS($V$1006:W1006),$V$1006:$AE$1006,0))&gt;=100000), " ",IF(INDEX($V$2:$AE$1001,MATCH(ROWS($O$2:O432),$O$2:$O$1001,0),MATCH(COLUMNS($V$1006:W1006),$V$1006:$AE$1006,0)), HYPERLINK("#",""), HYPERLINK(CONCATENATE("#Metadata!", ADDRESS(INDEX($Q$2:$Q$1001,MATCH(ROWS($O$2:O432),$O$2:$O$1001,0),0), INDEX($V$1004:$AE$1004,1,MATCH(COLUMNS($V$1006:W1006),$V$1006:$AE$1006,0)))),"Fix")))</f>
        <v>0</v>
      </c>
      <c r="D432" s="4">
        <f>IF(OR(INDEX($P$2:$P$1001,MATCH(ROWS($O$2:O432),$O$2:$O$1001,0),1)&gt;=100000,INDEX($V$1005:$AE$1005,1,MATCH(COLUMNS($V$1006:X1006),$V$1006:$AE$1006,0))&gt;=100000), " ",IF(INDEX($V$2:$AE$1001,MATCH(ROWS($O$2:O432),$O$2:$O$1001,0),MATCH(COLUMNS($V$1006:X1006),$V$1006:$AE$1006,0)), HYPERLINK("#",""), HYPERLINK(CONCATENATE("#Metadata!", ADDRESS(INDEX($Q$2:$Q$1001,MATCH(ROWS($O$2:O432),$O$2:$O$1001,0),0), INDEX($V$1004:$AE$1004,1,MATCH(COLUMNS($V$1006:X1006),$V$1006:$AE$1006,0)))),"Fix")))</f>
        <v>0</v>
      </c>
      <c r="E432" s="4">
        <f>IF(OR(INDEX($P$2:$P$1001,MATCH(ROWS($O$2:O432),$O$2:$O$1001,0),1)&gt;=100000,INDEX($V$1005:$AE$1005,1,MATCH(COLUMNS($V$1006:Y1006),$V$1006:$AE$1006,0))&gt;=100000), " ",IF(INDEX($V$2:$AE$1001,MATCH(ROWS($O$2:O432),$O$2:$O$1001,0),MATCH(COLUMNS($V$1006:Y1006),$V$1006:$AE$1006,0)), HYPERLINK("#",""), HYPERLINK(CONCATENATE("#Metadata!", ADDRESS(INDEX($Q$2:$Q$1001,MATCH(ROWS($O$2:O432),$O$2:$O$1001,0),0), INDEX($V$1004:$AE$1004,1,MATCH(COLUMNS($V$1006:Y1006),$V$1006:$AE$1006,0)))),"Fix")))</f>
        <v>0</v>
      </c>
      <c r="F432" s="4">
        <f>IF(OR(INDEX($P$2:$P$1001,MATCH(ROWS($O$2:O432),$O$2:$O$1001,0),1)&gt;=100000,INDEX($V$1005:$AE$1005,1,MATCH(COLUMNS($V$1006:Z1006),$V$1006:$AE$1006,0))&gt;=100000), " ",IF(INDEX($V$2:$AE$1001,MATCH(ROWS($O$2:O432),$O$2:$O$1001,0),MATCH(COLUMNS($V$1006:Z1006),$V$1006:$AE$1006,0)), HYPERLINK("#",""), HYPERLINK(CONCATENATE("#Metadata!", ADDRESS(INDEX($Q$2:$Q$1001,MATCH(ROWS($O$2:O432),$O$2:$O$1001,0),0), INDEX($V$1004:$AE$1004,1,MATCH(COLUMNS($V$1006:Z1006),$V$1006:$AE$1006,0)))),"Fix")))</f>
        <v>0</v>
      </c>
      <c r="G432" s="4">
        <f>IF(OR(INDEX($P$2:$P$1001,MATCH(ROWS($O$2:O432),$O$2:$O$1001,0),1)&gt;=100000,INDEX($V$1005:$AE$1005,1,MATCH(COLUMNS($V$1006:AA1006),$V$1006:$AE$1006,0))&gt;=100000), " ",IF(INDEX($V$2:$AE$1001,MATCH(ROWS($O$2:O432),$O$2:$O$1001,0),MATCH(COLUMNS($V$1006:AA1006),$V$1006:$AE$1006,0)), HYPERLINK("#",""), HYPERLINK(CONCATENATE("#Metadata!", ADDRESS(INDEX($Q$2:$Q$1001,MATCH(ROWS($O$2:O432),$O$2:$O$1001,0),0), INDEX($V$1004:$AE$1004,1,MATCH(COLUMNS($V$1006:AA1006),$V$1006:$AE$1006,0)))),"Fix")))</f>
        <v>0</v>
      </c>
      <c r="H432" s="4">
        <f>IF(OR(INDEX($P$2:$P$1001,MATCH(ROWS($O$2:O432),$O$2:$O$1001,0),1)&gt;=100000,INDEX($V$1005:$AE$1005,1,MATCH(COLUMNS($V$1006:AB1006),$V$1006:$AE$1006,0))&gt;=100000), " ",IF(INDEX($V$2:$AE$1001,MATCH(ROWS($O$2:O432),$O$2:$O$1001,0),MATCH(COLUMNS($V$1006:AB1006),$V$1006:$AE$1006,0)), HYPERLINK("#",""), HYPERLINK(CONCATENATE("#Metadata!", ADDRESS(INDEX($Q$2:$Q$1001,MATCH(ROWS($O$2:O432),$O$2:$O$1001,0),0), INDEX($V$1004:$AE$1004,1,MATCH(COLUMNS($V$1006:AB1006),$V$1006:$AE$1006,0)))),"Fix")))</f>
        <v>0</v>
      </c>
      <c r="I432" s="4">
        <f>IF(OR(INDEX($P$2:$P$1001,MATCH(ROWS($O$2:O432),$O$2:$O$1001,0),1)&gt;=100000,INDEX($V$1005:$AE$1005,1,MATCH(COLUMNS($V$1006:AC1006),$V$1006:$AE$1006,0))&gt;=100000), " ",IF(INDEX($V$2:$AE$1001,MATCH(ROWS($O$2:O432),$O$2:$O$1001,0),MATCH(COLUMNS($V$1006:AC1006),$V$1006:$AE$1006,0)), HYPERLINK("#",""), HYPERLINK(CONCATENATE("#Metadata!", ADDRESS(INDEX($Q$2:$Q$1001,MATCH(ROWS($O$2:O432),$O$2:$O$1001,0),0), INDEX($V$1004:$AE$1004,1,MATCH(COLUMNS($V$1006:AC1006),$V$1006:$AE$1006,0)))),"Fix")))</f>
        <v>0</v>
      </c>
      <c r="J432" s="4">
        <f>IF(OR(INDEX($P$2:$P$1001,MATCH(ROWS($O$2:O432),$O$2:$O$1001,0),1)&gt;=100000,INDEX($V$1005:$AE$1005,1,MATCH(COLUMNS($V$1006:AD1006),$V$1006:$AE$1006,0))&gt;=100000), " ",IF(INDEX($V$2:$AE$1001,MATCH(ROWS($O$2:O432),$O$2:$O$1001,0),MATCH(COLUMNS($V$1006:AD1006),$V$1006:$AE$1006,0)), HYPERLINK("#",""), HYPERLINK(CONCATENATE("#Metadata!", ADDRESS(INDEX($Q$2:$Q$1001,MATCH(ROWS($O$2:O432),$O$2:$O$1001,0),0), INDEX($V$1004:$AE$1004,1,MATCH(COLUMNS($V$1006:AD1006),$V$1006:$AE$1006,0)))),"Fix")))</f>
        <v>0</v>
      </c>
      <c r="K432" s="4">
        <f>IF(OR(INDEX($P$2:$P$1001,MATCH(ROWS($O$2:O432),$O$2:$O$1001,0),1)&gt;=100000,INDEX($V$1005:$AE$1005,1,MATCH(COLUMNS($V$1006:AE1006),$V$1006:$AE$1006,0))&gt;=100000), " ",IF(INDEX($V$2:$AE$1001,MATCH(ROWS($O$2:O432),$O$2:$O$1001,0),MATCH(COLUMNS($V$1006:AE1006),$V$1006:$AE$1006,0)), HYPERLINK("#",""), HYPERLINK(CONCATENATE("#Metadata!", ADDRESS(INDEX($Q$2:$Q$1001,MATCH(ROWS($O$2:O432),$O$2:$O$1001,0),0), INDEX($V$1004:$AE$1004,1,MATCH(COLUMNS($V$1006:AE1006),$V$1006:$AE$1006,0)))),"Fix")))</f>
        <v>0</v>
      </c>
      <c r="O432">
        <v>0</v>
      </c>
      <c r="P432">
        <v>0</v>
      </c>
      <c r="Q432">
        <v>0</v>
      </c>
      <c r="R432">
        <f>IF(S432,TRUE,AND(V432:AE432))</f>
        <v>0</v>
      </c>
      <c r="S432">
        <f>COUNTBLANK(Metadata!B432:K432)=COLUMNS(Metadata!B432:K432)</f>
        <v>0</v>
      </c>
      <c r="T432">
        <v>0</v>
      </c>
      <c r="V432">
        <f>AND(IF(Metadata!B432="",FALSE,TRUE),COUNTIF(Metadata!B:B, Metadata!B432) = 1,NOT(ISERROR(SUMPRODUCT(SEARCH(MID(Metadata!B432,ROW(INDIRECT("1:"&amp;LEN(Metadata!B432))), 1),"0123456789abcdefghijklmnopqrstuvwxyzABCDEFGHIJKLMNOPQRSTUVWXYZ.")))))</f>
        <v>0</v>
      </c>
      <c r="W432">
        <f>AND(IF(Metadata!C432="",FALSE,TRUE),exact(Metadata!C432,"urban biome"))</f>
        <v>0</v>
      </c>
      <c r="X432">
        <f>AND(IF(Metadata!D432="",FALSE,TRUE),exact(Metadata!D432,"animal-associated habitat"))</f>
        <v>0</v>
      </c>
      <c r="Y432">
        <f>OR(AND(IF(Metadata!E432="",FALSE,TRUE),OR(exact(Metadata!E432,"not applicable"),exact(Metadata!E432,"missing: not collected"),exact(Metadata!E432,"missing: not provided"),exact(Metadata!E432,"missing: restricted access"))),AND(IF(Metadata!E432="",FALSE,ISNUMBER(VALUE(Metadata!E432))),Metadata!E432&gt;0))</f>
        <v>0</v>
      </c>
      <c r="Z432">
        <f>AND(IF(Metadata!F432="",FALSE,TRUE),exact(Metadata!F432,"weeks"))</f>
        <v>0</v>
      </c>
      <c r="AA432">
        <f>AND(IF(Metadata!G432="",FALSE,TRUE),exact(Metadata!G432,"mouse"))</f>
        <v>0</v>
      </c>
      <c r="AB432">
        <f>AND(IF(Metadata!H432="",FALSE,TRUE),exact(Metadata!H432,"Mus musculus"))</f>
        <v>0</v>
      </c>
      <c r="AC432">
        <f>AND(IF(Metadata!I432="",FALSE,TRUE),exact(Metadata!I432,"10090"))</f>
        <v>0</v>
      </c>
      <c r="AD432">
        <f>OR(AND(IF(Metadata!J432="",FALSE,TRUE),OR(exact(Metadata!J432,"not applicable"),exact(Metadata!J432,"missing: not collected"),exact(Metadata!J432,"missing: not provided"),exact(Metadata!J432,"missing: restricted access"))),AND(IF(Metadata!J432="",FALSE,ISNUMBER(VALUE(Metadata!J432))),Metadata!J432&gt;0))</f>
        <v>0</v>
      </c>
      <c r="AE432">
        <f>AND(IF(Metadata!K432="",FALSE,TRUE),exact(Metadata!K432,"g"))</f>
        <v>0</v>
      </c>
    </row>
    <row r="433" spans="1:31">
      <c r="A433" s="5">
        <f>IF(B433=" "," ",HYPERLINK(CONCATENATE("#metadata!",ADDRESS(INDEX($Q$2:$Q$1001,MATCH(ROWS($O$2:O433),$O$2:$O$1001,0),0),1)),INDEX($T$2:$T$1001,MATCH(ROWS($O$2:O433),$O$2:$O$1001,0),0)))</f>
        <v>0</v>
      </c>
      <c r="B433" s="4">
        <f>IF(OR(INDEX($P$2:$P$1001,MATCH(ROWS($O$2:O433),$O$2:$O$1001,0),1)&gt;=100000,INDEX($V$1005:$AE$1005,1,MATCH(COLUMNS($V$1006:V1006),$V$1006:$AE$1006,0))&gt;=100000), " ",IF(INDEX($V$2:$AE$1001,MATCH(ROWS($O$2:O433),$O$2:$O$1001,0),MATCH(COLUMNS($V$1006:V1006),$V$1006:$AE$1006,0)), HYPERLINK("#",""), HYPERLINK(CONCATENATE("#Metadata!", ADDRESS(INDEX($Q$2:$Q$1001,MATCH(ROWS($O$2:O433),$O$2:$O$1001,0),0), INDEX($V$1004:$AE$1004,1,MATCH(COLUMNS($V$1006:V1006),$V$1006:$AE$1006,0)))),"Fix")))</f>
        <v>0</v>
      </c>
      <c r="C433" s="4">
        <f>IF(OR(INDEX($P$2:$P$1001,MATCH(ROWS($O$2:O433),$O$2:$O$1001,0),1)&gt;=100000,INDEX($V$1005:$AE$1005,1,MATCH(COLUMNS($V$1006:W1006),$V$1006:$AE$1006,0))&gt;=100000), " ",IF(INDEX($V$2:$AE$1001,MATCH(ROWS($O$2:O433),$O$2:$O$1001,0),MATCH(COLUMNS($V$1006:W1006),$V$1006:$AE$1006,0)), HYPERLINK("#",""), HYPERLINK(CONCATENATE("#Metadata!", ADDRESS(INDEX($Q$2:$Q$1001,MATCH(ROWS($O$2:O433),$O$2:$O$1001,0),0), INDEX($V$1004:$AE$1004,1,MATCH(COLUMNS($V$1006:W1006),$V$1006:$AE$1006,0)))),"Fix")))</f>
        <v>0</v>
      </c>
      <c r="D433" s="4">
        <f>IF(OR(INDEX($P$2:$P$1001,MATCH(ROWS($O$2:O433),$O$2:$O$1001,0),1)&gt;=100000,INDEX($V$1005:$AE$1005,1,MATCH(COLUMNS($V$1006:X1006),$V$1006:$AE$1006,0))&gt;=100000), " ",IF(INDEX($V$2:$AE$1001,MATCH(ROWS($O$2:O433),$O$2:$O$1001,0),MATCH(COLUMNS($V$1006:X1006),$V$1006:$AE$1006,0)), HYPERLINK("#",""), HYPERLINK(CONCATENATE("#Metadata!", ADDRESS(INDEX($Q$2:$Q$1001,MATCH(ROWS($O$2:O433),$O$2:$O$1001,0),0), INDEX($V$1004:$AE$1004,1,MATCH(COLUMNS($V$1006:X1006),$V$1006:$AE$1006,0)))),"Fix")))</f>
        <v>0</v>
      </c>
      <c r="E433" s="4">
        <f>IF(OR(INDEX($P$2:$P$1001,MATCH(ROWS($O$2:O433),$O$2:$O$1001,0),1)&gt;=100000,INDEX($V$1005:$AE$1005,1,MATCH(COLUMNS($V$1006:Y1006),$V$1006:$AE$1006,0))&gt;=100000), " ",IF(INDEX($V$2:$AE$1001,MATCH(ROWS($O$2:O433),$O$2:$O$1001,0),MATCH(COLUMNS($V$1006:Y1006),$V$1006:$AE$1006,0)), HYPERLINK("#",""), HYPERLINK(CONCATENATE("#Metadata!", ADDRESS(INDEX($Q$2:$Q$1001,MATCH(ROWS($O$2:O433),$O$2:$O$1001,0),0), INDEX($V$1004:$AE$1004,1,MATCH(COLUMNS($V$1006:Y1006),$V$1006:$AE$1006,0)))),"Fix")))</f>
        <v>0</v>
      </c>
      <c r="F433" s="4">
        <f>IF(OR(INDEX($P$2:$P$1001,MATCH(ROWS($O$2:O433),$O$2:$O$1001,0),1)&gt;=100000,INDEX($V$1005:$AE$1005,1,MATCH(COLUMNS($V$1006:Z1006),$V$1006:$AE$1006,0))&gt;=100000), " ",IF(INDEX($V$2:$AE$1001,MATCH(ROWS($O$2:O433),$O$2:$O$1001,0),MATCH(COLUMNS($V$1006:Z1006),$V$1006:$AE$1006,0)), HYPERLINK("#",""), HYPERLINK(CONCATENATE("#Metadata!", ADDRESS(INDEX($Q$2:$Q$1001,MATCH(ROWS($O$2:O433),$O$2:$O$1001,0),0), INDEX($V$1004:$AE$1004,1,MATCH(COLUMNS($V$1006:Z1006),$V$1006:$AE$1006,0)))),"Fix")))</f>
        <v>0</v>
      </c>
      <c r="G433" s="4">
        <f>IF(OR(INDEX($P$2:$P$1001,MATCH(ROWS($O$2:O433),$O$2:$O$1001,0),1)&gt;=100000,INDEX($V$1005:$AE$1005,1,MATCH(COLUMNS($V$1006:AA1006),$V$1006:$AE$1006,0))&gt;=100000), " ",IF(INDEX($V$2:$AE$1001,MATCH(ROWS($O$2:O433),$O$2:$O$1001,0),MATCH(COLUMNS($V$1006:AA1006),$V$1006:$AE$1006,0)), HYPERLINK("#",""), HYPERLINK(CONCATENATE("#Metadata!", ADDRESS(INDEX($Q$2:$Q$1001,MATCH(ROWS($O$2:O433),$O$2:$O$1001,0),0), INDEX($V$1004:$AE$1004,1,MATCH(COLUMNS($V$1006:AA1006),$V$1006:$AE$1006,0)))),"Fix")))</f>
        <v>0</v>
      </c>
      <c r="H433" s="4">
        <f>IF(OR(INDEX($P$2:$P$1001,MATCH(ROWS($O$2:O433),$O$2:$O$1001,0),1)&gt;=100000,INDEX($V$1005:$AE$1005,1,MATCH(COLUMNS($V$1006:AB1006),$V$1006:$AE$1006,0))&gt;=100000), " ",IF(INDEX($V$2:$AE$1001,MATCH(ROWS($O$2:O433),$O$2:$O$1001,0),MATCH(COLUMNS($V$1006:AB1006),$V$1006:$AE$1006,0)), HYPERLINK("#",""), HYPERLINK(CONCATENATE("#Metadata!", ADDRESS(INDEX($Q$2:$Q$1001,MATCH(ROWS($O$2:O433),$O$2:$O$1001,0),0), INDEX($V$1004:$AE$1004,1,MATCH(COLUMNS($V$1006:AB1006),$V$1006:$AE$1006,0)))),"Fix")))</f>
        <v>0</v>
      </c>
      <c r="I433" s="4">
        <f>IF(OR(INDEX($P$2:$P$1001,MATCH(ROWS($O$2:O433),$O$2:$O$1001,0),1)&gt;=100000,INDEX($V$1005:$AE$1005,1,MATCH(COLUMNS($V$1006:AC1006),$V$1006:$AE$1006,0))&gt;=100000), " ",IF(INDEX($V$2:$AE$1001,MATCH(ROWS($O$2:O433),$O$2:$O$1001,0),MATCH(COLUMNS($V$1006:AC1006),$V$1006:$AE$1006,0)), HYPERLINK("#",""), HYPERLINK(CONCATENATE("#Metadata!", ADDRESS(INDEX($Q$2:$Q$1001,MATCH(ROWS($O$2:O433),$O$2:$O$1001,0),0), INDEX($V$1004:$AE$1004,1,MATCH(COLUMNS($V$1006:AC1006),$V$1006:$AE$1006,0)))),"Fix")))</f>
        <v>0</v>
      </c>
      <c r="J433" s="4">
        <f>IF(OR(INDEX($P$2:$P$1001,MATCH(ROWS($O$2:O433),$O$2:$O$1001,0),1)&gt;=100000,INDEX($V$1005:$AE$1005,1,MATCH(COLUMNS($V$1006:AD1006),$V$1006:$AE$1006,0))&gt;=100000), " ",IF(INDEX($V$2:$AE$1001,MATCH(ROWS($O$2:O433),$O$2:$O$1001,0),MATCH(COLUMNS($V$1006:AD1006),$V$1006:$AE$1006,0)), HYPERLINK("#",""), HYPERLINK(CONCATENATE("#Metadata!", ADDRESS(INDEX($Q$2:$Q$1001,MATCH(ROWS($O$2:O433),$O$2:$O$1001,0),0), INDEX($V$1004:$AE$1004,1,MATCH(COLUMNS($V$1006:AD1006),$V$1006:$AE$1006,0)))),"Fix")))</f>
        <v>0</v>
      </c>
      <c r="K433" s="4">
        <f>IF(OR(INDEX($P$2:$P$1001,MATCH(ROWS($O$2:O433),$O$2:$O$1001,0),1)&gt;=100000,INDEX($V$1005:$AE$1005,1,MATCH(COLUMNS($V$1006:AE1006),$V$1006:$AE$1006,0))&gt;=100000), " ",IF(INDEX($V$2:$AE$1001,MATCH(ROWS($O$2:O433),$O$2:$O$1001,0),MATCH(COLUMNS($V$1006:AE1006),$V$1006:$AE$1006,0)), HYPERLINK("#",""), HYPERLINK(CONCATENATE("#Metadata!", ADDRESS(INDEX($Q$2:$Q$1001,MATCH(ROWS($O$2:O433),$O$2:$O$1001,0),0), INDEX($V$1004:$AE$1004,1,MATCH(COLUMNS($V$1006:AE1006),$V$1006:$AE$1006,0)))),"Fix")))</f>
        <v>0</v>
      </c>
      <c r="O433">
        <v>0</v>
      </c>
      <c r="P433">
        <v>0</v>
      </c>
      <c r="Q433">
        <v>0</v>
      </c>
      <c r="R433">
        <f>IF(S433,TRUE,AND(V433:AE433))</f>
        <v>0</v>
      </c>
      <c r="S433">
        <f>COUNTBLANK(Metadata!B433:K433)=COLUMNS(Metadata!B433:K433)</f>
        <v>0</v>
      </c>
      <c r="T433">
        <v>0</v>
      </c>
      <c r="V433">
        <f>AND(IF(Metadata!B433="",FALSE,TRUE),COUNTIF(Metadata!B:B, Metadata!B433) = 1,NOT(ISERROR(SUMPRODUCT(SEARCH(MID(Metadata!B433,ROW(INDIRECT("1:"&amp;LEN(Metadata!B433))), 1),"0123456789abcdefghijklmnopqrstuvwxyzABCDEFGHIJKLMNOPQRSTUVWXYZ.")))))</f>
        <v>0</v>
      </c>
      <c r="W433">
        <f>AND(IF(Metadata!C433="",FALSE,TRUE),exact(Metadata!C433,"urban biome"))</f>
        <v>0</v>
      </c>
      <c r="X433">
        <f>AND(IF(Metadata!D433="",FALSE,TRUE),exact(Metadata!D433,"animal-associated habitat"))</f>
        <v>0</v>
      </c>
      <c r="Y433">
        <f>OR(AND(IF(Metadata!E433="",FALSE,TRUE),OR(exact(Metadata!E433,"not applicable"),exact(Metadata!E433,"missing: not collected"),exact(Metadata!E433,"missing: not provided"),exact(Metadata!E433,"missing: restricted access"))),AND(IF(Metadata!E433="",FALSE,ISNUMBER(VALUE(Metadata!E433))),Metadata!E433&gt;0))</f>
        <v>0</v>
      </c>
      <c r="Z433">
        <f>AND(IF(Metadata!F433="",FALSE,TRUE),exact(Metadata!F433,"weeks"))</f>
        <v>0</v>
      </c>
      <c r="AA433">
        <f>AND(IF(Metadata!G433="",FALSE,TRUE),exact(Metadata!G433,"mouse"))</f>
        <v>0</v>
      </c>
      <c r="AB433">
        <f>AND(IF(Metadata!H433="",FALSE,TRUE),exact(Metadata!H433,"Mus musculus"))</f>
        <v>0</v>
      </c>
      <c r="AC433">
        <f>AND(IF(Metadata!I433="",FALSE,TRUE),exact(Metadata!I433,"10090"))</f>
        <v>0</v>
      </c>
      <c r="AD433">
        <f>OR(AND(IF(Metadata!J433="",FALSE,TRUE),OR(exact(Metadata!J433,"not applicable"),exact(Metadata!J433,"missing: not collected"),exact(Metadata!J433,"missing: not provided"),exact(Metadata!J433,"missing: restricted access"))),AND(IF(Metadata!J433="",FALSE,ISNUMBER(VALUE(Metadata!J433))),Metadata!J433&gt;0))</f>
        <v>0</v>
      </c>
      <c r="AE433">
        <f>AND(IF(Metadata!K433="",FALSE,TRUE),exact(Metadata!K433,"g"))</f>
        <v>0</v>
      </c>
    </row>
    <row r="434" spans="1:31">
      <c r="A434" s="5">
        <f>IF(B434=" "," ",HYPERLINK(CONCATENATE("#metadata!",ADDRESS(INDEX($Q$2:$Q$1001,MATCH(ROWS($O$2:O434),$O$2:$O$1001,0),0),1)),INDEX($T$2:$T$1001,MATCH(ROWS($O$2:O434),$O$2:$O$1001,0),0)))</f>
        <v>0</v>
      </c>
      <c r="B434" s="4">
        <f>IF(OR(INDEX($P$2:$P$1001,MATCH(ROWS($O$2:O434),$O$2:$O$1001,0),1)&gt;=100000,INDEX($V$1005:$AE$1005,1,MATCH(COLUMNS($V$1006:V1006),$V$1006:$AE$1006,0))&gt;=100000), " ",IF(INDEX($V$2:$AE$1001,MATCH(ROWS($O$2:O434),$O$2:$O$1001,0),MATCH(COLUMNS($V$1006:V1006),$V$1006:$AE$1006,0)), HYPERLINK("#",""), HYPERLINK(CONCATENATE("#Metadata!", ADDRESS(INDEX($Q$2:$Q$1001,MATCH(ROWS($O$2:O434),$O$2:$O$1001,0),0), INDEX($V$1004:$AE$1004,1,MATCH(COLUMNS($V$1006:V1006),$V$1006:$AE$1006,0)))),"Fix")))</f>
        <v>0</v>
      </c>
      <c r="C434" s="4">
        <f>IF(OR(INDEX($P$2:$P$1001,MATCH(ROWS($O$2:O434),$O$2:$O$1001,0),1)&gt;=100000,INDEX($V$1005:$AE$1005,1,MATCH(COLUMNS($V$1006:W1006),$V$1006:$AE$1006,0))&gt;=100000), " ",IF(INDEX($V$2:$AE$1001,MATCH(ROWS($O$2:O434),$O$2:$O$1001,0),MATCH(COLUMNS($V$1006:W1006),$V$1006:$AE$1006,0)), HYPERLINK("#",""), HYPERLINK(CONCATENATE("#Metadata!", ADDRESS(INDEX($Q$2:$Q$1001,MATCH(ROWS($O$2:O434),$O$2:$O$1001,0),0), INDEX($V$1004:$AE$1004,1,MATCH(COLUMNS($V$1006:W1006),$V$1006:$AE$1006,0)))),"Fix")))</f>
        <v>0</v>
      </c>
      <c r="D434" s="4">
        <f>IF(OR(INDEX($P$2:$P$1001,MATCH(ROWS($O$2:O434),$O$2:$O$1001,0),1)&gt;=100000,INDEX($V$1005:$AE$1005,1,MATCH(COLUMNS($V$1006:X1006),$V$1006:$AE$1006,0))&gt;=100000), " ",IF(INDEX($V$2:$AE$1001,MATCH(ROWS($O$2:O434),$O$2:$O$1001,0),MATCH(COLUMNS($V$1006:X1006),$V$1006:$AE$1006,0)), HYPERLINK("#",""), HYPERLINK(CONCATENATE("#Metadata!", ADDRESS(INDEX($Q$2:$Q$1001,MATCH(ROWS($O$2:O434),$O$2:$O$1001,0),0), INDEX($V$1004:$AE$1004,1,MATCH(COLUMNS($V$1006:X1006),$V$1006:$AE$1006,0)))),"Fix")))</f>
        <v>0</v>
      </c>
      <c r="E434" s="4">
        <f>IF(OR(INDEX($P$2:$P$1001,MATCH(ROWS($O$2:O434),$O$2:$O$1001,0),1)&gt;=100000,INDEX($V$1005:$AE$1005,1,MATCH(COLUMNS($V$1006:Y1006),$V$1006:$AE$1006,0))&gt;=100000), " ",IF(INDEX($V$2:$AE$1001,MATCH(ROWS($O$2:O434),$O$2:$O$1001,0),MATCH(COLUMNS($V$1006:Y1006),$V$1006:$AE$1006,0)), HYPERLINK("#",""), HYPERLINK(CONCATENATE("#Metadata!", ADDRESS(INDEX($Q$2:$Q$1001,MATCH(ROWS($O$2:O434),$O$2:$O$1001,0),0), INDEX($V$1004:$AE$1004,1,MATCH(COLUMNS($V$1006:Y1006),$V$1006:$AE$1006,0)))),"Fix")))</f>
        <v>0</v>
      </c>
      <c r="F434" s="4">
        <f>IF(OR(INDEX($P$2:$P$1001,MATCH(ROWS($O$2:O434),$O$2:$O$1001,0),1)&gt;=100000,INDEX($V$1005:$AE$1005,1,MATCH(COLUMNS($V$1006:Z1006),$V$1006:$AE$1006,0))&gt;=100000), " ",IF(INDEX($V$2:$AE$1001,MATCH(ROWS($O$2:O434),$O$2:$O$1001,0),MATCH(COLUMNS($V$1006:Z1006),$V$1006:$AE$1006,0)), HYPERLINK("#",""), HYPERLINK(CONCATENATE("#Metadata!", ADDRESS(INDEX($Q$2:$Q$1001,MATCH(ROWS($O$2:O434),$O$2:$O$1001,0),0), INDEX($V$1004:$AE$1004,1,MATCH(COLUMNS($V$1006:Z1006),$V$1006:$AE$1006,0)))),"Fix")))</f>
        <v>0</v>
      </c>
      <c r="G434" s="4">
        <f>IF(OR(INDEX($P$2:$P$1001,MATCH(ROWS($O$2:O434),$O$2:$O$1001,0),1)&gt;=100000,INDEX($V$1005:$AE$1005,1,MATCH(COLUMNS($V$1006:AA1006),$V$1006:$AE$1006,0))&gt;=100000), " ",IF(INDEX($V$2:$AE$1001,MATCH(ROWS($O$2:O434),$O$2:$O$1001,0),MATCH(COLUMNS($V$1006:AA1006),$V$1006:$AE$1006,0)), HYPERLINK("#",""), HYPERLINK(CONCATENATE("#Metadata!", ADDRESS(INDEX($Q$2:$Q$1001,MATCH(ROWS($O$2:O434),$O$2:$O$1001,0),0), INDEX($V$1004:$AE$1004,1,MATCH(COLUMNS($V$1006:AA1006),$V$1006:$AE$1006,0)))),"Fix")))</f>
        <v>0</v>
      </c>
      <c r="H434" s="4">
        <f>IF(OR(INDEX($P$2:$P$1001,MATCH(ROWS($O$2:O434),$O$2:$O$1001,0),1)&gt;=100000,INDEX($V$1005:$AE$1005,1,MATCH(COLUMNS($V$1006:AB1006),$V$1006:$AE$1006,0))&gt;=100000), " ",IF(INDEX($V$2:$AE$1001,MATCH(ROWS($O$2:O434),$O$2:$O$1001,0),MATCH(COLUMNS($V$1006:AB1006),$V$1006:$AE$1006,0)), HYPERLINK("#",""), HYPERLINK(CONCATENATE("#Metadata!", ADDRESS(INDEX($Q$2:$Q$1001,MATCH(ROWS($O$2:O434),$O$2:$O$1001,0),0), INDEX($V$1004:$AE$1004,1,MATCH(COLUMNS($V$1006:AB1006),$V$1006:$AE$1006,0)))),"Fix")))</f>
        <v>0</v>
      </c>
      <c r="I434" s="4">
        <f>IF(OR(INDEX($P$2:$P$1001,MATCH(ROWS($O$2:O434),$O$2:$O$1001,0),1)&gt;=100000,INDEX($V$1005:$AE$1005,1,MATCH(COLUMNS($V$1006:AC1006),$V$1006:$AE$1006,0))&gt;=100000), " ",IF(INDEX($V$2:$AE$1001,MATCH(ROWS($O$2:O434),$O$2:$O$1001,0),MATCH(COLUMNS($V$1006:AC1006),$V$1006:$AE$1006,0)), HYPERLINK("#",""), HYPERLINK(CONCATENATE("#Metadata!", ADDRESS(INDEX($Q$2:$Q$1001,MATCH(ROWS($O$2:O434),$O$2:$O$1001,0),0), INDEX($V$1004:$AE$1004,1,MATCH(COLUMNS($V$1006:AC1006),$V$1006:$AE$1006,0)))),"Fix")))</f>
        <v>0</v>
      </c>
      <c r="J434" s="4">
        <f>IF(OR(INDEX($P$2:$P$1001,MATCH(ROWS($O$2:O434),$O$2:$O$1001,0),1)&gt;=100000,INDEX($V$1005:$AE$1005,1,MATCH(COLUMNS($V$1006:AD1006),$V$1006:$AE$1006,0))&gt;=100000), " ",IF(INDEX($V$2:$AE$1001,MATCH(ROWS($O$2:O434),$O$2:$O$1001,0),MATCH(COLUMNS($V$1006:AD1006),$V$1006:$AE$1006,0)), HYPERLINK("#",""), HYPERLINK(CONCATENATE("#Metadata!", ADDRESS(INDEX($Q$2:$Q$1001,MATCH(ROWS($O$2:O434),$O$2:$O$1001,0),0), INDEX($V$1004:$AE$1004,1,MATCH(COLUMNS($V$1006:AD1006),$V$1006:$AE$1006,0)))),"Fix")))</f>
        <v>0</v>
      </c>
      <c r="K434" s="4">
        <f>IF(OR(INDEX($P$2:$P$1001,MATCH(ROWS($O$2:O434),$O$2:$O$1001,0),1)&gt;=100000,INDEX($V$1005:$AE$1005,1,MATCH(COLUMNS($V$1006:AE1006),$V$1006:$AE$1006,0))&gt;=100000), " ",IF(INDEX($V$2:$AE$1001,MATCH(ROWS($O$2:O434),$O$2:$O$1001,0),MATCH(COLUMNS($V$1006:AE1006),$V$1006:$AE$1006,0)), HYPERLINK("#",""), HYPERLINK(CONCATENATE("#Metadata!", ADDRESS(INDEX($Q$2:$Q$1001,MATCH(ROWS($O$2:O434),$O$2:$O$1001,0),0), INDEX($V$1004:$AE$1004,1,MATCH(COLUMNS($V$1006:AE1006),$V$1006:$AE$1006,0)))),"Fix")))</f>
        <v>0</v>
      </c>
      <c r="O434">
        <v>0</v>
      </c>
      <c r="P434">
        <v>0</v>
      </c>
      <c r="Q434">
        <v>0</v>
      </c>
      <c r="R434">
        <f>IF(S434,TRUE,AND(V434:AE434))</f>
        <v>0</v>
      </c>
      <c r="S434">
        <f>COUNTBLANK(Metadata!B434:K434)=COLUMNS(Metadata!B434:K434)</f>
        <v>0</v>
      </c>
      <c r="T434">
        <v>0</v>
      </c>
      <c r="V434">
        <f>AND(IF(Metadata!B434="",FALSE,TRUE),COUNTIF(Metadata!B:B, Metadata!B434) = 1,NOT(ISERROR(SUMPRODUCT(SEARCH(MID(Metadata!B434,ROW(INDIRECT("1:"&amp;LEN(Metadata!B434))), 1),"0123456789abcdefghijklmnopqrstuvwxyzABCDEFGHIJKLMNOPQRSTUVWXYZ.")))))</f>
        <v>0</v>
      </c>
      <c r="W434">
        <f>AND(IF(Metadata!C434="",FALSE,TRUE),exact(Metadata!C434,"urban biome"))</f>
        <v>0</v>
      </c>
      <c r="X434">
        <f>AND(IF(Metadata!D434="",FALSE,TRUE),exact(Metadata!D434,"animal-associated habitat"))</f>
        <v>0</v>
      </c>
      <c r="Y434">
        <f>OR(AND(IF(Metadata!E434="",FALSE,TRUE),OR(exact(Metadata!E434,"not applicable"),exact(Metadata!E434,"missing: not collected"),exact(Metadata!E434,"missing: not provided"),exact(Metadata!E434,"missing: restricted access"))),AND(IF(Metadata!E434="",FALSE,ISNUMBER(VALUE(Metadata!E434))),Metadata!E434&gt;0))</f>
        <v>0</v>
      </c>
      <c r="Z434">
        <f>AND(IF(Metadata!F434="",FALSE,TRUE),exact(Metadata!F434,"weeks"))</f>
        <v>0</v>
      </c>
      <c r="AA434">
        <f>AND(IF(Metadata!G434="",FALSE,TRUE),exact(Metadata!G434,"mouse"))</f>
        <v>0</v>
      </c>
      <c r="AB434">
        <f>AND(IF(Metadata!H434="",FALSE,TRUE),exact(Metadata!H434,"Mus musculus"))</f>
        <v>0</v>
      </c>
      <c r="AC434">
        <f>AND(IF(Metadata!I434="",FALSE,TRUE),exact(Metadata!I434,"10090"))</f>
        <v>0</v>
      </c>
      <c r="AD434">
        <f>OR(AND(IF(Metadata!J434="",FALSE,TRUE),OR(exact(Metadata!J434,"not applicable"),exact(Metadata!J434,"missing: not collected"),exact(Metadata!J434,"missing: not provided"),exact(Metadata!J434,"missing: restricted access"))),AND(IF(Metadata!J434="",FALSE,ISNUMBER(VALUE(Metadata!J434))),Metadata!J434&gt;0))</f>
        <v>0</v>
      </c>
      <c r="AE434">
        <f>AND(IF(Metadata!K434="",FALSE,TRUE),exact(Metadata!K434,"g"))</f>
        <v>0</v>
      </c>
    </row>
    <row r="435" spans="1:31">
      <c r="A435" s="5">
        <f>IF(B435=" "," ",HYPERLINK(CONCATENATE("#metadata!",ADDRESS(INDEX($Q$2:$Q$1001,MATCH(ROWS($O$2:O435),$O$2:$O$1001,0),0),1)),INDEX($T$2:$T$1001,MATCH(ROWS($O$2:O435),$O$2:$O$1001,0),0)))</f>
        <v>0</v>
      </c>
      <c r="B435" s="4">
        <f>IF(OR(INDEX($P$2:$P$1001,MATCH(ROWS($O$2:O435),$O$2:$O$1001,0),1)&gt;=100000,INDEX($V$1005:$AE$1005,1,MATCH(COLUMNS($V$1006:V1006),$V$1006:$AE$1006,0))&gt;=100000), " ",IF(INDEX($V$2:$AE$1001,MATCH(ROWS($O$2:O435),$O$2:$O$1001,0),MATCH(COLUMNS($V$1006:V1006),$V$1006:$AE$1006,0)), HYPERLINK("#",""), HYPERLINK(CONCATENATE("#Metadata!", ADDRESS(INDEX($Q$2:$Q$1001,MATCH(ROWS($O$2:O435),$O$2:$O$1001,0),0), INDEX($V$1004:$AE$1004,1,MATCH(COLUMNS($V$1006:V1006),$V$1006:$AE$1006,0)))),"Fix")))</f>
        <v>0</v>
      </c>
      <c r="C435" s="4">
        <f>IF(OR(INDEX($P$2:$P$1001,MATCH(ROWS($O$2:O435),$O$2:$O$1001,0),1)&gt;=100000,INDEX($V$1005:$AE$1005,1,MATCH(COLUMNS($V$1006:W1006),$V$1006:$AE$1006,0))&gt;=100000), " ",IF(INDEX($V$2:$AE$1001,MATCH(ROWS($O$2:O435),$O$2:$O$1001,0),MATCH(COLUMNS($V$1006:W1006),$V$1006:$AE$1006,0)), HYPERLINK("#",""), HYPERLINK(CONCATENATE("#Metadata!", ADDRESS(INDEX($Q$2:$Q$1001,MATCH(ROWS($O$2:O435),$O$2:$O$1001,0),0), INDEX($V$1004:$AE$1004,1,MATCH(COLUMNS($V$1006:W1006),$V$1006:$AE$1006,0)))),"Fix")))</f>
        <v>0</v>
      </c>
      <c r="D435" s="4">
        <f>IF(OR(INDEX($P$2:$P$1001,MATCH(ROWS($O$2:O435),$O$2:$O$1001,0),1)&gt;=100000,INDEX($V$1005:$AE$1005,1,MATCH(COLUMNS($V$1006:X1006),$V$1006:$AE$1006,0))&gt;=100000), " ",IF(INDEX($V$2:$AE$1001,MATCH(ROWS($O$2:O435),$O$2:$O$1001,0),MATCH(COLUMNS($V$1006:X1006),$V$1006:$AE$1006,0)), HYPERLINK("#",""), HYPERLINK(CONCATENATE("#Metadata!", ADDRESS(INDEX($Q$2:$Q$1001,MATCH(ROWS($O$2:O435),$O$2:$O$1001,0),0), INDEX($V$1004:$AE$1004,1,MATCH(COLUMNS($V$1006:X1006),$V$1006:$AE$1006,0)))),"Fix")))</f>
        <v>0</v>
      </c>
      <c r="E435" s="4">
        <f>IF(OR(INDEX($P$2:$P$1001,MATCH(ROWS($O$2:O435),$O$2:$O$1001,0),1)&gt;=100000,INDEX($V$1005:$AE$1005,1,MATCH(COLUMNS($V$1006:Y1006),$V$1006:$AE$1006,0))&gt;=100000), " ",IF(INDEX($V$2:$AE$1001,MATCH(ROWS($O$2:O435),$O$2:$O$1001,0),MATCH(COLUMNS($V$1006:Y1006),$V$1006:$AE$1006,0)), HYPERLINK("#",""), HYPERLINK(CONCATENATE("#Metadata!", ADDRESS(INDEX($Q$2:$Q$1001,MATCH(ROWS($O$2:O435),$O$2:$O$1001,0),0), INDEX($V$1004:$AE$1004,1,MATCH(COLUMNS($V$1006:Y1006),$V$1006:$AE$1006,0)))),"Fix")))</f>
        <v>0</v>
      </c>
      <c r="F435" s="4">
        <f>IF(OR(INDEX($P$2:$P$1001,MATCH(ROWS($O$2:O435),$O$2:$O$1001,0),1)&gt;=100000,INDEX($V$1005:$AE$1005,1,MATCH(COLUMNS($V$1006:Z1006),$V$1006:$AE$1006,0))&gt;=100000), " ",IF(INDEX($V$2:$AE$1001,MATCH(ROWS($O$2:O435),$O$2:$O$1001,0),MATCH(COLUMNS($V$1006:Z1006),$V$1006:$AE$1006,0)), HYPERLINK("#",""), HYPERLINK(CONCATENATE("#Metadata!", ADDRESS(INDEX($Q$2:$Q$1001,MATCH(ROWS($O$2:O435),$O$2:$O$1001,0),0), INDEX($V$1004:$AE$1004,1,MATCH(COLUMNS($V$1006:Z1006),$V$1006:$AE$1006,0)))),"Fix")))</f>
        <v>0</v>
      </c>
      <c r="G435" s="4">
        <f>IF(OR(INDEX($P$2:$P$1001,MATCH(ROWS($O$2:O435),$O$2:$O$1001,0),1)&gt;=100000,INDEX($V$1005:$AE$1005,1,MATCH(COLUMNS($V$1006:AA1006),$V$1006:$AE$1006,0))&gt;=100000), " ",IF(INDEX($V$2:$AE$1001,MATCH(ROWS($O$2:O435),$O$2:$O$1001,0),MATCH(COLUMNS($V$1006:AA1006),$V$1006:$AE$1006,0)), HYPERLINK("#",""), HYPERLINK(CONCATENATE("#Metadata!", ADDRESS(INDEX($Q$2:$Q$1001,MATCH(ROWS($O$2:O435),$O$2:$O$1001,0),0), INDEX($V$1004:$AE$1004,1,MATCH(COLUMNS($V$1006:AA1006),$V$1006:$AE$1006,0)))),"Fix")))</f>
        <v>0</v>
      </c>
      <c r="H435" s="4">
        <f>IF(OR(INDEX($P$2:$P$1001,MATCH(ROWS($O$2:O435),$O$2:$O$1001,0),1)&gt;=100000,INDEX($V$1005:$AE$1005,1,MATCH(COLUMNS($V$1006:AB1006),$V$1006:$AE$1006,0))&gt;=100000), " ",IF(INDEX($V$2:$AE$1001,MATCH(ROWS($O$2:O435),$O$2:$O$1001,0),MATCH(COLUMNS($V$1006:AB1006),$V$1006:$AE$1006,0)), HYPERLINK("#",""), HYPERLINK(CONCATENATE("#Metadata!", ADDRESS(INDEX($Q$2:$Q$1001,MATCH(ROWS($O$2:O435),$O$2:$O$1001,0),0), INDEX($V$1004:$AE$1004,1,MATCH(COLUMNS($V$1006:AB1006),$V$1006:$AE$1006,0)))),"Fix")))</f>
        <v>0</v>
      </c>
      <c r="I435" s="4">
        <f>IF(OR(INDEX($P$2:$P$1001,MATCH(ROWS($O$2:O435),$O$2:$O$1001,0),1)&gt;=100000,INDEX($V$1005:$AE$1005,1,MATCH(COLUMNS($V$1006:AC1006),$V$1006:$AE$1006,0))&gt;=100000), " ",IF(INDEX($V$2:$AE$1001,MATCH(ROWS($O$2:O435),$O$2:$O$1001,0),MATCH(COLUMNS($V$1006:AC1006),$V$1006:$AE$1006,0)), HYPERLINK("#",""), HYPERLINK(CONCATENATE("#Metadata!", ADDRESS(INDEX($Q$2:$Q$1001,MATCH(ROWS($O$2:O435),$O$2:$O$1001,0),0), INDEX($V$1004:$AE$1004,1,MATCH(COLUMNS($V$1006:AC1006),$V$1006:$AE$1006,0)))),"Fix")))</f>
        <v>0</v>
      </c>
      <c r="J435" s="4">
        <f>IF(OR(INDEX($P$2:$P$1001,MATCH(ROWS($O$2:O435),$O$2:$O$1001,0),1)&gt;=100000,INDEX($V$1005:$AE$1005,1,MATCH(COLUMNS($V$1006:AD1006),$V$1006:$AE$1006,0))&gt;=100000), " ",IF(INDEX($V$2:$AE$1001,MATCH(ROWS($O$2:O435),$O$2:$O$1001,0),MATCH(COLUMNS($V$1006:AD1006),$V$1006:$AE$1006,0)), HYPERLINK("#",""), HYPERLINK(CONCATENATE("#Metadata!", ADDRESS(INDEX($Q$2:$Q$1001,MATCH(ROWS($O$2:O435),$O$2:$O$1001,0),0), INDEX($V$1004:$AE$1004,1,MATCH(COLUMNS($V$1006:AD1006),$V$1006:$AE$1006,0)))),"Fix")))</f>
        <v>0</v>
      </c>
      <c r="K435" s="4">
        <f>IF(OR(INDEX($P$2:$P$1001,MATCH(ROWS($O$2:O435),$O$2:$O$1001,0),1)&gt;=100000,INDEX($V$1005:$AE$1005,1,MATCH(COLUMNS($V$1006:AE1006),$V$1006:$AE$1006,0))&gt;=100000), " ",IF(INDEX($V$2:$AE$1001,MATCH(ROWS($O$2:O435),$O$2:$O$1001,0),MATCH(COLUMNS($V$1006:AE1006),$V$1006:$AE$1006,0)), HYPERLINK("#",""), HYPERLINK(CONCATENATE("#Metadata!", ADDRESS(INDEX($Q$2:$Q$1001,MATCH(ROWS($O$2:O435),$O$2:$O$1001,0),0), INDEX($V$1004:$AE$1004,1,MATCH(COLUMNS($V$1006:AE1006),$V$1006:$AE$1006,0)))),"Fix")))</f>
        <v>0</v>
      </c>
      <c r="O435">
        <v>0</v>
      </c>
      <c r="P435">
        <v>0</v>
      </c>
      <c r="Q435">
        <v>0</v>
      </c>
      <c r="R435">
        <f>IF(S435,TRUE,AND(V435:AE435))</f>
        <v>0</v>
      </c>
      <c r="S435">
        <f>COUNTBLANK(Metadata!B435:K435)=COLUMNS(Metadata!B435:K435)</f>
        <v>0</v>
      </c>
      <c r="T435">
        <v>0</v>
      </c>
      <c r="V435">
        <f>AND(IF(Metadata!B435="",FALSE,TRUE),COUNTIF(Metadata!B:B, Metadata!B435) = 1,NOT(ISERROR(SUMPRODUCT(SEARCH(MID(Metadata!B435,ROW(INDIRECT("1:"&amp;LEN(Metadata!B435))), 1),"0123456789abcdefghijklmnopqrstuvwxyzABCDEFGHIJKLMNOPQRSTUVWXYZ.")))))</f>
        <v>0</v>
      </c>
      <c r="W435">
        <f>AND(IF(Metadata!C435="",FALSE,TRUE),exact(Metadata!C435,"urban biome"))</f>
        <v>0</v>
      </c>
      <c r="X435">
        <f>AND(IF(Metadata!D435="",FALSE,TRUE),exact(Metadata!D435,"animal-associated habitat"))</f>
        <v>0</v>
      </c>
      <c r="Y435">
        <f>OR(AND(IF(Metadata!E435="",FALSE,TRUE),OR(exact(Metadata!E435,"not applicable"),exact(Metadata!E435,"missing: not collected"),exact(Metadata!E435,"missing: not provided"),exact(Metadata!E435,"missing: restricted access"))),AND(IF(Metadata!E435="",FALSE,ISNUMBER(VALUE(Metadata!E435))),Metadata!E435&gt;0))</f>
        <v>0</v>
      </c>
      <c r="Z435">
        <f>AND(IF(Metadata!F435="",FALSE,TRUE),exact(Metadata!F435,"weeks"))</f>
        <v>0</v>
      </c>
      <c r="AA435">
        <f>AND(IF(Metadata!G435="",FALSE,TRUE),exact(Metadata!G435,"mouse"))</f>
        <v>0</v>
      </c>
      <c r="AB435">
        <f>AND(IF(Metadata!H435="",FALSE,TRUE),exact(Metadata!H435,"Mus musculus"))</f>
        <v>0</v>
      </c>
      <c r="AC435">
        <f>AND(IF(Metadata!I435="",FALSE,TRUE),exact(Metadata!I435,"10090"))</f>
        <v>0</v>
      </c>
      <c r="AD435">
        <f>OR(AND(IF(Metadata!J435="",FALSE,TRUE),OR(exact(Metadata!J435,"not applicable"),exact(Metadata!J435,"missing: not collected"),exact(Metadata!J435,"missing: not provided"),exact(Metadata!J435,"missing: restricted access"))),AND(IF(Metadata!J435="",FALSE,ISNUMBER(VALUE(Metadata!J435))),Metadata!J435&gt;0))</f>
        <v>0</v>
      </c>
      <c r="AE435">
        <f>AND(IF(Metadata!K435="",FALSE,TRUE),exact(Metadata!K435,"g"))</f>
        <v>0</v>
      </c>
    </row>
    <row r="436" spans="1:31">
      <c r="A436" s="5">
        <f>IF(B436=" "," ",HYPERLINK(CONCATENATE("#metadata!",ADDRESS(INDEX($Q$2:$Q$1001,MATCH(ROWS($O$2:O436),$O$2:$O$1001,0),0),1)),INDEX($T$2:$T$1001,MATCH(ROWS($O$2:O436),$O$2:$O$1001,0),0)))</f>
        <v>0</v>
      </c>
      <c r="B436" s="4">
        <f>IF(OR(INDEX($P$2:$P$1001,MATCH(ROWS($O$2:O436),$O$2:$O$1001,0),1)&gt;=100000,INDEX($V$1005:$AE$1005,1,MATCH(COLUMNS($V$1006:V1006),$V$1006:$AE$1006,0))&gt;=100000), " ",IF(INDEX($V$2:$AE$1001,MATCH(ROWS($O$2:O436),$O$2:$O$1001,0),MATCH(COLUMNS($V$1006:V1006),$V$1006:$AE$1006,0)), HYPERLINK("#",""), HYPERLINK(CONCATENATE("#Metadata!", ADDRESS(INDEX($Q$2:$Q$1001,MATCH(ROWS($O$2:O436),$O$2:$O$1001,0),0), INDEX($V$1004:$AE$1004,1,MATCH(COLUMNS($V$1006:V1006),$V$1006:$AE$1006,0)))),"Fix")))</f>
        <v>0</v>
      </c>
      <c r="C436" s="4">
        <f>IF(OR(INDEX($P$2:$P$1001,MATCH(ROWS($O$2:O436),$O$2:$O$1001,0),1)&gt;=100000,INDEX($V$1005:$AE$1005,1,MATCH(COLUMNS($V$1006:W1006),$V$1006:$AE$1006,0))&gt;=100000), " ",IF(INDEX($V$2:$AE$1001,MATCH(ROWS($O$2:O436),$O$2:$O$1001,0),MATCH(COLUMNS($V$1006:W1006),$V$1006:$AE$1006,0)), HYPERLINK("#",""), HYPERLINK(CONCATENATE("#Metadata!", ADDRESS(INDEX($Q$2:$Q$1001,MATCH(ROWS($O$2:O436),$O$2:$O$1001,0),0), INDEX($V$1004:$AE$1004,1,MATCH(COLUMNS($V$1006:W1006),$V$1006:$AE$1006,0)))),"Fix")))</f>
        <v>0</v>
      </c>
      <c r="D436" s="4">
        <f>IF(OR(INDEX($P$2:$P$1001,MATCH(ROWS($O$2:O436),$O$2:$O$1001,0),1)&gt;=100000,INDEX($V$1005:$AE$1005,1,MATCH(COLUMNS($V$1006:X1006),$V$1006:$AE$1006,0))&gt;=100000), " ",IF(INDEX($V$2:$AE$1001,MATCH(ROWS($O$2:O436),$O$2:$O$1001,0),MATCH(COLUMNS($V$1006:X1006),$V$1006:$AE$1006,0)), HYPERLINK("#",""), HYPERLINK(CONCATENATE("#Metadata!", ADDRESS(INDEX($Q$2:$Q$1001,MATCH(ROWS($O$2:O436),$O$2:$O$1001,0),0), INDEX($V$1004:$AE$1004,1,MATCH(COLUMNS($V$1006:X1006),$V$1006:$AE$1006,0)))),"Fix")))</f>
        <v>0</v>
      </c>
      <c r="E436" s="4">
        <f>IF(OR(INDEX($P$2:$P$1001,MATCH(ROWS($O$2:O436),$O$2:$O$1001,0),1)&gt;=100000,INDEX($V$1005:$AE$1005,1,MATCH(COLUMNS($V$1006:Y1006),$V$1006:$AE$1006,0))&gt;=100000), " ",IF(INDEX($V$2:$AE$1001,MATCH(ROWS($O$2:O436),$O$2:$O$1001,0),MATCH(COLUMNS($V$1006:Y1006),$V$1006:$AE$1006,0)), HYPERLINK("#",""), HYPERLINK(CONCATENATE("#Metadata!", ADDRESS(INDEX($Q$2:$Q$1001,MATCH(ROWS($O$2:O436),$O$2:$O$1001,0),0), INDEX($V$1004:$AE$1004,1,MATCH(COLUMNS($V$1006:Y1006),$V$1006:$AE$1006,0)))),"Fix")))</f>
        <v>0</v>
      </c>
      <c r="F436" s="4">
        <f>IF(OR(INDEX($P$2:$P$1001,MATCH(ROWS($O$2:O436),$O$2:$O$1001,0),1)&gt;=100000,INDEX($V$1005:$AE$1005,1,MATCH(COLUMNS($V$1006:Z1006),$V$1006:$AE$1006,0))&gt;=100000), " ",IF(INDEX($V$2:$AE$1001,MATCH(ROWS($O$2:O436),$O$2:$O$1001,0),MATCH(COLUMNS($V$1006:Z1006),$V$1006:$AE$1006,0)), HYPERLINK("#",""), HYPERLINK(CONCATENATE("#Metadata!", ADDRESS(INDEX($Q$2:$Q$1001,MATCH(ROWS($O$2:O436),$O$2:$O$1001,0),0), INDEX($V$1004:$AE$1004,1,MATCH(COLUMNS($V$1006:Z1006),$V$1006:$AE$1006,0)))),"Fix")))</f>
        <v>0</v>
      </c>
      <c r="G436" s="4">
        <f>IF(OR(INDEX($P$2:$P$1001,MATCH(ROWS($O$2:O436),$O$2:$O$1001,0),1)&gt;=100000,INDEX($V$1005:$AE$1005,1,MATCH(COLUMNS($V$1006:AA1006),$V$1006:$AE$1006,0))&gt;=100000), " ",IF(INDEX($V$2:$AE$1001,MATCH(ROWS($O$2:O436),$O$2:$O$1001,0),MATCH(COLUMNS($V$1006:AA1006),$V$1006:$AE$1006,0)), HYPERLINK("#",""), HYPERLINK(CONCATENATE("#Metadata!", ADDRESS(INDEX($Q$2:$Q$1001,MATCH(ROWS($O$2:O436),$O$2:$O$1001,0),0), INDEX($V$1004:$AE$1004,1,MATCH(COLUMNS($V$1006:AA1006),$V$1006:$AE$1006,0)))),"Fix")))</f>
        <v>0</v>
      </c>
      <c r="H436" s="4">
        <f>IF(OR(INDEX($P$2:$P$1001,MATCH(ROWS($O$2:O436),$O$2:$O$1001,0),1)&gt;=100000,INDEX($V$1005:$AE$1005,1,MATCH(COLUMNS($V$1006:AB1006),$V$1006:$AE$1006,0))&gt;=100000), " ",IF(INDEX($V$2:$AE$1001,MATCH(ROWS($O$2:O436),$O$2:$O$1001,0),MATCH(COLUMNS($V$1006:AB1006),$V$1006:$AE$1006,0)), HYPERLINK("#",""), HYPERLINK(CONCATENATE("#Metadata!", ADDRESS(INDEX($Q$2:$Q$1001,MATCH(ROWS($O$2:O436),$O$2:$O$1001,0),0), INDEX($V$1004:$AE$1004,1,MATCH(COLUMNS($V$1006:AB1006),$V$1006:$AE$1006,0)))),"Fix")))</f>
        <v>0</v>
      </c>
      <c r="I436" s="4">
        <f>IF(OR(INDEX($P$2:$P$1001,MATCH(ROWS($O$2:O436),$O$2:$O$1001,0),1)&gt;=100000,INDEX($V$1005:$AE$1005,1,MATCH(COLUMNS($V$1006:AC1006),$V$1006:$AE$1006,0))&gt;=100000), " ",IF(INDEX($V$2:$AE$1001,MATCH(ROWS($O$2:O436),$O$2:$O$1001,0),MATCH(COLUMNS($V$1006:AC1006),$V$1006:$AE$1006,0)), HYPERLINK("#",""), HYPERLINK(CONCATENATE("#Metadata!", ADDRESS(INDEX($Q$2:$Q$1001,MATCH(ROWS($O$2:O436),$O$2:$O$1001,0),0), INDEX($V$1004:$AE$1004,1,MATCH(COLUMNS($V$1006:AC1006),$V$1006:$AE$1006,0)))),"Fix")))</f>
        <v>0</v>
      </c>
      <c r="J436" s="4">
        <f>IF(OR(INDEX($P$2:$P$1001,MATCH(ROWS($O$2:O436),$O$2:$O$1001,0),1)&gt;=100000,INDEX($V$1005:$AE$1005,1,MATCH(COLUMNS($V$1006:AD1006),$V$1006:$AE$1006,0))&gt;=100000), " ",IF(INDEX($V$2:$AE$1001,MATCH(ROWS($O$2:O436),$O$2:$O$1001,0),MATCH(COLUMNS($V$1006:AD1006),$V$1006:$AE$1006,0)), HYPERLINK("#",""), HYPERLINK(CONCATENATE("#Metadata!", ADDRESS(INDEX($Q$2:$Q$1001,MATCH(ROWS($O$2:O436),$O$2:$O$1001,0),0), INDEX($V$1004:$AE$1004,1,MATCH(COLUMNS($V$1006:AD1006),$V$1006:$AE$1006,0)))),"Fix")))</f>
        <v>0</v>
      </c>
      <c r="K436" s="4">
        <f>IF(OR(INDEX($P$2:$P$1001,MATCH(ROWS($O$2:O436),$O$2:$O$1001,0),1)&gt;=100000,INDEX($V$1005:$AE$1005,1,MATCH(COLUMNS($V$1006:AE1006),$V$1006:$AE$1006,0))&gt;=100000), " ",IF(INDEX($V$2:$AE$1001,MATCH(ROWS($O$2:O436),$O$2:$O$1001,0),MATCH(COLUMNS($V$1006:AE1006),$V$1006:$AE$1006,0)), HYPERLINK("#",""), HYPERLINK(CONCATENATE("#Metadata!", ADDRESS(INDEX($Q$2:$Q$1001,MATCH(ROWS($O$2:O436),$O$2:$O$1001,0),0), INDEX($V$1004:$AE$1004,1,MATCH(COLUMNS($V$1006:AE1006),$V$1006:$AE$1006,0)))),"Fix")))</f>
        <v>0</v>
      </c>
      <c r="O436">
        <v>0</v>
      </c>
      <c r="P436">
        <v>0</v>
      </c>
      <c r="Q436">
        <v>0</v>
      </c>
      <c r="R436">
        <f>IF(S436,TRUE,AND(V436:AE436))</f>
        <v>0</v>
      </c>
      <c r="S436">
        <f>COUNTBLANK(Metadata!B436:K436)=COLUMNS(Metadata!B436:K436)</f>
        <v>0</v>
      </c>
      <c r="T436">
        <v>0</v>
      </c>
      <c r="V436">
        <f>AND(IF(Metadata!B436="",FALSE,TRUE),COUNTIF(Metadata!B:B, Metadata!B436) = 1,NOT(ISERROR(SUMPRODUCT(SEARCH(MID(Metadata!B436,ROW(INDIRECT("1:"&amp;LEN(Metadata!B436))), 1),"0123456789abcdefghijklmnopqrstuvwxyzABCDEFGHIJKLMNOPQRSTUVWXYZ.")))))</f>
        <v>0</v>
      </c>
      <c r="W436">
        <f>AND(IF(Metadata!C436="",FALSE,TRUE),exact(Metadata!C436,"urban biome"))</f>
        <v>0</v>
      </c>
      <c r="X436">
        <f>AND(IF(Metadata!D436="",FALSE,TRUE),exact(Metadata!D436,"animal-associated habitat"))</f>
        <v>0</v>
      </c>
      <c r="Y436">
        <f>OR(AND(IF(Metadata!E436="",FALSE,TRUE),OR(exact(Metadata!E436,"not applicable"),exact(Metadata!E436,"missing: not collected"),exact(Metadata!E436,"missing: not provided"),exact(Metadata!E436,"missing: restricted access"))),AND(IF(Metadata!E436="",FALSE,ISNUMBER(VALUE(Metadata!E436))),Metadata!E436&gt;0))</f>
        <v>0</v>
      </c>
      <c r="Z436">
        <f>AND(IF(Metadata!F436="",FALSE,TRUE),exact(Metadata!F436,"weeks"))</f>
        <v>0</v>
      </c>
      <c r="AA436">
        <f>AND(IF(Metadata!G436="",FALSE,TRUE),exact(Metadata!G436,"mouse"))</f>
        <v>0</v>
      </c>
      <c r="AB436">
        <f>AND(IF(Metadata!H436="",FALSE,TRUE),exact(Metadata!H436,"Mus musculus"))</f>
        <v>0</v>
      </c>
      <c r="AC436">
        <f>AND(IF(Metadata!I436="",FALSE,TRUE),exact(Metadata!I436,"10090"))</f>
        <v>0</v>
      </c>
      <c r="AD436">
        <f>OR(AND(IF(Metadata!J436="",FALSE,TRUE),OR(exact(Metadata!J436,"not applicable"),exact(Metadata!J436,"missing: not collected"),exact(Metadata!J436,"missing: not provided"),exact(Metadata!J436,"missing: restricted access"))),AND(IF(Metadata!J436="",FALSE,ISNUMBER(VALUE(Metadata!J436))),Metadata!J436&gt;0))</f>
        <v>0</v>
      </c>
      <c r="AE436">
        <f>AND(IF(Metadata!K436="",FALSE,TRUE),exact(Metadata!K436,"g"))</f>
        <v>0</v>
      </c>
    </row>
    <row r="437" spans="1:31">
      <c r="A437" s="5">
        <f>IF(B437=" "," ",HYPERLINK(CONCATENATE("#metadata!",ADDRESS(INDEX($Q$2:$Q$1001,MATCH(ROWS($O$2:O437),$O$2:$O$1001,0),0),1)),INDEX($T$2:$T$1001,MATCH(ROWS($O$2:O437),$O$2:$O$1001,0),0)))</f>
        <v>0</v>
      </c>
      <c r="B437" s="4">
        <f>IF(OR(INDEX($P$2:$P$1001,MATCH(ROWS($O$2:O437),$O$2:$O$1001,0),1)&gt;=100000,INDEX($V$1005:$AE$1005,1,MATCH(COLUMNS($V$1006:V1006),$V$1006:$AE$1006,0))&gt;=100000), " ",IF(INDEX($V$2:$AE$1001,MATCH(ROWS($O$2:O437),$O$2:$O$1001,0),MATCH(COLUMNS($V$1006:V1006),$V$1006:$AE$1006,0)), HYPERLINK("#",""), HYPERLINK(CONCATENATE("#Metadata!", ADDRESS(INDEX($Q$2:$Q$1001,MATCH(ROWS($O$2:O437),$O$2:$O$1001,0),0), INDEX($V$1004:$AE$1004,1,MATCH(COLUMNS($V$1006:V1006),$V$1006:$AE$1006,0)))),"Fix")))</f>
        <v>0</v>
      </c>
      <c r="C437" s="4">
        <f>IF(OR(INDEX($P$2:$P$1001,MATCH(ROWS($O$2:O437),$O$2:$O$1001,0),1)&gt;=100000,INDEX($V$1005:$AE$1005,1,MATCH(COLUMNS($V$1006:W1006),$V$1006:$AE$1006,0))&gt;=100000), " ",IF(INDEX($V$2:$AE$1001,MATCH(ROWS($O$2:O437),$O$2:$O$1001,0),MATCH(COLUMNS($V$1006:W1006),$V$1006:$AE$1006,0)), HYPERLINK("#",""), HYPERLINK(CONCATENATE("#Metadata!", ADDRESS(INDEX($Q$2:$Q$1001,MATCH(ROWS($O$2:O437),$O$2:$O$1001,0),0), INDEX($V$1004:$AE$1004,1,MATCH(COLUMNS($V$1006:W1006),$V$1006:$AE$1006,0)))),"Fix")))</f>
        <v>0</v>
      </c>
      <c r="D437" s="4">
        <f>IF(OR(INDEX($P$2:$P$1001,MATCH(ROWS($O$2:O437),$O$2:$O$1001,0),1)&gt;=100000,INDEX($V$1005:$AE$1005,1,MATCH(COLUMNS($V$1006:X1006),$V$1006:$AE$1006,0))&gt;=100000), " ",IF(INDEX($V$2:$AE$1001,MATCH(ROWS($O$2:O437),$O$2:$O$1001,0),MATCH(COLUMNS($V$1006:X1006),$V$1006:$AE$1006,0)), HYPERLINK("#",""), HYPERLINK(CONCATENATE("#Metadata!", ADDRESS(INDEX($Q$2:$Q$1001,MATCH(ROWS($O$2:O437),$O$2:$O$1001,0),0), INDEX($V$1004:$AE$1004,1,MATCH(COLUMNS($V$1006:X1006),$V$1006:$AE$1006,0)))),"Fix")))</f>
        <v>0</v>
      </c>
      <c r="E437" s="4">
        <f>IF(OR(INDEX($P$2:$P$1001,MATCH(ROWS($O$2:O437),$O$2:$O$1001,0),1)&gt;=100000,INDEX($V$1005:$AE$1005,1,MATCH(COLUMNS($V$1006:Y1006),$V$1006:$AE$1006,0))&gt;=100000), " ",IF(INDEX($V$2:$AE$1001,MATCH(ROWS($O$2:O437),$O$2:$O$1001,0),MATCH(COLUMNS($V$1006:Y1006),$V$1006:$AE$1006,0)), HYPERLINK("#",""), HYPERLINK(CONCATENATE("#Metadata!", ADDRESS(INDEX($Q$2:$Q$1001,MATCH(ROWS($O$2:O437),$O$2:$O$1001,0),0), INDEX($V$1004:$AE$1004,1,MATCH(COLUMNS($V$1006:Y1006),$V$1006:$AE$1006,0)))),"Fix")))</f>
        <v>0</v>
      </c>
      <c r="F437" s="4">
        <f>IF(OR(INDEX($P$2:$P$1001,MATCH(ROWS($O$2:O437),$O$2:$O$1001,0),1)&gt;=100000,INDEX($V$1005:$AE$1005,1,MATCH(COLUMNS($V$1006:Z1006),$V$1006:$AE$1006,0))&gt;=100000), " ",IF(INDEX($V$2:$AE$1001,MATCH(ROWS($O$2:O437),$O$2:$O$1001,0),MATCH(COLUMNS($V$1006:Z1006),$V$1006:$AE$1006,0)), HYPERLINK("#",""), HYPERLINK(CONCATENATE("#Metadata!", ADDRESS(INDEX($Q$2:$Q$1001,MATCH(ROWS($O$2:O437),$O$2:$O$1001,0),0), INDEX($V$1004:$AE$1004,1,MATCH(COLUMNS($V$1006:Z1006),$V$1006:$AE$1006,0)))),"Fix")))</f>
        <v>0</v>
      </c>
      <c r="G437" s="4">
        <f>IF(OR(INDEX($P$2:$P$1001,MATCH(ROWS($O$2:O437),$O$2:$O$1001,0),1)&gt;=100000,INDEX($V$1005:$AE$1005,1,MATCH(COLUMNS($V$1006:AA1006),$V$1006:$AE$1006,0))&gt;=100000), " ",IF(INDEX($V$2:$AE$1001,MATCH(ROWS($O$2:O437),$O$2:$O$1001,0),MATCH(COLUMNS($V$1006:AA1006),$V$1006:$AE$1006,0)), HYPERLINK("#",""), HYPERLINK(CONCATENATE("#Metadata!", ADDRESS(INDEX($Q$2:$Q$1001,MATCH(ROWS($O$2:O437),$O$2:$O$1001,0),0), INDEX($V$1004:$AE$1004,1,MATCH(COLUMNS($V$1006:AA1006),$V$1006:$AE$1006,0)))),"Fix")))</f>
        <v>0</v>
      </c>
      <c r="H437" s="4">
        <f>IF(OR(INDEX($P$2:$P$1001,MATCH(ROWS($O$2:O437),$O$2:$O$1001,0),1)&gt;=100000,INDEX($V$1005:$AE$1005,1,MATCH(COLUMNS($V$1006:AB1006),$V$1006:$AE$1006,0))&gt;=100000), " ",IF(INDEX($V$2:$AE$1001,MATCH(ROWS($O$2:O437),$O$2:$O$1001,0),MATCH(COLUMNS($V$1006:AB1006),$V$1006:$AE$1006,0)), HYPERLINK("#",""), HYPERLINK(CONCATENATE("#Metadata!", ADDRESS(INDEX($Q$2:$Q$1001,MATCH(ROWS($O$2:O437),$O$2:$O$1001,0),0), INDEX($V$1004:$AE$1004,1,MATCH(COLUMNS($V$1006:AB1006),$V$1006:$AE$1006,0)))),"Fix")))</f>
        <v>0</v>
      </c>
      <c r="I437" s="4">
        <f>IF(OR(INDEX($P$2:$P$1001,MATCH(ROWS($O$2:O437),$O$2:$O$1001,0),1)&gt;=100000,INDEX($V$1005:$AE$1005,1,MATCH(COLUMNS($V$1006:AC1006),$V$1006:$AE$1006,0))&gt;=100000), " ",IF(INDEX($V$2:$AE$1001,MATCH(ROWS($O$2:O437),$O$2:$O$1001,0),MATCH(COLUMNS($V$1006:AC1006),$V$1006:$AE$1006,0)), HYPERLINK("#",""), HYPERLINK(CONCATENATE("#Metadata!", ADDRESS(INDEX($Q$2:$Q$1001,MATCH(ROWS($O$2:O437),$O$2:$O$1001,0),0), INDEX($V$1004:$AE$1004,1,MATCH(COLUMNS($V$1006:AC1006),$V$1006:$AE$1006,0)))),"Fix")))</f>
        <v>0</v>
      </c>
      <c r="J437" s="4">
        <f>IF(OR(INDEX($P$2:$P$1001,MATCH(ROWS($O$2:O437),$O$2:$O$1001,0),1)&gt;=100000,INDEX($V$1005:$AE$1005,1,MATCH(COLUMNS($V$1006:AD1006),$V$1006:$AE$1006,0))&gt;=100000), " ",IF(INDEX($V$2:$AE$1001,MATCH(ROWS($O$2:O437),$O$2:$O$1001,0),MATCH(COLUMNS($V$1006:AD1006),$V$1006:$AE$1006,0)), HYPERLINK("#",""), HYPERLINK(CONCATENATE("#Metadata!", ADDRESS(INDEX($Q$2:$Q$1001,MATCH(ROWS($O$2:O437),$O$2:$O$1001,0),0), INDEX($V$1004:$AE$1004,1,MATCH(COLUMNS($V$1006:AD1006),$V$1006:$AE$1006,0)))),"Fix")))</f>
        <v>0</v>
      </c>
      <c r="K437" s="4">
        <f>IF(OR(INDEX($P$2:$P$1001,MATCH(ROWS($O$2:O437),$O$2:$O$1001,0),1)&gt;=100000,INDEX($V$1005:$AE$1005,1,MATCH(COLUMNS($V$1006:AE1006),$V$1006:$AE$1006,0))&gt;=100000), " ",IF(INDEX($V$2:$AE$1001,MATCH(ROWS($O$2:O437),$O$2:$O$1001,0),MATCH(COLUMNS($V$1006:AE1006),$V$1006:$AE$1006,0)), HYPERLINK("#",""), HYPERLINK(CONCATENATE("#Metadata!", ADDRESS(INDEX($Q$2:$Q$1001,MATCH(ROWS($O$2:O437),$O$2:$O$1001,0),0), INDEX($V$1004:$AE$1004,1,MATCH(COLUMNS($V$1006:AE1006),$V$1006:$AE$1006,0)))),"Fix")))</f>
        <v>0</v>
      </c>
      <c r="O437">
        <v>0</v>
      </c>
      <c r="P437">
        <v>0</v>
      </c>
      <c r="Q437">
        <v>0</v>
      </c>
      <c r="R437">
        <f>IF(S437,TRUE,AND(V437:AE437))</f>
        <v>0</v>
      </c>
      <c r="S437">
        <f>COUNTBLANK(Metadata!B437:K437)=COLUMNS(Metadata!B437:K437)</f>
        <v>0</v>
      </c>
      <c r="T437">
        <v>0</v>
      </c>
      <c r="V437">
        <f>AND(IF(Metadata!B437="",FALSE,TRUE),COUNTIF(Metadata!B:B, Metadata!B437) = 1,NOT(ISERROR(SUMPRODUCT(SEARCH(MID(Metadata!B437,ROW(INDIRECT("1:"&amp;LEN(Metadata!B437))), 1),"0123456789abcdefghijklmnopqrstuvwxyzABCDEFGHIJKLMNOPQRSTUVWXYZ.")))))</f>
        <v>0</v>
      </c>
      <c r="W437">
        <f>AND(IF(Metadata!C437="",FALSE,TRUE),exact(Metadata!C437,"urban biome"))</f>
        <v>0</v>
      </c>
      <c r="X437">
        <f>AND(IF(Metadata!D437="",FALSE,TRUE),exact(Metadata!D437,"animal-associated habitat"))</f>
        <v>0</v>
      </c>
      <c r="Y437">
        <f>OR(AND(IF(Metadata!E437="",FALSE,TRUE),OR(exact(Metadata!E437,"not applicable"),exact(Metadata!E437,"missing: not collected"),exact(Metadata!E437,"missing: not provided"),exact(Metadata!E437,"missing: restricted access"))),AND(IF(Metadata!E437="",FALSE,ISNUMBER(VALUE(Metadata!E437))),Metadata!E437&gt;0))</f>
        <v>0</v>
      </c>
      <c r="Z437">
        <f>AND(IF(Metadata!F437="",FALSE,TRUE),exact(Metadata!F437,"weeks"))</f>
        <v>0</v>
      </c>
      <c r="AA437">
        <f>AND(IF(Metadata!G437="",FALSE,TRUE),exact(Metadata!G437,"mouse"))</f>
        <v>0</v>
      </c>
      <c r="AB437">
        <f>AND(IF(Metadata!H437="",FALSE,TRUE),exact(Metadata!H437,"Mus musculus"))</f>
        <v>0</v>
      </c>
      <c r="AC437">
        <f>AND(IF(Metadata!I437="",FALSE,TRUE),exact(Metadata!I437,"10090"))</f>
        <v>0</v>
      </c>
      <c r="AD437">
        <f>OR(AND(IF(Metadata!J437="",FALSE,TRUE),OR(exact(Metadata!J437,"not applicable"),exact(Metadata!J437,"missing: not collected"),exact(Metadata!J437,"missing: not provided"),exact(Metadata!J437,"missing: restricted access"))),AND(IF(Metadata!J437="",FALSE,ISNUMBER(VALUE(Metadata!J437))),Metadata!J437&gt;0))</f>
        <v>0</v>
      </c>
      <c r="AE437">
        <f>AND(IF(Metadata!K437="",FALSE,TRUE),exact(Metadata!K437,"g"))</f>
        <v>0</v>
      </c>
    </row>
    <row r="438" spans="1:31">
      <c r="A438" s="5">
        <f>IF(B438=" "," ",HYPERLINK(CONCATENATE("#metadata!",ADDRESS(INDEX($Q$2:$Q$1001,MATCH(ROWS($O$2:O438),$O$2:$O$1001,0),0),1)),INDEX($T$2:$T$1001,MATCH(ROWS($O$2:O438),$O$2:$O$1001,0),0)))</f>
        <v>0</v>
      </c>
      <c r="B438" s="4">
        <f>IF(OR(INDEX($P$2:$P$1001,MATCH(ROWS($O$2:O438),$O$2:$O$1001,0),1)&gt;=100000,INDEX($V$1005:$AE$1005,1,MATCH(COLUMNS($V$1006:V1006),$V$1006:$AE$1006,0))&gt;=100000), " ",IF(INDEX($V$2:$AE$1001,MATCH(ROWS($O$2:O438),$O$2:$O$1001,0),MATCH(COLUMNS($V$1006:V1006),$V$1006:$AE$1006,0)), HYPERLINK("#",""), HYPERLINK(CONCATENATE("#Metadata!", ADDRESS(INDEX($Q$2:$Q$1001,MATCH(ROWS($O$2:O438),$O$2:$O$1001,0),0), INDEX($V$1004:$AE$1004,1,MATCH(COLUMNS($V$1006:V1006),$V$1006:$AE$1006,0)))),"Fix")))</f>
        <v>0</v>
      </c>
      <c r="C438" s="4">
        <f>IF(OR(INDEX($P$2:$P$1001,MATCH(ROWS($O$2:O438),$O$2:$O$1001,0),1)&gt;=100000,INDEX($V$1005:$AE$1005,1,MATCH(COLUMNS($V$1006:W1006),$V$1006:$AE$1006,0))&gt;=100000), " ",IF(INDEX($V$2:$AE$1001,MATCH(ROWS($O$2:O438),$O$2:$O$1001,0),MATCH(COLUMNS($V$1006:W1006),$V$1006:$AE$1006,0)), HYPERLINK("#",""), HYPERLINK(CONCATENATE("#Metadata!", ADDRESS(INDEX($Q$2:$Q$1001,MATCH(ROWS($O$2:O438),$O$2:$O$1001,0),0), INDEX($V$1004:$AE$1004,1,MATCH(COLUMNS($V$1006:W1006),$V$1006:$AE$1006,0)))),"Fix")))</f>
        <v>0</v>
      </c>
      <c r="D438" s="4">
        <f>IF(OR(INDEX($P$2:$P$1001,MATCH(ROWS($O$2:O438),$O$2:$O$1001,0),1)&gt;=100000,INDEX($V$1005:$AE$1005,1,MATCH(COLUMNS($V$1006:X1006),$V$1006:$AE$1006,0))&gt;=100000), " ",IF(INDEX($V$2:$AE$1001,MATCH(ROWS($O$2:O438),$O$2:$O$1001,0),MATCH(COLUMNS($V$1006:X1006),$V$1006:$AE$1006,0)), HYPERLINK("#",""), HYPERLINK(CONCATENATE("#Metadata!", ADDRESS(INDEX($Q$2:$Q$1001,MATCH(ROWS($O$2:O438),$O$2:$O$1001,0),0), INDEX($V$1004:$AE$1004,1,MATCH(COLUMNS($V$1006:X1006),$V$1006:$AE$1006,0)))),"Fix")))</f>
        <v>0</v>
      </c>
      <c r="E438" s="4">
        <f>IF(OR(INDEX($P$2:$P$1001,MATCH(ROWS($O$2:O438),$O$2:$O$1001,0),1)&gt;=100000,INDEX($V$1005:$AE$1005,1,MATCH(COLUMNS($V$1006:Y1006),$V$1006:$AE$1006,0))&gt;=100000), " ",IF(INDEX($V$2:$AE$1001,MATCH(ROWS($O$2:O438),$O$2:$O$1001,0),MATCH(COLUMNS($V$1006:Y1006),$V$1006:$AE$1006,0)), HYPERLINK("#",""), HYPERLINK(CONCATENATE("#Metadata!", ADDRESS(INDEX($Q$2:$Q$1001,MATCH(ROWS($O$2:O438),$O$2:$O$1001,0),0), INDEX($V$1004:$AE$1004,1,MATCH(COLUMNS($V$1006:Y1006),$V$1006:$AE$1006,0)))),"Fix")))</f>
        <v>0</v>
      </c>
      <c r="F438" s="4">
        <f>IF(OR(INDEX($P$2:$P$1001,MATCH(ROWS($O$2:O438),$O$2:$O$1001,0),1)&gt;=100000,INDEX($V$1005:$AE$1005,1,MATCH(COLUMNS($V$1006:Z1006),$V$1006:$AE$1006,0))&gt;=100000), " ",IF(INDEX($V$2:$AE$1001,MATCH(ROWS($O$2:O438),$O$2:$O$1001,0),MATCH(COLUMNS($V$1006:Z1006),$V$1006:$AE$1006,0)), HYPERLINK("#",""), HYPERLINK(CONCATENATE("#Metadata!", ADDRESS(INDEX($Q$2:$Q$1001,MATCH(ROWS($O$2:O438),$O$2:$O$1001,0),0), INDEX($V$1004:$AE$1004,1,MATCH(COLUMNS($V$1006:Z1006),$V$1006:$AE$1006,0)))),"Fix")))</f>
        <v>0</v>
      </c>
      <c r="G438" s="4">
        <f>IF(OR(INDEX($P$2:$P$1001,MATCH(ROWS($O$2:O438),$O$2:$O$1001,0),1)&gt;=100000,INDEX($V$1005:$AE$1005,1,MATCH(COLUMNS($V$1006:AA1006),$V$1006:$AE$1006,0))&gt;=100000), " ",IF(INDEX($V$2:$AE$1001,MATCH(ROWS($O$2:O438),$O$2:$O$1001,0),MATCH(COLUMNS($V$1006:AA1006),$V$1006:$AE$1006,0)), HYPERLINK("#",""), HYPERLINK(CONCATENATE("#Metadata!", ADDRESS(INDEX($Q$2:$Q$1001,MATCH(ROWS($O$2:O438),$O$2:$O$1001,0),0), INDEX($V$1004:$AE$1004,1,MATCH(COLUMNS($V$1006:AA1006),$V$1006:$AE$1006,0)))),"Fix")))</f>
        <v>0</v>
      </c>
      <c r="H438" s="4">
        <f>IF(OR(INDEX($P$2:$P$1001,MATCH(ROWS($O$2:O438),$O$2:$O$1001,0),1)&gt;=100000,INDEX($V$1005:$AE$1005,1,MATCH(COLUMNS($V$1006:AB1006),$V$1006:$AE$1006,0))&gt;=100000), " ",IF(INDEX($V$2:$AE$1001,MATCH(ROWS($O$2:O438),$O$2:$O$1001,0),MATCH(COLUMNS($V$1006:AB1006),$V$1006:$AE$1006,0)), HYPERLINK("#",""), HYPERLINK(CONCATENATE("#Metadata!", ADDRESS(INDEX($Q$2:$Q$1001,MATCH(ROWS($O$2:O438),$O$2:$O$1001,0),0), INDEX($V$1004:$AE$1004,1,MATCH(COLUMNS($V$1006:AB1006),$V$1006:$AE$1006,0)))),"Fix")))</f>
        <v>0</v>
      </c>
      <c r="I438" s="4">
        <f>IF(OR(INDEX($P$2:$P$1001,MATCH(ROWS($O$2:O438),$O$2:$O$1001,0),1)&gt;=100000,INDEX($V$1005:$AE$1005,1,MATCH(COLUMNS($V$1006:AC1006),$V$1006:$AE$1006,0))&gt;=100000), " ",IF(INDEX($V$2:$AE$1001,MATCH(ROWS($O$2:O438),$O$2:$O$1001,0),MATCH(COLUMNS($V$1006:AC1006),$V$1006:$AE$1006,0)), HYPERLINK("#",""), HYPERLINK(CONCATENATE("#Metadata!", ADDRESS(INDEX($Q$2:$Q$1001,MATCH(ROWS($O$2:O438),$O$2:$O$1001,0),0), INDEX($V$1004:$AE$1004,1,MATCH(COLUMNS($V$1006:AC1006),$V$1006:$AE$1006,0)))),"Fix")))</f>
        <v>0</v>
      </c>
      <c r="J438" s="4">
        <f>IF(OR(INDEX($P$2:$P$1001,MATCH(ROWS($O$2:O438),$O$2:$O$1001,0),1)&gt;=100000,INDEX($V$1005:$AE$1005,1,MATCH(COLUMNS($V$1006:AD1006),$V$1006:$AE$1006,0))&gt;=100000), " ",IF(INDEX($V$2:$AE$1001,MATCH(ROWS($O$2:O438),$O$2:$O$1001,0),MATCH(COLUMNS($V$1006:AD1006),$V$1006:$AE$1006,0)), HYPERLINK("#",""), HYPERLINK(CONCATENATE("#Metadata!", ADDRESS(INDEX($Q$2:$Q$1001,MATCH(ROWS($O$2:O438),$O$2:$O$1001,0),0), INDEX($V$1004:$AE$1004,1,MATCH(COLUMNS($V$1006:AD1006),$V$1006:$AE$1006,0)))),"Fix")))</f>
        <v>0</v>
      </c>
      <c r="K438" s="4">
        <f>IF(OR(INDEX($P$2:$P$1001,MATCH(ROWS($O$2:O438),$O$2:$O$1001,0),1)&gt;=100000,INDEX($V$1005:$AE$1005,1,MATCH(COLUMNS($V$1006:AE1006),$V$1006:$AE$1006,0))&gt;=100000), " ",IF(INDEX($V$2:$AE$1001,MATCH(ROWS($O$2:O438),$O$2:$O$1001,0),MATCH(COLUMNS($V$1006:AE1006),$V$1006:$AE$1006,0)), HYPERLINK("#",""), HYPERLINK(CONCATENATE("#Metadata!", ADDRESS(INDEX($Q$2:$Q$1001,MATCH(ROWS($O$2:O438),$O$2:$O$1001,0),0), INDEX($V$1004:$AE$1004,1,MATCH(COLUMNS($V$1006:AE1006),$V$1006:$AE$1006,0)))),"Fix")))</f>
        <v>0</v>
      </c>
      <c r="O438">
        <v>0</v>
      </c>
      <c r="P438">
        <v>0</v>
      </c>
      <c r="Q438">
        <v>0</v>
      </c>
      <c r="R438">
        <f>IF(S438,TRUE,AND(V438:AE438))</f>
        <v>0</v>
      </c>
      <c r="S438">
        <f>COUNTBLANK(Metadata!B438:K438)=COLUMNS(Metadata!B438:K438)</f>
        <v>0</v>
      </c>
      <c r="T438">
        <v>0</v>
      </c>
      <c r="V438">
        <f>AND(IF(Metadata!B438="",FALSE,TRUE),COUNTIF(Metadata!B:B, Metadata!B438) = 1,NOT(ISERROR(SUMPRODUCT(SEARCH(MID(Metadata!B438,ROW(INDIRECT("1:"&amp;LEN(Metadata!B438))), 1),"0123456789abcdefghijklmnopqrstuvwxyzABCDEFGHIJKLMNOPQRSTUVWXYZ.")))))</f>
        <v>0</v>
      </c>
      <c r="W438">
        <f>AND(IF(Metadata!C438="",FALSE,TRUE),exact(Metadata!C438,"urban biome"))</f>
        <v>0</v>
      </c>
      <c r="X438">
        <f>AND(IF(Metadata!D438="",FALSE,TRUE),exact(Metadata!D438,"animal-associated habitat"))</f>
        <v>0</v>
      </c>
      <c r="Y438">
        <f>OR(AND(IF(Metadata!E438="",FALSE,TRUE),OR(exact(Metadata!E438,"not applicable"),exact(Metadata!E438,"missing: not collected"),exact(Metadata!E438,"missing: not provided"),exact(Metadata!E438,"missing: restricted access"))),AND(IF(Metadata!E438="",FALSE,ISNUMBER(VALUE(Metadata!E438))),Metadata!E438&gt;0))</f>
        <v>0</v>
      </c>
      <c r="Z438">
        <f>AND(IF(Metadata!F438="",FALSE,TRUE),exact(Metadata!F438,"weeks"))</f>
        <v>0</v>
      </c>
      <c r="AA438">
        <f>AND(IF(Metadata!G438="",FALSE,TRUE),exact(Metadata!G438,"mouse"))</f>
        <v>0</v>
      </c>
      <c r="AB438">
        <f>AND(IF(Metadata!H438="",FALSE,TRUE),exact(Metadata!H438,"Mus musculus"))</f>
        <v>0</v>
      </c>
      <c r="AC438">
        <f>AND(IF(Metadata!I438="",FALSE,TRUE),exact(Metadata!I438,"10090"))</f>
        <v>0</v>
      </c>
      <c r="AD438">
        <f>OR(AND(IF(Metadata!J438="",FALSE,TRUE),OR(exact(Metadata!J438,"not applicable"),exact(Metadata!J438,"missing: not collected"),exact(Metadata!J438,"missing: not provided"),exact(Metadata!J438,"missing: restricted access"))),AND(IF(Metadata!J438="",FALSE,ISNUMBER(VALUE(Metadata!J438))),Metadata!J438&gt;0))</f>
        <v>0</v>
      </c>
      <c r="AE438">
        <f>AND(IF(Metadata!K438="",FALSE,TRUE),exact(Metadata!K438,"g"))</f>
        <v>0</v>
      </c>
    </row>
    <row r="439" spans="1:31">
      <c r="A439" s="5">
        <f>IF(B439=" "," ",HYPERLINK(CONCATENATE("#metadata!",ADDRESS(INDEX($Q$2:$Q$1001,MATCH(ROWS($O$2:O439),$O$2:$O$1001,0),0),1)),INDEX($T$2:$T$1001,MATCH(ROWS($O$2:O439),$O$2:$O$1001,0),0)))</f>
        <v>0</v>
      </c>
      <c r="B439" s="4">
        <f>IF(OR(INDEX($P$2:$P$1001,MATCH(ROWS($O$2:O439),$O$2:$O$1001,0),1)&gt;=100000,INDEX($V$1005:$AE$1005,1,MATCH(COLUMNS($V$1006:V1006),$V$1006:$AE$1006,0))&gt;=100000), " ",IF(INDEX($V$2:$AE$1001,MATCH(ROWS($O$2:O439),$O$2:$O$1001,0),MATCH(COLUMNS($V$1006:V1006),$V$1006:$AE$1006,0)), HYPERLINK("#",""), HYPERLINK(CONCATENATE("#Metadata!", ADDRESS(INDEX($Q$2:$Q$1001,MATCH(ROWS($O$2:O439),$O$2:$O$1001,0),0), INDEX($V$1004:$AE$1004,1,MATCH(COLUMNS($V$1006:V1006),$V$1006:$AE$1006,0)))),"Fix")))</f>
        <v>0</v>
      </c>
      <c r="C439" s="4">
        <f>IF(OR(INDEX($P$2:$P$1001,MATCH(ROWS($O$2:O439),$O$2:$O$1001,0),1)&gt;=100000,INDEX($V$1005:$AE$1005,1,MATCH(COLUMNS($V$1006:W1006),$V$1006:$AE$1006,0))&gt;=100000), " ",IF(INDEX($V$2:$AE$1001,MATCH(ROWS($O$2:O439),$O$2:$O$1001,0),MATCH(COLUMNS($V$1006:W1006),$V$1006:$AE$1006,0)), HYPERLINK("#",""), HYPERLINK(CONCATENATE("#Metadata!", ADDRESS(INDEX($Q$2:$Q$1001,MATCH(ROWS($O$2:O439),$O$2:$O$1001,0),0), INDEX($V$1004:$AE$1004,1,MATCH(COLUMNS($V$1006:W1006),$V$1006:$AE$1006,0)))),"Fix")))</f>
        <v>0</v>
      </c>
      <c r="D439" s="4">
        <f>IF(OR(INDEX($P$2:$P$1001,MATCH(ROWS($O$2:O439),$O$2:$O$1001,0),1)&gt;=100000,INDEX($V$1005:$AE$1005,1,MATCH(COLUMNS($V$1006:X1006),$V$1006:$AE$1006,0))&gt;=100000), " ",IF(INDEX($V$2:$AE$1001,MATCH(ROWS($O$2:O439),$O$2:$O$1001,0),MATCH(COLUMNS($V$1006:X1006),$V$1006:$AE$1006,0)), HYPERLINK("#",""), HYPERLINK(CONCATENATE("#Metadata!", ADDRESS(INDEX($Q$2:$Q$1001,MATCH(ROWS($O$2:O439),$O$2:$O$1001,0),0), INDEX($V$1004:$AE$1004,1,MATCH(COLUMNS($V$1006:X1006),$V$1006:$AE$1006,0)))),"Fix")))</f>
        <v>0</v>
      </c>
      <c r="E439" s="4">
        <f>IF(OR(INDEX($P$2:$P$1001,MATCH(ROWS($O$2:O439),$O$2:$O$1001,0),1)&gt;=100000,INDEX($V$1005:$AE$1005,1,MATCH(COLUMNS($V$1006:Y1006),$V$1006:$AE$1006,0))&gt;=100000), " ",IF(INDEX($V$2:$AE$1001,MATCH(ROWS($O$2:O439),$O$2:$O$1001,0),MATCH(COLUMNS($V$1006:Y1006),$V$1006:$AE$1006,0)), HYPERLINK("#",""), HYPERLINK(CONCATENATE("#Metadata!", ADDRESS(INDEX($Q$2:$Q$1001,MATCH(ROWS($O$2:O439),$O$2:$O$1001,0),0), INDEX($V$1004:$AE$1004,1,MATCH(COLUMNS($V$1006:Y1006),$V$1006:$AE$1006,0)))),"Fix")))</f>
        <v>0</v>
      </c>
      <c r="F439" s="4">
        <f>IF(OR(INDEX($P$2:$P$1001,MATCH(ROWS($O$2:O439),$O$2:$O$1001,0),1)&gt;=100000,INDEX($V$1005:$AE$1005,1,MATCH(COLUMNS($V$1006:Z1006),$V$1006:$AE$1006,0))&gt;=100000), " ",IF(INDEX($V$2:$AE$1001,MATCH(ROWS($O$2:O439),$O$2:$O$1001,0),MATCH(COLUMNS($V$1006:Z1006),$V$1006:$AE$1006,0)), HYPERLINK("#",""), HYPERLINK(CONCATENATE("#Metadata!", ADDRESS(INDEX($Q$2:$Q$1001,MATCH(ROWS($O$2:O439),$O$2:$O$1001,0),0), INDEX($V$1004:$AE$1004,1,MATCH(COLUMNS($V$1006:Z1006),$V$1006:$AE$1006,0)))),"Fix")))</f>
        <v>0</v>
      </c>
      <c r="G439" s="4">
        <f>IF(OR(INDEX($P$2:$P$1001,MATCH(ROWS($O$2:O439),$O$2:$O$1001,0),1)&gt;=100000,INDEX($V$1005:$AE$1005,1,MATCH(COLUMNS($V$1006:AA1006),$V$1006:$AE$1006,0))&gt;=100000), " ",IF(INDEX($V$2:$AE$1001,MATCH(ROWS($O$2:O439),$O$2:$O$1001,0),MATCH(COLUMNS($V$1006:AA1006),$V$1006:$AE$1006,0)), HYPERLINK("#",""), HYPERLINK(CONCATENATE("#Metadata!", ADDRESS(INDEX($Q$2:$Q$1001,MATCH(ROWS($O$2:O439),$O$2:$O$1001,0),0), INDEX($V$1004:$AE$1004,1,MATCH(COLUMNS($V$1006:AA1006),$V$1006:$AE$1006,0)))),"Fix")))</f>
        <v>0</v>
      </c>
      <c r="H439" s="4">
        <f>IF(OR(INDEX($P$2:$P$1001,MATCH(ROWS($O$2:O439),$O$2:$O$1001,0),1)&gt;=100000,INDEX($V$1005:$AE$1005,1,MATCH(COLUMNS($V$1006:AB1006),$V$1006:$AE$1006,0))&gt;=100000), " ",IF(INDEX($V$2:$AE$1001,MATCH(ROWS($O$2:O439),$O$2:$O$1001,0),MATCH(COLUMNS($V$1006:AB1006),$V$1006:$AE$1006,0)), HYPERLINK("#",""), HYPERLINK(CONCATENATE("#Metadata!", ADDRESS(INDEX($Q$2:$Q$1001,MATCH(ROWS($O$2:O439),$O$2:$O$1001,0),0), INDEX($V$1004:$AE$1004,1,MATCH(COLUMNS($V$1006:AB1006),$V$1006:$AE$1006,0)))),"Fix")))</f>
        <v>0</v>
      </c>
      <c r="I439" s="4">
        <f>IF(OR(INDEX($P$2:$P$1001,MATCH(ROWS($O$2:O439),$O$2:$O$1001,0),1)&gt;=100000,INDEX($V$1005:$AE$1005,1,MATCH(COLUMNS($V$1006:AC1006),$V$1006:$AE$1006,0))&gt;=100000), " ",IF(INDEX($V$2:$AE$1001,MATCH(ROWS($O$2:O439),$O$2:$O$1001,0),MATCH(COLUMNS($V$1006:AC1006),$V$1006:$AE$1006,0)), HYPERLINK("#",""), HYPERLINK(CONCATENATE("#Metadata!", ADDRESS(INDEX($Q$2:$Q$1001,MATCH(ROWS($O$2:O439),$O$2:$O$1001,0),0), INDEX($V$1004:$AE$1004,1,MATCH(COLUMNS($V$1006:AC1006),$V$1006:$AE$1006,0)))),"Fix")))</f>
        <v>0</v>
      </c>
      <c r="J439" s="4">
        <f>IF(OR(INDEX($P$2:$P$1001,MATCH(ROWS($O$2:O439),$O$2:$O$1001,0),1)&gt;=100000,INDEX($V$1005:$AE$1005,1,MATCH(COLUMNS($V$1006:AD1006),$V$1006:$AE$1006,0))&gt;=100000), " ",IF(INDEX($V$2:$AE$1001,MATCH(ROWS($O$2:O439),$O$2:$O$1001,0),MATCH(COLUMNS($V$1006:AD1006),$V$1006:$AE$1006,0)), HYPERLINK("#",""), HYPERLINK(CONCATENATE("#Metadata!", ADDRESS(INDEX($Q$2:$Q$1001,MATCH(ROWS($O$2:O439),$O$2:$O$1001,0),0), INDEX($V$1004:$AE$1004,1,MATCH(COLUMNS($V$1006:AD1006),$V$1006:$AE$1006,0)))),"Fix")))</f>
        <v>0</v>
      </c>
      <c r="K439" s="4">
        <f>IF(OR(INDEX($P$2:$P$1001,MATCH(ROWS($O$2:O439),$O$2:$O$1001,0),1)&gt;=100000,INDEX($V$1005:$AE$1005,1,MATCH(COLUMNS($V$1006:AE1006),$V$1006:$AE$1006,0))&gt;=100000), " ",IF(INDEX($V$2:$AE$1001,MATCH(ROWS($O$2:O439),$O$2:$O$1001,0),MATCH(COLUMNS($V$1006:AE1006),$V$1006:$AE$1006,0)), HYPERLINK("#",""), HYPERLINK(CONCATENATE("#Metadata!", ADDRESS(INDEX($Q$2:$Q$1001,MATCH(ROWS($O$2:O439),$O$2:$O$1001,0),0), INDEX($V$1004:$AE$1004,1,MATCH(COLUMNS($V$1006:AE1006),$V$1006:$AE$1006,0)))),"Fix")))</f>
        <v>0</v>
      </c>
      <c r="O439">
        <v>0</v>
      </c>
      <c r="P439">
        <v>0</v>
      </c>
      <c r="Q439">
        <v>0</v>
      </c>
      <c r="R439">
        <f>IF(S439,TRUE,AND(V439:AE439))</f>
        <v>0</v>
      </c>
      <c r="S439">
        <f>COUNTBLANK(Metadata!B439:K439)=COLUMNS(Metadata!B439:K439)</f>
        <v>0</v>
      </c>
      <c r="T439">
        <v>0</v>
      </c>
      <c r="V439">
        <f>AND(IF(Metadata!B439="",FALSE,TRUE),COUNTIF(Metadata!B:B, Metadata!B439) = 1,NOT(ISERROR(SUMPRODUCT(SEARCH(MID(Metadata!B439,ROW(INDIRECT("1:"&amp;LEN(Metadata!B439))), 1),"0123456789abcdefghijklmnopqrstuvwxyzABCDEFGHIJKLMNOPQRSTUVWXYZ.")))))</f>
        <v>0</v>
      </c>
      <c r="W439">
        <f>AND(IF(Metadata!C439="",FALSE,TRUE),exact(Metadata!C439,"urban biome"))</f>
        <v>0</v>
      </c>
      <c r="X439">
        <f>AND(IF(Metadata!D439="",FALSE,TRUE),exact(Metadata!D439,"animal-associated habitat"))</f>
        <v>0</v>
      </c>
      <c r="Y439">
        <f>OR(AND(IF(Metadata!E439="",FALSE,TRUE),OR(exact(Metadata!E439,"not applicable"),exact(Metadata!E439,"missing: not collected"),exact(Metadata!E439,"missing: not provided"),exact(Metadata!E439,"missing: restricted access"))),AND(IF(Metadata!E439="",FALSE,ISNUMBER(VALUE(Metadata!E439))),Metadata!E439&gt;0))</f>
        <v>0</v>
      </c>
      <c r="Z439">
        <f>AND(IF(Metadata!F439="",FALSE,TRUE),exact(Metadata!F439,"weeks"))</f>
        <v>0</v>
      </c>
      <c r="AA439">
        <f>AND(IF(Metadata!G439="",FALSE,TRUE),exact(Metadata!G439,"mouse"))</f>
        <v>0</v>
      </c>
      <c r="AB439">
        <f>AND(IF(Metadata!H439="",FALSE,TRUE),exact(Metadata!H439,"Mus musculus"))</f>
        <v>0</v>
      </c>
      <c r="AC439">
        <f>AND(IF(Metadata!I439="",FALSE,TRUE),exact(Metadata!I439,"10090"))</f>
        <v>0</v>
      </c>
      <c r="AD439">
        <f>OR(AND(IF(Metadata!J439="",FALSE,TRUE),OR(exact(Metadata!J439,"not applicable"),exact(Metadata!J439,"missing: not collected"),exact(Metadata!J439,"missing: not provided"),exact(Metadata!J439,"missing: restricted access"))),AND(IF(Metadata!J439="",FALSE,ISNUMBER(VALUE(Metadata!J439))),Metadata!J439&gt;0))</f>
        <v>0</v>
      </c>
      <c r="AE439">
        <f>AND(IF(Metadata!K439="",FALSE,TRUE),exact(Metadata!K439,"g"))</f>
        <v>0</v>
      </c>
    </row>
    <row r="440" spans="1:31">
      <c r="A440" s="5">
        <f>IF(B440=" "," ",HYPERLINK(CONCATENATE("#metadata!",ADDRESS(INDEX($Q$2:$Q$1001,MATCH(ROWS($O$2:O440),$O$2:$O$1001,0),0),1)),INDEX($T$2:$T$1001,MATCH(ROWS($O$2:O440),$O$2:$O$1001,0),0)))</f>
        <v>0</v>
      </c>
      <c r="B440" s="4">
        <f>IF(OR(INDEX($P$2:$P$1001,MATCH(ROWS($O$2:O440),$O$2:$O$1001,0),1)&gt;=100000,INDEX($V$1005:$AE$1005,1,MATCH(COLUMNS($V$1006:V1006),$V$1006:$AE$1006,0))&gt;=100000), " ",IF(INDEX($V$2:$AE$1001,MATCH(ROWS($O$2:O440),$O$2:$O$1001,0),MATCH(COLUMNS($V$1006:V1006),$V$1006:$AE$1006,0)), HYPERLINK("#",""), HYPERLINK(CONCATENATE("#Metadata!", ADDRESS(INDEX($Q$2:$Q$1001,MATCH(ROWS($O$2:O440),$O$2:$O$1001,0),0), INDEX($V$1004:$AE$1004,1,MATCH(COLUMNS($V$1006:V1006),$V$1006:$AE$1006,0)))),"Fix")))</f>
        <v>0</v>
      </c>
      <c r="C440" s="4">
        <f>IF(OR(INDEX($P$2:$P$1001,MATCH(ROWS($O$2:O440),$O$2:$O$1001,0),1)&gt;=100000,INDEX($V$1005:$AE$1005,1,MATCH(COLUMNS($V$1006:W1006),$V$1006:$AE$1006,0))&gt;=100000), " ",IF(INDEX($V$2:$AE$1001,MATCH(ROWS($O$2:O440),$O$2:$O$1001,0),MATCH(COLUMNS($V$1006:W1006),$V$1006:$AE$1006,0)), HYPERLINK("#",""), HYPERLINK(CONCATENATE("#Metadata!", ADDRESS(INDEX($Q$2:$Q$1001,MATCH(ROWS($O$2:O440),$O$2:$O$1001,0),0), INDEX($V$1004:$AE$1004,1,MATCH(COLUMNS($V$1006:W1006),$V$1006:$AE$1006,0)))),"Fix")))</f>
        <v>0</v>
      </c>
      <c r="D440" s="4">
        <f>IF(OR(INDEX($P$2:$P$1001,MATCH(ROWS($O$2:O440),$O$2:$O$1001,0),1)&gt;=100000,INDEX($V$1005:$AE$1005,1,MATCH(COLUMNS($V$1006:X1006),$V$1006:$AE$1006,0))&gt;=100000), " ",IF(INDEX($V$2:$AE$1001,MATCH(ROWS($O$2:O440),$O$2:$O$1001,0),MATCH(COLUMNS($V$1006:X1006),$V$1006:$AE$1006,0)), HYPERLINK("#",""), HYPERLINK(CONCATENATE("#Metadata!", ADDRESS(INDEX($Q$2:$Q$1001,MATCH(ROWS($O$2:O440),$O$2:$O$1001,0),0), INDEX($V$1004:$AE$1004,1,MATCH(COLUMNS($V$1006:X1006),$V$1006:$AE$1006,0)))),"Fix")))</f>
        <v>0</v>
      </c>
      <c r="E440" s="4">
        <f>IF(OR(INDEX($P$2:$P$1001,MATCH(ROWS($O$2:O440),$O$2:$O$1001,0),1)&gt;=100000,INDEX($V$1005:$AE$1005,1,MATCH(COLUMNS($V$1006:Y1006),$V$1006:$AE$1006,0))&gt;=100000), " ",IF(INDEX($V$2:$AE$1001,MATCH(ROWS($O$2:O440),$O$2:$O$1001,0),MATCH(COLUMNS($V$1006:Y1006),$V$1006:$AE$1006,0)), HYPERLINK("#",""), HYPERLINK(CONCATENATE("#Metadata!", ADDRESS(INDEX($Q$2:$Q$1001,MATCH(ROWS($O$2:O440),$O$2:$O$1001,0),0), INDEX($V$1004:$AE$1004,1,MATCH(COLUMNS($V$1006:Y1006),$V$1006:$AE$1006,0)))),"Fix")))</f>
        <v>0</v>
      </c>
      <c r="F440" s="4">
        <f>IF(OR(INDEX($P$2:$P$1001,MATCH(ROWS($O$2:O440),$O$2:$O$1001,0),1)&gt;=100000,INDEX($V$1005:$AE$1005,1,MATCH(COLUMNS($V$1006:Z1006),$V$1006:$AE$1006,0))&gt;=100000), " ",IF(INDEX($V$2:$AE$1001,MATCH(ROWS($O$2:O440),$O$2:$O$1001,0),MATCH(COLUMNS($V$1006:Z1006),$V$1006:$AE$1006,0)), HYPERLINK("#",""), HYPERLINK(CONCATENATE("#Metadata!", ADDRESS(INDEX($Q$2:$Q$1001,MATCH(ROWS($O$2:O440),$O$2:$O$1001,0),0), INDEX($V$1004:$AE$1004,1,MATCH(COLUMNS($V$1006:Z1006),$V$1006:$AE$1006,0)))),"Fix")))</f>
        <v>0</v>
      </c>
      <c r="G440" s="4">
        <f>IF(OR(INDEX($P$2:$P$1001,MATCH(ROWS($O$2:O440),$O$2:$O$1001,0),1)&gt;=100000,INDEX($V$1005:$AE$1005,1,MATCH(COLUMNS($V$1006:AA1006),$V$1006:$AE$1006,0))&gt;=100000), " ",IF(INDEX($V$2:$AE$1001,MATCH(ROWS($O$2:O440),$O$2:$O$1001,0),MATCH(COLUMNS($V$1006:AA1006),$V$1006:$AE$1006,0)), HYPERLINK("#",""), HYPERLINK(CONCATENATE("#Metadata!", ADDRESS(INDEX($Q$2:$Q$1001,MATCH(ROWS($O$2:O440),$O$2:$O$1001,0),0), INDEX($V$1004:$AE$1004,1,MATCH(COLUMNS($V$1006:AA1006),$V$1006:$AE$1006,0)))),"Fix")))</f>
        <v>0</v>
      </c>
      <c r="H440" s="4">
        <f>IF(OR(INDEX($P$2:$P$1001,MATCH(ROWS($O$2:O440),$O$2:$O$1001,0),1)&gt;=100000,INDEX($V$1005:$AE$1005,1,MATCH(COLUMNS($V$1006:AB1006),$V$1006:$AE$1006,0))&gt;=100000), " ",IF(INDEX($V$2:$AE$1001,MATCH(ROWS($O$2:O440),$O$2:$O$1001,0),MATCH(COLUMNS($V$1006:AB1006),$V$1006:$AE$1006,0)), HYPERLINK("#",""), HYPERLINK(CONCATENATE("#Metadata!", ADDRESS(INDEX($Q$2:$Q$1001,MATCH(ROWS($O$2:O440),$O$2:$O$1001,0),0), INDEX($V$1004:$AE$1004,1,MATCH(COLUMNS($V$1006:AB1006),$V$1006:$AE$1006,0)))),"Fix")))</f>
        <v>0</v>
      </c>
      <c r="I440" s="4">
        <f>IF(OR(INDEX($P$2:$P$1001,MATCH(ROWS($O$2:O440),$O$2:$O$1001,0),1)&gt;=100000,INDEX($V$1005:$AE$1005,1,MATCH(COLUMNS($V$1006:AC1006),$V$1006:$AE$1006,0))&gt;=100000), " ",IF(INDEX($V$2:$AE$1001,MATCH(ROWS($O$2:O440),$O$2:$O$1001,0),MATCH(COLUMNS($V$1006:AC1006),$V$1006:$AE$1006,0)), HYPERLINK("#",""), HYPERLINK(CONCATENATE("#Metadata!", ADDRESS(INDEX($Q$2:$Q$1001,MATCH(ROWS($O$2:O440),$O$2:$O$1001,0),0), INDEX($V$1004:$AE$1004,1,MATCH(COLUMNS($V$1006:AC1006),$V$1006:$AE$1006,0)))),"Fix")))</f>
        <v>0</v>
      </c>
      <c r="J440" s="4">
        <f>IF(OR(INDEX($P$2:$P$1001,MATCH(ROWS($O$2:O440),$O$2:$O$1001,0),1)&gt;=100000,INDEX($V$1005:$AE$1005,1,MATCH(COLUMNS($V$1006:AD1006),$V$1006:$AE$1006,0))&gt;=100000), " ",IF(INDEX($V$2:$AE$1001,MATCH(ROWS($O$2:O440),$O$2:$O$1001,0),MATCH(COLUMNS($V$1006:AD1006),$V$1006:$AE$1006,0)), HYPERLINK("#",""), HYPERLINK(CONCATENATE("#Metadata!", ADDRESS(INDEX($Q$2:$Q$1001,MATCH(ROWS($O$2:O440),$O$2:$O$1001,0),0), INDEX($V$1004:$AE$1004,1,MATCH(COLUMNS($V$1006:AD1006),$V$1006:$AE$1006,0)))),"Fix")))</f>
        <v>0</v>
      </c>
      <c r="K440" s="4">
        <f>IF(OR(INDEX($P$2:$P$1001,MATCH(ROWS($O$2:O440),$O$2:$O$1001,0),1)&gt;=100000,INDEX($V$1005:$AE$1005,1,MATCH(COLUMNS($V$1006:AE1006),$V$1006:$AE$1006,0))&gt;=100000), " ",IF(INDEX($V$2:$AE$1001,MATCH(ROWS($O$2:O440),$O$2:$O$1001,0),MATCH(COLUMNS($V$1006:AE1006),$V$1006:$AE$1006,0)), HYPERLINK("#",""), HYPERLINK(CONCATENATE("#Metadata!", ADDRESS(INDEX($Q$2:$Q$1001,MATCH(ROWS($O$2:O440),$O$2:$O$1001,0),0), INDEX($V$1004:$AE$1004,1,MATCH(COLUMNS($V$1006:AE1006),$V$1006:$AE$1006,0)))),"Fix")))</f>
        <v>0</v>
      </c>
      <c r="O440">
        <v>0</v>
      </c>
      <c r="P440">
        <v>0</v>
      </c>
      <c r="Q440">
        <v>0</v>
      </c>
      <c r="R440">
        <f>IF(S440,TRUE,AND(V440:AE440))</f>
        <v>0</v>
      </c>
      <c r="S440">
        <f>COUNTBLANK(Metadata!B440:K440)=COLUMNS(Metadata!B440:K440)</f>
        <v>0</v>
      </c>
      <c r="T440">
        <v>0</v>
      </c>
      <c r="V440">
        <f>AND(IF(Metadata!B440="",FALSE,TRUE),COUNTIF(Metadata!B:B, Metadata!B440) = 1,NOT(ISERROR(SUMPRODUCT(SEARCH(MID(Metadata!B440,ROW(INDIRECT("1:"&amp;LEN(Metadata!B440))), 1),"0123456789abcdefghijklmnopqrstuvwxyzABCDEFGHIJKLMNOPQRSTUVWXYZ.")))))</f>
        <v>0</v>
      </c>
      <c r="W440">
        <f>AND(IF(Metadata!C440="",FALSE,TRUE),exact(Metadata!C440,"urban biome"))</f>
        <v>0</v>
      </c>
      <c r="X440">
        <f>AND(IF(Metadata!D440="",FALSE,TRUE),exact(Metadata!D440,"animal-associated habitat"))</f>
        <v>0</v>
      </c>
      <c r="Y440">
        <f>OR(AND(IF(Metadata!E440="",FALSE,TRUE),OR(exact(Metadata!E440,"not applicable"),exact(Metadata!E440,"missing: not collected"),exact(Metadata!E440,"missing: not provided"),exact(Metadata!E440,"missing: restricted access"))),AND(IF(Metadata!E440="",FALSE,ISNUMBER(VALUE(Metadata!E440))),Metadata!E440&gt;0))</f>
        <v>0</v>
      </c>
      <c r="Z440">
        <f>AND(IF(Metadata!F440="",FALSE,TRUE),exact(Metadata!F440,"weeks"))</f>
        <v>0</v>
      </c>
      <c r="AA440">
        <f>AND(IF(Metadata!G440="",FALSE,TRUE),exact(Metadata!G440,"mouse"))</f>
        <v>0</v>
      </c>
      <c r="AB440">
        <f>AND(IF(Metadata!H440="",FALSE,TRUE),exact(Metadata!H440,"Mus musculus"))</f>
        <v>0</v>
      </c>
      <c r="AC440">
        <f>AND(IF(Metadata!I440="",FALSE,TRUE),exact(Metadata!I440,"10090"))</f>
        <v>0</v>
      </c>
      <c r="AD440">
        <f>OR(AND(IF(Metadata!J440="",FALSE,TRUE),OR(exact(Metadata!J440,"not applicable"),exact(Metadata!J440,"missing: not collected"),exact(Metadata!J440,"missing: not provided"),exact(Metadata!J440,"missing: restricted access"))),AND(IF(Metadata!J440="",FALSE,ISNUMBER(VALUE(Metadata!J440))),Metadata!J440&gt;0))</f>
        <v>0</v>
      </c>
      <c r="AE440">
        <f>AND(IF(Metadata!K440="",FALSE,TRUE),exact(Metadata!K440,"g"))</f>
        <v>0</v>
      </c>
    </row>
    <row r="441" spans="1:31">
      <c r="A441" s="5">
        <f>IF(B441=" "," ",HYPERLINK(CONCATENATE("#metadata!",ADDRESS(INDEX($Q$2:$Q$1001,MATCH(ROWS($O$2:O441),$O$2:$O$1001,0),0),1)),INDEX($T$2:$T$1001,MATCH(ROWS($O$2:O441),$O$2:$O$1001,0),0)))</f>
        <v>0</v>
      </c>
      <c r="B441" s="4">
        <f>IF(OR(INDEX($P$2:$P$1001,MATCH(ROWS($O$2:O441),$O$2:$O$1001,0),1)&gt;=100000,INDEX($V$1005:$AE$1005,1,MATCH(COLUMNS($V$1006:V1006),$V$1006:$AE$1006,0))&gt;=100000), " ",IF(INDEX($V$2:$AE$1001,MATCH(ROWS($O$2:O441),$O$2:$O$1001,0),MATCH(COLUMNS($V$1006:V1006),$V$1006:$AE$1006,0)), HYPERLINK("#",""), HYPERLINK(CONCATENATE("#Metadata!", ADDRESS(INDEX($Q$2:$Q$1001,MATCH(ROWS($O$2:O441),$O$2:$O$1001,0),0), INDEX($V$1004:$AE$1004,1,MATCH(COLUMNS($V$1006:V1006),$V$1006:$AE$1006,0)))),"Fix")))</f>
        <v>0</v>
      </c>
      <c r="C441" s="4">
        <f>IF(OR(INDEX($P$2:$P$1001,MATCH(ROWS($O$2:O441),$O$2:$O$1001,0),1)&gt;=100000,INDEX($V$1005:$AE$1005,1,MATCH(COLUMNS($V$1006:W1006),$V$1006:$AE$1006,0))&gt;=100000), " ",IF(INDEX($V$2:$AE$1001,MATCH(ROWS($O$2:O441),$O$2:$O$1001,0),MATCH(COLUMNS($V$1006:W1006),$V$1006:$AE$1006,0)), HYPERLINK("#",""), HYPERLINK(CONCATENATE("#Metadata!", ADDRESS(INDEX($Q$2:$Q$1001,MATCH(ROWS($O$2:O441),$O$2:$O$1001,0),0), INDEX($V$1004:$AE$1004,1,MATCH(COLUMNS($V$1006:W1006),$V$1006:$AE$1006,0)))),"Fix")))</f>
        <v>0</v>
      </c>
      <c r="D441" s="4">
        <f>IF(OR(INDEX($P$2:$P$1001,MATCH(ROWS($O$2:O441),$O$2:$O$1001,0),1)&gt;=100000,INDEX($V$1005:$AE$1005,1,MATCH(COLUMNS($V$1006:X1006),$V$1006:$AE$1006,0))&gt;=100000), " ",IF(INDEX($V$2:$AE$1001,MATCH(ROWS($O$2:O441),$O$2:$O$1001,0),MATCH(COLUMNS($V$1006:X1006),$V$1006:$AE$1006,0)), HYPERLINK("#",""), HYPERLINK(CONCATENATE("#Metadata!", ADDRESS(INDEX($Q$2:$Q$1001,MATCH(ROWS($O$2:O441),$O$2:$O$1001,0),0), INDEX($V$1004:$AE$1004,1,MATCH(COLUMNS($V$1006:X1006),$V$1006:$AE$1006,0)))),"Fix")))</f>
        <v>0</v>
      </c>
      <c r="E441" s="4">
        <f>IF(OR(INDEX($P$2:$P$1001,MATCH(ROWS($O$2:O441),$O$2:$O$1001,0),1)&gt;=100000,INDEX($V$1005:$AE$1005,1,MATCH(COLUMNS($V$1006:Y1006),$V$1006:$AE$1006,0))&gt;=100000), " ",IF(INDEX($V$2:$AE$1001,MATCH(ROWS($O$2:O441),$O$2:$O$1001,0),MATCH(COLUMNS($V$1006:Y1006),$V$1006:$AE$1006,0)), HYPERLINK("#",""), HYPERLINK(CONCATENATE("#Metadata!", ADDRESS(INDEX($Q$2:$Q$1001,MATCH(ROWS($O$2:O441),$O$2:$O$1001,0),0), INDEX($V$1004:$AE$1004,1,MATCH(COLUMNS($V$1006:Y1006),$V$1006:$AE$1006,0)))),"Fix")))</f>
        <v>0</v>
      </c>
      <c r="F441" s="4">
        <f>IF(OR(INDEX($P$2:$P$1001,MATCH(ROWS($O$2:O441),$O$2:$O$1001,0),1)&gt;=100000,INDEX($V$1005:$AE$1005,1,MATCH(COLUMNS($V$1006:Z1006),$V$1006:$AE$1006,0))&gt;=100000), " ",IF(INDEX($V$2:$AE$1001,MATCH(ROWS($O$2:O441),$O$2:$O$1001,0),MATCH(COLUMNS($V$1006:Z1006),$V$1006:$AE$1006,0)), HYPERLINK("#",""), HYPERLINK(CONCATENATE("#Metadata!", ADDRESS(INDEX($Q$2:$Q$1001,MATCH(ROWS($O$2:O441),$O$2:$O$1001,0),0), INDEX($V$1004:$AE$1004,1,MATCH(COLUMNS($V$1006:Z1006),$V$1006:$AE$1006,0)))),"Fix")))</f>
        <v>0</v>
      </c>
      <c r="G441" s="4">
        <f>IF(OR(INDEX($P$2:$P$1001,MATCH(ROWS($O$2:O441),$O$2:$O$1001,0),1)&gt;=100000,INDEX($V$1005:$AE$1005,1,MATCH(COLUMNS($V$1006:AA1006),$V$1006:$AE$1006,0))&gt;=100000), " ",IF(INDEX($V$2:$AE$1001,MATCH(ROWS($O$2:O441),$O$2:$O$1001,0),MATCH(COLUMNS($V$1006:AA1006),$V$1006:$AE$1006,0)), HYPERLINK("#",""), HYPERLINK(CONCATENATE("#Metadata!", ADDRESS(INDEX($Q$2:$Q$1001,MATCH(ROWS($O$2:O441),$O$2:$O$1001,0),0), INDEX($V$1004:$AE$1004,1,MATCH(COLUMNS($V$1006:AA1006),$V$1006:$AE$1006,0)))),"Fix")))</f>
        <v>0</v>
      </c>
      <c r="H441" s="4">
        <f>IF(OR(INDEX($P$2:$P$1001,MATCH(ROWS($O$2:O441),$O$2:$O$1001,0),1)&gt;=100000,INDEX($V$1005:$AE$1005,1,MATCH(COLUMNS($V$1006:AB1006),$V$1006:$AE$1006,0))&gt;=100000), " ",IF(INDEX($V$2:$AE$1001,MATCH(ROWS($O$2:O441),$O$2:$O$1001,0),MATCH(COLUMNS($V$1006:AB1006),$V$1006:$AE$1006,0)), HYPERLINK("#",""), HYPERLINK(CONCATENATE("#Metadata!", ADDRESS(INDEX($Q$2:$Q$1001,MATCH(ROWS($O$2:O441),$O$2:$O$1001,0),0), INDEX($V$1004:$AE$1004,1,MATCH(COLUMNS($V$1006:AB1006),$V$1006:$AE$1006,0)))),"Fix")))</f>
        <v>0</v>
      </c>
      <c r="I441" s="4">
        <f>IF(OR(INDEX($P$2:$P$1001,MATCH(ROWS($O$2:O441),$O$2:$O$1001,0),1)&gt;=100000,INDEX($V$1005:$AE$1005,1,MATCH(COLUMNS($V$1006:AC1006),$V$1006:$AE$1006,0))&gt;=100000), " ",IF(INDEX($V$2:$AE$1001,MATCH(ROWS($O$2:O441),$O$2:$O$1001,0),MATCH(COLUMNS($V$1006:AC1006),$V$1006:$AE$1006,0)), HYPERLINK("#",""), HYPERLINK(CONCATENATE("#Metadata!", ADDRESS(INDEX($Q$2:$Q$1001,MATCH(ROWS($O$2:O441),$O$2:$O$1001,0),0), INDEX($V$1004:$AE$1004,1,MATCH(COLUMNS($V$1006:AC1006),$V$1006:$AE$1006,0)))),"Fix")))</f>
        <v>0</v>
      </c>
      <c r="J441" s="4">
        <f>IF(OR(INDEX($P$2:$P$1001,MATCH(ROWS($O$2:O441),$O$2:$O$1001,0),1)&gt;=100000,INDEX($V$1005:$AE$1005,1,MATCH(COLUMNS($V$1006:AD1006),$V$1006:$AE$1006,0))&gt;=100000), " ",IF(INDEX($V$2:$AE$1001,MATCH(ROWS($O$2:O441),$O$2:$O$1001,0),MATCH(COLUMNS($V$1006:AD1006),$V$1006:$AE$1006,0)), HYPERLINK("#",""), HYPERLINK(CONCATENATE("#Metadata!", ADDRESS(INDEX($Q$2:$Q$1001,MATCH(ROWS($O$2:O441),$O$2:$O$1001,0),0), INDEX($V$1004:$AE$1004,1,MATCH(COLUMNS($V$1006:AD1006),$V$1006:$AE$1006,0)))),"Fix")))</f>
        <v>0</v>
      </c>
      <c r="K441" s="4">
        <f>IF(OR(INDEX($P$2:$P$1001,MATCH(ROWS($O$2:O441),$O$2:$O$1001,0),1)&gt;=100000,INDEX($V$1005:$AE$1005,1,MATCH(COLUMNS($V$1006:AE1006),$V$1006:$AE$1006,0))&gt;=100000), " ",IF(INDEX($V$2:$AE$1001,MATCH(ROWS($O$2:O441),$O$2:$O$1001,0),MATCH(COLUMNS($V$1006:AE1006),$V$1006:$AE$1006,0)), HYPERLINK("#",""), HYPERLINK(CONCATENATE("#Metadata!", ADDRESS(INDEX($Q$2:$Q$1001,MATCH(ROWS($O$2:O441),$O$2:$O$1001,0),0), INDEX($V$1004:$AE$1004,1,MATCH(COLUMNS($V$1006:AE1006),$V$1006:$AE$1006,0)))),"Fix")))</f>
        <v>0</v>
      </c>
      <c r="O441">
        <v>0</v>
      </c>
      <c r="P441">
        <v>0</v>
      </c>
      <c r="Q441">
        <v>0</v>
      </c>
      <c r="R441">
        <f>IF(S441,TRUE,AND(V441:AE441))</f>
        <v>0</v>
      </c>
      <c r="S441">
        <f>COUNTBLANK(Metadata!B441:K441)=COLUMNS(Metadata!B441:K441)</f>
        <v>0</v>
      </c>
      <c r="T441">
        <v>0</v>
      </c>
      <c r="V441">
        <f>AND(IF(Metadata!B441="",FALSE,TRUE),COUNTIF(Metadata!B:B, Metadata!B441) = 1,NOT(ISERROR(SUMPRODUCT(SEARCH(MID(Metadata!B441,ROW(INDIRECT("1:"&amp;LEN(Metadata!B441))), 1),"0123456789abcdefghijklmnopqrstuvwxyzABCDEFGHIJKLMNOPQRSTUVWXYZ.")))))</f>
        <v>0</v>
      </c>
      <c r="W441">
        <f>AND(IF(Metadata!C441="",FALSE,TRUE),exact(Metadata!C441,"urban biome"))</f>
        <v>0</v>
      </c>
      <c r="X441">
        <f>AND(IF(Metadata!D441="",FALSE,TRUE),exact(Metadata!D441,"animal-associated habitat"))</f>
        <v>0</v>
      </c>
      <c r="Y441">
        <f>OR(AND(IF(Metadata!E441="",FALSE,TRUE),OR(exact(Metadata!E441,"not applicable"),exact(Metadata!E441,"missing: not collected"),exact(Metadata!E441,"missing: not provided"),exact(Metadata!E441,"missing: restricted access"))),AND(IF(Metadata!E441="",FALSE,ISNUMBER(VALUE(Metadata!E441))),Metadata!E441&gt;0))</f>
        <v>0</v>
      </c>
      <c r="Z441">
        <f>AND(IF(Metadata!F441="",FALSE,TRUE),exact(Metadata!F441,"weeks"))</f>
        <v>0</v>
      </c>
      <c r="AA441">
        <f>AND(IF(Metadata!G441="",FALSE,TRUE),exact(Metadata!G441,"mouse"))</f>
        <v>0</v>
      </c>
      <c r="AB441">
        <f>AND(IF(Metadata!H441="",FALSE,TRUE),exact(Metadata!H441,"Mus musculus"))</f>
        <v>0</v>
      </c>
      <c r="AC441">
        <f>AND(IF(Metadata!I441="",FALSE,TRUE),exact(Metadata!I441,"10090"))</f>
        <v>0</v>
      </c>
      <c r="AD441">
        <f>OR(AND(IF(Metadata!J441="",FALSE,TRUE),OR(exact(Metadata!J441,"not applicable"),exact(Metadata!J441,"missing: not collected"),exact(Metadata!J441,"missing: not provided"),exact(Metadata!J441,"missing: restricted access"))),AND(IF(Metadata!J441="",FALSE,ISNUMBER(VALUE(Metadata!J441))),Metadata!J441&gt;0))</f>
        <v>0</v>
      </c>
      <c r="AE441">
        <f>AND(IF(Metadata!K441="",FALSE,TRUE),exact(Metadata!K441,"g"))</f>
        <v>0</v>
      </c>
    </row>
    <row r="442" spans="1:31">
      <c r="A442" s="5">
        <f>IF(B442=" "," ",HYPERLINK(CONCATENATE("#metadata!",ADDRESS(INDEX($Q$2:$Q$1001,MATCH(ROWS($O$2:O442),$O$2:$O$1001,0),0),1)),INDEX($T$2:$T$1001,MATCH(ROWS($O$2:O442),$O$2:$O$1001,0),0)))</f>
        <v>0</v>
      </c>
      <c r="B442" s="4">
        <f>IF(OR(INDEX($P$2:$P$1001,MATCH(ROWS($O$2:O442),$O$2:$O$1001,0),1)&gt;=100000,INDEX($V$1005:$AE$1005,1,MATCH(COLUMNS($V$1006:V1006),$V$1006:$AE$1006,0))&gt;=100000), " ",IF(INDEX($V$2:$AE$1001,MATCH(ROWS($O$2:O442),$O$2:$O$1001,0),MATCH(COLUMNS($V$1006:V1006),$V$1006:$AE$1006,0)), HYPERLINK("#",""), HYPERLINK(CONCATENATE("#Metadata!", ADDRESS(INDEX($Q$2:$Q$1001,MATCH(ROWS($O$2:O442),$O$2:$O$1001,0),0), INDEX($V$1004:$AE$1004,1,MATCH(COLUMNS($V$1006:V1006),$V$1006:$AE$1006,0)))),"Fix")))</f>
        <v>0</v>
      </c>
      <c r="C442" s="4">
        <f>IF(OR(INDEX($P$2:$P$1001,MATCH(ROWS($O$2:O442),$O$2:$O$1001,0),1)&gt;=100000,INDEX($V$1005:$AE$1005,1,MATCH(COLUMNS($V$1006:W1006),$V$1006:$AE$1006,0))&gt;=100000), " ",IF(INDEX($V$2:$AE$1001,MATCH(ROWS($O$2:O442),$O$2:$O$1001,0),MATCH(COLUMNS($V$1006:W1006),$V$1006:$AE$1006,0)), HYPERLINK("#",""), HYPERLINK(CONCATENATE("#Metadata!", ADDRESS(INDEX($Q$2:$Q$1001,MATCH(ROWS($O$2:O442),$O$2:$O$1001,0),0), INDEX($V$1004:$AE$1004,1,MATCH(COLUMNS($V$1006:W1006),$V$1006:$AE$1006,0)))),"Fix")))</f>
        <v>0</v>
      </c>
      <c r="D442" s="4">
        <f>IF(OR(INDEX($P$2:$P$1001,MATCH(ROWS($O$2:O442),$O$2:$O$1001,0),1)&gt;=100000,INDEX($V$1005:$AE$1005,1,MATCH(COLUMNS($V$1006:X1006),$V$1006:$AE$1006,0))&gt;=100000), " ",IF(INDEX($V$2:$AE$1001,MATCH(ROWS($O$2:O442),$O$2:$O$1001,0),MATCH(COLUMNS($V$1006:X1006),$V$1006:$AE$1006,0)), HYPERLINK("#",""), HYPERLINK(CONCATENATE("#Metadata!", ADDRESS(INDEX($Q$2:$Q$1001,MATCH(ROWS($O$2:O442),$O$2:$O$1001,0),0), INDEX($V$1004:$AE$1004,1,MATCH(COLUMNS($V$1006:X1006),$V$1006:$AE$1006,0)))),"Fix")))</f>
        <v>0</v>
      </c>
      <c r="E442" s="4">
        <f>IF(OR(INDEX($P$2:$P$1001,MATCH(ROWS($O$2:O442),$O$2:$O$1001,0),1)&gt;=100000,INDEX($V$1005:$AE$1005,1,MATCH(COLUMNS($V$1006:Y1006),$V$1006:$AE$1006,0))&gt;=100000), " ",IF(INDEX($V$2:$AE$1001,MATCH(ROWS($O$2:O442),$O$2:$O$1001,0),MATCH(COLUMNS($V$1006:Y1006),$V$1006:$AE$1006,0)), HYPERLINK("#",""), HYPERLINK(CONCATENATE("#Metadata!", ADDRESS(INDEX($Q$2:$Q$1001,MATCH(ROWS($O$2:O442),$O$2:$O$1001,0),0), INDEX($V$1004:$AE$1004,1,MATCH(COLUMNS($V$1006:Y1006),$V$1006:$AE$1006,0)))),"Fix")))</f>
        <v>0</v>
      </c>
      <c r="F442" s="4">
        <f>IF(OR(INDEX($P$2:$P$1001,MATCH(ROWS($O$2:O442),$O$2:$O$1001,0),1)&gt;=100000,INDEX($V$1005:$AE$1005,1,MATCH(COLUMNS($V$1006:Z1006),$V$1006:$AE$1006,0))&gt;=100000), " ",IF(INDEX($V$2:$AE$1001,MATCH(ROWS($O$2:O442),$O$2:$O$1001,0),MATCH(COLUMNS($V$1006:Z1006),$V$1006:$AE$1006,0)), HYPERLINK("#",""), HYPERLINK(CONCATENATE("#Metadata!", ADDRESS(INDEX($Q$2:$Q$1001,MATCH(ROWS($O$2:O442),$O$2:$O$1001,0),0), INDEX($V$1004:$AE$1004,1,MATCH(COLUMNS($V$1006:Z1006),$V$1006:$AE$1006,0)))),"Fix")))</f>
        <v>0</v>
      </c>
      <c r="G442" s="4">
        <f>IF(OR(INDEX($P$2:$P$1001,MATCH(ROWS($O$2:O442),$O$2:$O$1001,0),1)&gt;=100000,INDEX($V$1005:$AE$1005,1,MATCH(COLUMNS($V$1006:AA1006),$V$1006:$AE$1006,0))&gt;=100000), " ",IF(INDEX($V$2:$AE$1001,MATCH(ROWS($O$2:O442),$O$2:$O$1001,0),MATCH(COLUMNS($V$1006:AA1006),$V$1006:$AE$1006,0)), HYPERLINK("#",""), HYPERLINK(CONCATENATE("#Metadata!", ADDRESS(INDEX($Q$2:$Q$1001,MATCH(ROWS($O$2:O442),$O$2:$O$1001,0),0), INDEX($V$1004:$AE$1004,1,MATCH(COLUMNS($V$1006:AA1006),$V$1006:$AE$1006,0)))),"Fix")))</f>
        <v>0</v>
      </c>
      <c r="H442" s="4">
        <f>IF(OR(INDEX($P$2:$P$1001,MATCH(ROWS($O$2:O442),$O$2:$O$1001,0),1)&gt;=100000,INDEX($V$1005:$AE$1005,1,MATCH(COLUMNS($V$1006:AB1006),$V$1006:$AE$1006,0))&gt;=100000), " ",IF(INDEX($V$2:$AE$1001,MATCH(ROWS($O$2:O442),$O$2:$O$1001,0),MATCH(COLUMNS($V$1006:AB1006),$V$1006:$AE$1006,0)), HYPERLINK("#",""), HYPERLINK(CONCATENATE("#Metadata!", ADDRESS(INDEX($Q$2:$Q$1001,MATCH(ROWS($O$2:O442),$O$2:$O$1001,0),0), INDEX($V$1004:$AE$1004,1,MATCH(COLUMNS($V$1006:AB1006),$V$1006:$AE$1006,0)))),"Fix")))</f>
        <v>0</v>
      </c>
      <c r="I442" s="4">
        <f>IF(OR(INDEX($P$2:$P$1001,MATCH(ROWS($O$2:O442),$O$2:$O$1001,0),1)&gt;=100000,INDEX($V$1005:$AE$1005,1,MATCH(COLUMNS($V$1006:AC1006),$V$1006:$AE$1006,0))&gt;=100000), " ",IF(INDEX($V$2:$AE$1001,MATCH(ROWS($O$2:O442),$O$2:$O$1001,0),MATCH(COLUMNS($V$1006:AC1006),$V$1006:$AE$1006,0)), HYPERLINK("#",""), HYPERLINK(CONCATENATE("#Metadata!", ADDRESS(INDEX($Q$2:$Q$1001,MATCH(ROWS($O$2:O442),$O$2:$O$1001,0),0), INDEX($V$1004:$AE$1004,1,MATCH(COLUMNS($V$1006:AC1006),$V$1006:$AE$1006,0)))),"Fix")))</f>
        <v>0</v>
      </c>
      <c r="J442" s="4">
        <f>IF(OR(INDEX($P$2:$P$1001,MATCH(ROWS($O$2:O442),$O$2:$O$1001,0),1)&gt;=100000,INDEX($V$1005:$AE$1005,1,MATCH(COLUMNS($V$1006:AD1006),$V$1006:$AE$1006,0))&gt;=100000), " ",IF(INDEX($V$2:$AE$1001,MATCH(ROWS($O$2:O442),$O$2:$O$1001,0),MATCH(COLUMNS($V$1006:AD1006),$V$1006:$AE$1006,0)), HYPERLINK("#",""), HYPERLINK(CONCATENATE("#Metadata!", ADDRESS(INDEX($Q$2:$Q$1001,MATCH(ROWS($O$2:O442),$O$2:$O$1001,0),0), INDEX($V$1004:$AE$1004,1,MATCH(COLUMNS($V$1006:AD1006),$V$1006:$AE$1006,0)))),"Fix")))</f>
        <v>0</v>
      </c>
      <c r="K442" s="4">
        <f>IF(OR(INDEX($P$2:$P$1001,MATCH(ROWS($O$2:O442),$O$2:$O$1001,0),1)&gt;=100000,INDEX($V$1005:$AE$1005,1,MATCH(COLUMNS($V$1006:AE1006),$V$1006:$AE$1006,0))&gt;=100000), " ",IF(INDEX($V$2:$AE$1001,MATCH(ROWS($O$2:O442),$O$2:$O$1001,0),MATCH(COLUMNS($V$1006:AE1006),$V$1006:$AE$1006,0)), HYPERLINK("#",""), HYPERLINK(CONCATENATE("#Metadata!", ADDRESS(INDEX($Q$2:$Q$1001,MATCH(ROWS($O$2:O442),$O$2:$O$1001,0),0), INDEX($V$1004:$AE$1004,1,MATCH(COLUMNS($V$1006:AE1006),$V$1006:$AE$1006,0)))),"Fix")))</f>
        <v>0</v>
      </c>
      <c r="O442">
        <v>0</v>
      </c>
      <c r="P442">
        <v>0</v>
      </c>
      <c r="Q442">
        <v>0</v>
      </c>
      <c r="R442">
        <f>IF(S442,TRUE,AND(V442:AE442))</f>
        <v>0</v>
      </c>
      <c r="S442">
        <f>COUNTBLANK(Metadata!B442:K442)=COLUMNS(Metadata!B442:K442)</f>
        <v>0</v>
      </c>
      <c r="T442">
        <v>0</v>
      </c>
      <c r="V442">
        <f>AND(IF(Metadata!B442="",FALSE,TRUE),COUNTIF(Metadata!B:B, Metadata!B442) = 1,NOT(ISERROR(SUMPRODUCT(SEARCH(MID(Metadata!B442,ROW(INDIRECT("1:"&amp;LEN(Metadata!B442))), 1),"0123456789abcdefghijklmnopqrstuvwxyzABCDEFGHIJKLMNOPQRSTUVWXYZ.")))))</f>
        <v>0</v>
      </c>
      <c r="W442">
        <f>AND(IF(Metadata!C442="",FALSE,TRUE),exact(Metadata!C442,"urban biome"))</f>
        <v>0</v>
      </c>
      <c r="X442">
        <f>AND(IF(Metadata!D442="",FALSE,TRUE),exact(Metadata!D442,"animal-associated habitat"))</f>
        <v>0</v>
      </c>
      <c r="Y442">
        <f>OR(AND(IF(Metadata!E442="",FALSE,TRUE),OR(exact(Metadata!E442,"not applicable"),exact(Metadata!E442,"missing: not collected"),exact(Metadata!E442,"missing: not provided"),exact(Metadata!E442,"missing: restricted access"))),AND(IF(Metadata!E442="",FALSE,ISNUMBER(VALUE(Metadata!E442))),Metadata!E442&gt;0))</f>
        <v>0</v>
      </c>
      <c r="Z442">
        <f>AND(IF(Metadata!F442="",FALSE,TRUE),exact(Metadata!F442,"weeks"))</f>
        <v>0</v>
      </c>
      <c r="AA442">
        <f>AND(IF(Metadata!G442="",FALSE,TRUE),exact(Metadata!G442,"mouse"))</f>
        <v>0</v>
      </c>
      <c r="AB442">
        <f>AND(IF(Metadata!H442="",FALSE,TRUE),exact(Metadata!H442,"Mus musculus"))</f>
        <v>0</v>
      </c>
      <c r="AC442">
        <f>AND(IF(Metadata!I442="",FALSE,TRUE),exact(Metadata!I442,"10090"))</f>
        <v>0</v>
      </c>
      <c r="AD442">
        <f>OR(AND(IF(Metadata!J442="",FALSE,TRUE),OR(exact(Metadata!J442,"not applicable"),exact(Metadata!J442,"missing: not collected"),exact(Metadata!J442,"missing: not provided"),exact(Metadata!J442,"missing: restricted access"))),AND(IF(Metadata!J442="",FALSE,ISNUMBER(VALUE(Metadata!J442))),Metadata!J442&gt;0))</f>
        <v>0</v>
      </c>
      <c r="AE442">
        <f>AND(IF(Metadata!K442="",FALSE,TRUE),exact(Metadata!K442,"g"))</f>
        <v>0</v>
      </c>
    </row>
    <row r="443" spans="1:31">
      <c r="A443" s="5">
        <f>IF(B443=" "," ",HYPERLINK(CONCATENATE("#metadata!",ADDRESS(INDEX($Q$2:$Q$1001,MATCH(ROWS($O$2:O443),$O$2:$O$1001,0),0),1)),INDEX($T$2:$T$1001,MATCH(ROWS($O$2:O443),$O$2:$O$1001,0),0)))</f>
        <v>0</v>
      </c>
      <c r="B443" s="4">
        <f>IF(OR(INDEX($P$2:$P$1001,MATCH(ROWS($O$2:O443),$O$2:$O$1001,0),1)&gt;=100000,INDEX($V$1005:$AE$1005,1,MATCH(COLUMNS($V$1006:V1006),$V$1006:$AE$1006,0))&gt;=100000), " ",IF(INDEX($V$2:$AE$1001,MATCH(ROWS($O$2:O443),$O$2:$O$1001,0),MATCH(COLUMNS($V$1006:V1006),$V$1006:$AE$1006,0)), HYPERLINK("#",""), HYPERLINK(CONCATENATE("#Metadata!", ADDRESS(INDEX($Q$2:$Q$1001,MATCH(ROWS($O$2:O443),$O$2:$O$1001,0),0), INDEX($V$1004:$AE$1004,1,MATCH(COLUMNS($V$1006:V1006),$V$1006:$AE$1006,0)))),"Fix")))</f>
        <v>0</v>
      </c>
      <c r="C443" s="4">
        <f>IF(OR(INDEX($P$2:$P$1001,MATCH(ROWS($O$2:O443),$O$2:$O$1001,0),1)&gt;=100000,INDEX($V$1005:$AE$1005,1,MATCH(COLUMNS($V$1006:W1006),$V$1006:$AE$1006,0))&gt;=100000), " ",IF(INDEX($V$2:$AE$1001,MATCH(ROWS($O$2:O443),$O$2:$O$1001,0),MATCH(COLUMNS($V$1006:W1006),$V$1006:$AE$1006,0)), HYPERLINK("#",""), HYPERLINK(CONCATENATE("#Metadata!", ADDRESS(INDEX($Q$2:$Q$1001,MATCH(ROWS($O$2:O443),$O$2:$O$1001,0),0), INDEX($V$1004:$AE$1004,1,MATCH(COLUMNS($V$1006:W1006),$V$1006:$AE$1006,0)))),"Fix")))</f>
        <v>0</v>
      </c>
      <c r="D443" s="4">
        <f>IF(OR(INDEX($P$2:$P$1001,MATCH(ROWS($O$2:O443),$O$2:$O$1001,0),1)&gt;=100000,INDEX($V$1005:$AE$1005,1,MATCH(COLUMNS($V$1006:X1006),$V$1006:$AE$1006,0))&gt;=100000), " ",IF(INDEX($V$2:$AE$1001,MATCH(ROWS($O$2:O443),$O$2:$O$1001,0),MATCH(COLUMNS($V$1006:X1006),$V$1006:$AE$1006,0)), HYPERLINK("#",""), HYPERLINK(CONCATENATE("#Metadata!", ADDRESS(INDEX($Q$2:$Q$1001,MATCH(ROWS($O$2:O443),$O$2:$O$1001,0),0), INDEX($V$1004:$AE$1004,1,MATCH(COLUMNS($V$1006:X1006),$V$1006:$AE$1006,0)))),"Fix")))</f>
        <v>0</v>
      </c>
      <c r="E443" s="4">
        <f>IF(OR(INDEX($P$2:$P$1001,MATCH(ROWS($O$2:O443),$O$2:$O$1001,0),1)&gt;=100000,INDEX($V$1005:$AE$1005,1,MATCH(COLUMNS($V$1006:Y1006),$V$1006:$AE$1006,0))&gt;=100000), " ",IF(INDEX($V$2:$AE$1001,MATCH(ROWS($O$2:O443),$O$2:$O$1001,0),MATCH(COLUMNS($V$1006:Y1006),$V$1006:$AE$1006,0)), HYPERLINK("#",""), HYPERLINK(CONCATENATE("#Metadata!", ADDRESS(INDEX($Q$2:$Q$1001,MATCH(ROWS($O$2:O443),$O$2:$O$1001,0),0), INDEX($V$1004:$AE$1004,1,MATCH(COLUMNS($V$1006:Y1006),$V$1006:$AE$1006,0)))),"Fix")))</f>
        <v>0</v>
      </c>
      <c r="F443" s="4">
        <f>IF(OR(INDEX($P$2:$P$1001,MATCH(ROWS($O$2:O443),$O$2:$O$1001,0),1)&gt;=100000,INDEX($V$1005:$AE$1005,1,MATCH(COLUMNS($V$1006:Z1006),$V$1006:$AE$1006,0))&gt;=100000), " ",IF(INDEX($V$2:$AE$1001,MATCH(ROWS($O$2:O443),$O$2:$O$1001,0),MATCH(COLUMNS($V$1006:Z1006),$V$1006:$AE$1006,0)), HYPERLINK("#",""), HYPERLINK(CONCATENATE("#Metadata!", ADDRESS(INDEX($Q$2:$Q$1001,MATCH(ROWS($O$2:O443),$O$2:$O$1001,0),0), INDEX($V$1004:$AE$1004,1,MATCH(COLUMNS($V$1006:Z1006),$V$1006:$AE$1006,0)))),"Fix")))</f>
        <v>0</v>
      </c>
      <c r="G443" s="4">
        <f>IF(OR(INDEX($P$2:$P$1001,MATCH(ROWS($O$2:O443),$O$2:$O$1001,0),1)&gt;=100000,INDEX($V$1005:$AE$1005,1,MATCH(COLUMNS($V$1006:AA1006),$V$1006:$AE$1006,0))&gt;=100000), " ",IF(INDEX($V$2:$AE$1001,MATCH(ROWS($O$2:O443),$O$2:$O$1001,0),MATCH(COLUMNS($V$1006:AA1006),$V$1006:$AE$1006,0)), HYPERLINK("#",""), HYPERLINK(CONCATENATE("#Metadata!", ADDRESS(INDEX($Q$2:$Q$1001,MATCH(ROWS($O$2:O443),$O$2:$O$1001,0),0), INDEX($V$1004:$AE$1004,1,MATCH(COLUMNS($V$1006:AA1006),$V$1006:$AE$1006,0)))),"Fix")))</f>
        <v>0</v>
      </c>
      <c r="H443" s="4">
        <f>IF(OR(INDEX($P$2:$P$1001,MATCH(ROWS($O$2:O443),$O$2:$O$1001,0),1)&gt;=100000,INDEX($V$1005:$AE$1005,1,MATCH(COLUMNS($V$1006:AB1006),$V$1006:$AE$1006,0))&gt;=100000), " ",IF(INDEX($V$2:$AE$1001,MATCH(ROWS($O$2:O443),$O$2:$O$1001,0),MATCH(COLUMNS($V$1006:AB1006),$V$1006:$AE$1006,0)), HYPERLINK("#",""), HYPERLINK(CONCATENATE("#Metadata!", ADDRESS(INDEX($Q$2:$Q$1001,MATCH(ROWS($O$2:O443),$O$2:$O$1001,0),0), INDEX($V$1004:$AE$1004,1,MATCH(COLUMNS($V$1006:AB1006),$V$1006:$AE$1006,0)))),"Fix")))</f>
        <v>0</v>
      </c>
      <c r="I443" s="4">
        <f>IF(OR(INDEX($P$2:$P$1001,MATCH(ROWS($O$2:O443),$O$2:$O$1001,0),1)&gt;=100000,INDEX($V$1005:$AE$1005,1,MATCH(COLUMNS($V$1006:AC1006),$V$1006:$AE$1006,0))&gt;=100000), " ",IF(INDEX($V$2:$AE$1001,MATCH(ROWS($O$2:O443),$O$2:$O$1001,0),MATCH(COLUMNS($V$1006:AC1006),$V$1006:$AE$1006,0)), HYPERLINK("#",""), HYPERLINK(CONCATENATE("#Metadata!", ADDRESS(INDEX($Q$2:$Q$1001,MATCH(ROWS($O$2:O443),$O$2:$O$1001,0),0), INDEX($V$1004:$AE$1004,1,MATCH(COLUMNS($V$1006:AC1006),$V$1006:$AE$1006,0)))),"Fix")))</f>
        <v>0</v>
      </c>
      <c r="J443" s="4">
        <f>IF(OR(INDEX($P$2:$P$1001,MATCH(ROWS($O$2:O443),$O$2:$O$1001,0),1)&gt;=100000,INDEX($V$1005:$AE$1005,1,MATCH(COLUMNS($V$1006:AD1006),$V$1006:$AE$1006,0))&gt;=100000), " ",IF(INDEX($V$2:$AE$1001,MATCH(ROWS($O$2:O443),$O$2:$O$1001,0),MATCH(COLUMNS($V$1006:AD1006),$V$1006:$AE$1006,0)), HYPERLINK("#",""), HYPERLINK(CONCATENATE("#Metadata!", ADDRESS(INDEX($Q$2:$Q$1001,MATCH(ROWS($O$2:O443),$O$2:$O$1001,0),0), INDEX($V$1004:$AE$1004,1,MATCH(COLUMNS($V$1006:AD1006),$V$1006:$AE$1006,0)))),"Fix")))</f>
        <v>0</v>
      </c>
      <c r="K443" s="4">
        <f>IF(OR(INDEX($P$2:$P$1001,MATCH(ROWS($O$2:O443),$O$2:$O$1001,0),1)&gt;=100000,INDEX($V$1005:$AE$1005,1,MATCH(COLUMNS($V$1006:AE1006),$V$1006:$AE$1006,0))&gt;=100000), " ",IF(INDEX($V$2:$AE$1001,MATCH(ROWS($O$2:O443),$O$2:$O$1001,0),MATCH(COLUMNS($V$1006:AE1006),$V$1006:$AE$1006,0)), HYPERLINK("#",""), HYPERLINK(CONCATENATE("#Metadata!", ADDRESS(INDEX($Q$2:$Q$1001,MATCH(ROWS($O$2:O443),$O$2:$O$1001,0),0), INDEX($V$1004:$AE$1004,1,MATCH(COLUMNS($V$1006:AE1006),$V$1006:$AE$1006,0)))),"Fix")))</f>
        <v>0</v>
      </c>
      <c r="O443">
        <v>0</v>
      </c>
      <c r="P443">
        <v>0</v>
      </c>
      <c r="Q443">
        <v>0</v>
      </c>
      <c r="R443">
        <f>IF(S443,TRUE,AND(V443:AE443))</f>
        <v>0</v>
      </c>
      <c r="S443">
        <f>COUNTBLANK(Metadata!B443:K443)=COLUMNS(Metadata!B443:K443)</f>
        <v>0</v>
      </c>
      <c r="T443">
        <v>0</v>
      </c>
      <c r="V443">
        <f>AND(IF(Metadata!B443="",FALSE,TRUE),COUNTIF(Metadata!B:B, Metadata!B443) = 1,NOT(ISERROR(SUMPRODUCT(SEARCH(MID(Metadata!B443,ROW(INDIRECT("1:"&amp;LEN(Metadata!B443))), 1),"0123456789abcdefghijklmnopqrstuvwxyzABCDEFGHIJKLMNOPQRSTUVWXYZ.")))))</f>
        <v>0</v>
      </c>
      <c r="W443">
        <f>AND(IF(Metadata!C443="",FALSE,TRUE),exact(Metadata!C443,"urban biome"))</f>
        <v>0</v>
      </c>
      <c r="X443">
        <f>AND(IF(Metadata!D443="",FALSE,TRUE),exact(Metadata!D443,"animal-associated habitat"))</f>
        <v>0</v>
      </c>
      <c r="Y443">
        <f>OR(AND(IF(Metadata!E443="",FALSE,TRUE),OR(exact(Metadata!E443,"not applicable"),exact(Metadata!E443,"missing: not collected"),exact(Metadata!E443,"missing: not provided"),exact(Metadata!E443,"missing: restricted access"))),AND(IF(Metadata!E443="",FALSE,ISNUMBER(VALUE(Metadata!E443))),Metadata!E443&gt;0))</f>
        <v>0</v>
      </c>
      <c r="Z443">
        <f>AND(IF(Metadata!F443="",FALSE,TRUE),exact(Metadata!F443,"weeks"))</f>
        <v>0</v>
      </c>
      <c r="AA443">
        <f>AND(IF(Metadata!G443="",FALSE,TRUE),exact(Metadata!G443,"mouse"))</f>
        <v>0</v>
      </c>
      <c r="AB443">
        <f>AND(IF(Metadata!H443="",FALSE,TRUE),exact(Metadata!H443,"Mus musculus"))</f>
        <v>0</v>
      </c>
      <c r="AC443">
        <f>AND(IF(Metadata!I443="",FALSE,TRUE),exact(Metadata!I443,"10090"))</f>
        <v>0</v>
      </c>
      <c r="AD443">
        <f>OR(AND(IF(Metadata!J443="",FALSE,TRUE),OR(exact(Metadata!J443,"not applicable"),exact(Metadata!J443,"missing: not collected"),exact(Metadata!J443,"missing: not provided"),exact(Metadata!J443,"missing: restricted access"))),AND(IF(Metadata!J443="",FALSE,ISNUMBER(VALUE(Metadata!J443))),Metadata!J443&gt;0))</f>
        <v>0</v>
      </c>
      <c r="AE443">
        <f>AND(IF(Metadata!K443="",FALSE,TRUE),exact(Metadata!K443,"g"))</f>
        <v>0</v>
      </c>
    </row>
    <row r="444" spans="1:31">
      <c r="A444" s="5">
        <f>IF(B444=" "," ",HYPERLINK(CONCATENATE("#metadata!",ADDRESS(INDEX($Q$2:$Q$1001,MATCH(ROWS($O$2:O444),$O$2:$O$1001,0),0),1)),INDEX($T$2:$T$1001,MATCH(ROWS($O$2:O444),$O$2:$O$1001,0),0)))</f>
        <v>0</v>
      </c>
      <c r="B444" s="4">
        <f>IF(OR(INDEX($P$2:$P$1001,MATCH(ROWS($O$2:O444),$O$2:$O$1001,0),1)&gt;=100000,INDEX($V$1005:$AE$1005,1,MATCH(COLUMNS($V$1006:V1006),$V$1006:$AE$1006,0))&gt;=100000), " ",IF(INDEX($V$2:$AE$1001,MATCH(ROWS($O$2:O444),$O$2:$O$1001,0),MATCH(COLUMNS($V$1006:V1006),$V$1006:$AE$1006,0)), HYPERLINK("#",""), HYPERLINK(CONCATENATE("#Metadata!", ADDRESS(INDEX($Q$2:$Q$1001,MATCH(ROWS($O$2:O444),$O$2:$O$1001,0),0), INDEX($V$1004:$AE$1004,1,MATCH(COLUMNS($V$1006:V1006),$V$1006:$AE$1006,0)))),"Fix")))</f>
        <v>0</v>
      </c>
      <c r="C444" s="4">
        <f>IF(OR(INDEX($P$2:$P$1001,MATCH(ROWS($O$2:O444),$O$2:$O$1001,0),1)&gt;=100000,INDEX($V$1005:$AE$1005,1,MATCH(COLUMNS($V$1006:W1006),$V$1006:$AE$1006,0))&gt;=100000), " ",IF(INDEX($V$2:$AE$1001,MATCH(ROWS($O$2:O444),$O$2:$O$1001,0),MATCH(COLUMNS($V$1006:W1006),$V$1006:$AE$1006,0)), HYPERLINK("#",""), HYPERLINK(CONCATENATE("#Metadata!", ADDRESS(INDEX($Q$2:$Q$1001,MATCH(ROWS($O$2:O444),$O$2:$O$1001,0),0), INDEX($V$1004:$AE$1004,1,MATCH(COLUMNS($V$1006:W1006),$V$1006:$AE$1006,0)))),"Fix")))</f>
        <v>0</v>
      </c>
      <c r="D444" s="4">
        <f>IF(OR(INDEX($P$2:$P$1001,MATCH(ROWS($O$2:O444),$O$2:$O$1001,0),1)&gt;=100000,INDEX($V$1005:$AE$1005,1,MATCH(COLUMNS($V$1006:X1006),$V$1006:$AE$1006,0))&gt;=100000), " ",IF(INDEX($V$2:$AE$1001,MATCH(ROWS($O$2:O444),$O$2:$O$1001,0),MATCH(COLUMNS($V$1006:X1006),$V$1006:$AE$1006,0)), HYPERLINK("#",""), HYPERLINK(CONCATENATE("#Metadata!", ADDRESS(INDEX($Q$2:$Q$1001,MATCH(ROWS($O$2:O444),$O$2:$O$1001,0),0), INDEX($V$1004:$AE$1004,1,MATCH(COLUMNS($V$1006:X1006),$V$1006:$AE$1006,0)))),"Fix")))</f>
        <v>0</v>
      </c>
      <c r="E444" s="4">
        <f>IF(OR(INDEX($P$2:$P$1001,MATCH(ROWS($O$2:O444),$O$2:$O$1001,0),1)&gt;=100000,INDEX($V$1005:$AE$1005,1,MATCH(COLUMNS($V$1006:Y1006),$V$1006:$AE$1006,0))&gt;=100000), " ",IF(INDEX($V$2:$AE$1001,MATCH(ROWS($O$2:O444),$O$2:$O$1001,0),MATCH(COLUMNS($V$1006:Y1006),$V$1006:$AE$1006,0)), HYPERLINK("#",""), HYPERLINK(CONCATENATE("#Metadata!", ADDRESS(INDEX($Q$2:$Q$1001,MATCH(ROWS($O$2:O444),$O$2:$O$1001,0),0), INDEX($V$1004:$AE$1004,1,MATCH(COLUMNS($V$1006:Y1006),$V$1006:$AE$1006,0)))),"Fix")))</f>
        <v>0</v>
      </c>
      <c r="F444" s="4">
        <f>IF(OR(INDEX($P$2:$P$1001,MATCH(ROWS($O$2:O444),$O$2:$O$1001,0),1)&gt;=100000,INDEX($V$1005:$AE$1005,1,MATCH(COLUMNS($V$1006:Z1006),$V$1006:$AE$1006,0))&gt;=100000), " ",IF(INDEX($V$2:$AE$1001,MATCH(ROWS($O$2:O444),$O$2:$O$1001,0),MATCH(COLUMNS($V$1006:Z1006),$V$1006:$AE$1006,0)), HYPERLINK("#",""), HYPERLINK(CONCATENATE("#Metadata!", ADDRESS(INDEX($Q$2:$Q$1001,MATCH(ROWS($O$2:O444),$O$2:$O$1001,0),0), INDEX($V$1004:$AE$1004,1,MATCH(COLUMNS($V$1006:Z1006),$V$1006:$AE$1006,0)))),"Fix")))</f>
        <v>0</v>
      </c>
      <c r="G444" s="4">
        <f>IF(OR(INDEX($P$2:$P$1001,MATCH(ROWS($O$2:O444),$O$2:$O$1001,0),1)&gt;=100000,INDEX($V$1005:$AE$1005,1,MATCH(COLUMNS($V$1006:AA1006),$V$1006:$AE$1006,0))&gt;=100000), " ",IF(INDEX($V$2:$AE$1001,MATCH(ROWS($O$2:O444),$O$2:$O$1001,0),MATCH(COLUMNS($V$1006:AA1006),$V$1006:$AE$1006,0)), HYPERLINK("#",""), HYPERLINK(CONCATENATE("#Metadata!", ADDRESS(INDEX($Q$2:$Q$1001,MATCH(ROWS($O$2:O444),$O$2:$O$1001,0),0), INDEX($V$1004:$AE$1004,1,MATCH(COLUMNS($V$1006:AA1006),$V$1006:$AE$1006,0)))),"Fix")))</f>
        <v>0</v>
      </c>
      <c r="H444" s="4">
        <f>IF(OR(INDEX($P$2:$P$1001,MATCH(ROWS($O$2:O444),$O$2:$O$1001,0),1)&gt;=100000,INDEX($V$1005:$AE$1005,1,MATCH(COLUMNS($V$1006:AB1006),$V$1006:$AE$1006,0))&gt;=100000), " ",IF(INDEX($V$2:$AE$1001,MATCH(ROWS($O$2:O444),$O$2:$O$1001,0),MATCH(COLUMNS($V$1006:AB1006),$V$1006:$AE$1006,0)), HYPERLINK("#",""), HYPERLINK(CONCATENATE("#Metadata!", ADDRESS(INDEX($Q$2:$Q$1001,MATCH(ROWS($O$2:O444),$O$2:$O$1001,0),0), INDEX($V$1004:$AE$1004,1,MATCH(COLUMNS($V$1006:AB1006),$V$1006:$AE$1006,0)))),"Fix")))</f>
        <v>0</v>
      </c>
      <c r="I444" s="4">
        <f>IF(OR(INDEX($P$2:$P$1001,MATCH(ROWS($O$2:O444),$O$2:$O$1001,0),1)&gt;=100000,INDEX($V$1005:$AE$1005,1,MATCH(COLUMNS($V$1006:AC1006),$V$1006:$AE$1006,0))&gt;=100000), " ",IF(INDEX($V$2:$AE$1001,MATCH(ROWS($O$2:O444),$O$2:$O$1001,0),MATCH(COLUMNS($V$1006:AC1006),$V$1006:$AE$1006,0)), HYPERLINK("#",""), HYPERLINK(CONCATENATE("#Metadata!", ADDRESS(INDEX($Q$2:$Q$1001,MATCH(ROWS($O$2:O444),$O$2:$O$1001,0),0), INDEX($V$1004:$AE$1004,1,MATCH(COLUMNS($V$1006:AC1006),$V$1006:$AE$1006,0)))),"Fix")))</f>
        <v>0</v>
      </c>
      <c r="J444" s="4">
        <f>IF(OR(INDEX($P$2:$P$1001,MATCH(ROWS($O$2:O444),$O$2:$O$1001,0),1)&gt;=100000,INDEX($V$1005:$AE$1005,1,MATCH(COLUMNS($V$1006:AD1006),$V$1006:$AE$1006,0))&gt;=100000), " ",IF(INDEX($V$2:$AE$1001,MATCH(ROWS($O$2:O444),$O$2:$O$1001,0),MATCH(COLUMNS($V$1006:AD1006),$V$1006:$AE$1006,0)), HYPERLINK("#",""), HYPERLINK(CONCATENATE("#Metadata!", ADDRESS(INDEX($Q$2:$Q$1001,MATCH(ROWS($O$2:O444),$O$2:$O$1001,0),0), INDEX($V$1004:$AE$1004,1,MATCH(COLUMNS($V$1006:AD1006),$V$1006:$AE$1006,0)))),"Fix")))</f>
        <v>0</v>
      </c>
      <c r="K444" s="4">
        <f>IF(OR(INDEX($P$2:$P$1001,MATCH(ROWS($O$2:O444),$O$2:$O$1001,0),1)&gt;=100000,INDEX($V$1005:$AE$1005,1,MATCH(COLUMNS($V$1006:AE1006),$V$1006:$AE$1006,0))&gt;=100000), " ",IF(INDEX($V$2:$AE$1001,MATCH(ROWS($O$2:O444),$O$2:$O$1001,0),MATCH(COLUMNS($V$1006:AE1006),$V$1006:$AE$1006,0)), HYPERLINK("#",""), HYPERLINK(CONCATENATE("#Metadata!", ADDRESS(INDEX($Q$2:$Q$1001,MATCH(ROWS($O$2:O444),$O$2:$O$1001,0),0), INDEX($V$1004:$AE$1004,1,MATCH(COLUMNS($V$1006:AE1006),$V$1006:$AE$1006,0)))),"Fix")))</f>
        <v>0</v>
      </c>
      <c r="O444">
        <v>0</v>
      </c>
      <c r="P444">
        <v>0</v>
      </c>
      <c r="Q444">
        <v>0</v>
      </c>
      <c r="R444">
        <f>IF(S444,TRUE,AND(V444:AE444))</f>
        <v>0</v>
      </c>
      <c r="S444">
        <f>COUNTBLANK(Metadata!B444:K444)=COLUMNS(Metadata!B444:K444)</f>
        <v>0</v>
      </c>
      <c r="T444">
        <v>0</v>
      </c>
      <c r="V444">
        <f>AND(IF(Metadata!B444="",FALSE,TRUE),COUNTIF(Metadata!B:B, Metadata!B444) = 1,NOT(ISERROR(SUMPRODUCT(SEARCH(MID(Metadata!B444,ROW(INDIRECT("1:"&amp;LEN(Metadata!B444))), 1),"0123456789abcdefghijklmnopqrstuvwxyzABCDEFGHIJKLMNOPQRSTUVWXYZ.")))))</f>
        <v>0</v>
      </c>
      <c r="W444">
        <f>AND(IF(Metadata!C444="",FALSE,TRUE),exact(Metadata!C444,"urban biome"))</f>
        <v>0</v>
      </c>
      <c r="X444">
        <f>AND(IF(Metadata!D444="",FALSE,TRUE),exact(Metadata!D444,"animal-associated habitat"))</f>
        <v>0</v>
      </c>
      <c r="Y444">
        <f>OR(AND(IF(Metadata!E444="",FALSE,TRUE),OR(exact(Metadata!E444,"not applicable"),exact(Metadata!E444,"missing: not collected"),exact(Metadata!E444,"missing: not provided"),exact(Metadata!E444,"missing: restricted access"))),AND(IF(Metadata!E444="",FALSE,ISNUMBER(VALUE(Metadata!E444))),Metadata!E444&gt;0))</f>
        <v>0</v>
      </c>
      <c r="Z444">
        <f>AND(IF(Metadata!F444="",FALSE,TRUE),exact(Metadata!F444,"weeks"))</f>
        <v>0</v>
      </c>
      <c r="AA444">
        <f>AND(IF(Metadata!G444="",FALSE,TRUE),exact(Metadata!G444,"mouse"))</f>
        <v>0</v>
      </c>
      <c r="AB444">
        <f>AND(IF(Metadata!H444="",FALSE,TRUE),exact(Metadata!H444,"Mus musculus"))</f>
        <v>0</v>
      </c>
      <c r="AC444">
        <f>AND(IF(Metadata!I444="",FALSE,TRUE),exact(Metadata!I444,"10090"))</f>
        <v>0</v>
      </c>
      <c r="AD444">
        <f>OR(AND(IF(Metadata!J444="",FALSE,TRUE),OR(exact(Metadata!J444,"not applicable"),exact(Metadata!J444,"missing: not collected"),exact(Metadata!J444,"missing: not provided"),exact(Metadata!J444,"missing: restricted access"))),AND(IF(Metadata!J444="",FALSE,ISNUMBER(VALUE(Metadata!J444))),Metadata!J444&gt;0))</f>
        <v>0</v>
      </c>
      <c r="AE444">
        <f>AND(IF(Metadata!K444="",FALSE,TRUE),exact(Metadata!K444,"g"))</f>
        <v>0</v>
      </c>
    </row>
    <row r="445" spans="1:31">
      <c r="A445" s="5">
        <f>IF(B445=" "," ",HYPERLINK(CONCATENATE("#metadata!",ADDRESS(INDEX($Q$2:$Q$1001,MATCH(ROWS($O$2:O445),$O$2:$O$1001,0),0),1)),INDEX($T$2:$T$1001,MATCH(ROWS($O$2:O445),$O$2:$O$1001,0),0)))</f>
        <v>0</v>
      </c>
      <c r="B445" s="4">
        <f>IF(OR(INDEX($P$2:$P$1001,MATCH(ROWS($O$2:O445),$O$2:$O$1001,0),1)&gt;=100000,INDEX($V$1005:$AE$1005,1,MATCH(COLUMNS($V$1006:V1006),$V$1006:$AE$1006,0))&gt;=100000), " ",IF(INDEX($V$2:$AE$1001,MATCH(ROWS($O$2:O445),$O$2:$O$1001,0),MATCH(COLUMNS($V$1006:V1006),$V$1006:$AE$1006,0)), HYPERLINK("#",""), HYPERLINK(CONCATENATE("#Metadata!", ADDRESS(INDEX($Q$2:$Q$1001,MATCH(ROWS($O$2:O445),$O$2:$O$1001,0),0), INDEX($V$1004:$AE$1004,1,MATCH(COLUMNS($V$1006:V1006),$V$1006:$AE$1006,0)))),"Fix")))</f>
        <v>0</v>
      </c>
      <c r="C445" s="4">
        <f>IF(OR(INDEX($P$2:$P$1001,MATCH(ROWS($O$2:O445),$O$2:$O$1001,0),1)&gt;=100000,INDEX($V$1005:$AE$1005,1,MATCH(COLUMNS($V$1006:W1006),$V$1006:$AE$1006,0))&gt;=100000), " ",IF(INDEX($V$2:$AE$1001,MATCH(ROWS($O$2:O445),$O$2:$O$1001,0),MATCH(COLUMNS($V$1006:W1006),$V$1006:$AE$1006,0)), HYPERLINK("#",""), HYPERLINK(CONCATENATE("#Metadata!", ADDRESS(INDEX($Q$2:$Q$1001,MATCH(ROWS($O$2:O445),$O$2:$O$1001,0),0), INDEX($V$1004:$AE$1004,1,MATCH(COLUMNS($V$1006:W1006),$V$1006:$AE$1006,0)))),"Fix")))</f>
        <v>0</v>
      </c>
      <c r="D445" s="4">
        <f>IF(OR(INDEX($P$2:$P$1001,MATCH(ROWS($O$2:O445),$O$2:$O$1001,0),1)&gt;=100000,INDEX($V$1005:$AE$1005,1,MATCH(COLUMNS($V$1006:X1006),$V$1006:$AE$1006,0))&gt;=100000), " ",IF(INDEX($V$2:$AE$1001,MATCH(ROWS($O$2:O445),$O$2:$O$1001,0),MATCH(COLUMNS($V$1006:X1006),$V$1006:$AE$1006,0)), HYPERLINK("#",""), HYPERLINK(CONCATENATE("#Metadata!", ADDRESS(INDEX($Q$2:$Q$1001,MATCH(ROWS($O$2:O445),$O$2:$O$1001,0),0), INDEX($V$1004:$AE$1004,1,MATCH(COLUMNS($V$1006:X1006),$V$1006:$AE$1006,0)))),"Fix")))</f>
        <v>0</v>
      </c>
      <c r="E445" s="4">
        <f>IF(OR(INDEX($P$2:$P$1001,MATCH(ROWS($O$2:O445),$O$2:$O$1001,0),1)&gt;=100000,INDEX($V$1005:$AE$1005,1,MATCH(COLUMNS($V$1006:Y1006),$V$1006:$AE$1006,0))&gt;=100000), " ",IF(INDEX($V$2:$AE$1001,MATCH(ROWS($O$2:O445),$O$2:$O$1001,0),MATCH(COLUMNS($V$1006:Y1006),$V$1006:$AE$1006,0)), HYPERLINK("#",""), HYPERLINK(CONCATENATE("#Metadata!", ADDRESS(INDEX($Q$2:$Q$1001,MATCH(ROWS($O$2:O445),$O$2:$O$1001,0),0), INDEX($V$1004:$AE$1004,1,MATCH(COLUMNS($V$1006:Y1006),$V$1006:$AE$1006,0)))),"Fix")))</f>
        <v>0</v>
      </c>
      <c r="F445" s="4">
        <f>IF(OR(INDEX($P$2:$P$1001,MATCH(ROWS($O$2:O445),$O$2:$O$1001,0),1)&gt;=100000,INDEX($V$1005:$AE$1005,1,MATCH(COLUMNS($V$1006:Z1006),$V$1006:$AE$1006,0))&gt;=100000), " ",IF(INDEX($V$2:$AE$1001,MATCH(ROWS($O$2:O445),$O$2:$O$1001,0),MATCH(COLUMNS($V$1006:Z1006),$V$1006:$AE$1006,0)), HYPERLINK("#",""), HYPERLINK(CONCATENATE("#Metadata!", ADDRESS(INDEX($Q$2:$Q$1001,MATCH(ROWS($O$2:O445),$O$2:$O$1001,0),0), INDEX($V$1004:$AE$1004,1,MATCH(COLUMNS($V$1006:Z1006),$V$1006:$AE$1006,0)))),"Fix")))</f>
        <v>0</v>
      </c>
      <c r="G445" s="4">
        <f>IF(OR(INDEX($P$2:$P$1001,MATCH(ROWS($O$2:O445),$O$2:$O$1001,0),1)&gt;=100000,INDEX($V$1005:$AE$1005,1,MATCH(COLUMNS($V$1006:AA1006),$V$1006:$AE$1006,0))&gt;=100000), " ",IF(INDEX($V$2:$AE$1001,MATCH(ROWS($O$2:O445),$O$2:$O$1001,0),MATCH(COLUMNS($V$1006:AA1006),$V$1006:$AE$1006,0)), HYPERLINK("#",""), HYPERLINK(CONCATENATE("#Metadata!", ADDRESS(INDEX($Q$2:$Q$1001,MATCH(ROWS($O$2:O445),$O$2:$O$1001,0),0), INDEX($V$1004:$AE$1004,1,MATCH(COLUMNS($V$1006:AA1006),$V$1006:$AE$1006,0)))),"Fix")))</f>
        <v>0</v>
      </c>
      <c r="H445" s="4">
        <f>IF(OR(INDEX($P$2:$P$1001,MATCH(ROWS($O$2:O445),$O$2:$O$1001,0),1)&gt;=100000,INDEX($V$1005:$AE$1005,1,MATCH(COLUMNS($V$1006:AB1006),$V$1006:$AE$1006,0))&gt;=100000), " ",IF(INDEX($V$2:$AE$1001,MATCH(ROWS($O$2:O445),$O$2:$O$1001,0),MATCH(COLUMNS($V$1006:AB1006),$V$1006:$AE$1006,0)), HYPERLINK("#",""), HYPERLINK(CONCATENATE("#Metadata!", ADDRESS(INDEX($Q$2:$Q$1001,MATCH(ROWS($O$2:O445),$O$2:$O$1001,0),0), INDEX($V$1004:$AE$1004,1,MATCH(COLUMNS($V$1006:AB1006),$V$1006:$AE$1006,0)))),"Fix")))</f>
        <v>0</v>
      </c>
      <c r="I445" s="4">
        <f>IF(OR(INDEX($P$2:$P$1001,MATCH(ROWS($O$2:O445),$O$2:$O$1001,0),1)&gt;=100000,INDEX($V$1005:$AE$1005,1,MATCH(COLUMNS($V$1006:AC1006),$V$1006:$AE$1006,0))&gt;=100000), " ",IF(INDEX($V$2:$AE$1001,MATCH(ROWS($O$2:O445),$O$2:$O$1001,0),MATCH(COLUMNS($V$1006:AC1006),$V$1006:$AE$1006,0)), HYPERLINK("#",""), HYPERLINK(CONCATENATE("#Metadata!", ADDRESS(INDEX($Q$2:$Q$1001,MATCH(ROWS($O$2:O445),$O$2:$O$1001,0),0), INDEX($V$1004:$AE$1004,1,MATCH(COLUMNS($V$1006:AC1006),$V$1006:$AE$1006,0)))),"Fix")))</f>
        <v>0</v>
      </c>
      <c r="J445" s="4">
        <f>IF(OR(INDEX($P$2:$P$1001,MATCH(ROWS($O$2:O445),$O$2:$O$1001,0),1)&gt;=100000,INDEX($V$1005:$AE$1005,1,MATCH(COLUMNS($V$1006:AD1006),$V$1006:$AE$1006,0))&gt;=100000), " ",IF(INDEX($V$2:$AE$1001,MATCH(ROWS($O$2:O445),$O$2:$O$1001,0),MATCH(COLUMNS($V$1006:AD1006),$V$1006:$AE$1006,0)), HYPERLINK("#",""), HYPERLINK(CONCATENATE("#Metadata!", ADDRESS(INDEX($Q$2:$Q$1001,MATCH(ROWS($O$2:O445),$O$2:$O$1001,0),0), INDEX($V$1004:$AE$1004,1,MATCH(COLUMNS($V$1006:AD1006),$V$1006:$AE$1006,0)))),"Fix")))</f>
        <v>0</v>
      </c>
      <c r="K445" s="4">
        <f>IF(OR(INDEX($P$2:$P$1001,MATCH(ROWS($O$2:O445),$O$2:$O$1001,0),1)&gt;=100000,INDEX($V$1005:$AE$1005,1,MATCH(COLUMNS($V$1006:AE1006),$V$1006:$AE$1006,0))&gt;=100000), " ",IF(INDEX($V$2:$AE$1001,MATCH(ROWS($O$2:O445),$O$2:$O$1001,0),MATCH(COLUMNS($V$1006:AE1006),$V$1006:$AE$1006,0)), HYPERLINK("#",""), HYPERLINK(CONCATENATE("#Metadata!", ADDRESS(INDEX($Q$2:$Q$1001,MATCH(ROWS($O$2:O445),$O$2:$O$1001,0),0), INDEX($V$1004:$AE$1004,1,MATCH(COLUMNS($V$1006:AE1006),$V$1006:$AE$1006,0)))),"Fix")))</f>
        <v>0</v>
      </c>
      <c r="O445">
        <v>0</v>
      </c>
      <c r="P445">
        <v>0</v>
      </c>
      <c r="Q445">
        <v>0</v>
      </c>
      <c r="R445">
        <f>IF(S445,TRUE,AND(V445:AE445))</f>
        <v>0</v>
      </c>
      <c r="S445">
        <f>COUNTBLANK(Metadata!B445:K445)=COLUMNS(Metadata!B445:K445)</f>
        <v>0</v>
      </c>
      <c r="T445">
        <v>0</v>
      </c>
      <c r="V445">
        <f>AND(IF(Metadata!B445="",FALSE,TRUE),COUNTIF(Metadata!B:B, Metadata!B445) = 1,NOT(ISERROR(SUMPRODUCT(SEARCH(MID(Metadata!B445,ROW(INDIRECT("1:"&amp;LEN(Metadata!B445))), 1),"0123456789abcdefghijklmnopqrstuvwxyzABCDEFGHIJKLMNOPQRSTUVWXYZ.")))))</f>
        <v>0</v>
      </c>
      <c r="W445">
        <f>AND(IF(Metadata!C445="",FALSE,TRUE),exact(Metadata!C445,"urban biome"))</f>
        <v>0</v>
      </c>
      <c r="X445">
        <f>AND(IF(Metadata!D445="",FALSE,TRUE),exact(Metadata!D445,"animal-associated habitat"))</f>
        <v>0</v>
      </c>
      <c r="Y445">
        <f>OR(AND(IF(Metadata!E445="",FALSE,TRUE),OR(exact(Metadata!E445,"not applicable"),exact(Metadata!E445,"missing: not collected"),exact(Metadata!E445,"missing: not provided"),exact(Metadata!E445,"missing: restricted access"))),AND(IF(Metadata!E445="",FALSE,ISNUMBER(VALUE(Metadata!E445))),Metadata!E445&gt;0))</f>
        <v>0</v>
      </c>
      <c r="Z445">
        <f>AND(IF(Metadata!F445="",FALSE,TRUE),exact(Metadata!F445,"weeks"))</f>
        <v>0</v>
      </c>
      <c r="AA445">
        <f>AND(IF(Metadata!G445="",FALSE,TRUE),exact(Metadata!G445,"mouse"))</f>
        <v>0</v>
      </c>
      <c r="AB445">
        <f>AND(IF(Metadata!H445="",FALSE,TRUE),exact(Metadata!H445,"Mus musculus"))</f>
        <v>0</v>
      </c>
      <c r="AC445">
        <f>AND(IF(Metadata!I445="",FALSE,TRUE),exact(Metadata!I445,"10090"))</f>
        <v>0</v>
      </c>
      <c r="AD445">
        <f>OR(AND(IF(Metadata!J445="",FALSE,TRUE),OR(exact(Metadata!J445,"not applicable"),exact(Metadata!J445,"missing: not collected"),exact(Metadata!J445,"missing: not provided"),exact(Metadata!J445,"missing: restricted access"))),AND(IF(Metadata!J445="",FALSE,ISNUMBER(VALUE(Metadata!J445))),Metadata!J445&gt;0))</f>
        <v>0</v>
      </c>
      <c r="AE445">
        <f>AND(IF(Metadata!K445="",FALSE,TRUE),exact(Metadata!K445,"g"))</f>
        <v>0</v>
      </c>
    </row>
    <row r="446" spans="1:31">
      <c r="A446" s="5">
        <f>IF(B446=" "," ",HYPERLINK(CONCATENATE("#metadata!",ADDRESS(INDEX($Q$2:$Q$1001,MATCH(ROWS($O$2:O446),$O$2:$O$1001,0),0),1)),INDEX($T$2:$T$1001,MATCH(ROWS($O$2:O446),$O$2:$O$1001,0),0)))</f>
        <v>0</v>
      </c>
      <c r="B446" s="4">
        <f>IF(OR(INDEX($P$2:$P$1001,MATCH(ROWS($O$2:O446),$O$2:$O$1001,0),1)&gt;=100000,INDEX($V$1005:$AE$1005,1,MATCH(COLUMNS($V$1006:V1006),$V$1006:$AE$1006,0))&gt;=100000), " ",IF(INDEX($V$2:$AE$1001,MATCH(ROWS($O$2:O446),$O$2:$O$1001,0),MATCH(COLUMNS($V$1006:V1006),$V$1006:$AE$1006,0)), HYPERLINK("#",""), HYPERLINK(CONCATENATE("#Metadata!", ADDRESS(INDEX($Q$2:$Q$1001,MATCH(ROWS($O$2:O446),$O$2:$O$1001,0),0), INDEX($V$1004:$AE$1004,1,MATCH(COLUMNS($V$1006:V1006),$V$1006:$AE$1006,0)))),"Fix")))</f>
        <v>0</v>
      </c>
      <c r="C446" s="4">
        <f>IF(OR(INDEX($P$2:$P$1001,MATCH(ROWS($O$2:O446),$O$2:$O$1001,0),1)&gt;=100000,INDEX($V$1005:$AE$1005,1,MATCH(COLUMNS($V$1006:W1006),$V$1006:$AE$1006,0))&gt;=100000), " ",IF(INDEX($V$2:$AE$1001,MATCH(ROWS($O$2:O446),$O$2:$O$1001,0),MATCH(COLUMNS($V$1006:W1006),$V$1006:$AE$1006,0)), HYPERLINK("#",""), HYPERLINK(CONCATENATE("#Metadata!", ADDRESS(INDEX($Q$2:$Q$1001,MATCH(ROWS($O$2:O446),$O$2:$O$1001,0),0), INDEX($V$1004:$AE$1004,1,MATCH(COLUMNS($V$1006:W1006),$V$1006:$AE$1006,0)))),"Fix")))</f>
        <v>0</v>
      </c>
      <c r="D446" s="4">
        <f>IF(OR(INDEX($P$2:$P$1001,MATCH(ROWS($O$2:O446),$O$2:$O$1001,0),1)&gt;=100000,INDEX($V$1005:$AE$1005,1,MATCH(COLUMNS($V$1006:X1006),$V$1006:$AE$1006,0))&gt;=100000), " ",IF(INDEX($V$2:$AE$1001,MATCH(ROWS($O$2:O446),$O$2:$O$1001,0),MATCH(COLUMNS($V$1006:X1006),$V$1006:$AE$1006,0)), HYPERLINK("#",""), HYPERLINK(CONCATENATE("#Metadata!", ADDRESS(INDEX($Q$2:$Q$1001,MATCH(ROWS($O$2:O446),$O$2:$O$1001,0),0), INDEX($V$1004:$AE$1004,1,MATCH(COLUMNS($V$1006:X1006),$V$1006:$AE$1006,0)))),"Fix")))</f>
        <v>0</v>
      </c>
      <c r="E446" s="4">
        <f>IF(OR(INDEX($P$2:$P$1001,MATCH(ROWS($O$2:O446),$O$2:$O$1001,0),1)&gt;=100000,INDEX($V$1005:$AE$1005,1,MATCH(COLUMNS($V$1006:Y1006),$V$1006:$AE$1006,0))&gt;=100000), " ",IF(INDEX($V$2:$AE$1001,MATCH(ROWS($O$2:O446),$O$2:$O$1001,0),MATCH(COLUMNS($V$1006:Y1006),$V$1006:$AE$1006,0)), HYPERLINK("#",""), HYPERLINK(CONCATENATE("#Metadata!", ADDRESS(INDEX($Q$2:$Q$1001,MATCH(ROWS($O$2:O446),$O$2:$O$1001,0),0), INDEX($V$1004:$AE$1004,1,MATCH(COLUMNS($V$1006:Y1006),$V$1006:$AE$1006,0)))),"Fix")))</f>
        <v>0</v>
      </c>
      <c r="F446" s="4">
        <f>IF(OR(INDEX($P$2:$P$1001,MATCH(ROWS($O$2:O446),$O$2:$O$1001,0),1)&gt;=100000,INDEX($V$1005:$AE$1005,1,MATCH(COLUMNS($V$1006:Z1006),$V$1006:$AE$1006,0))&gt;=100000), " ",IF(INDEX($V$2:$AE$1001,MATCH(ROWS($O$2:O446),$O$2:$O$1001,0),MATCH(COLUMNS($V$1006:Z1006),$V$1006:$AE$1006,0)), HYPERLINK("#",""), HYPERLINK(CONCATENATE("#Metadata!", ADDRESS(INDEX($Q$2:$Q$1001,MATCH(ROWS($O$2:O446),$O$2:$O$1001,0),0), INDEX($V$1004:$AE$1004,1,MATCH(COLUMNS($V$1006:Z1006),$V$1006:$AE$1006,0)))),"Fix")))</f>
        <v>0</v>
      </c>
      <c r="G446" s="4">
        <f>IF(OR(INDEX($P$2:$P$1001,MATCH(ROWS($O$2:O446),$O$2:$O$1001,0),1)&gt;=100000,INDEX($V$1005:$AE$1005,1,MATCH(COLUMNS($V$1006:AA1006),$V$1006:$AE$1006,0))&gt;=100000), " ",IF(INDEX($V$2:$AE$1001,MATCH(ROWS($O$2:O446),$O$2:$O$1001,0),MATCH(COLUMNS($V$1006:AA1006),$V$1006:$AE$1006,0)), HYPERLINK("#",""), HYPERLINK(CONCATENATE("#Metadata!", ADDRESS(INDEX($Q$2:$Q$1001,MATCH(ROWS($O$2:O446),$O$2:$O$1001,0),0), INDEX($V$1004:$AE$1004,1,MATCH(COLUMNS($V$1006:AA1006),$V$1006:$AE$1006,0)))),"Fix")))</f>
        <v>0</v>
      </c>
      <c r="H446" s="4">
        <f>IF(OR(INDEX($P$2:$P$1001,MATCH(ROWS($O$2:O446),$O$2:$O$1001,0),1)&gt;=100000,INDEX($V$1005:$AE$1005,1,MATCH(COLUMNS($V$1006:AB1006),$V$1006:$AE$1006,0))&gt;=100000), " ",IF(INDEX($V$2:$AE$1001,MATCH(ROWS($O$2:O446),$O$2:$O$1001,0),MATCH(COLUMNS($V$1006:AB1006),$V$1006:$AE$1006,0)), HYPERLINK("#",""), HYPERLINK(CONCATENATE("#Metadata!", ADDRESS(INDEX($Q$2:$Q$1001,MATCH(ROWS($O$2:O446),$O$2:$O$1001,0),0), INDEX($V$1004:$AE$1004,1,MATCH(COLUMNS($V$1006:AB1006),$V$1006:$AE$1006,0)))),"Fix")))</f>
        <v>0</v>
      </c>
      <c r="I446" s="4">
        <f>IF(OR(INDEX($P$2:$P$1001,MATCH(ROWS($O$2:O446),$O$2:$O$1001,0),1)&gt;=100000,INDEX($V$1005:$AE$1005,1,MATCH(COLUMNS($V$1006:AC1006),$V$1006:$AE$1006,0))&gt;=100000), " ",IF(INDEX($V$2:$AE$1001,MATCH(ROWS($O$2:O446),$O$2:$O$1001,0),MATCH(COLUMNS($V$1006:AC1006),$V$1006:$AE$1006,0)), HYPERLINK("#",""), HYPERLINK(CONCATENATE("#Metadata!", ADDRESS(INDEX($Q$2:$Q$1001,MATCH(ROWS($O$2:O446),$O$2:$O$1001,0),0), INDEX($V$1004:$AE$1004,1,MATCH(COLUMNS($V$1006:AC1006),$V$1006:$AE$1006,0)))),"Fix")))</f>
        <v>0</v>
      </c>
      <c r="J446" s="4">
        <f>IF(OR(INDEX($P$2:$P$1001,MATCH(ROWS($O$2:O446),$O$2:$O$1001,0),1)&gt;=100000,INDEX($V$1005:$AE$1005,1,MATCH(COLUMNS($V$1006:AD1006),$V$1006:$AE$1006,0))&gt;=100000), " ",IF(INDEX($V$2:$AE$1001,MATCH(ROWS($O$2:O446),$O$2:$O$1001,0),MATCH(COLUMNS($V$1006:AD1006),$V$1006:$AE$1006,0)), HYPERLINK("#",""), HYPERLINK(CONCATENATE("#Metadata!", ADDRESS(INDEX($Q$2:$Q$1001,MATCH(ROWS($O$2:O446),$O$2:$O$1001,0),0), INDEX($V$1004:$AE$1004,1,MATCH(COLUMNS($V$1006:AD1006),$V$1006:$AE$1006,0)))),"Fix")))</f>
        <v>0</v>
      </c>
      <c r="K446" s="4">
        <f>IF(OR(INDEX($P$2:$P$1001,MATCH(ROWS($O$2:O446),$O$2:$O$1001,0),1)&gt;=100000,INDEX($V$1005:$AE$1005,1,MATCH(COLUMNS($V$1006:AE1006),$V$1006:$AE$1006,0))&gt;=100000), " ",IF(INDEX($V$2:$AE$1001,MATCH(ROWS($O$2:O446),$O$2:$O$1001,0),MATCH(COLUMNS($V$1006:AE1006),$V$1006:$AE$1006,0)), HYPERLINK("#",""), HYPERLINK(CONCATENATE("#Metadata!", ADDRESS(INDEX($Q$2:$Q$1001,MATCH(ROWS($O$2:O446),$O$2:$O$1001,0),0), INDEX($V$1004:$AE$1004,1,MATCH(COLUMNS($V$1006:AE1006),$V$1006:$AE$1006,0)))),"Fix")))</f>
        <v>0</v>
      </c>
      <c r="O446">
        <v>0</v>
      </c>
      <c r="P446">
        <v>0</v>
      </c>
      <c r="Q446">
        <v>0</v>
      </c>
      <c r="R446">
        <f>IF(S446,TRUE,AND(V446:AE446))</f>
        <v>0</v>
      </c>
      <c r="S446">
        <f>COUNTBLANK(Metadata!B446:K446)=COLUMNS(Metadata!B446:K446)</f>
        <v>0</v>
      </c>
      <c r="T446">
        <v>0</v>
      </c>
      <c r="V446">
        <f>AND(IF(Metadata!B446="",FALSE,TRUE),COUNTIF(Metadata!B:B, Metadata!B446) = 1,NOT(ISERROR(SUMPRODUCT(SEARCH(MID(Metadata!B446,ROW(INDIRECT("1:"&amp;LEN(Metadata!B446))), 1),"0123456789abcdefghijklmnopqrstuvwxyzABCDEFGHIJKLMNOPQRSTUVWXYZ.")))))</f>
        <v>0</v>
      </c>
      <c r="W446">
        <f>AND(IF(Metadata!C446="",FALSE,TRUE),exact(Metadata!C446,"urban biome"))</f>
        <v>0</v>
      </c>
      <c r="X446">
        <f>AND(IF(Metadata!D446="",FALSE,TRUE),exact(Metadata!D446,"animal-associated habitat"))</f>
        <v>0</v>
      </c>
      <c r="Y446">
        <f>OR(AND(IF(Metadata!E446="",FALSE,TRUE),OR(exact(Metadata!E446,"not applicable"),exact(Metadata!E446,"missing: not collected"),exact(Metadata!E446,"missing: not provided"),exact(Metadata!E446,"missing: restricted access"))),AND(IF(Metadata!E446="",FALSE,ISNUMBER(VALUE(Metadata!E446))),Metadata!E446&gt;0))</f>
        <v>0</v>
      </c>
      <c r="Z446">
        <f>AND(IF(Metadata!F446="",FALSE,TRUE),exact(Metadata!F446,"weeks"))</f>
        <v>0</v>
      </c>
      <c r="AA446">
        <f>AND(IF(Metadata!G446="",FALSE,TRUE),exact(Metadata!G446,"mouse"))</f>
        <v>0</v>
      </c>
      <c r="AB446">
        <f>AND(IF(Metadata!H446="",FALSE,TRUE),exact(Metadata!H446,"Mus musculus"))</f>
        <v>0</v>
      </c>
      <c r="AC446">
        <f>AND(IF(Metadata!I446="",FALSE,TRUE),exact(Metadata!I446,"10090"))</f>
        <v>0</v>
      </c>
      <c r="AD446">
        <f>OR(AND(IF(Metadata!J446="",FALSE,TRUE),OR(exact(Metadata!J446,"not applicable"),exact(Metadata!J446,"missing: not collected"),exact(Metadata!J446,"missing: not provided"),exact(Metadata!J446,"missing: restricted access"))),AND(IF(Metadata!J446="",FALSE,ISNUMBER(VALUE(Metadata!J446))),Metadata!J446&gt;0))</f>
        <v>0</v>
      </c>
      <c r="AE446">
        <f>AND(IF(Metadata!K446="",FALSE,TRUE),exact(Metadata!K446,"g"))</f>
        <v>0</v>
      </c>
    </row>
    <row r="447" spans="1:31">
      <c r="A447" s="5">
        <f>IF(B447=" "," ",HYPERLINK(CONCATENATE("#metadata!",ADDRESS(INDEX($Q$2:$Q$1001,MATCH(ROWS($O$2:O447),$O$2:$O$1001,0),0),1)),INDEX($T$2:$T$1001,MATCH(ROWS($O$2:O447),$O$2:$O$1001,0),0)))</f>
        <v>0</v>
      </c>
      <c r="B447" s="4">
        <f>IF(OR(INDEX($P$2:$P$1001,MATCH(ROWS($O$2:O447),$O$2:$O$1001,0),1)&gt;=100000,INDEX($V$1005:$AE$1005,1,MATCH(COLUMNS($V$1006:V1006),$V$1006:$AE$1006,0))&gt;=100000), " ",IF(INDEX($V$2:$AE$1001,MATCH(ROWS($O$2:O447),$O$2:$O$1001,0),MATCH(COLUMNS($V$1006:V1006),$V$1006:$AE$1006,0)), HYPERLINK("#",""), HYPERLINK(CONCATENATE("#Metadata!", ADDRESS(INDEX($Q$2:$Q$1001,MATCH(ROWS($O$2:O447),$O$2:$O$1001,0),0), INDEX($V$1004:$AE$1004,1,MATCH(COLUMNS($V$1006:V1006),$V$1006:$AE$1006,0)))),"Fix")))</f>
        <v>0</v>
      </c>
      <c r="C447" s="4">
        <f>IF(OR(INDEX($P$2:$P$1001,MATCH(ROWS($O$2:O447),$O$2:$O$1001,0),1)&gt;=100000,INDEX($V$1005:$AE$1005,1,MATCH(COLUMNS($V$1006:W1006),$V$1006:$AE$1006,0))&gt;=100000), " ",IF(INDEX($V$2:$AE$1001,MATCH(ROWS($O$2:O447),$O$2:$O$1001,0),MATCH(COLUMNS($V$1006:W1006),$V$1006:$AE$1006,0)), HYPERLINK("#",""), HYPERLINK(CONCATENATE("#Metadata!", ADDRESS(INDEX($Q$2:$Q$1001,MATCH(ROWS($O$2:O447),$O$2:$O$1001,0),0), INDEX($V$1004:$AE$1004,1,MATCH(COLUMNS($V$1006:W1006),$V$1006:$AE$1006,0)))),"Fix")))</f>
        <v>0</v>
      </c>
      <c r="D447" s="4">
        <f>IF(OR(INDEX($P$2:$P$1001,MATCH(ROWS($O$2:O447),$O$2:$O$1001,0),1)&gt;=100000,INDEX($V$1005:$AE$1005,1,MATCH(COLUMNS($V$1006:X1006),$V$1006:$AE$1006,0))&gt;=100000), " ",IF(INDEX($V$2:$AE$1001,MATCH(ROWS($O$2:O447),$O$2:$O$1001,0),MATCH(COLUMNS($V$1006:X1006),$V$1006:$AE$1006,0)), HYPERLINK("#",""), HYPERLINK(CONCATENATE("#Metadata!", ADDRESS(INDEX($Q$2:$Q$1001,MATCH(ROWS($O$2:O447),$O$2:$O$1001,0),0), INDEX($V$1004:$AE$1004,1,MATCH(COLUMNS($V$1006:X1006),$V$1006:$AE$1006,0)))),"Fix")))</f>
        <v>0</v>
      </c>
      <c r="E447" s="4">
        <f>IF(OR(INDEX($P$2:$P$1001,MATCH(ROWS($O$2:O447),$O$2:$O$1001,0),1)&gt;=100000,INDEX($V$1005:$AE$1005,1,MATCH(COLUMNS($V$1006:Y1006),$V$1006:$AE$1006,0))&gt;=100000), " ",IF(INDEX($V$2:$AE$1001,MATCH(ROWS($O$2:O447),$O$2:$O$1001,0),MATCH(COLUMNS($V$1006:Y1006),$V$1006:$AE$1006,0)), HYPERLINK("#",""), HYPERLINK(CONCATENATE("#Metadata!", ADDRESS(INDEX($Q$2:$Q$1001,MATCH(ROWS($O$2:O447),$O$2:$O$1001,0),0), INDEX($V$1004:$AE$1004,1,MATCH(COLUMNS($V$1006:Y1006),$V$1006:$AE$1006,0)))),"Fix")))</f>
        <v>0</v>
      </c>
      <c r="F447" s="4">
        <f>IF(OR(INDEX($P$2:$P$1001,MATCH(ROWS($O$2:O447),$O$2:$O$1001,0),1)&gt;=100000,INDEX($V$1005:$AE$1005,1,MATCH(COLUMNS($V$1006:Z1006),$V$1006:$AE$1006,0))&gt;=100000), " ",IF(INDEX($V$2:$AE$1001,MATCH(ROWS($O$2:O447),$O$2:$O$1001,0),MATCH(COLUMNS($V$1006:Z1006),$V$1006:$AE$1006,0)), HYPERLINK("#",""), HYPERLINK(CONCATENATE("#Metadata!", ADDRESS(INDEX($Q$2:$Q$1001,MATCH(ROWS($O$2:O447),$O$2:$O$1001,0),0), INDEX($V$1004:$AE$1004,1,MATCH(COLUMNS($V$1006:Z1006),$V$1006:$AE$1006,0)))),"Fix")))</f>
        <v>0</v>
      </c>
      <c r="G447" s="4">
        <f>IF(OR(INDEX($P$2:$P$1001,MATCH(ROWS($O$2:O447),$O$2:$O$1001,0),1)&gt;=100000,INDEX($V$1005:$AE$1005,1,MATCH(COLUMNS($V$1006:AA1006),$V$1006:$AE$1006,0))&gt;=100000), " ",IF(INDEX($V$2:$AE$1001,MATCH(ROWS($O$2:O447),$O$2:$O$1001,0),MATCH(COLUMNS($V$1006:AA1006),$V$1006:$AE$1006,0)), HYPERLINK("#",""), HYPERLINK(CONCATENATE("#Metadata!", ADDRESS(INDEX($Q$2:$Q$1001,MATCH(ROWS($O$2:O447),$O$2:$O$1001,0),0), INDEX($V$1004:$AE$1004,1,MATCH(COLUMNS($V$1006:AA1006),$V$1006:$AE$1006,0)))),"Fix")))</f>
        <v>0</v>
      </c>
      <c r="H447" s="4">
        <f>IF(OR(INDEX($P$2:$P$1001,MATCH(ROWS($O$2:O447),$O$2:$O$1001,0),1)&gt;=100000,INDEX($V$1005:$AE$1005,1,MATCH(COLUMNS($V$1006:AB1006),$V$1006:$AE$1006,0))&gt;=100000), " ",IF(INDEX($V$2:$AE$1001,MATCH(ROWS($O$2:O447),$O$2:$O$1001,0),MATCH(COLUMNS($V$1006:AB1006),$V$1006:$AE$1006,0)), HYPERLINK("#",""), HYPERLINK(CONCATENATE("#Metadata!", ADDRESS(INDEX($Q$2:$Q$1001,MATCH(ROWS($O$2:O447),$O$2:$O$1001,0),0), INDEX($V$1004:$AE$1004,1,MATCH(COLUMNS($V$1006:AB1006),$V$1006:$AE$1006,0)))),"Fix")))</f>
        <v>0</v>
      </c>
      <c r="I447" s="4">
        <f>IF(OR(INDEX($P$2:$P$1001,MATCH(ROWS($O$2:O447),$O$2:$O$1001,0),1)&gt;=100000,INDEX($V$1005:$AE$1005,1,MATCH(COLUMNS($V$1006:AC1006),$V$1006:$AE$1006,0))&gt;=100000), " ",IF(INDEX($V$2:$AE$1001,MATCH(ROWS($O$2:O447),$O$2:$O$1001,0),MATCH(COLUMNS($V$1006:AC1006),$V$1006:$AE$1006,0)), HYPERLINK("#",""), HYPERLINK(CONCATENATE("#Metadata!", ADDRESS(INDEX($Q$2:$Q$1001,MATCH(ROWS($O$2:O447),$O$2:$O$1001,0),0), INDEX($V$1004:$AE$1004,1,MATCH(COLUMNS($V$1006:AC1006),$V$1006:$AE$1006,0)))),"Fix")))</f>
        <v>0</v>
      </c>
      <c r="J447" s="4">
        <f>IF(OR(INDEX($P$2:$P$1001,MATCH(ROWS($O$2:O447),$O$2:$O$1001,0),1)&gt;=100000,INDEX($V$1005:$AE$1005,1,MATCH(COLUMNS($V$1006:AD1006),$V$1006:$AE$1006,0))&gt;=100000), " ",IF(INDEX($V$2:$AE$1001,MATCH(ROWS($O$2:O447),$O$2:$O$1001,0),MATCH(COLUMNS($V$1006:AD1006),$V$1006:$AE$1006,0)), HYPERLINK("#",""), HYPERLINK(CONCATENATE("#Metadata!", ADDRESS(INDEX($Q$2:$Q$1001,MATCH(ROWS($O$2:O447),$O$2:$O$1001,0),0), INDEX($V$1004:$AE$1004,1,MATCH(COLUMNS($V$1006:AD1006),$V$1006:$AE$1006,0)))),"Fix")))</f>
        <v>0</v>
      </c>
      <c r="K447" s="4">
        <f>IF(OR(INDEX($P$2:$P$1001,MATCH(ROWS($O$2:O447),$O$2:$O$1001,0),1)&gt;=100000,INDEX($V$1005:$AE$1005,1,MATCH(COLUMNS($V$1006:AE1006),$V$1006:$AE$1006,0))&gt;=100000), " ",IF(INDEX($V$2:$AE$1001,MATCH(ROWS($O$2:O447),$O$2:$O$1001,0),MATCH(COLUMNS($V$1006:AE1006),$V$1006:$AE$1006,0)), HYPERLINK("#",""), HYPERLINK(CONCATENATE("#Metadata!", ADDRESS(INDEX($Q$2:$Q$1001,MATCH(ROWS($O$2:O447),$O$2:$O$1001,0),0), INDEX($V$1004:$AE$1004,1,MATCH(COLUMNS($V$1006:AE1006),$V$1006:$AE$1006,0)))),"Fix")))</f>
        <v>0</v>
      </c>
      <c r="O447">
        <v>0</v>
      </c>
      <c r="P447">
        <v>0</v>
      </c>
      <c r="Q447">
        <v>0</v>
      </c>
      <c r="R447">
        <f>IF(S447,TRUE,AND(V447:AE447))</f>
        <v>0</v>
      </c>
      <c r="S447">
        <f>COUNTBLANK(Metadata!B447:K447)=COLUMNS(Metadata!B447:K447)</f>
        <v>0</v>
      </c>
      <c r="T447">
        <v>0</v>
      </c>
      <c r="V447">
        <f>AND(IF(Metadata!B447="",FALSE,TRUE),COUNTIF(Metadata!B:B, Metadata!B447) = 1,NOT(ISERROR(SUMPRODUCT(SEARCH(MID(Metadata!B447,ROW(INDIRECT("1:"&amp;LEN(Metadata!B447))), 1),"0123456789abcdefghijklmnopqrstuvwxyzABCDEFGHIJKLMNOPQRSTUVWXYZ.")))))</f>
        <v>0</v>
      </c>
      <c r="W447">
        <f>AND(IF(Metadata!C447="",FALSE,TRUE),exact(Metadata!C447,"urban biome"))</f>
        <v>0</v>
      </c>
      <c r="X447">
        <f>AND(IF(Metadata!D447="",FALSE,TRUE),exact(Metadata!D447,"animal-associated habitat"))</f>
        <v>0</v>
      </c>
      <c r="Y447">
        <f>OR(AND(IF(Metadata!E447="",FALSE,TRUE),OR(exact(Metadata!E447,"not applicable"),exact(Metadata!E447,"missing: not collected"),exact(Metadata!E447,"missing: not provided"),exact(Metadata!E447,"missing: restricted access"))),AND(IF(Metadata!E447="",FALSE,ISNUMBER(VALUE(Metadata!E447))),Metadata!E447&gt;0))</f>
        <v>0</v>
      </c>
      <c r="Z447">
        <f>AND(IF(Metadata!F447="",FALSE,TRUE),exact(Metadata!F447,"weeks"))</f>
        <v>0</v>
      </c>
      <c r="AA447">
        <f>AND(IF(Metadata!G447="",FALSE,TRUE),exact(Metadata!G447,"mouse"))</f>
        <v>0</v>
      </c>
      <c r="AB447">
        <f>AND(IF(Metadata!H447="",FALSE,TRUE),exact(Metadata!H447,"Mus musculus"))</f>
        <v>0</v>
      </c>
      <c r="AC447">
        <f>AND(IF(Metadata!I447="",FALSE,TRUE),exact(Metadata!I447,"10090"))</f>
        <v>0</v>
      </c>
      <c r="AD447">
        <f>OR(AND(IF(Metadata!J447="",FALSE,TRUE),OR(exact(Metadata!J447,"not applicable"),exact(Metadata!J447,"missing: not collected"),exact(Metadata!J447,"missing: not provided"),exact(Metadata!J447,"missing: restricted access"))),AND(IF(Metadata!J447="",FALSE,ISNUMBER(VALUE(Metadata!J447))),Metadata!J447&gt;0))</f>
        <v>0</v>
      </c>
      <c r="AE447">
        <f>AND(IF(Metadata!K447="",FALSE,TRUE),exact(Metadata!K447,"g"))</f>
        <v>0</v>
      </c>
    </row>
    <row r="448" spans="1:31">
      <c r="A448" s="5">
        <f>IF(B448=" "," ",HYPERLINK(CONCATENATE("#metadata!",ADDRESS(INDEX($Q$2:$Q$1001,MATCH(ROWS($O$2:O448),$O$2:$O$1001,0),0),1)),INDEX($T$2:$T$1001,MATCH(ROWS($O$2:O448),$O$2:$O$1001,0),0)))</f>
        <v>0</v>
      </c>
      <c r="B448" s="4">
        <f>IF(OR(INDEX($P$2:$P$1001,MATCH(ROWS($O$2:O448),$O$2:$O$1001,0),1)&gt;=100000,INDEX($V$1005:$AE$1005,1,MATCH(COLUMNS($V$1006:V1006),$V$1006:$AE$1006,0))&gt;=100000), " ",IF(INDEX($V$2:$AE$1001,MATCH(ROWS($O$2:O448),$O$2:$O$1001,0),MATCH(COLUMNS($V$1006:V1006),$V$1006:$AE$1006,0)), HYPERLINK("#",""), HYPERLINK(CONCATENATE("#Metadata!", ADDRESS(INDEX($Q$2:$Q$1001,MATCH(ROWS($O$2:O448),$O$2:$O$1001,0),0), INDEX($V$1004:$AE$1004,1,MATCH(COLUMNS($V$1006:V1006),$V$1006:$AE$1006,0)))),"Fix")))</f>
        <v>0</v>
      </c>
      <c r="C448" s="4">
        <f>IF(OR(INDEX($P$2:$P$1001,MATCH(ROWS($O$2:O448),$O$2:$O$1001,0),1)&gt;=100000,INDEX($V$1005:$AE$1005,1,MATCH(COLUMNS($V$1006:W1006),$V$1006:$AE$1006,0))&gt;=100000), " ",IF(INDEX($V$2:$AE$1001,MATCH(ROWS($O$2:O448),$O$2:$O$1001,0),MATCH(COLUMNS($V$1006:W1006),$V$1006:$AE$1006,0)), HYPERLINK("#",""), HYPERLINK(CONCATENATE("#Metadata!", ADDRESS(INDEX($Q$2:$Q$1001,MATCH(ROWS($O$2:O448),$O$2:$O$1001,0),0), INDEX($V$1004:$AE$1004,1,MATCH(COLUMNS($V$1006:W1006),$V$1006:$AE$1006,0)))),"Fix")))</f>
        <v>0</v>
      </c>
      <c r="D448" s="4">
        <f>IF(OR(INDEX($P$2:$P$1001,MATCH(ROWS($O$2:O448),$O$2:$O$1001,0),1)&gt;=100000,INDEX($V$1005:$AE$1005,1,MATCH(COLUMNS($V$1006:X1006),$V$1006:$AE$1006,0))&gt;=100000), " ",IF(INDEX($V$2:$AE$1001,MATCH(ROWS($O$2:O448),$O$2:$O$1001,0),MATCH(COLUMNS($V$1006:X1006),$V$1006:$AE$1006,0)), HYPERLINK("#",""), HYPERLINK(CONCATENATE("#Metadata!", ADDRESS(INDEX($Q$2:$Q$1001,MATCH(ROWS($O$2:O448),$O$2:$O$1001,0),0), INDEX($V$1004:$AE$1004,1,MATCH(COLUMNS($V$1006:X1006),$V$1006:$AE$1006,0)))),"Fix")))</f>
        <v>0</v>
      </c>
      <c r="E448" s="4">
        <f>IF(OR(INDEX($P$2:$P$1001,MATCH(ROWS($O$2:O448),$O$2:$O$1001,0),1)&gt;=100000,INDEX($V$1005:$AE$1005,1,MATCH(COLUMNS($V$1006:Y1006),$V$1006:$AE$1006,0))&gt;=100000), " ",IF(INDEX($V$2:$AE$1001,MATCH(ROWS($O$2:O448),$O$2:$O$1001,0),MATCH(COLUMNS($V$1006:Y1006),$V$1006:$AE$1006,0)), HYPERLINK("#",""), HYPERLINK(CONCATENATE("#Metadata!", ADDRESS(INDEX($Q$2:$Q$1001,MATCH(ROWS($O$2:O448),$O$2:$O$1001,0),0), INDEX($V$1004:$AE$1004,1,MATCH(COLUMNS($V$1006:Y1006),$V$1006:$AE$1006,0)))),"Fix")))</f>
        <v>0</v>
      </c>
      <c r="F448" s="4">
        <f>IF(OR(INDEX($P$2:$P$1001,MATCH(ROWS($O$2:O448),$O$2:$O$1001,0),1)&gt;=100000,INDEX($V$1005:$AE$1005,1,MATCH(COLUMNS($V$1006:Z1006),$V$1006:$AE$1006,0))&gt;=100000), " ",IF(INDEX($V$2:$AE$1001,MATCH(ROWS($O$2:O448),$O$2:$O$1001,0),MATCH(COLUMNS($V$1006:Z1006),$V$1006:$AE$1006,0)), HYPERLINK("#",""), HYPERLINK(CONCATENATE("#Metadata!", ADDRESS(INDEX($Q$2:$Q$1001,MATCH(ROWS($O$2:O448),$O$2:$O$1001,0),0), INDEX($V$1004:$AE$1004,1,MATCH(COLUMNS($V$1006:Z1006),$V$1006:$AE$1006,0)))),"Fix")))</f>
        <v>0</v>
      </c>
      <c r="G448" s="4">
        <f>IF(OR(INDEX($P$2:$P$1001,MATCH(ROWS($O$2:O448),$O$2:$O$1001,0),1)&gt;=100000,INDEX($V$1005:$AE$1005,1,MATCH(COLUMNS($V$1006:AA1006),$V$1006:$AE$1006,0))&gt;=100000), " ",IF(INDEX($V$2:$AE$1001,MATCH(ROWS($O$2:O448),$O$2:$O$1001,0),MATCH(COLUMNS($V$1006:AA1006),$V$1006:$AE$1006,0)), HYPERLINK("#",""), HYPERLINK(CONCATENATE("#Metadata!", ADDRESS(INDEX($Q$2:$Q$1001,MATCH(ROWS($O$2:O448),$O$2:$O$1001,0),0), INDEX($V$1004:$AE$1004,1,MATCH(COLUMNS($V$1006:AA1006),$V$1006:$AE$1006,0)))),"Fix")))</f>
        <v>0</v>
      </c>
      <c r="H448" s="4">
        <f>IF(OR(INDEX($P$2:$P$1001,MATCH(ROWS($O$2:O448),$O$2:$O$1001,0),1)&gt;=100000,INDEX($V$1005:$AE$1005,1,MATCH(COLUMNS($V$1006:AB1006),$V$1006:$AE$1006,0))&gt;=100000), " ",IF(INDEX($V$2:$AE$1001,MATCH(ROWS($O$2:O448),$O$2:$O$1001,0),MATCH(COLUMNS($V$1006:AB1006),$V$1006:$AE$1006,0)), HYPERLINK("#",""), HYPERLINK(CONCATENATE("#Metadata!", ADDRESS(INDEX($Q$2:$Q$1001,MATCH(ROWS($O$2:O448),$O$2:$O$1001,0),0), INDEX($V$1004:$AE$1004,1,MATCH(COLUMNS($V$1006:AB1006),$V$1006:$AE$1006,0)))),"Fix")))</f>
        <v>0</v>
      </c>
      <c r="I448" s="4">
        <f>IF(OR(INDEX($P$2:$P$1001,MATCH(ROWS($O$2:O448),$O$2:$O$1001,0),1)&gt;=100000,INDEX($V$1005:$AE$1005,1,MATCH(COLUMNS($V$1006:AC1006),$V$1006:$AE$1006,0))&gt;=100000), " ",IF(INDEX($V$2:$AE$1001,MATCH(ROWS($O$2:O448),$O$2:$O$1001,0),MATCH(COLUMNS($V$1006:AC1006),$V$1006:$AE$1006,0)), HYPERLINK("#",""), HYPERLINK(CONCATENATE("#Metadata!", ADDRESS(INDEX($Q$2:$Q$1001,MATCH(ROWS($O$2:O448),$O$2:$O$1001,0),0), INDEX($V$1004:$AE$1004,1,MATCH(COLUMNS($V$1006:AC1006),$V$1006:$AE$1006,0)))),"Fix")))</f>
        <v>0</v>
      </c>
      <c r="J448" s="4">
        <f>IF(OR(INDEX($P$2:$P$1001,MATCH(ROWS($O$2:O448),$O$2:$O$1001,0),1)&gt;=100000,INDEX($V$1005:$AE$1005,1,MATCH(COLUMNS($V$1006:AD1006),$V$1006:$AE$1006,0))&gt;=100000), " ",IF(INDEX($V$2:$AE$1001,MATCH(ROWS($O$2:O448),$O$2:$O$1001,0),MATCH(COLUMNS($V$1006:AD1006),$V$1006:$AE$1006,0)), HYPERLINK("#",""), HYPERLINK(CONCATENATE("#Metadata!", ADDRESS(INDEX($Q$2:$Q$1001,MATCH(ROWS($O$2:O448),$O$2:$O$1001,0),0), INDEX($V$1004:$AE$1004,1,MATCH(COLUMNS($V$1006:AD1006),$V$1006:$AE$1006,0)))),"Fix")))</f>
        <v>0</v>
      </c>
      <c r="K448" s="4">
        <f>IF(OR(INDEX($P$2:$P$1001,MATCH(ROWS($O$2:O448),$O$2:$O$1001,0),1)&gt;=100000,INDEX($V$1005:$AE$1005,1,MATCH(COLUMNS($V$1006:AE1006),$V$1006:$AE$1006,0))&gt;=100000), " ",IF(INDEX($V$2:$AE$1001,MATCH(ROWS($O$2:O448),$O$2:$O$1001,0),MATCH(COLUMNS($V$1006:AE1006),$V$1006:$AE$1006,0)), HYPERLINK("#",""), HYPERLINK(CONCATENATE("#Metadata!", ADDRESS(INDEX($Q$2:$Q$1001,MATCH(ROWS($O$2:O448),$O$2:$O$1001,0),0), INDEX($V$1004:$AE$1004,1,MATCH(COLUMNS($V$1006:AE1006),$V$1006:$AE$1006,0)))),"Fix")))</f>
        <v>0</v>
      </c>
      <c r="O448">
        <v>0</v>
      </c>
      <c r="P448">
        <v>0</v>
      </c>
      <c r="Q448">
        <v>0</v>
      </c>
      <c r="R448">
        <f>IF(S448,TRUE,AND(V448:AE448))</f>
        <v>0</v>
      </c>
      <c r="S448">
        <f>COUNTBLANK(Metadata!B448:K448)=COLUMNS(Metadata!B448:K448)</f>
        <v>0</v>
      </c>
      <c r="T448">
        <v>0</v>
      </c>
      <c r="V448">
        <f>AND(IF(Metadata!B448="",FALSE,TRUE),COUNTIF(Metadata!B:B, Metadata!B448) = 1,NOT(ISERROR(SUMPRODUCT(SEARCH(MID(Metadata!B448,ROW(INDIRECT("1:"&amp;LEN(Metadata!B448))), 1),"0123456789abcdefghijklmnopqrstuvwxyzABCDEFGHIJKLMNOPQRSTUVWXYZ.")))))</f>
        <v>0</v>
      </c>
      <c r="W448">
        <f>AND(IF(Metadata!C448="",FALSE,TRUE),exact(Metadata!C448,"urban biome"))</f>
        <v>0</v>
      </c>
      <c r="X448">
        <f>AND(IF(Metadata!D448="",FALSE,TRUE),exact(Metadata!D448,"animal-associated habitat"))</f>
        <v>0</v>
      </c>
      <c r="Y448">
        <f>OR(AND(IF(Metadata!E448="",FALSE,TRUE),OR(exact(Metadata!E448,"not applicable"),exact(Metadata!E448,"missing: not collected"),exact(Metadata!E448,"missing: not provided"),exact(Metadata!E448,"missing: restricted access"))),AND(IF(Metadata!E448="",FALSE,ISNUMBER(VALUE(Metadata!E448))),Metadata!E448&gt;0))</f>
        <v>0</v>
      </c>
      <c r="Z448">
        <f>AND(IF(Metadata!F448="",FALSE,TRUE),exact(Metadata!F448,"weeks"))</f>
        <v>0</v>
      </c>
      <c r="AA448">
        <f>AND(IF(Metadata!G448="",FALSE,TRUE),exact(Metadata!G448,"mouse"))</f>
        <v>0</v>
      </c>
      <c r="AB448">
        <f>AND(IF(Metadata!H448="",FALSE,TRUE),exact(Metadata!H448,"Mus musculus"))</f>
        <v>0</v>
      </c>
      <c r="AC448">
        <f>AND(IF(Metadata!I448="",FALSE,TRUE),exact(Metadata!I448,"10090"))</f>
        <v>0</v>
      </c>
      <c r="AD448">
        <f>OR(AND(IF(Metadata!J448="",FALSE,TRUE),OR(exact(Metadata!J448,"not applicable"),exact(Metadata!J448,"missing: not collected"),exact(Metadata!J448,"missing: not provided"),exact(Metadata!J448,"missing: restricted access"))),AND(IF(Metadata!J448="",FALSE,ISNUMBER(VALUE(Metadata!J448))),Metadata!J448&gt;0))</f>
        <v>0</v>
      </c>
      <c r="AE448">
        <f>AND(IF(Metadata!K448="",FALSE,TRUE),exact(Metadata!K448,"g"))</f>
        <v>0</v>
      </c>
    </row>
    <row r="449" spans="1:31">
      <c r="A449" s="5">
        <f>IF(B449=" "," ",HYPERLINK(CONCATENATE("#metadata!",ADDRESS(INDEX($Q$2:$Q$1001,MATCH(ROWS($O$2:O449),$O$2:$O$1001,0),0),1)),INDEX($T$2:$T$1001,MATCH(ROWS($O$2:O449),$O$2:$O$1001,0),0)))</f>
        <v>0</v>
      </c>
      <c r="B449" s="4">
        <f>IF(OR(INDEX($P$2:$P$1001,MATCH(ROWS($O$2:O449),$O$2:$O$1001,0),1)&gt;=100000,INDEX($V$1005:$AE$1005,1,MATCH(COLUMNS($V$1006:V1006),$V$1006:$AE$1006,0))&gt;=100000), " ",IF(INDEX($V$2:$AE$1001,MATCH(ROWS($O$2:O449),$O$2:$O$1001,0),MATCH(COLUMNS($V$1006:V1006),$V$1006:$AE$1006,0)), HYPERLINK("#",""), HYPERLINK(CONCATENATE("#Metadata!", ADDRESS(INDEX($Q$2:$Q$1001,MATCH(ROWS($O$2:O449),$O$2:$O$1001,0),0), INDEX($V$1004:$AE$1004,1,MATCH(COLUMNS($V$1006:V1006),$V$1006:$AE$1006,0)))),"Fix")))</f>
        <v>0</v>
      </c>
      <c r="C449" s="4">
        <f>IF(OR(INDEX($P$2:$P$1001,MATCH(ROWS($O$2:O449),$O$2:$O$1001,0),1)&gt;=100000,INDEX($V$1005:$AE$1005,1,MATCH(COLUMNS($V$1006:W1006),$V$1006:$AE$1006,0))&gt;=100000), " ",IF(INDEX($V$2:$AE$1001,MATCH(ROWS($O$2:O449),$O$2:$O$1001,0),MATCH(COLUMNS($V$1006:W1006),$V$1006:$AE$1006,0)), HYPERLINK("#",""), HYPERLINK(CONCATENATE("#Metadata!", ADDRESS(INDEX($Q$2:$Q$1001,MATCH(ROWS($O$2:O449),$O$2:$O$1001,0),0), INDEX($V$1004:$AE$1004,1,MATCH(COLUMNS($V$1006:W1006),$V$1006:$AE$1006,0)))),"Fix")))</f>
        <v>0</v>
      </c>
      <c r="D449" s="4">
        <f>IF(OR(INDEX($P$2:$P$1001,MATCH(ROWS($O$2:O449),$O$2:$O$1001,0),1)&gt;=100000,INDEX($V$1005:$AE$1005,1,MATCH(COLUMNS($V$1006:X1006),$V$1006:$AE$1006,0))&gt;=100000), " ",IF(INDEX($V$2:$AE$1001,MATCH(ROWS($O$2:O449),$O$2:$O$1001,0),MATCH(COLUMNS($V$1006:X1006),$V$1006:$AE$1006,0)), HYPERLINK("#",""), HYPERLINK(CONCATENATE("#Metadata!", ADDRESS(INDEX($Q$2:$Q$1001,MATCH(ROWS($O$2:O449),$O$2:$O$1001,0),0), INDEX($V$1004:$AE$1004,1,MATCH(COLUMNS($V$1006:X1006),$V$1006:$AE$1006,0)))),"Fix")))</f>
        <v>0</v>
      </c>
      <c r="E449" s="4">
        <f>IF(OR(INDEX($P$2:$P$1001,MATCH(ROWS($O$2:O449),$O$2:$O$1001,0),1)&gt;=100000,INDEX($V$1005:$AE$1005,1,MATCH(COLUMNS($V$1006:Y1006),$V$1006:$AE$1006,0))&gt;=100000), " ",IF(INDEX($V$2:$AE$1001,MATCH(ROWS($O$2:O449),$O$2:$O$1001,0),MATCH(COLUMNS($V$1006:Y1006),$V$1006:$AE$1006,0)), HYPERLINK("#",""), HYPERLINK(CONCATENATE("#Metadata!", ADDRESS(INDEX($Q$2:$Q$1001,MATCH(ROWS($O$2:O449),$O$2:$O$1001,0),0), INDEX($V$1004:$AE$1004,1,MATCH(COLUMNS($V$1006:Y1006),$V$1006:$AE$1006,0)))),"Fix")))</f>
        <v>0</v>
      </c>
      <c r="F449" s="4">
        <f>IF(OR(INDEX($P$2:$P$1001,MATCH(ROWS($O$2:O449),$O$2:$O$1001,0),1)&gt;=100000,INDEX($V$1005:$AE$1005,1,MATCH(COLUMNS($V$1006:Z1006),$V$1006:$AE$1006,0))&gt;=100000), " ",IF(INDEX($V$2:$AE$1001,MATCH(ROWS($O$2:O449),$O$2:$O$1001,0),MATCH(COLUMNS($V$1006:Z1006),$V$1006:$AE$1006,0)), HYPERLINK("#",""), HYPERLINK(CONCATENATE("#Metadata!", ADDRESS(INDEX($Q$2:$Q$1001,MATCH(ROWS($O$2:O449),$O$2:$O$1001,0),0), INDEX($V$1004:$AE$1004,1,MATCH(COLUMNS($V$1006:Z1006),$V$1006:$AE$1006,0)))),"Fix")))</f>
        <v>0</v>
      </c>
      <c r="G449" s="4">
        <f>IF(OR(INDEX($P$2:$P$1001,MATCH(ROWS($O$2:O449),$O$2:$O$1001,0),1)&gt;=100000,INDEX($V$1005:$AE$1005,1,MATCH(COLUMNS($V$1006:AA1006),$V$1006:$AE$1006,0))&gt;=100000), " ",IF(INDEX($V$2:$AE$1001,MATCH(ROWS($O$2:O449),$O$2:$O$1001,0),MATCH(COLUMNS($V$1006:AA1006),$V$1006:$AE$1006,0)), HYPERLINK("#",""), HYPERLINK(CONCATENATE("#Metadata!", ADDRESS(INDEX($Q$2:$Q$1001,MATCH(ROWS($O$2:O449),$O$2:$O$1001,0),0), INDEX($V$1004:$AE$1004,1,MATCH(COLUMNS($V$1006:AA1006),$V$1006:$AE$1006,0)))),"Fix")))</f>
        <v>0</v>
      </c>
      <c r="H449" s="4">
        <f>IF(OR(INDEX($P$2:$P$1001,MATCH(ROWS($O$2:O449),$O$2:$O$1001,0),1)&gt;=100000,INDEX($V$1005:$AE$1005,1,MATCH(COLUMNS($V$1006:AB1006),$V$1006:$AE$1006,0))&gt;=100000), " ",IF(INDEX($V$2:$AE$1001,MATCH(ROWS($O$2:O449),$O$2:$O$1001,0),MATCH(COLUMNS($V$1006:AB1006),$V$1006:$AE$1006,0)), HYPERLINK("#",""), HYPERLINK(CONCATENATE("#Metadata!", ADDRESS(INDEX($Q$2:$Q$1001,MATCH(ROWS($O$2:O449),$O$2:$O$1001,0),0), INDEX($V$1004:$AE$1004,1,MATCH(COLUMNS($V$1006:AB1006),$V$1006:$AE$1006,0)))),"Fix")))</f>
        <v>0</v>
      </c>
      <c r="I449" s="4">
        <f>IF(OR(INDEX($P$2:$P$1001,MATCH(ROWS($O$2:O449),$O$2:$O$1001,0),1)&gt;=100000,INDEX($V$1005:$AE$1005,1,MATCH(COLUMNS($V$1006:AC1006),$V$1006:$AE$1006,0))&gt;=100000), " ",IF(INDEX($V$2:$AE$1001,MATCH(ROWS($O$2:O449),$O$2:$O$1001,0),MATCH(COLUMNS($V$1006:AC1006),$V$1006:$AE$1006,0)), HYPERLINK("#",""), HYPERLINK(CONCATENATE("#Metadata!", ADDRESS(INDEX($Q$2:$Q$1001,MATCH(ROWS($O$2:O449),$O$2:$O$1001,0),0), INDEX($V$1004:$AE$1004,1,MATCH(COLUMNS($V$1006:AC1006),$V$1006:$AE$1006,0)))),"Fix")))</f>
        <v>0</v>
      </c>
      <c r="J449" s="4">
        <f>IF(OR(INDEX($P$2:$P$1001,MATCH(ROWS($O$2:O449),$O$2:$O$1001,0),1)&gt;=100000,INDEX($V$1005:$AE$1005,1,MATCH(COLUMNS($V$1006:AD1006),$V$1006:$AE$1006,0))&gt;=100000), " ",IF(INDEX($V$2:$AE$1001,MATCH(ROWS($O$2:O449),$O$2:$O$1001,0),MATCH(COLUMNS($V$1006:AD1006),$V$1006:$AE$1006,0)), HYPERLINK("#",""), HYPERLINK(CONCATENATE("#Metadata!", ADDRESS(INDEX($Q$2:$Q$1001,MATCH(ROWS($O$2:O449),$O$2:$O$1001,0),0), INDEX($V$1004:$AE$1004,1,MATCH(COLUMNS($V$1006:AD1006),$V$1006:$AE$1006,0)))),"Fix")))</f>
        <v>0</v>
      </c>
      <c r="K449" s="4">
        <f>IF(OR(INDEX($P$2:$P$1001,MATCH(ROWS($O$2:O449),$O$2:$O$1001,0),1)&gt;=100000,INDEX($V$1005:$AE$1005,1,MATCH(COLUMNS($V$1006:AE1006),$V$1006:$AE$1006,0))&gt;=100000), " ",IF(INDEX($V$2:$AE$1001,MATCH(ROWS($O$2:O449),$O$2:$O$1001,0),MATCH(COLUMNS($V$1006:AE1006),$V$1006:$AE$1006,0)), HYPERLINK("#",""), HYPERLINK(CONCATENATE("#Metadata!", ADDRESS(INDEX($Q$2:$Q$1001,MATCH(ROWS($O$2:O449),$O$2:$O$1001,0),0), INDEX($V$1004:$AE$1004,1,MATCH(COLUMNS($V$1006:AE1006),$V$1006:$AE$1006,0)))),"Fix")))</f>
        <v>0</v>
      </c>
      <c r="O449">
        <v>0</v>
      </c>
      <c r="P449">
        <v>0</v>
      </c>
      <c r="Q449">
        <v>0</v>
      </c>
      <c r="R449">
        <f>IF(S449,TRUE,AND(V449:AE449))</f>
        <v>0</v>
      </c>
      <c r="S449">
        <f>COUNTBLANK(Metadata!B449:K449)=COLUMNS(Metadata!B449:K449)</f>
        <v>0</v>
      </c>
      <c r="T449">
        <v>0</v>
      </c>
      <c r="V449">
        <f>AND(IF(Metadata!B449="",FALSE,TRUE),COUNTIF(Metadata!B:B, Metadata!B449) = 1,NOT(ISERROR(SUMPRODUCT(SEARCH(MID(Metadata!B449,ROW(INDIRECT("1:"&amp;LEN(Metadata!B449))), 1),"0123456789abcdefghijklmnopqrstuvwxyzABCDEFGHIJKLMNOPQRSTUVWXYZ.")))))</f>
        <v>0</v>
      </c>
      <c r="W449">
        <f>AND(IF(Metadata!C449="",FALSE,TRUE),exact(Metadata!C449,"urban biome"))</f>
        <v>0</v>
      </c>
      <c r="X449">
        <f>AND(IF(Metadata!D449="",FALSE,TRUE),exact(Metadata!D449,"animal-associated habitat"))</f>
        <v>0</v>
      </c>
      <c r="Y449">
        <f>OR(AND(IF(Metadata!E449="",FALSE,TRUE),OR(exact(Metadata!E449,"not applicable"),exact(Metadata!E449,"missing: not collected"),exact(Metadata!E449,"missing: not provided"),exact(Metadata!E449,"missing: restricted access"))),AND(IF(Metadata!E449="",FALSE,ISNUMBER(VALUE(Metadata!E449))),Metadata!E449&gt;0))</f>
        <v>0</v>
      </c>
      <c r="Z449">
        <f>AND(IF(Metadata!F449="",FALSE,TRUE),exact(Metadata!F449,"weeks"))</f>
        <v>0</v>
      </c>
      <c r="AA449">
        <f>AND(IF(Metadata!G449="",FALSE,TRUE),exact(Metadata!G449,"mouse"))</f>
        <v>0</v>
      </c>
      <c r="AB449">
        <f>AND(IF(Metadata!H449="",FALSE,TRUE),exact(Metadata!H449,"Mus musculus"))</f>
        <v>0</v>
      </c>
      <c r="AC449">
        <f>AND(IF(Metadata!I449="",FALSE,TRUE),exact(Metadata!I449,"10090"))</f>
        <v>0</v>
      </c>
      <c r="AD449">
        <f>OR(AND(IF(Metadata!J449="",FALSE,TRUE),OR(exact(Metadata!J449,"not applicable"),exact(Metadata!J449,"missing: not collected"),exact(Metadata!J449,"missing: not provided"),exact(Metadata!J449,"missing: restricted access"))),AND(IF(Metadata!J449="",FALSE,ISNUMBER(VALUE(Metadata!J449))),Metadata!J449&gt;0))</f>
        <v>0</v>
      </c>
      <c r="AE449">
        <f>AND(IF(Metadata!K449="",FALSE,TRUE),exact(Metadata!K449,"g"))</f>
        <v>0</v>
      </c>
    </row>
    <row r="450" spans="1:31">
      <c r="A450" s="5">
        <f>IF(B450=" "," ",HYPERLINK(CONCATENATE("#metadata!",ADDRESS(INDEX($Q$2:$Q$1001,MATCH(ROWS($O$2:O450),$O$2:$O$1001,0),0),1)),INDEX($T$2:$T$1001,MATCH(ROWS($O$2:O450),$O$2:$O$1001,0),0)))</f>
        <v>0</v>
      </c>
      <c r="B450" s="4">
        <f>IF(OR(INDEX($P$2:$P$1001,MATCH(ROWS($O$2:O450),$O$2:$O$1001,0),1)&gt;=100000,INDEX($V$1005:$AE$1005,1,MATCH(COLUMNS($V$1006:V1006),$V$1006:$AE$1006,0))&gt;=100000), " ",IF(INDEX($V$2:$AE$1001,MATCH(ROWS($O$2:O450),$O$2:$O$1001,0),MATCH(COLUMNS($V$1006:V1006),$V$1006:$AE$1006,0)), HYPERLINK("#",""), HYPERLINK(CONCATENATE("#Metadata!", ADDRESS(INDEX($Q$2:$Q$1001,MATCH(ROWS($O$2:O450),$O$2:$O$1001,0),0), INDEX($V$1004:$AE$1004,1,MATCH(COLUMNS($V$1006:V1006),$V$1006:$AE$1006,0)))),"Fix")))</f>
        <v>0</v>
      </c>
      <c r="C450" s="4">
        <f>IF(OR(INDEX($P$2:$P$1001,MATCH(ROWS($O$2:O450),$O$2:$O$1001,0),1)&gt;=100000,INDEX($V$1005:$AE$1005,1,MATCH(COLUMNS($V$1006:W1006),$V$1006:$AE$1006,0))&gt;=100000), " ",IF(INDEX($V$2:$AE$1001,MATCH(ROWS($O$2:O450),$O$2:$O$1001,0),MATCH(COLUMNS($V$1006:W1006),$V$1006:$AE$1006,0)), HYPERLINK("#",""), HYPERLINK(CONCATENATE("#Metadata!", ADDRESS(INDEX($Q$2:$Q$1001,MATCH(ROWS($O$2:O450),$O$2:$O$1001,0),0), INDEX($V$1004:$AE$1004,1,MATCH(COLUMNS($V$1006:W1006),$V$1006:$AE$1006,0)))),"Fix")))</f>
        <v>0</v>
      </c>
      <c r="D450" s="4">
        <f>IF(OR(INDEX($P$2:$P$1001,MATCH(ROWS($O$2:O450),$O$2:$O$1001,0),1)&gt;=100000,INDEX($V$1005:$AE$1005,1,MATCH(COLUMNS($V$1006:X1006),$V$1006:$AE$1006,0))&gt;=100000), " ",IF(INDEX($V$2:$AE$1001,MATCH(ROWS($O$2:O450),$O$2:$O$1001,0),MATCH(COLUMNS($V$1006:X1006),$V$1006:$AE$1006,0)), HYPERLINK("#",""), HYPERLINK(CONCATENATE("#Metadata!", ADDRESS(INDEX($Q$2:$Q$1001,MATCH(ROWS($O$2:O450),$O$2:$O$1001,0),0), INDEX($V$1004:$AE$1004,1,MATCH(COLUMNS($V$1006:X1006),$V$1006:$AE$1006,0)))),"Fix")))</f>
        <v>0</v>
      </c>
      <c r="E450" s="4">
        <f>IF(OR(INDEX($P$2:$P$1001,MATCH(ROWS($O$2:O450),$O$2:$O$1001,0),1)&gt;=100000,INDEX($V$1005:$AE$1005,1,MATCH(COLUMNS($V$1006:Y1006),$V$1006:$AE$1006,0))&gt;=100000), " ",IF(INDEX($V$2:$AE$1001,MATCH(ROWS($O$2:O450),$O$2:$O$1001,0),MATCH(COLUMNS($V$1006:Y1006),$V$1006:$AE$1006,0)), HYPERLINK("#",""), HYPERLINK(CONCATENATE("#Metadata!", ADDRESS(INDEX($Q$2:$Q$1001,MATCH(ROWS($O$2:O450),$O$2:$O$1001,0),0), INDEX($V$1004:$AE$1004,1,MATCH(COLUMNS($V$1006:Y1006),$V$1006:$AE$1006,0)))),"Fix")))</f>
        <v>0</v>
      </c>
      <c r="F450" s="4">
        <f>IF(OR(INDEX($P$2:$P$1001,MATCH(ROWS($O$2:O450),$O$2:$O$1001,0),1)&gt;=100000,INDEX($V$1005:$AE$1005,1,MATCH(COLUMNS($V$1006:Z1006),$V$1006:$AE$1006,0))&gt;=100000), " ",IF(INDEX($V$2:$AE$1001,MATCH(ROWS($O$2:O450),$O$2:$O$1001,0),MATCH(COLUMNS($V$1006:Z1006),$V$1006:$AE$1006,0)), HYPERLINK("#",""), HYPERLINK(CONCATENATE("#Metadata!", ADDRESS(INDEX($Q$2:$Q$1001,MATCH(ROWS($O$2:O450),$O$2:$O$1001,0),0), INDEX($V$1004:$AE$1004,1,MATCH(COLUMNS($V$1006:Z1006),$V$1006:$AE$1006,0)))),"Fix")))</f>
        <v>0</v>
      </c>
      <c r="G450" s="4">
        <f>IF(OR(INDEX($P$2:$P$1001,MATCH(ROWS($O$2:O450),$O$2:$O$1001,0),1)&gt;=100000,INDEX($V$1005:$AE$1005,1,MATCH(COLUMNS($V$1006:AA1006),$V$1006:$AE$1006,0))&gt;=100000), " ",IF(INDEX($V$2:$AE$1001,MATCH(ROWS($O$2:O450),$O$2:$O$1001,0),MATCH(COLUMNS($V$1006:AA1006),$V$1006:$AE$1006,0)), HYPERLINK("#",""), HYPERLINK(CONCATENATE("#Metadata!", ADDRESS(INDEX($Q$2:$Q$1001,MATCH(ROWS($O$2:O450),$O$2:$O$1001,0),0), INDEX($V$1004:$AE$1004,1,MATCH(COLUMNS($V$1006:AA1006),$V$1006:$AE$1006,0)))),"Fix")))</f>
        <v>0</v>
      </c>
      <c r="H450" s="4">
        <f>IF(OR(INDEX($P$2:$P$1001,MATCH(ROWS($O$2:O450),$O$2:$O$1001,0),1)&gt;=100000,INDEX($V$1005:$AE$1005,1,MATCH(COLUMNS($V$1006:AB1006),$V$1006:$AE$1006,0))&gt;=100000), " ",IF(INDEX($V$2:$AE$1001,MATCH(ROWS($O$2:O450),$O$2:$O$1001,0),MATCH(COLUMNS($V$1006:AB1006),$V$1006:$AE$1006,0)), HYPERLINK("#",""), HYPERLINK(CONCATENATE("#Metadata!", ADDRESS(INDEX($Q$2:$Q$1001,MATCH(ROWS($O$2:O450),$O$2:$O$1001,0),0), INDEX($V$1004:$AE$1004,1,MATCH(COLUMNS($V$1006:AB1006),$V$1006:$AE$1006,0)))),"Fix")))</f>
        <v>0</v>
      </c>
      <c r="I450" s="4">
        <f>IF(OR(INDEX($P$2:$P$1001,MATCH(ROWS($O$2:O450),$O$2:$O$1001,0),1)&gt;=100000,INDEX($V$1005:$AE$1005,1,MATCH(COLUMNS($V$1006:AC1006),$V$1006:$AE$1006,0))&gt;=100000), " ",IF(INDEX($V$2:$AE$1001,MATCH(ROWS($O$2:O450),$O$2:$O$1001,0),MATCH(COLUMNS($V$1006:AC1006),$V$1006:$AE$1006,0)), HYPERLINK("#",""), HYPERLINK(CONCATENATE("#Metadata!", ADDRESS(INDEX($Q$2:$Q$1001,MATCH(ROWS($O$2:O450),$O$2:$O$1001,0),0), INDEX($V$1004:$AE$1004,1,MATCH(COLUMNS($V$1006:AC1006),$V$1006:$AE$1006,0)))),"Fix")))</f>
        <v>0</v>
      </c>
      <c r="J450" s="4">
        <f>IF(OR(INDEX($P$2:$P$1001,MATCH(ROWS($O$2:O450),$O$2:$O$1001,0),1)&gt;=100000,INDEX($V$1005:$AE$1005,1,MATCH(COLUMNS($V$1006:AD1006),$V$1006:$AE$1006,0))&gt;=100000), " ",IF(INDEX($V$2:$AE$1001,MATCH(ROWS($O$2:O450),$O$2:$O$1001,0),MATCH(COLUMNS($V$1006:AD1006),$V$1006:$AE$1006,0)), HYPERLINK("#",""), HYPERLINK(CONCATENATE("#Metadata!", ADDRESS(INDEX($Q$2:$Q$1001,MATCH(ROWS($O$2:O450),$O$2:$O$1001,0),0), INDEX($V$1004:$AE$1004,1,MATCH(COLUMNS($V$1006:AD1006),$V$1006:$AE$1006,0)))),"Fix")))</f>
        <v>0</v>
      </c>
      <c r="K450" s="4">
        <f>IF(OR(INDEX($P$2:$P$1001,MATCH(ROWS($O$2:O450),$O$2:$O$1001,0),1)&gt;=100000,INDEX($V$1005:$AE$1005,1,MATCH(COLUMNS($V$1006:AE1006),$V$1006:$AE$1006,0))&gt;=100000), " ",IF(INDEX($V$2:$AE$1001,MATCH(ROWS($O$2:O450),$O$2:$O$1001,0),MATCH(COLUMNS($V$1006:AE1006),$V$1006:$AE$1006,0)), HYPERLINK("#",""), HYPERLINK(CONCATENATE("#Metadata!", ADDRESS(INDEX($Q$2:$Q$1001,MATCH(ROWS($O$2:O450),$O$2:$O$1001,0),0), INDEX($V$1004:$AE$1004,1,MATCH(COLUMNS($V$1006:AE1006),$V$1006:$AE$1006,0)))),"Fix")))</f>
        <v>0</v>
      </c>
      <c r="O450">
        <v>0</v>
      </c>
      <c r="P450">
        <v>0</v>
      </c>
      <c r="Q450">
        <v>0</v>
      </c>
      <c r="R450">
        <f>IF(S450,TRUE,AND(V450:AE450))</f>
        <v>0</v>
      </c>
      <c r="S450">
        <f>COUNTBLANK(Metadata!B450:K450)=COLUMNS(Metadata!B450:K450)</f>
        <v>0</v>
      </c>
      <c r="T450">
        <v>0</v>
      </c>
      <c r="V450">
        <f>AND(IF(Metadata!B450="",FALSE,TRUE),COUNTIF(Metadata!B:B, Metadata!B450) = 1,NOT(ISERROR(SUMPRODUCT(SEARCH(MID(Metadata!B450,ROW(INDIRECT("1:"&amp;LEN(Metadata!B450))), 1),"0123456789abcdefghijklmnopqrstuvwxyzABCDEFGHIJKLMNOPQRSTUVWXYZ.")))))</f>
        <v>0</v>
      </c>
      <c r="W450">
        <f>AND(IF(Metadata!C450="",FALSE,TRUE),exact(Metadata!C450,"urban biome"))</f>
        <v>0</v>
      </c>
      <c r="X450">
        <f>AND(IF(Metadata!D450="",FALSE,TRUE),exact(Metadata!D450,"animal-associated habitat"))</f>
        <v>0</v>
      </c>
      <c r="Y450">
        <f>OR(AND(IF(Metadata!E450="",FALSE,TRUE),OR(exact(Metadata!E450,"not applicable"),exact(Metadata!E450,"missing: not collected"),exact(Metadata!E450,"missing: not provided"),exact(Metadata!E450,"missing: restricted access"))),AND(IF(Metadata!E450="",FALSE,ISNUMBER(VALUE(Metadata!E450))),Metadata!E450&gt;0))</f>
        <v>0</v>
      </c>
      <c r="Z450">
        <f>AND(IF(Metadata!F450="",FALSE,TRUE),exact(Metadata!F450,"weeks"))</f>
        <v>0</v>
      </c>
      <c r="AA450">
        <f>AND(IF(Metadata!G450="",FALSE,TRUE),exact(Metadata!G450,"mouse"))</f>
        <v>0</v>
      </c>
      <c r="AB450">
        <f>AND(IF(Metadata!H450="",FALSE,TRUE),exact(Metadata!H450,"Mus musculus"))</f>
        <v>0</v>
      </c>
      <c r="AC450">
        <f>AND(IF(Metadata!I450="",FALSE,TRUE),exact(Metadata!I450,"10090"))</f>
        <v>0</v>
      </c>
      <c r="AD450">
        <f>OR(AND(IF(Metadata!J450="",FALSE,TRUE),OR(exact(Metadata!J450,"not applicable"),exact(Metadata!J450,"missing: not collected"),exact(Metadata!J450,"missing: not provided"),exact(Metadata!J450,"missing: restricted access"))),AND(IF(Metadata!J450="",FALSE,ISNUMBER(VALUE(Metadata!J450))),Metadata!J450&gt;0))</f>
        <v>0</v>
      </c>
      <c r="AE450">
        <f>AND(IF(Metadata!K450="",FALSE,TRUE),exact(Metadata!K450,"g"))</f>
        <v>0</v>
      </c>
    </row>
    <row r="451" spans="1:31">
      <c r="A451" s="5">
        <f>IF(B451=" "," ",HYPERLINK(CONCATENATE("#metadata!",ADDRESS(INDEX($Q$2:$Q$1001,MATCH(ROWS($O$2:O451),$O$2:$O$1001,0),0),1)),INDEX($T$2:$T$1001,MATCH(ROWS($O$2:O451),$O$2:$O$1001,0),0)))</f>
        <v>0</v>
      </c>
      <c r="B451" s="4">
        <f>IF(OR(INDEX($P$2:$P$1001,MATCH(ROWS($O$2:O451),$O$2:$O$1001,0),1)&gt;=100000,INDEX($V$1005:$AE$1005,1,MATCH(COLUMNS($V$1006:V1006),$V$1006:$AE$1006,0))&gt;=100000), " ",IF(INDEX($V$2:$AE$1001,MATCH(ROWS($O$2:O451),$O$2:$O$1001,0),MATCH(COLUMNS($V$1006:V1006),$V$1006:$AE$1006,0)), HYPERLINK("#",""), HYPERLINK(CONCATENATE("#Metadata!", ADDRESS(INDEX($Q$2:$Q$1001,MATCH(ROWS($O$2:O451),$O$2:$O$1001,0),0), INDEX($V$1004:$AE$1004,1,MATCH(COLUMNS($V$1006:V1006),$V$1006:$AE$1006,0)))),"Fix")))</f>
        <v>0</v>
      </c>
      <c r="C451" s="4">
        <f>IF(OR(INDEX($P$2:$P$1001,MATCH(ROWS($O$2:O451),$O$2:$O$1001,0),1)&gt;=100000,INDEX($V$1005:$AE$1005,1,MATCH(COLUMNS($V$1006:W1006),$V$1006:$AE$1006,0))&gt;=100000), " ",IF(INDEX($V$2:$AE$1001,MATCH(ROWS($O$2:O451),$O$2:$O$1001,0),MATCH(COLUMNS($V$1006:W1006),$V$1006:$AE$1006,0)), HYPERLINK("#",""), HYPERLINK(CONCATENATE("#Metadata!", ADDRESS(INDEX($Q$2:$Q$1001,MATCH(ROWS($O$2:O451),$O$2:$O$1001,0),0), INDEX($V$1004:$AE$1004,1,MATCH(COLUMNS($V$1006:W1006),$V$1006:$AE$1006,0)))),"Fix")))</f>
        <v>0</v>
      </c>
      <c r="D451" s="4">
        <f>IF(OR(INDEX($P$2:$P$1001,MATCH(ROWS($O$2:O451),$O$2:$O$1001,0),1)&gt;=100000,INDEX($V$1005:$AE$1005,1,MATCH(COLUMNS($V$1006:X1006),$V$1006:$AE$1006,0))&gt;=100000), " ",IF(INDEX($V$2:$AE$1001,MATCH(ROWS($O$2:O451),$O$2:$O$1001,0),MATCH(COLUMNS($V$1006:X1006),$V$1006:$AE$1006,0)), HYPERLINK("#",""), HYPERLINK(CONCATENATE("#Metadata!", ADDRESS(INDEX($Q$2:$Q$1001,MATCH(ROWS($O$2:O451),$O$2:$O$1001,0),0), INDEX($V$1004:$AE$1004,1,MATCH(COLUMNS($V$1006:X1006),$V$1006:$AE$1006,0)))),"Fix")))</f>
        <v>0</v>
      </c>
      <c r="E451" s="4">
        <f>IF(OR(INDEX($P$2:$P$1001,MATCH(ROWS($O$2:O451),$O$2:$O$1001,0),1)&gt;=100000,INDEX($V$1005:$AE$1005,1,MATCH(COLUMNS($V$1006:Y1006),$V$1006:$AE$1006,0))&gt;=100000), " ",IF(INDEX($V$2:$AE$1001,MATCH(ROWS($O$2:O451),$O$2:$O$1001,0),MATCH(COLUMNS($V$1006:Y1006),$V$1006:$AE$1006,0)), HYPERLINK("#",""), HYPERLINK(CONCATENATE("#Metadata!", ADDRESS(INDEX($Q$2:$Q$1001,MATCH(ROWS($O$2:O451),$O$2:$O$1001,0),0), INDEX($V$1004:$AE$1004,1,MATCH(COLUMNS($V$1006:Y1006),$V$1006:$AE$1006,0)))),"Fix")))</f>
        <v>0</v>
      </c>
      <c r="F451" s="4">
        <f>IF(OR(INDEX($P$2:$P$1001,MATCH(ROWS($O$2:O451),$O$2:$O$1001,0),1)&gt;=100000,INDEX($V$1005:$AE$1005,1,MATCH(COLUMNS($V$1006:Z1006),$V$1006:$AE$1006,0))&gt;=100000), " ",IF(INDEX($V$2:$AE$1001,MATCH(ROWS($O$2:O451),$O$2:$O$1001,0),MATCH(COLUMNS($V$1006:Z1006),$V$1006:$AE$1006,0)), HYPERLINK("#",""), HYPERLINK(CONCATENATE("#Metadata!", ADDRESS(INDEX($Q$2:$Q$1001,MATCH(ROWS($O$2:O451),$O$2:$O$1001,0),0), INDEX($V$1004:$AE$1004,1,MATCH(COLUMNS($V$1006:Z1006),$V$1006:$AE$1006,0)))),"Fix")))</f>
        <v>0</v>
      </c>
      <c r="G451" s="4">
        <f>IF(OR(INDEX($P$2:$P$1001,MATCH(ROWS($O$2:O451),$O$2:$O$1001,0),1)&gt;=100000,INDEX($V$1005:$AE$1005,1,MATCH(COLUMNS($V$1006:AA1006),$V$1006:$AE$1006,0))&gt;=100000), " ",IF(INDEX($V$2:$AE$1001,MATCH(ROWS($O$2:O451),$O$2:$O$1001,0),MATCH(COLUMNS($V$1006:AA1006),$V$1006:$AE$1006,0)), HYPERLINK("#",""), HYPERLINK(CONCATENATE("#Metadata!", ADDRESS(INDEX($Q$2:$Q$1001,MATCH(ROWS($O$2:O451),$O$2:$O$1001,0),0), INDEX($V$1004:$AE$1004,1,MATCH(COLUMNS($V$1006:AA1006),$V$1006:$AE$1006,0)))),"Fix")))</f>
        <v>0</v>
      </c>
      <c r="H451" s="4">
        <f>IF(OR(INDEX($P$2:$P$1001,MATCH(ROWS($O$2:O451),$O$2:$O$1001,0),1)&gt;=100000,INDEX($V$1005:$AE$1005,1,MATCH(COLUMNS($V$1006:AB1006),$V$1006:$AE$1006,0))&gt;=100000), " ",IF(INDEX($V$2:$AE$1001,MATCH(ROWS($O$2:O451),$O$2:$O$1001,0),MATCH(COLUMNS($V$1006:AB1006),$V$1006:$AE$1006,0)), HYPERLINK("#",""), HYPERLINK(CONCATENATE("#Metadata!", ADDRESS(INDEX($Q$2:$Q$1001,MATCH(ROWS($O$2:O451),$O$2:$O$1001,0),0), INDEX($V$1004:$AE$1004,1,MATCH(COLUMNS($V$1006:AB1006),$V$1006:$AE$1006,0)))),"Fix")))</f>
        <v>0</v>
      </c>
      <c r="I451" s="4">
        <f>IF(OR(INDEX($P$2:$P$1001,MATCH(ROWS($O$2:O451),$O$2:$O$1001,0),1)&gt;=100000,INDEX($V$1005:$AE$1005,1,MATCH(COLUMNS($V$1006:AC1006),$V$1006:$AE$1006,0))&gt;=100000), " ",IF(INDEX($V$2:$AE$1001,MATCH(ROWS($O$2:O451),$O$2:$O$1001,0),MATCH(COLUMNS($V$1006:AC1006),$V$1006:$AE$1006,0)), HYPERLINK("#",""), HYPERLINK(CONCATENATE("#Metadata!", ADDRESS(INDEX($Q$2:$Q$1001,MATCH(ROWS($O$2:O451),$O$2:$O$1001,0),0), INDEX($V$1004:$AE$1004,1,MATCH(COLUMNS($V$1006:AC1006),$V$1006:$AE$1006,0)))),"Fix")))</f>
        <v>0</v>
      </c>
      <c r="J451" s="4">
        <f>IF(OR(INDEX($P$2:$P$1001,MATCH(ROWS($O$2:O451),$O$2:$O$1001,0),1)&gt;=100000,INDEX($V$1005:$AE$1005,1,MATCH(COLUMNS($V$1006:AD1006),$V$1006:$AE$1006,0))&gt;=100000), " ",IF(INDEX($V$2:$AE$1001,MATCH(ROWS($O$2:O451),$O$2:$O$1001,0),MATCH(COLUMNS($V$1006:AD1006),$V$1006:$AE$1006,0)), HYPERLINK("#",""), HYPERLINK(CONCATENATE("#Metadata!", ADDRESS(INDEX($Q$2:$Q$1001,MATCH(ROWS($O$2:O451),$O$2:$O$1001,0),0), INDEX($V$1004:$AE$1004,1,MATCH(COLUMNS($V$1006:AD1006),$V$1006:$AE$1006,0)))),"Fix")))</f>
        <v>0</v>
      </c>
      <c r="K451" s="4">
        <f>IF(OR(INDEX($P$2:$P$1001,MATCH(ROWS($O$2:O451),$O$2:$O$1001,0),1)&gt;=100000,INDEX($V$1005:$AE$1005,1,MATCH(COLUMNS($V$1006:AE1006),$V$1006:$AE$1006,0))&gt;=100000), " ",IF(INDEX($V$2:$AE$1001,MATCH(ROWS($O$2:O451),$O$2:$O$1001,0),MATCH(COLUMNS($V$1006:AE1006),$V$1006:$AE$1006,0)), HYPERLINK("#",""), HYPERLINK(CONCATENATE("#Metadata!", ADDRESS(INDEX($Q$2:$Q$1001,MATCH(ROWS($O$2:O451),$O$2:$O$1001,0),0), INDEX($V$1004:$AE$1004,1,MATCH(COLUMNS($V$1006:AE1006),$V$1006:$AE$1006,0)))),"Fix")))</f>
        <v>0</v>
      </c>
      <c r="O451">
        <v>0</v>
      </c>
      <c r="P451">
        <v>0</v>
      </c>
      <c r="Q451">
        <v>0</v>
      </c>
      <c r="R451">
        <f>IF(S451,TRUE,AND(V451:AE451))</f>
        <v>0</v>
      </c>
      <c r="S451">
        <f>COUNTBLANK(Metadata!B451:K451)=COLUMNS(Metadata!B451:K451)</f>
        <v>0</v>
      </c>
      <c r="T451">
        <v>0</v>
      </c>
      <c r="V451">
        <f>AND(IF(Metadata!B451="",FALSE,TRUE),COUNTIF(Metadata!B:B, Metadata!B451) = 1,NOT(ISERROR(SUMPRODUCT(SEARCH(MID(Metadata!B451,ROW(INDIRECT("1:"&amp;LEN(Metadata!B451))), 1),"0123456789abcdefghijklmnopqrstuvwxyzABCDEFGHIJKLMNOPQRSTUVWXYZ.")))))</f>
        <v>0</v>
      </c>
      <c r="W451">
        <f>AND(IF(Metadata!C451="",FALSE,TRUE),exact(Metadata!C451,"urban biome"))</f>
        <v>0</v>
      </c>
      <c r="X451">
        <f>AND(IF(Metadata!D451="",FALSE,TRUE),exact(Metadata!D451,"animal-associated habitat"))</f>
        <v>0</v>
      </c>
      <c r="Y451">
        <f>OR(AND(IF(Metadata!E451="",FALSE,TRUE),OR(exact(Metadata!E451,"not applicable"),exact(Metadata!E451,"missing: not collected"),exact(Metadata!E451,"missing: not provided"),exact(Metadata!E451,"missing: restricted access"))),AND(IF(Metadata!E451="",FALSE,ISNUMBER(VALUE(Metadata!E451))),Metadata!E451&gt;0))</f>
        <v>0</v>
      </c>
      <c r="Z451">
        <f>AND(IF(Metadata!F451="",FALSE,TRUE),exact(Metadata!F451,"weeks"))</f>
        <v>0</v>
      </c>
      <c r="AA451">
        <f>AND(IF(Metadata!G451="",FALSE,TRUE),exact(Metadata!G451,"mouse"))</f>
        <v>0</v>
      </c>
      <c r="AB451">
        <f>AND(IF(Metadata!H451="",FALSE,TRUE),exact(Metadata!H451,"Mus musculus"))</f>
        <v>0</v>
      </c>
      <c r="AC451">
        <f>AND(IF(Metadata!I451="",FALSE,TRUE),exact(Metadata!I451,"10090"))</f>
        <v>0</v>
      </c>
      <c r="AD451">
        <f>OR(AND(IF(Metadata!J451="",FALSE,TRUE),OR(exact(Metadata!J451,"not applicable"),exact(Metadata!J451,"missing: not collected"),exact(Metadata!J451,"missing: not provided"),exact(Metadata!J451,"missing: restricted access"))),AND(IF(Metadata!J451="",FALSE,ISNUMBER(VALUE(Metadata!J451))),Metadata!J451&gt;0))</f>
        <v>0</v>
      </c>
      <c r="AE451">
        <f>AND(IF(Metadata!K451="",FALSE,TRUE),exact(Metadata!K451,"g"))</f>
        <v>0</v>
      </c>
    </row>
    <row r="452" spans="1:31">
      <c r="A452" s="5">
        <f>IF(B452=" "," ",HYPERLINK(CONCATENATE("#metadata!",ADDRESS(INDEX($Q$2:$Q$1001,MATCH(ROWS($O$2:O452),$O$2:$O$1001,0),0),1)),INDEX($T$2:$T$1001,MATCH(ROWS($O$2:O452),$O$2:$O$1001,0),0)))</f>
        <v>0</v>
      </c>
      <c r="B452" s="4">
        <f>IF(OR(INDEX($P$2:$P$1001,MATCH(ROWS($O$2:O452),$O$2:$O$1001,0),1)&gt;=100000,INDEX($V$1005:$AE$1005,1,MATCH(COLUMNS($V$1006:V1006),$V$1006:$AE$1006,0))&gt;=100000), " ",IF(INDEX($V$2:$AE$1001,MATCH(ROWS($O$2:O452),$O$2:$O$1001,0),MATCH(COLUMNS($V$1006:V1006),$V$1006:$AE$1006,0)), HYPERLINK("#",""), HYPERLINK(CONCATENATE("#Metadata!", ADDRESS(INDEX($Q$2:$Q$1001,MATCH(ROWS($O$2:O452),$O$2:$O$1001,0),0), INDEX($V$1004:$AE$1004,1,MATCH(COLUMNS($V$1006:V1006),$V$1006:$AE$1006,0)))),"Fix")))</f>
        <v>0</v>
      </c>
      <c r="C452" s="4">
        <f>IF(OR(INDEX($P$2:$P$1001,MATCH(ROWS($O$2:O452),$O$2:$O$1001,0),1)&gt;=100000,INDEX($V$1005:$AE$1005,1,MATCH(COLUMNS($V$1006:W1006),$V$1006:$AE$1006,0))&gt;=100000), " ",IF(INDEX($V$2:$AE$1001,MATCH(ROWS($O$2:O452),$O$2:$O$1001,0),MATCH(COLUMNS($V$1006:W1006),$V$1006:$AE$1006,0)), HYPERLINK("#",""), HYPERLINK(CONCATENATE("#Metadata!", ADDRESS(INDEX($Q$2:$Q$1001,MATCH(ROWS($O$2:O452),$O$2:$O$1001,0),0), INDEX($V$1004:$AE$1004,1,MATCH(COLUMNS($V$1006:W1006),$V$1006:$AE$1006,0)))),"Fix")))</f>
        <v>0</v>
      </c>
      <c r="D452" s="4">
        <f>IF(OR(INDEX($P$2:$P$1001,MATCH(ROWS($O$2:O452),$O$2:$O$1001,0),1)&gt;=100000,INDEX($V$1005:$AE$1005,1,MATCH(COLUMNS($V$1006:X1006),$V$1006:$AE$1006,0))&gt;=100000), " ",IF(INDEX($V$2:$AE$1001,MATCH(ROWS($O$2:O452),$O$2:$O$1001,0),MATCH(COLUMNS($V$1006:X1006),$V$1006:$AE$1006,0)), HYPERLINK("#",""), HYPERLINK(CONCATENATE("#Metadata!", ADDRESS(INDEX($Q$2:$Q$1001,MATCH(ROWS($O$2:O452),$O$2:$O$1001,0),0), INDEX($V$1004:$AE$1004,1,MATCH(COLUMNS($V$1006:X1006),$V$1006:$AE$1006,0)))),"Fix")))</f>
        <v>0</v>
      </c>
      <c r="E452" s="4">
        <f>IF(OR(INDEX($P$2:$P$1001,MATCH(ROWS($O$2:O452),$O$2:$O$1001,0),1)&gt;=100000,INDEX($V$1005:$AE$1005,1,MATCH(COLUMNS($V$1006:Y1006),$V$1006:$AE$1006,0))&gt;=100000), " ",IF(INDEX($V$2:$AE$1001,MATCH(ROWS($O$2:O452),$O$2:$O$1001,0),MATCH(COLUMNS($V$1006:Y1006),$V$1006:$AE$1006,0)), HYPERLINK("#",""), HYPERLINK(CONCATENATE("#Metadata!", ADDRESS(INDEX($Q$2:$Q$1001,MATCH(ROWS($O$2:O452),$O$2:$O$1001,0),0), INDEX($V$1004:$AE$1004,1,MATCH(COLUMNS($V$1006:Y1006),$V$1006:$AE$1006,0)))),"Fix")))</f>
        <v>0</v>
      </c>
      <c r="F452" s="4">
        <f>IF(OR(INDEX($P$2:$P$1001,MATCH(ROWS($O$2:O452),$O$2:$O$1001,0),1)&gt;=100000,INDEX($V$1005:$AE$1005,1,MATCH(COLUMNS($V$1006:Z1006),$V$1006:$AE$1006,0))&gt;=100000), " ",IF(INDEX($V$2:$AE$1001,MATCH(ROWS($O$2:O452),$O$2:$O$1001,0),MATCH(COLUMNS($V$1006:Z1006),$V$1006:$AE$1006,0)), HYPERLINK("#",""), HYPERLINK(CONCATENATE("#Metadata!", ADDRESS(INDEX($Q$2:$Q$1001,MATCH(ROWS($O$2:O452),$O$2:$O$1001,0),0), INDEX($V$1004:$AE$1004,1,MATCH(COLUMNS($V$1006:Z1006),$V$1006:$AE$1006,0)))),"Fix")))</f>
        <v>0</v>
      </c>
      <c r="G452" s="4">
        <f>IF(OR(INDEX($P$2:$P$1001,MATCH(ROWS($O$2:O452),$O$2:$O$1001,0),1)&gt;=100000,INDEX($V$1005:$AE$1005,1,MATCH(COLUMNS($V$1006:AA1006),$V$1006:$AE$1006,0))&gt;=100000), " ",IF(INDEX($V$2:$AE$1001,MATCH(ROWS($O$2:O452),$O$2:$O$1001,0),MATCH(COLUMNS($V$1006:AA1006),$V$1006:$AE$1006,0)), HYPERLINK("#",""), HYPERLINK(CONCATENATE("#Metadata!", ADDRESS(INDEX($Q$2:$Q$1001,MATCH(ROWS($O$2:O452),$O$2:$O$1001,0),0), INDEX($V$1004:$AE$1004,1,MATCH(COLUMNS($V$1006:AA1006),$V$1006:$AE$1006,0)))),"Fix")))</f>
        <v>0</v>
      </c>
      <c r="H452" s="4">
        <f>IF(OR(INDEX($P$2:$P$1001,MATCH(ROWS($O$2:O452),$O$2:$O$1001,0),1)&gt;=100000,INDEX($V$1005:$AE$1005,1,MATCH(COLUMNS($V$1006:AB1006),$V$1006:$AE$1006,0))&gt;=100000), " ",IF(INDEX($V$2:$AE$1001,MATCH(ROWS($O$2:O452),$O$2:$O$1001,0),MATCH(COLUMNS($V$1006:AB1006),$V$1006:$AE$1006,0)), HYPERLINK("#",""), HYPERLINK(CONCATENATE("#Metadata!", ADDRESS(INDEX($Q$2:$Q$1001,MATCH(ROWS($O$2:O452),$O$2:$O$1001,0),0), INDEX($V$1004:$AE$1004,1,MATCH(COLUMNS($V$1006:AB1006),$V$1006:$AE$1006,0)))),"Fix")))</f>
        <v>0</v>
      </c>
      <c r="I452" s="4">
        <f>IF(OR(INDEX($P$2:$P$1001,MATCH(ROWS($O$2:O452),$O$2:$O$1001,0),1)&gt;=100000,INDEX($V$1005:$AE$1005,1,MATCH(COLUMNS($V$1006:AC1006),$V$1006:$AE$1006,0))&gt;=100000), " ",IF(INDEX($V$2:$AE$1001,MATCH(ROWS($O$2:O452),$O$2:$O$1001,0),MATCH(COLUMNS($V$1006:AC1006),$V$1006:$AE$1006,0)), HYPERLINK("#",""), HYPERLINK(CONCATENATE("#Metadata!", ADDRESS(INDEX($Q$2:$Q$1001,MATCH(ROWS($O$2:O452),$O$2:$O$1001,0),0), INDEX($V$1004:$AE$1004,1,MATCH(COLUMNS($V$1006:AC1006),$V$1006:$AE$1006,0)))),"Fix")))</f>
        <v>0</v>
      </c>
      <c r="J452" s="4">
        <f>IF(OR(INDEX($P$2:$P$1001,MATCH(ROWS($O$2:O452),$O$2:$O$1001,0),1)&gt;=100000,INDEX($V$1005:$AE$1005,1,MATCH(COLUMNS($V$1006:AD1006),$V$1006:$AE$1006,0))&gt;=100000), " ",IF(INDEX($V$2:$AE$1001,MATCH(ROWS($O$2:O452),$O$2:$O$1001,0),MATCH(COLUMNS($V$1006:AD1006),$V$1006:$AE$1006,0)), HYPERLINK("#",""), HYPERLINK(CONCATENATE("#Metadata!", ADDRESS(INDEX($Q$2:$Q$1001,MATCH(ROWS($O$2:O452),$O$2:$O$1001,0),0), INDEX($V$1004:$AE$1004,1,MATCH(COLUMNS($V$1006:AD1006),$V$1006:$AE$1006,0)))),"Fix")))</f>
        <v>0</v>
      </c>
      <c r="K452" s="4">
        <f>IF(OR(INDEX($P$2:$P$1001,MATCH(ROWS($O$2:O452),$O$2:$O$1001,0),1)&gt;=100000,INDEX($V$1005:$AE$1005,1,MATCH(COLUMNS($V$1006:AE1006),$V$1006:$AE$1006,0))&gt;=100000), " ",IF(INDEX($V$2:$AE$1001,MATCH(ROWS($O$2:O452),$O$2:$O$1001,0),MATCH(COLUMNS($V$1006:AE1006),$V$1006:$AE$1006,0)), HYPERLINK("#",""), HYPERLINK(CONCATENATE("#Metadata!", ADDRESS(INDEX($Q$2:$Q$1001,MATCH(ROWS($O$2:O452),$O$2:$O$1001,0),0), INDEX($V$1004:$AE$1004,1,MATCH(COLUMNS($V$1006:AE1006),$V$1006:$AE$1006,0)))),"Fix")))</f>
        <v>0</v>
      </c>
      <c r="O452">
        <v>0</v>
      </c>
      <c r="P452">
        <v>0</v>
      </c>
      <c r="Q452">
        <v>0</v>
      </c>
      <c r="R452">
        <f>IF(S452,TRUE,AND(V452:AE452))</f>
        <v>0</v>
      </c>
      <c r="S452">
        <f>COUNTBLANK(Metadata!B452:K452)=COLUMNS(Metadata!B452:K452)</f>
        <v>0</v>
      </c>
      <c r="T452">
        <v>0</v>
      </c>
      <c r="V452">
        <f>AND(IF(Metadata!B452="",FALSE,TRUE),COUNTIF(Metadata!B:B, Metadata!B452) = 1,NOT(ISERROR(SUMPRODUCT(SEARCH(MID(Metadata!B452,ROW(INDIRECT("1:"&amp;LEN(Metadata!B452))), 1),"0123456789abcdefghijklmnopqrstuvwxyzABCDEFGHIJKLMNOPQRSTUVWXYZ.")))))</f>
        <v>0</v>
      </c>
      <c r="W452">
        <f>AND(IF(Metadata!C452="",FALSE,TRUE),exact(Metadata!C452,"urban biome"))</f>
        <v>0</v>
      </c>
      <c r="X452">
        <f>AND(IF(Metadata!D452="",FALSE,TRUE),exact(Metadata!D452,"animal-associated habitat"))</f>
        <v>0</v>
      </c>
      <c r="Y452">
        <f>OR(AND(IF(Metadata!E452="",FALSE,TRUE),OR(exact(Metadata!E452,"not applicable"),exact(Metadata!E452,"missing: not collected"),exact(Metadata!E452,"missing: not provided"),exact(Metadata!E452,"missing: restricted access"))),AND(IF(Metadata!E452="",FALSE,ISNUMBER(VALUE(Metadata!E452))),Metadata!E452&gt;0))</f>
        <v>0</v>
      </c>
      <c r="Z452">
        <f>AND(IF(Metadata!F452="",FALSE,TRUE),exact(Metadata!F452,"weeks"))</f>
        <v>0</v>
      </c>
      <c r="AA452">
        <f>AND(IF(Metadata!G452="",FALSE,TRUE),exact(Metadata!G452,"mouse"))</f>
        <v>0</v>
      </c>
      <c r="AB452">
        <f>AND(IF(Metadata!H452="",FALSE,TRUE),exact(Metadata!H452,"Mus musculus"))</f>
        <v>0</v>
      </c>
      <c r="AC452">
        <f>AND(IF(Metadata!I452="",FALSE,TRUE),exact(Metadata!I452,"10090"))</f>
        <v>0</v>
      </c>
      <c r="AD452">
        <f>OR(AND(IF(Metadata!J452="",FALSE,TRUE),OR(exact(Metadata!J452,"not applicable"),exact(Metadata!J452,"missing: not collected"),exact(Metadata!J452,"missing: not provided"),exact(Metadata!J452,"missing: restricted access"))),AND(IF(Metadata!J452="",FALSE,ISNUMBER(VALUE(Metadata!J452))),Metadata!J452&gt;0))</f>
        <v>0</v>
      </c>
      <c r="AE452">
        <f>AND(IF(Metadata!K452="",FALSE,TRUE),exact(Metadata!K452,"g"))</f>
        <v>0</v>
      </c>
    </row>
    <row r="453" spans="1:31">
      <c r="A453" s="5">
        <f>IF(B453=" "," ",HYPERLINK(CONCATENATE("#metadata!",ADDRESS(INDEX($Q$2:$Q$1001,MATCH(ROWS($O$2:O453),$O$2:$O$1001,0),0),1)),INDEX($T$2:$T$1001,MATCH(ROWS($O$2:O453),$O$2:$O$1001,0),0)))</f>
        <v>0</v>
      </c>
      <c r="B453" s="4">
        <f>IF(OR(INDEX($P$2:$P$1001,MATCH(ROWS($O$2:O453),$O$2:$O$1001,0),1)&gt;=100000,INDEX($V$1005:$AE$1005,1,MATCH(COLUMNS($V$1006:V1006),$V$1006:$AE$1006,0))&gt;=100000), " ",IF(INDEX($V$2:$AE$1001,MATCH(ROWS($O$2:O453),$O$2:$O$1001,0),MATCH(COLUMNS($V$1006:V1006),$V$1006:$AE$1006,0)), HYPERLINK("#",""), HYPERLINK(CONCATENATE("#Metadata!", ADDRESS(INDEX($Q$2:$Q$1001,MATCH(ROWS($O$2:O453),$O$2:$O$1001,0),0), INDEX($V$1004:$AE$1004,1,MATCH(COLUMNS($V$1006:V1006),$V$1006:$AE$1006,0)))),"Fix")))</f>
        <v>0</v>
      </c>
      <c r="C453" s="4">
        <f>IF(OR(INDEX($P$2:$P$1001,MATCH(ROWS($O$2:O453),$O$2:$O$1001,0),1)&gt;=100000,INDEX($V$1005:$AE$1005,1,MATCH(COLUMNS($V$1006:W1006),$V$1006:$AE$1006,0))&gt;=100000), " ",IF(INDEX($V$2:$AE$1001,MATCH(ROWS($O$2:O453),$O$2:$O$1001,0),MATCH(COLUMNS($V$1006:W1006),$V$1006:$AE$1006,0)), HYPERLINK("#",""), HYPERLINK(CONCATENATE("#Metadata!", ADDRESS(INDEX($Q$2:$Q$1001,MATCH(ROWS($O$2:O453),$O$2:$O$1001,0),0), INDEX($V$1004:$AE$1004,1,MATCH(COLUMNS($V$1006:W1006),$V$1006:$AE$1006,0)))),"Fix")))</f>
        <v>0</v>
      </c>
      <c r="D453" s="4">
        <f>IF(OR(INDEX($P$2:$P$1001,MATCH(ROWS($O$2:O453),$O$2:$O$1001,0),1)&gt;=100000,INDEX($V$1005:$AE$1005,1,MATCH(COLUMNS($V$1006:X1006),$V$1006:$AE$1006,0))&gt;=100000), " ",IF(INDEX($V$2:$AE$1001,MATCH(ROWS($O$2:O453),$O$2:$O$1001,0),MATCH(COLUMNS($V$1006:X1006),$V$1006:$AE$1006,0)), HYPERLINK("#",""), HYPERLINK(CONCATENATE("#Metadata!", ADDRESS(INDEX($Q$2:$Q$1001,MATCH(ROWS($O$2:O453),$O$2:$O$1001,0),0), INDEX($V$1004:$AE$1004,1,MATCH(COLUMNS($V$1006:X1006),$V$1006:$AE$1006,0)))),"Fix")))</f>
        <v>0</v>
      </c>
      <c r="E453" s="4">
        <f>IF(OR(INDEX($P$2:$P$1001,MATCH(ROWS($O$2:O453),$O$2:$O$1001,0),1)&gt;=100000,INDEX($V$1005:$AE$1005,1,MATCH(COLUMNS($V$1006:Y1006),$V$1006:$AE$1006,0))&gt;=100000), " ",IF(INDEX($V$2:$AE$1001,MATCH(ROWS($O$2:O453),$O$2:$O$1001,0),MATCH(COLUMNS($V$1006:Y1006),$V$1006:$AE$1006,0)), HYPERLINK("#",""), HYPERLINK(CONCATENATE("#Metadata!", ADDRESS(INDEX($Q$2:$Q$1001,MATCH(ROWS($O$2:O453),$O$2:$O$1001,0),0), INDEX($V$1004:$AE$1004,1,MATCH(COLUMNS($V$1006:Y1006),$V$1006:$AE$1006,0)))),"Fix")))</f>
        <v>0</v>
      </c>
      <c r="F453" s="4">
        <f>IF(OR(INDEX($P$2:$P$1001,MATCH(ROWS($O$2:O453),$O$2:$O$1001,0),1)&gt;=100000,INDEX($V$1005:$AE$1005,1,MATCH(COLUMNS($V$1006:Z1006),$V$1006:$AE$1006,0))&gt;=100000), " ",IF(INDEX($V$2:$AE$1001,MATCH(ROWS($O$2:O453),$O$2:$O$1001,0),MATCH(COLUMNS($V$1006:Z1006),$V$1006:$AE$1006,0)), HYPERLINK("#",""), HYPERLINK(CONCATENATE("#Metadata!", ADDRESS(INDEX($Q$2:$Q$1001,MATCH(ROWS($O$2:O453),$O$2:$O$1001,0),0), INDEX($V$1004:$AE$1004,1,MATCH(COLUMNS($V$1006:Z1006),$V$1006:$AE$1006,0)))),"Fix")))</f>
        <v>0</v>
      </c>
      <c r="G453" s="4">
        <f>IF(OR(INDEX($P$2:$P$1001,MATCH(ROWS($O$2:O453),$O$2:$O$1001,0),1)&gt;=100000,INDEX($V$1005:$AE$1005,1,MATCH(COLUMNS($V$1006:AA1006),$V$1006:$AE$1006,0))&gt;=100000), " ",IF(INDEX($V$2:$AE$1001,MATCH(ROWS($O$2:O453),$O$2:$O$1001,0),MATCH(COLUMNS($V$1006:AA1006),$V$1006:$AE$1006,0)), HYPERLINK("#",""), HYPERLINK(CONCATENATE("#Metadata!", ADDRESS(INDEX($Q$2:$Q$1001,MATCH(ROWS($O$2:O453),$O$2:$O$1001,0),0), INDEX($V$1004:$AE$1004,1,MATCH(COLUMNS($V$1006:AA1006),$V$1006:$AE$1006,0)))),"Fix")))</f>
        <v>0</v>
      </c>
      <c r="H453" s="4">
        <f>IF(OR(INDEX($P$2:$P$1001,MATCH(ROWS($O$2:O453),$O$2:$O$1001,0),1)&gt;=100000,INDEX($V$1005:$AE$1005,1,MATCH(COLUMNS($V$1006:AB1006),$V$1006:$AE$1006,0))&gt;=100000), " ",IF(INDEX($V$2:$AE$1001,MATCH(ROWS($O$2:O453),$O$2:$O$1001,0),MATCH(COLUMNS($V$1006:AB1006),$V$1006:$AE$1006,0)), HYPERLINK("#",""), HYPERLINK(CONCATENATE("#Metadata!", ADDRESS(INDEX($Q$2:$Q$1001,MATCH(ROWS($O$2:O453),$O$2:$O$1001,0),0), INDEX($V$1004:$AE$1004,1,MATCH(COLUMNS($V$1006:AB1006),$V$1006:$AE$1006,0)))),"Fix")))</f>
        <v>0</v>
      </c>
      <c r="I453" s="4">
        <f>IF(OR(INDEX($P$2:$P$1001,MATCH(ROWS($O$2:O453),$O$2:$O$1001,0),1)&gt;=100000,INDEX($V$1005:$AE$1005,1,MATCH(COLUMNS($V$1006:AC1006),$V$1006:$AE$1006,0))&gt;=100000), " ",IF(INDEX($V$2:$AE$1001,MATCH(ROWS($O$2:O453),$O$2:$O$1001,0),MATCH(COLUMNS($V$1006:AC1006),$V$1006:$AE$1006,0)), HYPERLINK("#",""), HYPERLINK(CONCATENATE("#Metadata!", ADDRESS(INDEX($Q$2:$Q$1001,MATCH(ROWS($O$2:O453),$O$2:$O$1001,0),0), INDEX($V$1004:$AE$1004,1,MATCH(COLUMNS($V$1006:AC1006),$V$1006:$AE$1006,0)))),"Fix")))</f>
        <v>0</v>
      </c>
      <c r="J453" s="4">
        <f>IF(OR(INDEX($P$2:$P$1001,MATCH(ROWS($O$2:O453),$O$2:$O$1001,0),1)&gt;=100000,INDEX($V$1005:$AE$1005,1,MATCH(COLUMNS($V$1006:AD1006),$V$1006:$AE$1006,0))&gt;=100000), " ",IF(INDEX($V$2:$AE$1001,MATCH(ROWS($O$2:O453),$O$2:$O$1001,0),MATCH(COLUMNS($V$1006:AD1006),$V$1006:$AE$1006,0)), HYPERLINK("#",""), HYPERLINK(CONCATENATE("#Metadata!", ADDRESS(INDEX($Q$2:$Q$1001,MATCH(ROWS($O$2:O453),$O$2:$O$1001,0),0), INDEX($V$1004:$AE$1004,1,MATCH(COLUMNS($V$1006:AD1006),$V$1006:$AE$1006,0)))),"Fix")))</f>
        <v>0</v>
      </c>
      <c r="K453" s="4">
        <f>IF(OR(INDEX($P$2:$P$1001,MATCH(ROWS($O$2:O453),$O$2:$O$1001,0),1)&gt;=100000,INDEX($V$1005:$AE$1005,1,MATCH(COLUMNS($V$1006:AE1006),$V$1006:$AE$1006,0))&gt;=100000), " ",IF(INDEX($V$2:$AE$1001,MATCH(ROWS($O$2:O453),$O$2:$O$1001,0),MATCH(COLUMNS($V$1006:AE1006),$V$1006:$AE$1006,0)), HYPERLINK("#",""), HYPERLINK(CONCATENATE("#Metadata!", ADDRESS(INDEX($Q$2:$Q$1001,MATCH(ROWS($O$2:O453),$O$2:$O$1001,0),0), INDEX($V$1004:$AE$1004,1,MATCH(COLUMNS($V$1006:AE1006),$V$1006:$AE$1006,0)))),"Fix")))</f>
        <v>0</v>
      </c>
      <c r="O453">
        <v>0</v>
      </c>
      <c r="P453">
        <v>0</v>
      </c>
      <c r="Q453">
        <v>0</v>
      </c>
      <c r="R453">
        <f>IF(S453,TRUE,AND(V453:AE453))</f>
        <v>0</v>
      </c>
      <c r="S453">
        <f>COUNTBLANK(Metadata!B453:K453)=COLUMNS(Metadata!B453:K453)</f>
        <v>0</v>
      </c>
      <c r="T453">
        <v>0</v>
      </c>
      <c r="V453">
        <f>AND(IF(Metadata!B453="",FALSE,TRUE),COUNTIF(Metadata!B:B, Metadata!B453) = 1,NOT(ISERROR(SUMPRODUCT(SEARCH(MID(Metadata!B453,ROW(INDIRECT("1:"&amp;LEN(Metadata!B453))), 1),"0123456789abcdefghijklmnopqrstuvwxyzABCDEFGHIJKLMNOPQRSTUVWXYZ.")))))</f>
        <v>0</v>
      </c>
      <c r="W453">
        <f>AND(IF(Metadata!C453="",FALSE,TRUE),exact(Metadata!C453,"urban biome"))</f>
        <v>0</v>
      </c>
      <c r="X453">
        <f>AND(IF(Metadata!D453="",FALSE,TRUE),exact(Metadata!D453,"animal-associated habitat"))</f>
        <v>0</v>
      </c>
      <c r="Y453">
        <f>OR(AND(IF(Metadata!E453="",FALSE,TRUE),OR(exact(Metadata!E453,"not applicable"),exact(Metadata!E453,"missing: not collected"),exact(Metadata!E453,"missing: not provided"),exact(Metadata!E453,"missing: restricted access"))),AND(IF(Metadata!E453="",FALSE,ISNUMBER(VALUE(Metadata!E453))),Metadata!E453&gt;0))</f>
        <v>0</v>
      </c>
      <c r="Z453">
        <f>AND(IF(Metadata!F453="",FALSE,TRUE),exact(Metadata!F453,"weeks"))</f>
        <v>0</v>
      </c>
      <c r="AA453">
        <f>AND(IF(Metadata!G453="",FALSE,TRUE),exact(Metadata!G453,"mouse"))</f>
        <v>0</v>
      </c>
      <c r="AB453">
        <f>AND(IF(Metadata!H453="",FALSE,TRUE),exact(Metadata!H453,"Mus musculus"))</f>
        <v>0</v>
      </c>
      <c r="AC453">
        <f>AND(IF(Metadata!I453="",FALSE,TRUE),exact(Metadata!I453,"10090"))</f>
        <v>0</v>
      </c>
      <c r="AD453">
        <f>OR(AND(IF(Metadata!J453="",FALSE,TRUE),OR(exact(Metadata!J453,"not applicable"),exact(Metadata!J453,"missing: not collected"),exact(Metadata!J453,"missing: not provided"),exact(Metadata!J453,"missing: restricted access"))),AND(IF(Metadata!J453="",FALSE,ISNUMBER(VALUE(Metadata!J453))),Metadata!J453&gt;0))</f>
        <v>0</v>
      </c>
      <c r="AE453">
        <f>AND(IF(Metadata!K453="",FALSE,TRUE),exact(Metadata!K453,"g"))</f>
        <v>0</v>
      </c>
    </row>
    <row r="454" spans="1:31">
      <c r="A454" s="5">
        <f>IF(B454=" "," ",HYPERLINK(CONCATENATE("#metadata!",ADDRESS(INDEX($Q$2:$Q$1001,MATCH(ROWS($O$2:O454),$O$2:$O$1001,0),0),1)),INDEX($T$2:$T$1001,MATCH(ROWS($O$2:O454),$O$2:$O$1001,0),0)))</f>
        <v>0</v>
      </c>
      <c r="B454" s="4">
        <f>IF(OR(INDEX($P$2:$P$1001,MATCH(ROWS($O$2:O454),$O$2:$O$1001,0),1)&gt;=100000,INDEX($V$1005:$AE$1005,1,MATCH(COLUMNS($V$1006:V1006),$V$1006:$AE$1006,0))&gt;=100000), " ",IF(INDEX($V$2:$AE$1001,MATCH(ROWS($O$2:O454),$O$2:$O$1001,0),MATCH(COLUMNS($V$1006:V1006),$V$1006:$AE$1006,0)), HYPERLINK("#",""), HYPERLINK(CONCATENATE("#Metadata!", ADDRESS(INDEX($Q$2:$Q$1001,MATCH(ROWS($O$2:O454),$O$2:$O$1001,0),0), INDEX($V$1004:$AE$1004,1,MATCH(COLUMNS($V$1006:V1006),$V$1006:$AE$1006,0)))),"Fix")))</f>
        <v>0</v>
      </c>
      <c r="C454" s="4">
        <f>IF(OR(INDEX($P$2:$P$1001,MATCH(ROWS($O$2:O454),$O$2:$O$1001,0),1)&gt;=100000,INDEX($V$1005:$AE$1005,1,MATCH(COLUMNS($V$1006:W1006),$V$1006:$AE$1006,0))&gt;=100000), " ",IF(INDEX($V$2:$AE$1001,MATCH(ROWS($O$2:O454),$O$2:$O$1001,0),MATCH(COLUMNS($V$1006:W1006),$V$1006:$AE$1006,0)), HYPERLINK("#",""), HYPERLINK(CONCATENATE("#Metadata!", ADDRESS(INDEX($Q$2:$Q$1001,MATCH(ROWS($O$2:O454),$O$2:$O$1001,0),0), INDEX($V$1004:$AE$1004,1,MATCH(COLUMNS($V$1006:W1006),$V$1006:$AE$1006,0)))),"Fix")))</f>
        <v>0</v>
      </c>
      <c r="D454" s="4">
        <f>IF(OR(INDEX($P$2:$P$1001,MATCH(ROWS($O$2:O454),$O$2:$O$1001,0),1)&gt;=100000,INDEX($V$1005:$AE$1005,1,MATCH(COLUMNS($V$1006:X1006),$V$1006:$AE$1006,0))&gt;=100000), " ",IF(INDEX($V$2:$AE$1001,MATCH(ROWS($O$2:O454),$O$2:$O$1001,0),MATCH(COLUMNS($V$1006:X1006),$V$1006:$AE$1006,0)), HYPERLINK("#",""), HYPERLINK(CONCATENATE("#Metadata!", ADDRESS(INDEX($Q$2:$Q$1001,MATCH(ROWS($O$2:O454),$O$2:$O$1001,0),0), INDEX($V$1004:$AE$1004,1,MATCH(COLUMNS($V$1006:X1006),$V$1006:$AE$1006,0)))),"Fix")))</f>
        <v>0</v>
      </c>
      <c r="E454" s="4">
        <f>IF(OR(INDEX($P$2:$P$1001,MATCH(ROWS($O$2:O454),$O$2:$O$1001,0),1)&gt;=100000,INDEX($V$1005:$AE$1005,1,MATCH(COLUMNS($V$1006:Y1006),$V$1006:$AE$1006,0))&gt;=100000), " ",IF(INDEX($V$2:$AE$1001,MATCH(ROWS($O$2:O454),$O$2:$O$1001,0),MATCH(COLUMNS($V$1006:Y1006),$V$1006:$AE$1006,0)), HYPERLINK("#",""), HYPERLINK(CONCATENATE("#Metadata!", ADDRESS(INDEX($Q$2:$Q$1001,MATCH(ROWS($O$2:O454),$O$2:$O$1001,0),0), INDEX($V$1004:$AE$1004,1,MATCH(COLUMNS($V$1006:Y1006),$V$1006:$AE$1006,0)))),"Fix")))</f>
        <v>0</v>
      </c>
      <c r="F454" s="4">
        <f>IF(OR(INDEX($P$2:$P$1001,MATCH(ROWS($O$2:O454),$O$2:$O$1001,0),1)&gt;=100000,INDEX($V$1005:$AE$1005,1,MATCH(COLUMNS($V$1006:Z1006),$V$1006:$AE$1006,0))&gt;=100000), " ",IF(INDEX($V$2:$AE$1001,MATCH(ROWS($O$2:O454),$O$2:$O$1001,0),MATCH(COLUMNS($V$1006:Z1006),$V$1006:$AE$1006,0)), HYPERLINK("#",""), HYPERLINK(CONCATENATE("#Metadata!", ADDRESS(INDEX($Q$2:$Q$1001,MATCH(ROWS($O$2:O454),$O$2:$O$1001,0),0), INDEX($V$1004:$AE$1004,1,MATCH(COLUMNS($V$1006:Z1006),$V$1006:$AE$1006,0)))),"Fix")))</f>
        <v>0</v>
      </c>
      <c r="G454" s="4">
        <f>IF(OR(INDEX($P$2:$P$1001,MATCH(ROWS($O$2:O454),$O$2:$O$1001,0),1)&gt;=100000,INDEX($V$1005:$AE$1005,1,MATCH(COLUMNS($V$1006:AA1006),$V$1006:$AE$1006,0))&gt;=100000), " ",IF(INDEX($V$2:$AE$1001,MATCH(ROWS($O$2:O454),$O$2:$O$1001,0),MATCH(COLUMNS($V$1006:AA1006),$V$1006:$AE$1006,0)), HYPERLINK("#",""), HYPERLINK(CONCATENATE("#Metadata!", ADDRESS(INDEX($Q$2:$Q$1001,MATCH(ROWS($O$2:O454),$O$2:$O$1001,0),0), INDEX($V$1004:$AE$1004,1,MATCH(COLUMNS($V$1006:AA1006),$V$1006:$AE$1006,0)))),"Fix")))</f>
        <v>0</v>
      </c>
      <c r="H454" s="4">
        <f>IF(OR(INDEX($P$2:$P$1001,MATCH(ROWS($O$2:O454),$O$2:$O$1001,0),1)&gt;=100000,INDEX($V$1005:$AE$1005,1,MATCH(COLUMNS($V$1006:AB1006),$V$1006:$AE$1006,0))&gt;=100000), " ",IF(INDEX($V$2:$AE$1001,MATCH(ROWS($O$2:O454),$O$2:$O$1001,0),MATCH(COLUMNS($V$1006:AB1006),$V$1006:$AE$1006,0)), HYPERLINK("#",""), HYPERLINK(CONCATENATE("#Metadata!", ADDRESS(INDEX($Q$2:$Q$1001,MATCH(ROWS($O$2:O454),$O$2:$O$1001,0),0), INDEX($V$1004:$AE$1004,1,MATCH(COLUMNS($V$1006:AB1006),$V$1006:$AE$1006,0)))),"Fix")))</f>
        <v>0</v>
      </c>
      <c r="I454" s="4">
        <f>IF(OR(INDEX($P$2:$P$1001,MATCH(ROWS($O$2:O454),$O$2:$O$1001,0),1)&gt;=100000,INDEX($V$1005:$AE$1005,1,MATCH(COLUMNS($V$1006:AC1006),$V$1006:$AE$1006,0))&gt;=100000), " ",IF(INDEX($V$2:$AE$1001,MATCH(ROWS($O$2:O454),$O$2:$O$1001,0),MATCH(COLUMNS($V$1006:AC1006),$V$1006:$AE$1006,0)), HYPERLINK("#",""), HYPERLINK(CONCATENATE("#Metadata!", ADDRESS(INDEX($Q$2:$Q$1001,MATCH(ROWS($O$2:O454),$O$2:$O$1001,0),0), INDEX($V$1004:$AE$1004,1,MATCH(COLUMNS($V$1006:AC1006),$V$1006:$AE$1006,0)))),"Fix")))</f>
        <v>0</v>
      </c>
      <c r="J454" s="4">
        <f>IF(OR(INDEX($P$2:$P$1001,MATCH(ROWS($O$2:O454),$O$2:$O$1001,0),1)&gt;=100000,INDEX($V$1005:$AE$1005,1,MATCH(COLUMNS($V$1006:AD1006),$V$1006:$AE$1006,0))&gt;=100000), " ",IF(INDEX($V$2:$AE$1001,MATCH(ROWS($O$2:O454),$O$2:$O$1001,0),MATCH(COLUMNS($V$1006:AD1006),$V$1006:$AE$1006,0)), HYPERLINK("#",""), HYPERLINK(CONCATENATE("#Metadata!", ADDRESS(INDEX($Q$2:$Q$1001,MATCH(ROWS($O$2:O454),$O$2:$O$1001,0),0), INDEX($V$1004:$AE$1004,1,MATCH(COLUMNS($V$1006:AD1006),$V$1006:$AE$1006,0)))),"Fix")))</f>
        <v>0</v>
      </c>
      <c r="K454" s="4">
        <f>IF(OR(INDEX($P$2:$P$1001,MATCH(ROWS($O$2:O454),$O$2:$O$1001,0),1)&gt;=100000,INDEX($V$1005:$AE$1005,1,MATCH(COLUMNS($V$1006:AE1006),$V$1006:$AE$1006,0))&gt;=100000), " ",IF(INDEX($V$2:$AE$1001,MATCH(ROWS($O$2:O454),$O$2:$O$1001,0),MATCH(COLUMNS($V$1006:AE1006),$V$1006:$AE$1006,0)), HYPERLINK("#",""), HYPERLINK(CONCATENATE("#Metadata!", ADDRESS(INDEX($Q$2:$Q$1001,MATCH(ROWS($O$2:O454),$O$2:$O$1001,0),0), INDEX($V$1004:$AE$1004,1,MATCH(COLUMNS($V$1006:AE1006),$V$1006:$AE$1006,0)))),"Fix")))</f>
        <v>0</v>
      </c>
      <c r="O454">
        <v>0</v>
      </c>
      <c r="P454">
        <v>0</v>
      </c>
      <c r="Q454">
        <v>0</v>
      </c>
      <c r="R454">
        <f>IF(S454,TRUE,AND(V454:AE454))</f>
        <v>0</v>
      </c>
      <c r="S454">
        <f>COUNTBLANK(Metadata!B454:K454)=COLUMNS(Metadata!B454:K454)</f>
        <v>0</v>
      </c>
      <c r="T454">
        <v>0</v>
      </c>
      <c r="V454">
        <f>AND(IF(Metadata!B454="",FALSE,TRUE),COUNTIF(Metadata!B:B, Metadata!B454) = 1,NOT(ISERROR(SUMPRODUCT(SEARCH(MID(Metadata!B454,ROW(INDIRECT("1:"&amp;LEN(Metadata!B454))), 1),"0123456789abcdefghijklmnopqrstuvwxyzABCDEFGHIJKLMNOPQRSTUVWXYZ.")))))</f>
        <v>0</v>
      </c>
      <c r="W454">
        <f>AND(IF(Metadata!C454="",FALSE,TRUE),exact(Metadata!C454,"urban biome"))</f>
        <v>0</v>
      </c>
      <c r="X454">
        <f>AND(IF(Metadata!D454="",FALSE,TRUE),exact(Metadata!D454,"animal-associated habitat"))</f>
        <v>0</v>
      </c>
      <c r="Y454">
        <f>OR(AND(IF(Metadata!E454="",FALSE,TRUE),OR(exact(Metadata!E454,"not applicable"),exact(Metadata!E454,"missing: not collected"),exact(Metadata!E454,"missing: not provided"),exact(Metadata!E454,"missing: restricted access"))),AND(IF(Metadata!E454="",FALSE,ISNUMBER(VALUE(Metadata!E454))),Metadata!E454&gt;0))</f>
        <v>0</v>
      </c>
      <c r="Z454">
        <f>AND(IF(Metadata!F454="",FALSE,TRUE),exact(Metadata!F454,"weeks"))</f>
        <v>0</v>
      </c>
      <c r="AA454">
        <f>AND(IF(Metadata!G454="",FALSE,TRUE),exact(Metadata!G454,"mouse"))</f>
        <v>0</v>
      </c>
      <c r="AB454">
        <f>AND(IF(Metadata!H454="",FALSE,TRUE),exact(Metadata!H454,"Mus musculus"))</f>
        <v>0</v>
      </c>
      <c r="AC454">
        <f>AND(IF(Metadata!I454="",FALSE,TRUE),exact(Metadata!I454,"10090"))</f>
        <v>0</v>
      </c>
      <c r="AD454">
        <f>OR(AND(IF(Metadata!J454="",FALSE,TRUE),OR(exact(Metadata!J454,"not applicable"),exact(Metadata!J454,"missing: not collected"),exact(Metadata!J454,"missing: not provided"),exact(Metadata!J454,"missing: restricted access"))),AND(IF(Metadata!J454="",FALSE,ISNUMBER(VALUE(Metadata!J454))),Metadata!J454&gt;0))</f>
        <v>0</v>
      </c>
      <c r="AE454">
        <f>AND(IF(Metadata!K454="",FALSE,TRUE),exact(Metadata!K454,"g"))</f>
        <v>0</v>
      </c>
    </row>
    <row r="455" spans="1:31">
      <c r="A455" s="5">
        <f>IF(B455=" "," ",HYPERLINK(CONCATENATE("#metadata!",ADDRESS(INDEX($Q$2:$Q$1001,MATCH(ROWS($O$2:O455),$O$2:$O$1001,0),0),1)),INDEX($T$2:$T$1001,MATCH(ROWS($O$2:O455),$O$2:$O$1001,0),0)))</f>
        <v>0</v>
      </c>
      <c r="B455" s="4">
        <f>IF(OR(INDEX($P$2:$P$1001,MATCH(ROWS($O$2:O455),$O$2:$O$1001,0),1)&gt;=100000,INDEX($V$1005:$AE$1005,1,MATCH(COLUMNS($V$1006:V1006),$V$1006:$AE$1006,0))&gt;=100000), " ",IF(INDEX($V$2:$AE$1001,MATCH(ROWS($O$2:O455),$O$2:$O$1001,0),MATCH(COLUMNS($V$1006:V1006),$V$1006:$AE$1006,0)), HYPERLINK("#",""), HYPERLINK(CONCATENATE("#Metadata!", ADDRESS(INDEX($Q$2:$Q$1001,MATCH(ROWS($O$2:O455),$O$2:$O$1001,0),0), INDEX($V$1004:$AE$1004,1,MATCH(COLUMNS($V$1006:V1006),$V$1006:$AE$1006,0)))),"Fix")))</f>
        <v>0</v>
      </c>
      <c r="C455" s="4">
        <f>IF(OR(INDEX($P$2:$P$1001,MATCH(ROWS($O$2:O455),$O$2:$O$1001,0),1)&gt;=100000,INDEX($V$1005:$AE$1005,1,MATCH(COLUMNS($V$1006:W1006),$V$1006:$AE$1006,0))&gt;=100000), " ",IF(INDEX($V$2:$AE$1001,MATCH(ROWS($O$2:O455),$O$2:$O$1001,0),MATCH(COLUMNS($V$1006:W1006),$V$1006:$AE$1006,0)), HYPERLINK("#",""), HYPERLINK(CONCATENATE("#Metadata!", ADDRESS(INDEX($Q$2:$Q$1001,MATCH(ROWS($O$2:O455),$O$2:$O$1001,0),0), INDEX($V$1004:$AE$1004,1,MATCH(COLUMNS($V$1006:W1006),$V$1006:$AE$1006,0)))),"Fix")))</f>
        <v>0</v>
      </c>
      <c r="D455" s="4">
        <f>IF(OR(INDEX($P$2:$P$1001,MATCH(ROWS($O$2:O455),$O$2:$O$1001,0),1)&gt;=100000,INDEX($V$1005:$AE$1005,1,MATCH(COLUMNS($V$1006:X1006),$V$1006:$AE$1006,0))&gt;=100000), " ",IF(INDEX($V$2:$AE$1001,MATCH(ROWS($O$2:O455),$O$2:$O$1001,0),MATCH(COLUMNS($V$1006:X1006),$V$1006:$AE$1006,0)), HYPERLINK("#",""), HYPERLINK(CONCATENATE("#Metadata!", ADDRESS(INDEX($Q$2:$Q$1001,MATCH(ROWS($O$2:O455),$O$2:$O$1001,0),0), INDEX($V$1004:$AE$1004,1,MATCH(COLUMNS($V$1006:X1006),$V$1006:$AE$1006,0)))),"Fix")))</f>
        <v>0</v>
      </c>
      <c r="E455" s="4">
        <f>IF(OR(INDEX($P$2:$P$1001,MATCH(ROWS($O$2:O455),$O$2:$O$1001,0),1)&gt;=100000,INDEX($V$1005:$AE$1005,1,MATCH(COLUMNS($V$1006:Y1006),$V$1006:$AE$1006,0))&gt;=100000), " ",IF(INDEX($V$2:$AE$1001,MATCH(ROWS($O$2:O455),$O$2:$O$1001,0),MATCH(COLUMNS($V$1006:Y1006),$V$1006:$AE$1006,0)), HYPERLINK("#",""), HYPERLINK(CONCATENATE("#Metadata!", ADDRESS(INDEX($Q$2:$Q$1001,MATCH(ROWS($O$2:O455),$O$2:$O$1001,0),0), INDEX($V$1004:$AE$1004,1,MATCH(COLUMNS($V$1006:Y1006),$V$1006:$AE$1006,0)))),"Fix")))</f>
        <v>0</v>
      </c>
      <c r="F455" s="4">
        <f>IF(OR(INDEX($P$2:$P$1001,MATCH(ROWS($O$2:O455),$O$2:$O$1001,0),1)&gt;=100000,INDEX($V$1005:$AE$1005,1,MATCH(COLUMNS($V$1006:Z1006),$V$1006:$AE$1006,0))&gt;=100000), " ",IF(INDEX($V$2:$AE$1001,MATCH(ROWS($O$2:O455),$O$2:$O$1001,0),MATCH(COLUMNS($V$1006:Z1006),$V$1006:$AE$1006,0)), HYPERLINK("#",""), HYPERLINK(CONCATENATE("#Metadata!", ADDRESS(INDEX($Q$2:$Q$1001,MATCH(ROWS($O$2:O455),$O$2:$O$1001,0),0), INDEX($V$1004:$AE$1004,1,MATCH(COLUMNS($V$1006:Z1006),$V$1006:$AE$1006,0)))),"Fix")))</f>
        <v>0</v>
      </c>
      <c r="G455" s="4">
        <f>IF(OR(INDEX($P$2:$P$1001,MATCH(ROWS($O$2:O455),$O$2:$O$1001,0),1)&gt;=100000,INDEX($V$1005:$AE$1005,1,MATCH(COLUMNS($V$1006:AA1006),$V$1006:$AE$1006,0))&gt;=100000), " ",IF(INDEX($V$2:$AE$1001,MATCH(ROWS($O$2:O455),$O$2:$O$1001,0),MATCH(COLUMNS($V$1006:AA1006),$V$1006:$AE$1006,0)), HYPERLINK("#",""), HYPERLINK(CONCATENATE("#Metadata!", ADDRESS(INDEX($Q$2:$Q$1001,MATCH(ROWS($O$2:O455),$O$2:$O$1001,0),0), INDEX($V$1004:$AE$1004,1,MATCH(COLUMNS($V$1006:AA1006),$V$1006:$AE$1006,0)))),"Fix")))</f>
        <v>0</v>
      </c>
      <c r="H455" s="4">
        <f>IF(OR(INDEX($P$2:$P$1001,MATCH(ROWS($O$2:O455),$O$2:$O$1001,0),1)&gt;=100000,INDEX($V$1005:$AE$1005,1,MATCH(COLUMNS($V$1006:AB1006),$V$1006:$AE$1006,0))&gt;=100000), " ",IF(INDEX($V$2:$AE$1001,MATCH(ROWS($O$2:O455),$O$2:$O$1001,0),MATCH(COLUMNS($V$1006:AB1006),$V$1006:$AE$1006,0)), HYPERLINK("#",""), HYPERLINK(CONCATENATE("#Metadata!", ADDRESS(INDEX($Q$2:$Q$1001,MATCH(ROWS($O$2:O455),$O$2:$O$1001,0),0), INDEX($V$1004:$AE$1004,1,MATCH(COLUMNS($V$1006:AB1006),$V$1006:$AE$1006,0)))),"Fix")))</f>
        <v>0</v>
      </c>
      <c r="I455" s="4">
        <f>IF(OR(INDEX($P$2:$P$1001,MATCH(ROWS($O$2:O455),$O$2:$O$1001,0),1)&gt;=100000,INDEX($V$1005:$AE$1005,1,MATCH(COLUMNS($V$1006:AC1006),$V$1006:$AE$1006,0))&gt;=100000), " ",IF(INDEX($V$2:$AE$1001,MATCH(ROWS($O$2:O455),$O$2:$O$1001,0),MATCH(COLUMNS($V$1006:AC1006),$V$1006:$AE$1006,0)), HYPERLINK("#",""), HYPERLINK(CONCATENATE("#Metadata!", ADDRESS(INDEX($Q$2:$Q$1001,MATCH(ROWS($O$2:O455),$O$2:$O$1001,0),0), INDEX($V$1004:$AE$1004,1,MATCH(COLUMNS($V$1006:AC1006),$V$1006:$AE$1006,0)))),"Fix")))</f>
        <v>0</v>
      </c>
      <c r="J455" s="4">
        <f>IF(OR(INDEX($P$2:$P$1001,MATCH(ROWS($O$2:O455),$O$2:$O$1001,0),1)&gt;=100000,INDEX($V$1005:$AE$1005,1,MATCH(COLUMNS($V$1006:AD1006),$V$1006:$AE$1006,0))&gt;=100000), " ",IF(INDEX($V$2:$AE$1001,MATCH(ROWS($O$2:O455),$O$2:$O$1001,0),MATCH(COLUMNS($V$1006:AD1006),$V$1006:$AE$1006,0)), HYPERLINK("#",""), HYPERLINK(CONCATENATE("#Metadata!", ADDRESS(INDEX($Q$2:$Q$1001,MATCH(ROWS($O$2:O455),$O$2:$O$1001,0),0), INDEX($V$1004:$AE$1004,1,MATCH(COLUMNS($V$1006:AD1006),$V$1006:$AE$1006,0)))),"Fix")))</f>
        <v>0</v>
      </c>
      <c r="K455" s="4">
        <f>IF(OR(INDEX($P$2:$P$1001,MATCH(ROWS($O$2:O455),$O$2:$O$1001,0),1)&gt;=100000,INDEX($V$1005:$AE$1005,1,MATCH(COLUMNS($V$1006:AE1006),$V$1006:$AE$1006,0))&gt;=100000), " ",IF(INDEX($V$2:$AE$1001,MATCH(ROWS($O$2:O455),$O$2:$O$1001,0),MATCH(COLUMNS($V$1006:AE1006),$V$1006:$AE$1006,0)), HYPERLINK("#",""), HYPERLINK(CONCATENATE("#Metadata!", ADDRESS(INDEX($Q$2:$Q$1001,MATCH(ROWS($O$2:O455),$O$2:$O$1001,0),0), INDEX($V$1004:$AE$1004,1,MATCH(COLUMNS($V$1006:AE1006),$V$1006:$AE$1006,0)))),"Fix")))</f>
        <v>0</v>
      </c>
      <c r="O455">
        <v>0</v>
      </c>
      <c r="P455">
        <v>0</v>
      </c>
      <c r="Q455">
        <v>0</v>
      </c>
      <c r="R455">
        <f>IF(S455,TRUE,AND(V455:AE455))</f>
        <v>0</v>
      </c>
      <c r="S455">
        <f>COUNTBLANK(Metadata!B455:K455)=COLUMNS(Metadata!B455:K455)</f>
        <v>0</v>
      </c>
      <c r="T455">
        <v>0</v>
      </c>
      <c r="V455">
        <f>AND(IF(Metadata!B455="",FALSE,TRUE),COUNTIF(Metadata!B:B, Metadata!B455) = 1,NOT(ISERROR(SUMPRODUCT(SEARCH(MID(Metadata!B455,ROW(INDIRECT("1:"&amp;LEN(Metadata!B455))), 1),"0123456789abcdefghijklmnopqrstuvwxyzABCDEFGHIJKLMNOPQRSTUVWXYZ.")))))</f>
        <v>0</v>
      </c>
      <c r="W455">
        <f>AND(IF(Metadata!C455="",FALSE,TRUE),exact(Metadata!C455,"urban biome"))</f>
        <v>0</v>
      </c>
      <c r="X455">
        <f>AND(IF(Metadata!D455="",FALSE,TRUE),exact(Metadata!D455,"animal-associated habitat"))</f>
        <v>0</v>
      </c>
      <c r="Y455">
        <f>OR(AND(IF(Metadata!E455="",FALSE,TRUE),OR(exact(Metadata!E455,"not applicable"),exact(Metadata!E455,"missing: not collected"),exact(Metadata!E455,"missing: not provided"),exact(Metadata!E455,"missing: restricted access"))),AND(IF(Metadata!E455="",FALSE,ISNUMBER(VALUE(Metadata!E455))),Metadata!E455&gt;0))</f>
        <v>0</v>
      </c>
      <c r="Z455">
        <f>AND(IF(Metadata!F455="",FALSE,TRUE),exact(Metadata!F455,"weeks"))</f>
        <v>0</v>
      </c>
      <c r="AA455">
        <f>AND(IF(Metadata!G455="",FALSE,TRUE),exact(Metadata!G455,"mouse"))</f>
        <v>0</v>
      </c>
      <c r="AB455">
        <f>AND(IF(Metadata!H455="",FALSE,TRUE),exact(Metadata!H455,"Mus musculus"))</f>
        <v>0</v>
      </c>
      <c r="AC455">
        <f>AND(IF(Metadata!I455="",FALSE,TRUE),exact(Metadata!I455,"10090"))</f>
        <v>0</v>
      </c>
      <c r="AD455">
        <f>OR(AND(IF(Metadata!J455="",FALSE,TRUE),OR(exact(Metadata!J455,"not applicable"),exact(Metadata!J455,"missing: not collected"),exact(Metadata!J455,"missing: not provided"),exact(Metadata!J455,"missing: restricted access"))),AND(IF(Metadata!J455="",FALSE,ISNUMBER(VALUE(Metadata!J455))),Metadata!J455&gt;0))</f>
        <v>0</v>
      </c>
      <c r="AE455">
        <f>AND(IF(Metadata!K455="",FALSE,TRUE),exact(Metadata!K455,"g"))</f>
        <v>0</v>
      </c>
    </row>
    <row r="456" spans="1:31">
      <c r="A456" s="5">
        <f>IF(B456=" "," ",HYPERLINK(CONCATENATE("#metadata!",ADDRESS(INDEX($Q$2:$Q$1001,MATCH(ROWS($O$2:O456),$O$2:$O$1001,0),0),1)),INDEX($T$2:$T$1001,MATCH(ROWS($O$2:O456),$O$2:$O$1001,0),0)))</f>
        <v>0</v>
      </c>
      <c r="B456" s="4">
        <f>IF(OR(INDEX($P$2:$P$1001,MATCH(ROWS($O$2:O456),$O$2:$O$1001,0),1)&gt;=100000,INDEX($V$1005:$AE$1005,1,MATCH(COLUMNS($V$1006:V1006),$V$1006:$AE$1006,0))&gt;=100000), " ",IF(INDEX($V$2:$AE$1001,MATCH(ROWS($O$2:O456),$O$2:$O$1001,0),MATCH(COLUMNS($V$1006:V1006),$V$1006:$AE$1006,0)), HYPERLINK("#",""), HYPERLINK(CONCATENATE("#Metadata!", ADDRESS(INDEX($Q$2:$Q$1001,MATCH(ROWS($O$2:O456),$O$2:$O$1001,0),0), INDEX($V$1004:$AE$1004,1,MATCH(COLUMNS($V$1006:V1006),$V$1006:$AE$1006,0)))),"Fix")))</f>
        <v>0</v>
      </c>
      <c r="C456" s="4">
        <f>IF(OR(INDEX($P$2:$P$1001,MATCH(ROWS($O$2:O456),$O$2:$O$1001,0),1)&gt;=100000,INDEX($V$1005:$AE$1005,1,MATCH(COLUMNS($V$1006:W1006),$V$1006:$AE$1006,0))&gt;=100000), " ",IF(INDEX($V$2:$AE$1001,MATCH(ROWS($O$2:O456),$O$2:$O$1001,0),MATCH(COLUMNS($V$1006:W1006),$V$1006:$AE$1006,0)), HYPERLINK("#",""), HYPERLINK(CONCATENATE("#Metadata!", ADDRESS(INDEX($Q$2:$Q$1001,MATCH(ROWS($O$2:O456),$O$2:$O$1001,0),0), INDEX($V$1004:$AE$1004,1,MATCH(COLUMNS($V$1006:W1006),$V$1006:$AE$1006,0)))),"Fix")))</f>
        <v>0</v>
      </c>
      <c r="D456" s="4">
        <f>IF(OR(INDEX($P$2:$P$1001,MATCH(ROWS($O$2:O456),$O$2:$O$1001,0),1)&gt;=100000,INDEX($V$1005:$AE$1005,1,MATCH(COLUMNS($V$1006:X1006),$V$1006:$AE$1006,0))&gt;=100000), " ",IF(INDEX($V$2:$AE$1001,MATCH(ROWS($O$2:O456),$O$2:$O$1001,0),MATCH(COLUMNS($V$1006:X1006),$V$1006:$AE$1006,0)), HYPERLINK("#",""), HYPERLINK(CONCATENATE("#Metadata!", ADDRESS(INDEX($Q$2:$Q$1001,MATCH(ROWS($O$2:O456),$O$2:$O$1001,0),0), INDEX($V$1004:$AE$1004,1,MATCH(COLUMNS($V$1006:X1006),$V$1006:$AE$1006,0)))),"Fix")))</f>
        <v>0</v>
      </c>
      <c r="E456" s="4">
        <f>IF(OR(INDEX($P$2:$P$1001,MATCH(ROWS($O$2:O456),$O$2:$O$1001,0),1)&gt;=100000,INDEX($V$1005:$AE$1005,1,MATCH(COLUMNS($V$1006:Y1006),$V$1006:$AE$1006,0))&gt;=100000), " ",IF(INDEX($V$2:$AE$1001,MATCH(ROWS($O$2:O456),$O$2:$O$1001,0),MATCH(COLUMNS($V$1006:Y1006),$V$1006:$AE$1006,0)), HYPERLINK("#",""), HYPERLINK(CONCATENATE("#Metadata!", ADDRESS(INDEX($Q$2:$Q$1001,MATCH(ROWS($O$2:O456),$O$2:$O$1001,0),0), INDEX($V$1004:$AE$1004,1,MATCH(COLUMNS($V$1006:Y1006),$V$1006:$AE$1006,0)))),"Fix")))</f>
        <v>0</v>
      </c>
      <c r="F456" s="4">
        <f>IF(OR(INDEX($P$2:$P$1001,MATCH(ROWS($O$2:O456),$O$2:$O$1001,0),1)&gt;=100000,INDEX($V$1005:$AE$1005,1,MATCH(COLUMNS($V$1006:Z1006),$V$1006:$AE$1006,0))&gt;=100000), " ",IF(INDEX($V$2:$AE$1001,MATCH(ROWS($O$2:O456),$O$2:$O$1001,0),MATCH(COLUMNS($V$1006:Z1006),$V$1006:$AE$1006,0)), HYPERLINK("#",""), HYPERLINK(CONCATENATE("#Metadata!", ADDRESS(INDEX($Q$2:$Q$1001,MATCH(ROWS($O$2:O456),$O$2:$O$1001,0),0), INDEX($V$1004:$AE$1004,1,MATCH(COLUMNS($V$1006:Z1006),$V$1006:$AE$1006,0)))),"Fix")))</f>
        <v>0</v>
      </c>
      <c r="G456" s="4">
        <f>IF(OR(INDEX($P$2:$P$1001,MATCH(ROWS($O$2:O456),$O$2:$O$1001,0),1)&gt;=100000,INDEX($V$1005:$AE$1005,1,MATCH(COLUMNS($V$1006:AA1006),$V$1006:$AE$1006,0))&gt;=100000), " ",IF(INDEX($V$2:$AE$1001,MATCH(ROWS($O$2:O456),$O$2:$O$1001,0),MATCH(COLUMNS($V$1006:AA1006),$V$1006:$AE$1006,0)), HYPERLINK("#",""), HYPERLINK(CONCATENATE("#Metadata!", ADDRESS(INDEX($Q$2:$Q$1001,MATCH(ROWS($O$2:O456),$O$2:$O$1001,0),0), INDEX($V$1004:$AE$1004,1,MATCH(COLUMNS($V$1006:AA1006),$V$1006:$AE$1006,0)))),"Fix")))</f>
        <v>0</v>
      </c>
      <c r="H456" s="4">
        <f>IF(OR(INDEX($P$2:$P$1001,MATCH(ROWS($O$2:O456),$O$2:$O$1001,0),1)&gt;=100000,INDEX($V$1005:$AE$1005,1,MATCH(COLUMNS($V$1006:AB1006),$V$1006:$AE$1006,0))&gt;=100000), " ",IF(INDEX($V$2:$AE$1001,MATCH(ROWS($O$2:O456),$O$2:$O$1001,0),MATCH(COLUMNS($V$1006:AB1006),$V$1006:$AE$1006,0)), HYPERLINK("#",""), HYPERLINK(CONCATENATE("#Metadata!", ADDRESS(INDEX($Q$2:$Q$1001,MATCH(ROWS($O$2:O456),$O$2:$O$1001,0),0), INDEX($V$1004:$AE$1004,1,MATCH(COLUMNS($V$1006:AB1006),$V$1006:$AE$1006,0)))),"Fix")))</f>
        <v>0</v>
      </c>
      <c r="I456" s="4">
        <f>IF(OR(INDEX($P$2:$P$1001,MATCH(ROWS($O$2:O456),$O$2:$O$1001,0),1)&gt;=100000,INDEX($V$1005:$AE$1005,1,MATCH(COLUMNS($V$1006:AC1006),$V$1006:$AE$1006,0))&gt;=100000), " ",IF(INDEX($V$2:$AE$1001,MATCH(ROWS($O$2:O456),$O$2:$O$1001,0),MATCH(COLUMNS($V$1006:AC1006),$V$1006:$AE$1006,0)), HYPERLINK("#",""), HYPERLINK(CONCATENATE("#Metadata!", ADDRESS(INDEX($Q$2:$Q$1001,MATCH(ROWS($O$2:O456),$O$2:$O$1001,0),0), INDEX($V$1004:$AE$1004,1,MATCH(COLUMNS($V$1006:AC1006),$V$1006:$AE$1006,0)))),"Fix")))</f>
        <v>0</v>
      </c>
      <c r="J456" s="4">
        <f>IF(OR(INDEX($P$2:$P$1001,MATCH(ROWS($O$2:O456),$O$2:$O$1001,0),1)&gt;=100000,INDEX($V$1005:$AE$1005,1,MATCH(COLUMNS($V$1006:AD1006),$V$1006:$AE$1006,0))&gt;=100000), " ",IF(INDEX($V$2:$AE$1001,MATCH(ROWS($O$2:O456),$O$2:$O$1001,0),MATCH(COLUMNS($V$1006:AD1006),$V$1006:$AE$1006,0)), HYPERLINK("#",""), HYPERLINK(CONCATENATE("#Metadata!", ADDRESS(INDEX($Q$2:$Q$1001,MATCH(ROWS($O$2:O456),$O$2:$O$1001,0),0), INDEX($V$1004:$AE$1004,1,MATCH(COLUMNS($V$1006:AD1006),$V$1006:$AE$1006,0)))),"Fix")))</f>
        <v>0</v>
      </c>
      <c r="K456" s="4">
        <f>IF(OR(INDEX($P$2:$P$1001,MATCH(ROWS($O$2:O456),$O$2:$O$1001,0),1)&gt;=100000,INDEX($V$1005:$AE$1005,1,MATCH(COLUMNS($V$1006:AE1006),$V$1006:$AE$1006,0))&gt;=100000), " ",IF(INDEX($V$2:$AE$1001,MATCH(ROWS($O$2:O456),$O$2:$O$1001,0),MATCH(COLUMNS($V$1006:AE1006),$V$1006:$AE$1006,0)), HYPERLINK("#",""), HYPERLINK(CONCATENATE("#Metadata!", ADDRESS(INDEX($Q$2:$Q$1001,MATCH(ROWS($O$2:O456),$O$2:$O$1001,0),0), INDEX($V$1004:$AE$1004,1,MATCH(COLUMNS($V$1006:AE1006),$V$1006:$AE$1006,0)))),"Fix")))</f>
        <v>0</v>
      </c>
      <c r="O456">
        <v>0</v>
      </c>
      <c r="P456">
        <v>0</v>
      </c>
      <c r="Q456">
        <v>0</v>
      </c>
      <c r="R456">
        <f>IF(S456,TRUE,AND(V456:AE456))</f>
        <v>0</v>
      </c>
      <c r="S456">
        <f>COUNTBLANK(Metadata!B456:K456)=COLUMNS(Metadata!B456:K456)</f>
        <v>0</v>
      </c>
      <c r="T456">
        <v>0</v>
      </c>
      <c r="V456">
        <f>AND(IF(Metadata!B456="",FALSE,TRUE),COUNTIF(Metadata!B:B, Metadata!B456) = 1,NOT(ISERROR(SUMPRODUCT(SEARCH(MID(Metadata!B456,ROW(INDIRECT("1:"&amp;LEN(Metadata!B456))), 1),"0123456789abcdefghijklmnopqrstuvwxyzABCDEFGHIJKLMNOPQRSTUVWXYZ.")))))</f>
        <v>0</v>
      </c>
      <c r="W456">
        <f>AND(IF(Metadata!C456="",FALSE,TRUE),exact(Metadata!C456,"urban biome"))</f>
        <v>0</v>
      </c>
      <c r="X456">
        <f>AND(IF(Metadata!D456="",FALSE,TRUE),exact(Metadata!D456,"animal-associated habitat"))</f>
        <v>0</v>
      </c>
      <c r="Y456">
        <f>OR(AND(IF(Metadata!E456="",FALSE,TRUE),OR(exact(Metadata!E456,"not applicable"),exact(Metadata!E456,"missing: not collected"),exact(Metadata!E456,"missing: not provided"),exact(Metadata!E456,"missing: restricted access"))),AND(IF(Metadata!E456="",FALSE,ISNUMBER(VALUE(Metadata!E456))),Metadata!E456&gt;0))</f>
        <v>0</v>
      </c>
      <c r="Z456">
        <f>AND(IF(Metadata!F456="",FALSE,TRUE),exact(Metadata!F456,"weeks"))</f>
        <v>0</v>
      </c>
      <c r="AA456">
        <f>AND(IF(Metadata!G456="",FALSE,TRUE),exact(Metadata!G456,"mouse"))</f>
        <v>0</v>
      </c>
      <c r="AB456">
        <f>AND(IF(Metadata!H456="",FALSE,TRUE),exact(Metadata!H456,"Mus musculus"))</f>
        <v>0</v>
      </c>
      <c r="AC456">
        <f>AND(IF(Metadata!I456="",FALSE,TRUE),exact(Metadata!I456,"10090"))</f>
        <v>0</v>
      </c>
      <c r="AD456">
        <f>OR(AND(IF(Metadata!J456="",FALSE,TRUE),OR(exact(Metadata!J456,"not applicable"),exact(Metadata!J456,"missing: not collected"),exact(Metadata!J456,"missing: not provided"),exact(Metadata!J456,"missing: restricted access"))),AND(IF(Metadata!J456="",FALSE,ISNUMBER(VALUE(Metadata!J456))),Metadata!J456&gt;0))</f>
        <v>0</v>
      </c>
      <c r="AE456">
        <f>AND(IF(Metadata!K456="",FALSE,TRUE),exact(Metadata!K456,"g"))</f>
        <v>0</v>
      </c>
    </row>
    <row r="457" spans="1:31">
      <c r="A457" s="5">
        <f>IF(B457=" "," ",HYPERLINK(CONCATENATE("#metadata!",ADDRESS(INDEX($Q$2:$Q$1001,MATCH(ROWS($O$2:O457),$O$2:$O$1001,0),0),1)),INDEX($T$2:$T$1001,MATCH(ROWS($O$2:O457),$O$2:$O$1001,0),0)))</f>
        <v>0</v>
      </c>
      <c r="B457" s="4">
        <f>IF(OR(INDEX($P$2:$P$1001,MATCH(ROWS($O$2:O457),$O$2:$O$1001,0),1)&gt;=100000,INDEX($V$1005:$AE$1005,1,MATCH(COLUMNS($V$1006:V1006),$V$1006:$AE$1006,0))&gt;=100000), " ",IF(INDEX($V$2:$AE$1001,MATCH(ROWS($O$2:O457),$O$2:$O$1001,0),MATCH(COLUMNS($V$1006:V1006),$V$1006:$AE$1006,0)), HYPERLINK("#",""), HYPERLINK(CONCATENATE("#Metadata!", ADDRESS(INDEX($Q$2:$Q$1001,MATCH(ROWS($O$2:O457),$O$2:$O$1001,0),0), INDEX($V$1004:$AE$1004,1,MATCH(COLUMNS($V$1006:V1006),$V$1006:$AE$1006,0)))),"Fix")))</f>
        <v>0</v>
      </c>
      <c r="C457" s="4">
        <f>IF(OR(INDEX($P$2:$P$1001,MATCH(ROWS($O$2:O457),$O$2:$O$1001,0),1)&gt;=100000,INDEX($V$1005:$AE$1005,1,MATCH(COLUMNS($V$1006:W1006),$V$1006:$AE$1006,0))&gt;=100000), " ",IF(INDEX($V$2:$AE$1001,MATCH(ROWS($O$2:O457),$O$2:$O$1001,0),MATCH(COLUMNS($V$1006:W1006),$V$1006:$AE$1006,0)), HYPERLINK("#",""), HYPERLINK(CONCATENATE("#Metadata!", ADDRESS(INDEX($Q$2:$Q$1001,MATCH(ROWS($O$2:O457),$O$2:$O$1001,0),0), INDEX($V$1004:$AE$1004,1,MATCH(COLUMNS($V$1006:W1006),$V$1006:$AE$1006,0)))),"Fix")))</f>
        <v>0</v>
      </c>
      <c r="D457" s="4">
        <f>IF(OR(INDEX($P$2:$P$1001,MATCH(ROWS($O$2:O457),$O$2:$O$1001,0),1)&gt;=100000,INDEX($V$1005:$AE$1005,1,MATCH(COLUMNS($V$1006:X1006),$V$1006:$AE$1006,0))&gt;=100000), " ",IF(INDEX($V$2:$AE$1001,MATCH(ROWS($O$2:O457),$O$2:$O$1001,0),MATCH(COLUMNS($V$1006:X1006),$V$1006:$AE$1006,0)), HYPERLINK("#",""), HYPERLINK(CONCATENATE("#Metadata!", ADDRESS(INDEX($Q$2:$Q$1001,MATCH(ROWS($O$2:O457),$O$2:$O$1001,0),0), INDEX($V$1004:$AE$1004,1,MATCH(COLUMNS($V$1006:X1006),$V$1006:$AE$1006,0)))),"Fix")))</f>
        <v>0</v>
      </c>
      <c r="E457" s="4">
        <f>IF(OR(INDEX($P$2:$P$1001,MATCH(ROWS($O$2:O457),$O$2:$O$1001,0),1)&gt;=100000,INDEX($V$1005:$AE$1005,1,MATCH(COLUMNS($V$1006:Y1006),$V$1006:$AE$1006,0))&gt;=100000), " ",IF(INDEX($V$2:$AE$1001,MATCH(ROWS($O$2:O457),$O$2:$O$1001,0),MATCH(COLUMNS($V$1006:Y1006),$V$1006:$AE$1006,0)), HYPERLINK("#",""), HYPERLINK(CONCATENATE("#Metadata!", ADDRESS(INDEX($Q$2:$Q$1001,MATCH(ROWS($O$2:O457),$O$2:$O$1001,0),0), INDEX($V$1004:$AE$1004,1,MATCH(COLUMNS($V$1006:Y1006),$V$1006:$AE$1006,0)))),"Fix")))</f>
        <v>0</v>
      </c>
      <c r="F457" s="4">
        <f>IF(OR(INDEX($P$2:$P$1001,MATCH(ROWS($O$2:O457),$O$2:$O$1001,0),1)&gt;=100000,INDEX($V$1005:$AE$1005,1,MATCH(COLUMNS($V$1006:Z1006),$V$1006:$AE$1006,0))&gt;=100000), " ",IF(INDEX($V$2:$AE$1001,MATCH(ROWS($O$2:O457),$O$2:$O$1001,0),MATCH(COLUMNS($V$1006:Z1006),$V$1006:$AE$1006,0)), HYPERLINK("#",""), HYPERLINK(CONCATENATE("#Metadata!", ADDRESS(INDEX($Q$2:$Q$1001,MATCH(ROWS($O$2:O457),$O$2:$O$1001,0),0), INDEX($V$1004:$AE$1004,1,MATCH(COLUMNS($V$1006:Z1006),$V$1006:$AE$1006,0)))),"Fix")))</f>
        <v>0</v>
      </c>
      <c r="G457" s="4">
        <f>IF(OR(INDEX($P$2:$P$1001,MATCH(ROWS($O$2:O457),$O$2:$O$1001,0),1)&gt;=100000,INDEX($V$1005:$AE$1005,1,MATCH(COLUMNS($V$1006:AA1006),$V$1006:$AE$1006,0))&gt;=100000), " ",IF(INDEX($V$2:$AE$1001,MATCH(ROWS($O$2:O457),$O$2:$O$1001,0),MATCH(COLUMNS($V$1006:AA1006),$V$1006:$AE$1006,0)), HYPERLINK("#",""), HYPERLINK(CONCATENATE("#Metadata!", ADDRESS(INDEX($Q$2:$Q$1001,MATCH(ROWS($O$2:O457),$O$2:$O$1001,0),0), INDEX($V$1004:$AE$1004,1,MATCH(COLUMNS($V$1006:AA1006),$V$1006:$AE$1006,0)))),"Fix")))</f>
        <v>0</v>
      </c>
      <c r="H457" s="4">
        <f>IF(OR(INDEX($P$2:$P$1001,MATCH(ROWS($O$2:O457),$O$2:$O$1001,0),1)&gt;=100000,INDEX($V$1005:$AE$1005,1,MATCH(COLUMNS($V$1006:AB1006),$V$1006:$AE$1006,0))&gt;=100000), " ",IF(INDEX($V$2:$AE$1001,MATCH(ROWS($O$2:O457),$O$2:$O$1001,0),MATCH(COLUMNS($V$1006:AB1006),$V$1006:$AE$1006,0)), HYPERLINK("#",""), HYPERLINK(CONCATENATE("#Metadata!", ADDRESS(INDEX($Q$2:$Q$1001,MATCH(ROWS($O$2:O457),$O$2:$O$1001,0),0), INDEX($V$1004:$AE$1004,1,MATCH(COLUMNS($V$1006:AB1006),$V$1006:$AE$1006,0)))),"Fix")))</f>
        <v>0</v>
      </c>
      <c r="I457" s="4">
        <f>IF(OR(INDEX($P$2:$P$1001,MATCH(ROWS($O$2:O457),$O$2:$O$1001,0),1)&gt;=100000,INDEX($V$1005:$AE$1005,1,MATCH(COLUMNS($V$1006:AC1006),$V$1006:$AE$1006,0))&gt;=100000), " ",IF(INDEX($V$2:$AE$1001,MATCH(ROWS($O$2:O457),$O$2:$O$1001,0),MATCH(COLUMNS($V$1006:AC1006),$V$1006:$AE$1006,0)), HYPERLINK("#",""), HYPERLINK(CONCATENATE("#Metadata!", ADDRESS(INDEX($Q$2:$Q$1001,MATCH(ROWS($O$2:O457),$O$2:$O$1001,0),0), INDEX($V$1004:$AE$1004,1,MATCH(COLUMNS($V$1006:AC1006),$V$1006:$AE$1006,0)))),"Fix")))</f>
        <v>0</v>
      </c>
      <c r="J457" s="4">
        <f>IF(OR(INDEX($P$2:$P$1001,MATCH(ROWS($O$2:O457),$O$2:$O$1001,0),1)&gt;=100000,INDEX($V$1005:$AE$1005,1,MATCH(COLUMNS($V$1006:AD1006),$V$1006:$AE$1006,0))&gt;=100000), " ",IF(INDEX($V$2:$AE$1001,MATCH(ROWS($O$2:O457),$O$2:$O$1001,0),MATCH(COLUMNS($V$1006:AD1006),$V$1006:$AE$1006,0)), HYPERLINK("#",""), HYPERLINK(CONCATENATE("#Metadata!", ADDRESS(INDEX($Q$2:$Q$1001,MATCH(ROWS($O$2:O457),$O$2:$O$1001,0),0), INDEX($V$1004:$AE$1004,1,MATCH(COLUMNS($V$1006:AD1006),$V$1006:$AE$1006,0)))),"Fix")))</f>
        <v>0</v>
      </c>
      <c r="K457" s="4">
        <f>IF(OR(INDEX($P$2:$P$1001,MATCH(ROWS($O$2:O457),$O$2:$O$1001,0),1)&gt;=100000,INDEX($V$1005:$AE$1005,1,MATCH(COLUMNS($V$1006:AE1006),$V$1006:$AE$1006,0))&gt;=100000), " ",IF(INDEX($V$2:$AE$1001,MATCH(ROWS($O$2:O457),$O$2:$O$1001,0),MATCH(COLUMNS($V$1006:AE1006),$V$1006:$AE$1006,0)), HYPERLINK("#",""), HYPERLINK(CONCATENATE("#Metadata!", ADDRESS(INDEX($Q$2:$Q$1001,MATCH(ROWS($O$2:O457),$O$2:$O$1001,0),0), INDEX($V$1004:$AE$1004,1,MATCH(COLUMNS($V$1006:AE1006),$V$1006:$AE$1006,0)))),"Fix")))</f>
        <v>0</v>
      </c>
      <c r="O457">
        <v>0</v>
      </c>
      <c r="P457">
        <v>0</v>
      </c>
      <c r="Q457">
        <v>0</v>
      </c>
      <c r="R457">
        <f>IF(S457,TRUE,AND(V457:AE457))</f>
        <v>0</v>
      </c>
      <c r="S457">
        <f>COUNTBLANK(Metadata!B457:K457)=COLUMNS(Metadata!B457:K457)</f>
        <v>0</v>
      </c>
      <c r="T457">
        <v>0</v>
      </c>
      <c r="V457">
        <f>AND(IF(Metadata!B457="",FALSE,TRUE),COUNTIF(Metadata!B:B, Metadata!B457) = 1,NOT(ISERROR(SUMPRODUCT(SEARCH(MID(Metadata!B457,ROW(INDIRECT("1:"&amp;LEN(Metadata!B457))), 1),"0123456789abcdefghijklmnopqrstuvwxyzABCDEFGHIJKLMNOPQRSTUVWXYZ.")))))</f>
        <v>0</v>
      </c>
      <c r="W457">
        <f>AND(IF(Metadata!C457="",FALSE,TRUE),exact(Metadata!C457,"urban biome"))</f>
        <v>0</v>
      </c>
      <c r="X457">
        <f>AND(IF(Metadata!D457="",FALSE,TRUE),exact(Metadata!D457,"animal-associated habitat"))</f>
        <v>0</v>
      </c>
      <c r="Y457">
        <f>OR(AND(IF(Metadata!E457="",FALSE,TRUE),OR(exact(Metadata!E457,"not applicable"),exact(Metadata!E457,"missing: not collected"),exact(Metadata!E457,"missing: not provided"),exact(Metadata!E457,"missing: restricted access"))),AND(IF(Metadata!E457="",FALSE,ISNUMBER(VALUE(Metadata!E457))),Metadata!E457&gt;0))</f>
        <v>0</v>
      </c>
      <c r="Z457">
        <f>AND(IF(Metadata!F457="",FALSE,TRUE),exact(Metadata!F457,"weeks"))</f>
        <v>0</v>
      </c>
      <c r="AA457">
        <f>AND(IF(Metadata!G457="",FALSE,TRUE),exact(Metadata!G457,"mouse"))</f>
        <v>0</v>
      </c>
      <c r="AB457">
        <f>AND(IF(Metadata!H457="",FALSE,TRUE),exact(Metadata!H457,"Mus musculus"))</f>
        <v>0</v>
      </c>
      <c r="AC457">
        <f>AND(IF(Metadata!I457="",FALSE,TRUE),exact(Metadata!I457,"10090"))</f>
        <v>0</v>
      </c>
      <c r="AD457">
        <f>OR(AND(IF(Metadata!J457="",FALSE,TRUE),OR(exact(Metadata!J457,"not applicable"),exact(Metadata!J457,"missing: not collected"),exact(Metadata!J457,"missing: not provided"),exact(Metadata!J457,"missing: restricted access"))),AND(IF(Metadata!J457="",FALSE,ISNUMBER(VALUE(Metadata!J457))),Metadata!J457&gt;0))</f>
        <v>0</v>
      </c>
      <c r="AE457">
        <f>AND(IF(Metadata!K457="",FALSE,TRUE),exact(Metadata!K457,"g"))</f>
        <v>0</v>
      </c>
    </row>
    <row r="458" spans="1:31">
      <c r="A458" s="5">
        <f>IF(B458=" "," ",HYPERLINK(CONCATENATE("#metadata!",ADDRESS(INDEX($Q$2:$Q$1001,MATCH(ROWS($O$2:O458),$O$2:$O$1001,0),0),1)),INDEX($T$2:$T$1001,MATCH(ROWS($O$2:O458),$O$2:$O$1001,0),0)))</f>
        <v>0</v>
      </c>
      <c r="B458" s="4">
        <f>IF(OR(INDEX($P$2:$P$1001,MATCH(ROWS($O$2:O458),$O$2:$O$1001,0),1)&gt;=100000,INDEX($V$1005:$AE$1005,1,MATCH(COLUMNS($V$1006:V1006),$V$1006:$AE$1006,0))&gt;=100000), " ",IF(INDEX($V$2:$AE$1001,MATCH(ROWS($O$2:O458),$O$2:$O$1001,0),MATCH(COLUMNS($V$1006:V1006),$V$1006:$AE$1006,0)), HYPERLINK("#",""), HYPERLINK(CONCATENATE("#Metadata!", ADDRESS(INDEX($Q$2:$Q$1001,MATCH(ROWS($O$2:O458),$O$2:$O$1001,0),0), INDEX($V$1004:$AE$1004,1,MATCH(COLUMNS($V$1006:V1006),$V$1006:$AE$1006,0)))),"Fix")))</f>
        <v>0</v>
      </c>
      <c r="C458" s="4">
        <f>IF(OR(INDEX($P$2:$P$1001,MATCH(ROWS($O$2:O458),$O$2:$O$1001,0),1)&gt;=100000,INDEX($V$1005:$AE$1005,1,MATCH(COLUMNS($V$1006:W1006),$V$1006:$AE$1006,0))&gt;=100000), " ",IF(INDEX($V$2:$AE$1001,MATCH(ROWS($O$2:O458),$O$2:$O$1001,0),MATCH(COLUMNS($V$1006:W1006),$V$1006:$AE$1006,0)), HYPERLINK("#",""), HYPERLINK(CONCATENATE("#Metadata!", ADDRESS(INDEX($Q$2:$Q$1001,MATCH(ROWS($O$2:O458),$O$2:$O$1001,0),0), INDEX($V$1004:$AE$1004,1,MATCH(COLUMNS($V$1006:W1006),$V$1006:$AE$1006,0)))),"Fix")))</f>
        <v>0</v>
      </c>
      <c r="D458" s="4">
        <f>IF(OR(INDEX($P$2:$P$1001,MATCH(ROWS($O$2:O458),$O$2:$O$1001,0),1)&gt;=100000,INDEX($V$1005:$AE$1005,1,MATCH(COLUMNS($V$1006:X1006),$V$1006:$AE$1006,0))&gt;=100000), " ",IF(INDEX($V$2:$AE$1001,MATCH(ROWS($O$2:O458),$O$2:$O$1001,0),MATCH(COLUMNS($V$1006:X1006),$V$1006:$AE$1006,0)), HYPERLINK("#",""), HYPERLINK(CONCATENATE("#Metadata!", ADDRESS(INDEX($Q$2:$Q$1001,MATCH(ROWS($O$2:O458),$O$2:$O$1001,0),0), INDEX($V$1004:$AE$1004,1,MATCH(COLUMNS($V$1006:X1006),$V$1006:$AE$1006,0)))),"Fix")))</f>
        <v>0</v>
      </c>
      <c r="E458" s="4">
        <f>IF(OR(INDEX($P$2:$P$1001,MATCH(ROWS($O$2:O458),$O$2:$O$1001,0),1)&gt;=100000,INDEX($V$1005:$AE$1005,1,MATCH(COLUMNS($V$1006:Y1006),$V$1006:$AE$1006,0))&gt;=100000), " ",IF(INDEX($V$2:$AE$1001,MATCH(ROWS($O$2:O458),$O$2:$O$1001,0),MATCH(COLUMNS($V$1006:Y1006),$V$1006:$AE$1006,0)), HYPERLINK("#",""), HYPERLINK(CONCATENATE("#Metadata!", ADDRESS(INDEX($Q$2:$Q$1001,MATCH(ROWS($O$2:O458),$O$2:$O$1001,0),0), INDEX($V$1004:$AE$1004,1,MATCH(COLUMNS($V$1006:Y1006),$V$1006:$AE$1006,0)))),"Fix")))</f>
        <v>0</v>
      </c>
      <c r="F458" s="4">
        <f>IF(OR(INDEX($P$2:$P$1001,MATCH(ROWS($O$2:O458),$O$2:$O$1001,0),1)&gt;=100000,INDEX($V$1005:$AE$1005,1,MATCH(COLUMNS($V$1006:Z1006),$V$1006:$AE$1006,0))&gt;=100000), " ",IF(INDEX($V$2:$AE$1001,MATCH(ROWS($O$2:O458),$O$2:$O$1001,0),MATCH(COLUMNS($V$1006:Z1006),$V$1006:$AE$1006,0)), HYPERLINK("#",""), HYPERLINK(CONCATENATE("#Metadata!", ADDRESS(INDEX($Q$2:$Q$1001,MATCH(ROWS($O$2:O458),$O$2:$O$1001,0),0), INDEX($V$1004:$AE$1004,1,MATCH(COLUMNS($V$1006:Z1006),$V$1006:$AE$1006,0)))),"Fix")))</f>
        <v>0</v>
      </c>
      <c r="G458" s="4">
        <f>IF(OR(INDEX($P$2:$P$1001,MATCH(ROWS($O$2:O458),$O$2:$O$1001,0),1)&gt;=100000,INDEX($V$1005:$AE$1005,1,MATCH(COLUMNS($V$1006:AA1006),$V$1006:$AE$1006,0))&gt;=100000), " ",IF(INDEX($V$2:$AE$1001,MATCH(ROWS($O$2:O458),$O$2:$O$1001,0),MATCH(COLUMNS($V$1006:AA1006),$V$1006:$AE$1006,0)), HYPERLINK("#",""), HYPERLINK(CONCATENATE("#Metadata!", ADDRESS(INDEX($Q$2:$Q$1001,MATCH(ROWS($O$2:O458),$O$2:$O$1001,0),0), INDEX($V$1004:$AE$1004,1,MATCH(COLUMNS($V$1006:AA1006),$V$1006:$AE$1006,0)))),"Fix")))</f>
        <v>0</v>
      </c>
      <c r="H458" s="4">
        <f>IF(OR(INDEX($P$2:$P$1001,MATCH(ROWS($O$2:O458),$O$2:$O$1001,0),1)&gt;=100000,INDEX($V$1005:$AE$1005,1,MATCH(COLUMNS($V$1006:AB1006),$V$1006:$AE$1006,0))&gt;=100000), " ",IF(INDEX($V$2:$AE$1001,MATCH(ROWS($O$2:O458),$O$2:$O$1001,0),MATCH(COLUMNS($V$1006:AB1006),$V$1006:$AE$1006,0)), HYPERLINK("#",""), HYPERLINK(CONCATENATE("#Metadata!", ADDRESS(INDEX($Q$2:$Q$1001,MATCH(ROWS($O$2:O458),$O$2:$O$1001,0),0), INDEX($V$1004:$AE$1004,1,MATCH(COLUMNS($V$1006:AB1006),$V$1006:$AE$1006,0)))),"Fix")))</f>
        <v>0</v>
      </c>
      <c r="I458" s="4">
        <f>IF(OR(INDEX($P$2:$P$1001,MATCH(ROWS($O$2:O458),$O$2:$O$1001,0),1)&gt;=100000,INDEX($V$1005:$AE$1005,1,MATCH(COLUMNS($V$1006:AC1006),$V$1006:$AE$1006,0))&gt;=100000), " ",IF(INDEX($V$2:$AE$1001,MATCH(ROWS($O$2:O458),$O$2:$O$1001,0),MATCH(COLUMNS($V$1006:AC1006),$V$1006:$AE$1006,0)), HYPERLINK("#",""), HYPERLINK(CONCATENATE("#Metadata!", ADDRESS(INDEX($Q$2:$Q$1001,MATCH(ROWS($O$2:O458),$O$2:$O$1001,0),0), INDEX($V$1004:$AE$1004,1,MATCH(COLUMNS($V$1006:AC1006),$V$1006:$AE$1006,0)))),"Fix")))</f>
        <v>0</v>
      </c>
      <c r="J458" s="4">
        <f>IF(OR(INDEX($P$2:$P$1001,MATCH(ROWS($O$2:O458),$O$2:$O$1001,0),1)&gt;=100000,INDEX($V$1005:$AE$1005,1,MATCH(COLUMNS($V$1006:AD1006),$V$1006:$AE$1006,0))&gt;=100000), " ",IF(INDEX($V$2:$AE$1001,MATCH(ROWS($O$2:O458),$O$2:$O$1001,0),MATCH(COLUMNS($V$1006:AD1006),$V$1006:$AE$1006,0)), HYPERLINK("#",""), HYPERLINK(CONCATENATE("#Metadata!", ADDRESS(INDEX($Q$2:$Q$1001,MATCH(ROWS($O$2:O458),$O$2:$O$1001,0),0), INDEX($V$1004:$AE$1004,1,MATCH(COLUMNS($V$1006:AD1006),$V$1006:$AE$1006,0)))),"Fix")))</f>
        <v>0</v>
      </c>
      <c r="K458" s="4">
        <f>IF(OR(INDEX($P$2:$P$1001,MATCH(ROWS($O$2:O458),$O$2:$O$1001,0),1)&gt;=100000,INDEX($V$1005:$AE$1005,1,MATCH(COLUMNS($V$1006:AE1006),$V$1006:$AE$1006,0))&gt;=100000), " ",IF(INDEX($V$2:$AE$1001,MATCH(ROWS($O$2:O458),$O$2:$O$1001,0),MATCH(COLUMNS($V$1006:AE1006),$V$1006:$AE$1006,0)), HYPERLINK("#",""), HYPERLINK(CONCATENATE("#Metadata!", ADDRESS(INDEX($Q$2:$Q$1001,MATCH(ROWS($O$2:O458),$O$2:$O$1001,0),0), INDEX($V$1004:$AE$1004,1,MATCH(COLUMNS($V$1006:AE1006),$V$1006:$AE$1006,0)))),"Fix")))</f>
        <v>0</v>
      </c>
      <c r="O458">
        <v>0</v>
      </c>
      <c r="P458">
        <v>0</v>
      </c>
      <c r="Q458">
        <v>0</v>
      </c>
      <c r="R458">
        <f>IF(S458,TRUE,AND(V458:AE458))</f>
        <v>0</v>
      </c>
      <c r="S458">
        <f>COUNTBLANK(Metadata!B458:K458)=COLUMNS(Metadata!B458:K458)</f>
        <v>0</v>
      </c>
      <c r="T458">
        <v>0</v>
      </c>
      <c r="V458">
        <f>AND(IF(Metadata!B458="",FALSE,TRUE),COUNTIF(Metadata!B:B, Metadata!B458) = 1,NOT(ISERROR(SUMPRODUCT(SEARCH(MID(Metadata!B458,ROW(INDIRECT("1:"&amp;LEN(Metadata!B458))), 1),"0123456789abcdefghijklmnopqrstuvwxyzABCDEFGHIJKLMNOPQRSTUVWXYZ.")))))</f>
        <v>0</v>
      </c>
      <c r="W458">
        <f>AND(IF(Metadata!C458="",FALSE,TRUE),exact(Metadata!C458,"urban biome"))</f>
        <v>0</v>
      </c>
      <c r="X458">
        <f>AND(IF(Metadata!D458="",FALSE,TRUE),exact(Metadata!D458,"animal-associated habitat"))</f>
        <v>0</v>
      </c>
      <c r="Y458">
        <f>OR(AND(IF(Metadata!E458="",FALSE,TRUE),OR(exact(Metadata!E458,"not applicable"),exact(Metadata!E458,"missing: not collected"),exact(Metadata!E458,"missing: not provided"),exact(Metadata!E458,"missing: restricted access"))),AND(IF(Metadata!E458="",FALSE,ISNUMBER(VALUE(Metadata!E458))),Metadata!E458&gt;0))</f>
        <v>0</v>
      </c>
      <c r="Z458">
        <f>AND(IF(Metadata!F458="",FALSE,TRUE),exact(Metadata!F458,"weeks"))</f>
        <v>0</v>
      </c>
      <c r="AA458">
        <f>AND(IF(Metadata!G458="",FALSE,TRUE),exact(Metadata!G458,"mouse"))</f>
        <v>0</v>
      </c>
      <c r="AB458">
        <f>AND(IF(Metadata!H458="",FALSE,TRUE),exact(Metadata!H458,"Mus musculus"))</f>
        <v>0</v>
      </c>
      <c r="AC458">
        <f>AND(IF(Metadata!I458="",FALSE,TRUE),exact(Metadata!I458,"10090"))</f>
        <v>0</v>
      </c>
      <c r="AD458">
        <f>OR(AND(IF(Metadata!J458="",FALSE,TRUE),OR(exact(Metadata!J458,"not applicable"),exact(Metadata!J458,"missing: not collected"),exact(Metadata!J458,"missing: not provided"),exact(Metadata!J458,"missing: restricted access"))),AND(IF(Metadata!J458="",FALSE,ISNUMBER(VALUE(Metadata!J458))),Metadata!J458&gt;0))</f>
        <v>0</v>
      </c>
      <c r="AE458">
        <f>AND(IF(Metadata!K458="",FALSE,TRUE),exact(Metadata!K458,"g"))</f>
        <v>0</v>
      </c>
    </row>
    <row r="459" spans="1:31">
      <c r="A459" s="5">
        <f>IF(B459=" "," ",HYPERLINK(CONCATENATE("#metadata!",ADDRESS(INDEX($Q$2:$Q$1001,MATCH(ROWS($O$2:O459),$O$2:$O$1001,0),0),1)),INDEX($T$2:$T$1001,MATCH(ROWS($O$2:O459),$O$2:$O$1001,0),0)))</f>
        <v>0</v>
      </c>
      <c r="B459" s="4">
        <f>IF(OR(INDEX($P$2:$P$1001,MATCH(ROWS($O$2:O459),$O$2:$O$1001,0),1)&gt;=100000,INDEX($V$1005:$AE$1005,1,MATCH(COLUMNS($V$1006:V1006),$V$1006:$AE$1006,0))&gt;=100000), " ",IF(INDEX($V$2:$AE$1001,MATCH(ROWS($O$2:O459),$O$2:$O$1001,0),MATCH(COLUMNS($V$1006:V1006),$V$1006:$AE$1006,0)), HYPERLINK("#",""), HYPERLINK(CONCATENATE("#Metadata!", ADDRESS(INDEX($Q$2:$Q$1001,MATCH(ROWS($O$2:O459),$O$2:$O$1001,0),0), INDEX($V$1004:$AE$1004,1,MATCH(COLUMNS($V$1006:V1006),$V$1006:$AE$1006,0)))),"Fix")))</f>
        <v>0</v>
      </c>
      <c r="C459" s="4">
        <f>IF(OR(INDEX($P$2:$P$1001,MATCH(ROWS($O$2:O459),$O$2:$O$1001,0),1)&gt;=100000,INDEX($V$1005:$AE$1005,1,MATCH(COLUMNS($V$1006:W1006),$V$1006:$AE$1006,0))&gt;=100000), " ",IF(INDEX($V$2:$AE$1001,MATCH(ROWS($O$2:O459),$O$2:$O$1001,0),MATCH(COLUMNS($V$1006:W1006),$V$1006:$AE$1006,0)), HYPERLINK("#",""), HYPERLINK(CONCATENATE("#Metadata!", ADDRESS(INDEX($Q$2:$Q$1001,MATCH(ROWS($O$2:O459),$O$2:$O$1001,0),0), INDEX($V$1004:$AE$1004,1,MATCH(COLUMNS($V$1006:W1006),$V$1006:$AE$1006,0)))),"Fix")))</f>
        <v>0</v>
      </c>
      <c r="D459" s="4">
        <f>IF(OR(INDEX($P$2:$P$1001,MATCH(ROWS($O$2:O459),$O$2:$O$1001,0),1)&gt;=100000,INDEX($V$1005:$AE$1005,1,MATCH(COLUMNS($V$1006:X1006),$V$1006:$AE$1006,0))&gt;=100000), " ",IF(INDEX($V$2:$AE$1001,MATCH(ROWS($O$2:O459),$O$2:$O$1001,0),MATCH(COLUMNS($V$1006:X1006),$V$1006:$AE$1006,0)), HYPERLINK("#",""), HYPERLINK(CONCATENATE("#Metadata!", ADDRESS(INDEX($Q$2:$Q$1001,MATCH(ROWS($O$2:O459),$O$2:$O$1001,0),0), INDEX($V$1004:$AE$1004,1,MATCH(COLUMNS($V$1006:X1006),$V$1006:$AE$1006,0)))),"Fix")))</f>
        <v>0</v>
      </c>
      <c r="E459" s="4">
        <f>IF(OR(INDEX($P$2:$P$1001,MATCH(ROWS($O$2:O459),$O$2:$O$1001,0),1)&gt;=100000,INDEX($V$1005:$AE$1005,1,MATCH(COLUMNS($V$1006:Y1006),$V$1006:$AE$1006,0))&gt;=100000), " ",IF(INDEX($V$2:$AE$1001,MATCH(ROWS($O$2:O459),$O$2:$O$1001,0),MATCH(COLUMNS($V$1006:Y1006),$V$1006:$AE$1006,0)), HYPERLINK("#",""), HYPERLINK(CONCATENATE("#Metadata!", ADDRESS(INDEX($Q$2:$Q$1001,MATCH(ROWS($O$2:O459),$O$2:$O$1001,0),0), INDEX($V$1004:$AE$1004,1,MATCH(COLUMNS($V$1006:Y1006),$V$1006:$AE$1006,0)))),"Fix")))</f>
        <v>0</v>
      </c>
      <c r="F459" s="4">
        <f>IF(OR(INDEX($P$2:$P$1001,MATCH(ROWS($O$2:O459),$O$2:$O$1001,0),1)&gt;=100000,INDEX($V$1005:$AE$1005,1,MATCH(COLUMNS($V$1006:Z1006),$V$1006:$AE$1006,0))&gt;=100000), " ",IF(INDEX($V$2:$AE$1001,MATCH(ROWS($O$2:O459),$O$2:$O$1001,0),MATCH(COLUMNS($V$1006:Z1006),$V$1006:$AE$1006,0)), HYPERLINK("#",""), HYPERLINK(CONCATENATE("#Metadata!", ADDRESS(INDEX($Q$2:$Q$1001,MATCH(ROWS($O$2:O459),$O$2:$O$1001,0),0), INDEX($V$1004:$AE$1004,1,MATCH(COLUMNS($V$1006:Z1006),$V$1006:$AE$1006,0)))),"Fix")))</f>
        <v>0</v>
      </c>
      <c r="G459" s="4">
        <f>IF(OR(INDEX($P$2:$P$1001,MATCH(ROWS($O$2:O459),$O$2:$O$1001,0),1)&gt;=100000,INDEX($V$1005:$AE$1005,1,MATCH(COLUMNS($V$1006:AA1006),$V$1006:$AE$1006,0))&gt;=100000), " ",IF(INDEX($V$2:$AE$1001,MATCH(ROWS($O$2:O459),$O$2:$O$1001,0),MATCH(COLUMNS($V$1006:AA1006),$V$1006:$AE$1006,0)), HYPERLINK("#",""), HYPERLINK(CONCATENATE("#Metadata!", ADDRESS(INDEX($Q$2:$Q$1001,MATCH(ROWS($O$2:O459),$O$2:$O$1001,0),0), INDEX($V$1004:$AE$1004,1,MATCH(COLUMNS($V$1006:AA1006),$V$1006:$AE$1006,0)))),"Fix")))</f>
        <v>0</v>
      </c>
      <c r="H459" s="4">
        <f>IF(OR(INDEX($P$2:$P$1001,MATCH(ROWS($O$2:O459),$O$2:$O$1001,0),1)&gt;=100000,INDEX($V$1005:$AE$1005,1,MATCH(COLUMNS($V$1006:AB1006),$V$1006:$AE$1006,0))&gt;=100000), " ",IF(INDEX($V$2:$AE$1001,MATCH(ROWS($O$2:O459),$O$2:$O$1001,0),MATCH(COLUMNS($V$1006:AB1006),$V$1006:$AE$1006,0)), HYPERLINK("#",""), HYPERLINK(CONCATENATE("#Metadata!", ADDRESS(INDEX($Q$2:$Q$1001,MATCH(ROWS($O$2:O459),$O$2:$O$1001,0),0), INDEX($V$1004:$AE$1004,1,MATCH(COLUMNS($V$1006:AB1006),$V$1006:$AE$1006,0)))),"Fix")))</f>
        <v>0</v>
      </c>
      <c r="I459" s="4">
        <f>IF(OR(INDEX($P$2:$P$1001,MATCH(ROWS($O$2:O459),$O$2:$O$1001,0),1)&gt;=100000,INDEX($V$1005:$AE$1005,1,MATCH(COLUMNS($V$1006:AC1006),$V$1006:$AE$1006,0))&gt;=100000), " ",IF(INDEX($V$2:$AE$1001,MATCH(ROWS($O$2:O459),$O$2:$O$1001,0),MATCH(COLUMNS($V$1006:AC1006),$V$1006:$AE$1006,0)), HYPERLINK("#",""), HYPERLINK(CONCATENATE("#Metadata!", ADDRESS(INDEX($Q$2:$Q$1001,MATCH(ROWS($O$2:O459),$O$2:$O$1001,0),0), INDEX($V$1004:$AE$1004,1,MATCH(COLUMNS($V$1006:AC1006),$V$1006:$AE$1006,0)))),"Fix")))</f>
        <v>0</v>
      </c>
      <c r="J459" s="4">
        <f>IF(OR(INDEX($P$2:$P$1001,MATCH(ROWS($O$2:O459),$O$2:$O$1001,0),1)&gt;=100000,INDEX($V$1005:$AE$1005,1,MATCH(COLUMNS($V$1006:AD1006),$V$1006:$AE$1006,0))&gt;=100000), " ",IF(INDEX($V$2:$AE$1001,MATCH(ROWS($O$2:O459),$O$2:$O$1001,0),MATCH(COLUMNS($V$1006:AD1006),$V$1006:$AE$1006,0)), HYPERLINK("#",""), HYPERLINK(CONCATENATE("#Metadata!", ADDRESS(INDEX($Q$2:$Q$1001,MATCH(ROWS($O$2:O459),$O$2:$O$1001,0),0), INDEX($V$1004:$AE$1004,1,MATCH(COLUMNS($V$1006:AD1006),$V$1006:$AE$1006,0)))),"Fix")))</f>
        <v>0</v>
      </c>
      <c r="K459" s="4">
        <f>IF(OR(INDEX($P$2:$P$1001,MATCH(ROWS($O$2:O459),$O$2:$O$1001,0),1)&gt;=100000,INDEX($V$1005:$AE$1005,1,MATCH(COLUMNS($V$1006:AE1006),$V$1006:$AE$1006,0))&gt;=100000), " ",IF(INDEX($V$2:$AE$1001,MATCH(ROWS($O$2:O459),$O$2:$O$1001,0),MATCH(COLUMNS($V$1006:AE1006),$V$1006:$AE$1006,0)), HYPERLINK("#",""), HYPERLINK(CONCATENATE("#Metadata!", ADDRESS(INDEX($Q$2:$Q$1001,MATCH(ROWS($O$2:O459),$O$2:$O$1001,0),0), INDEX($V$1004:$AE$1004,1,MATCH(COLUMNS($V$1006:AE1006),$V$1006:$AE$1006,0)))),"Fix")))</f>
        <v>0</v>
      </c>
      <c r="O459">
        <v>0</v>
      </c>
      <c r="P459">
        <v>0</v>
      </c>
      <c r="Q459">
        <v>0</v>
      </c>
      <c r="R459">
        <f>IF(S459,TRUE,AND(V459:AE459))</f>
        <v>0</v>
      </c>
      <c r="S459">
        <f>COUNTBLANK(Metadata!B459:K459)=COLUMNS(Metadata!B459:K459)</f>
        <v>0</v>
      </c>
      <c r="T459">
        <v>0</v>
      </c>
      <c r="V459">
        <f>AND(IF(Metadata!B459="",FALSE,TRUE),COUNTIF(Metadata!B:B, Metadata!B459) = 1,NOT(ISERROR(SUMPRODUCT(SEARCH(MID(Metadata!B459,ROW(INDIRECT("1:"&amp;LEN(Metadata!B459))), 1),"0123456789abcdefghijklmnopqrstuvwxyzABCDEFGHIJKLMNOPQRSTUVWXYZ.")))))</f>
        <v>0</v>
      </c>
      <c r="W459">
        <f>AND(IF(Metadata!C459="",FALSE,TRUE),exact(Metadata!C459,"urban biome"))</f>
        <v>0</v>
      </c>
      <c r="X459">
        <f>AND(IF(Metadata!D459="",FALSE,TRUE),exact(Metadata!D459,"animal-associated habitat"))</f>
        <v>0</v>
      </c>
      <c r="Y459">
        <f>OR(AND(IF(Metadata!E459="",FALSE,TRUE),OR(exact(Metadata!E459,"not applicable"),exact(Metadata!E459,"missing: not collected"),exact(Metadata!E459,"missing: not provided"),exact(Metadata!E459,"missing: restricted access"))),AND(IF(Metadata!E459="",FALSE,ISNUMBER(VALUE(Metadata!E459))),Metadata!E459&gt;0))</f>
        <v>0</v>
      </c>
      <c r="Z459">
        <f>AND(IF(Metadata!F459="",FALSE,TRUE),exact(Metadata!F459,"weeks"))</f>
        <v>0</v>
      </c>
      <c r="AA459">
        <f>AND(IF(Metadata!G459="",FALSE,TRUE),exact(Metadata!G459,"mouse"))</f>
        <v>0</v>
      </c>
      <c r="AB459">
        <f>AND(IF(Metadata!H459="",FALSE,TRUE),exact(Metadata!H459,"Mus musculus"))</f>
        <v>0</v>
      </c>
      <c r="AC459">
        <f>AND(IF(Metadata!I459="",FALSE,TRUE),exact(Metadata!I459,"10090"))</f>
        <v>0</v>
      </c>
      <c r="AD459">
        <f>OR(AND(IF(Metadata!J459="",FALSE,TRUE),OR(exact(Metadata!J459,"not applicable"),exact(Metadata!J459,"missing: not collected"),exact(Metadata!J459,"missing: not provided"),exact(Metadata!J459,"missing: restricted access"))),AND(IF(Metadata!J459="",FALSE,ISNUMBER(VALUE(Metadata!J459))),Metadata!J459&gt;0))</f>
        <v>0</v>
      </c>
      <c r="AE459">
        <f>AND(IF(Metadata!K459="",FALSE,TRUE),exact(Metadata!K459,"g"))</f>
        <v>0</v>
      </c>
    </row>
    <row r="460" spans="1:31">
      <c r="A460" s="5">
        <f>IF(B460=" "," ",HYPERLINK(CONCATENATE("#metadata!",ADDRESS(INDEX($Q$2:$Q$1001,MATCH(ROWS($O$2:O460),$O$2:$O$1001,0),0),1)),INDEX($T$2:$T$1001,MATCH(ROWS($O$2:O460),$O$2:$O$1001,0),0)))</f>
        <v>0</v>
      </c>
      <c r="B460" s="4">
        <f>IF(OR(INDEX($P$2:$P$1001,MATCH(ROWS($O$2:O460),$O$2:$O$1001,0),1)&gt;=100000,INDEX($V$1005:$AE$1005,1,MATCH(COLUMNS($V$1006:V1006),$V$1006:$AE$1006,0))&gt;=100000), " ",IF(INDEX($V$2:$AE$1001,MATCH(ROWS($O$2:O460),$O$2:$O$1001,0),MATCH(COLUMNS($V$1006:V1006),$V$1006:$AE$1006,0)), HYPERLINK("#",""), HYPERLINK(CONCATENATE("#Metadata!", ADDRESS(INDEX($Q$2:$Q$1001,MATCH(ROWS($O$2:O460),$O$2:$O$1001,0),0), INDEX($V$1004:$AE$1004,1,MATCH(COLUMNS($V$1006:V1006),$V$1006:$AE$1006,0)))),"Fix")))</f>
        <v>0</v>
      </c>
      <c r="C460" s="4">
        <f>IF(OR(INDEX($P$2:$P$1001,MATCH(ROWS($O$2:O460),$O$2:$O$1001,0),1)&gt;=100000,INDEX($V$1005:$AE$1005,1,MATCH(COLUMNS($V$1006:W1006),$V$1006:$AE$1006,0))&gt;=100000), " ",IF(INDEX($V$2:$AE$1001,MATCH(ROWS($O$2:O460),$O$2:$O$1001,0),MATCH(COLUMNS($V$1006:W1006),$V$1006:$AE$1006,0)), HYPERLINK("#",""), HYPERLINK(CONCATENATE("#Metadata!", ADDRESS(INDEX($Q$2:$Q$1001,MATCH(ROWS($O$2:O460),$O$2:$O$1001,0),0), INDEX($V$1004:$AE$1004,1,MATCH(COLUMNS($V$1006:W1006),$V$1006:$AE$1006,0)))),"Fix")))</f>
        <v>0</v>
      </c>
      <c r="D460" s="4">
        <f>IF(OR(INDEX($P$2:$P$1001,MATCH(ROWS($O$2:O460),$O$2:$O$1001,0),1)&gt;=100000,INDEX($V$1005:$AE$1005,1,MATCH(COLUMNS($V$1006:X1006),$V$1006:$AE$1006,0))&gt;=100000), " ",IF(INDEX($V$2:$AE$1001,MATCH(ROWS($O$2:O460),$O$2:$O$1001,0),MATCH(COLUMNS($V$1006:X1006),$V$1006:$AE$1006,0)), HYPERLINK("#",""), HYPERLINK(CONCATENATE("#Metadata!", ADDRESS(INDEX($Q$2:$Q$1001,MATCH(ROWS($O$2:O460),$O$2:$O$1001,0),0), INDEX($V$1004:$AE$1004,1,MATCH(COLUMNS($V$1006:X1006),$V$1006:$AE$1006,0)))),"Fix")))</f>
        <v>0</v>
      </c>
      <c r="E460" s="4">
        <f>IF(OR(INDEX($P$2:$P$1001,MATCH(ROWS($O$2:O460),$O$2:$O$1001,0),1)&gt;=100000,INDEX($V$1005:$AE$1005,1,MATCH(COLUMNS($V$1006:Y1006),$V$1006:$AE$1006,0))&gt;=100000), " ",IF(INDEX($V$2:$AE$1001,MATCH(ROWS($O$2:O460),$O$2:$O$1001,0),MATCH(COLUMNS($V$1006:Y1006),$V$1006:$AE$1006,0)), HYPERLINK("#",""), HYPERLINK(CONCATENATE("#Metadata!", ADDRESS(INDEX($Q$2:$Q$1001,MATCH(ROWS($O$2:O460),$O$2:$O$1001,0),0), INDEX($V$1004:$AE$1004,1,MATCH(COLUMNS($V$1006:Y1006),$V$1006:$AE$1006,0)))),"Fix")))</f>
        <v>0</v>
      </c>
      <c r="F460" s="4">
        <f>IF(OR(INDEX($P$2:$P$1001,MATCH(ROWS($O$2:O460),$O$2:$O$1001,0),1)&gt;=100000,INDEX($V$1005:$AE$1005,1,MATCH(COLUMNS($V$1006:Z1006),$V$1006:$AE$1006,0))&gt;=100000), " ",IF(INDEX($V$2:$AE$1001,MATCH(ROWS($O$2:O460),$O$2:$O$1001,0),MATCH(COLUMNS($V$1006:Z1006),$V$1006:$AE$1006,0)), HYPERLINK("#",""), HYPERLINK(CONCATENATE("#Metadata!", ADDRESS(INDEX($Q$2:$Q$1001,MATCH(ROWS($O$2:O460),$O$2:$O$1001,0),0), INDEX($V$1004:$AE$1004,1,MATCH(COLUMNS($V$1006:Z1006),$V$1006:$AE$1006,0)))),"Fix")))</f>
        <v>0</v>
      </c>
      <c r="G460" s="4">
        <f>IF(OR(INDEX($P$2:$P$1001,MATCH(ROWS($O$2:O460),$O$2:$O$1001,0),1)&gt;=100000,INDEX($V$1005:$AE$1005,1,MATCH(COLUMNS($V$1006:AA1006),$V$1006:$AE$1006,0))&gt;=100000), " ",IF(INDEX($V$2:$AE$1001,MATCH(ROWS($O$2:O460),$O$2:$O$1001,0),MATCH(COLUMNS($V$1006:AA1006),$V$1006:$AE$1006,0)), HYPERLINK("#",""), HYPERLINK(CONCATENATE("#Metadata!", ADDRESS(INDEX($Q$2:$Q$1001,MATCH(ROWS($O$2:O460),$O$2:$O$1001,0),0), INDEX($V$1004:$AE$1004,1,MATCH(COLUMNS($V$1006:AA1006),$V$1006:$AE$1006,0)))),"Fix")))</f>
        <v>0</v>
      </c>
      <c r="H460" s="4">
        <f>IF(OR(INDEX($P$2:$P$1001,MATCH(ROWS($O$2:O460),$O$2:$O$1001,0),1)&gt;=100000,INDEX($V$1005:$AE$1005,1,MATCH(COLUMNS($V$1006:AB1006),$V$1006:$AE$1006,0))&gt;=100000), " ",IF(INDEX($V$2:$AE$1001,MATCH(ROWS($O$2:O460),$O$2:$O$1001,0),MATCH(COLUMNS($V$1006:AB1006),$V$1006:$AE$1006,0)), HYPERLINK("#",""), HYPERLINK(CONCATENATE("#Metadata!", ADDRESS(INDEX($Q$2:$Q$1001,MATCH(ROWS($O$2:O460),$O$2:$O$1001,0),0), INDEX($V$1004:$AE$1004,1,MATCH(COLUMNS($V$1006:AB1006),$V$1006:$AE$1006,0)))),"Fix")))</f>
        <v>0</v>
      </c>
      <c r="I460" s="4">
        <f>IF(OR(INDEX($P$2:$P$1001,MATCH(ROWS($O$2:O460),$O$2:$O$1001,0),1)&gt;=100000,INDEX($V$1005:$AE$1005,1,MATCH(COLUMNS($V$1006:AC1006),$V$1006:$AE$1006,0))&gt;=100000), " ",IF(INDEX($V$2:$AE$1001,MATCH(ROWS($O$2:O460),$O$2:$O$1001,0),MATCH(COLUMNS($V$1006:AC1006),$V$1006:$AE$1006,0)), HYPERLINK("#",""), HYPERLINK(CONCATENATE("#Metadata!", ADDRESS(INDEX($Q$2:$Q$1001,MATCH(ROWS($O$2:O460),$O$2:$O$1001,0),0), INDEX($V$1004:$AE$1004,1,MATCH(COLUMNS($V$1006:AC1006),$V$1006:$AE$1006,0)))),"Fix")))</f>
        <v>0</v>
      </c>
      <c r="J460" s="4">
        <f>IF(OR(INDEX($P$2:$P$1001,MATCH(ROWS($O$2:O460),$O$2:$O$1001,0),1)&gt;=100000,INDEX($V$1005:$AE$1005,1,MATCH(COLUMNS($V$1006:AD1006),$V$1006:$AE$1006,0))&gt;=100000), " ",IF(INDEX($V$2:$AE$1001,MATCH(ROWS($O$2:O460),$O$2:$O$1001,0),MATCH(COLUMNS($V$1006:AD1006),$V$1006:$AE$1006,0)), HYPERLINK("#",""), HYPERLINK(CONCATENATE("#Metadata!", ADDRESS(INDEX($Q$2:$Q$1001,MATCH(ROWS($O$2:O460),$O$2:$O$1001,0),0), INDEX($V$1004:$AE$1004,1,MATCH(COLUMNS($V$1006:AD1006),$V$1006:$AE$1006,0)))),"Fix")))</f>
        <v>0</v>
      </c>
      <c r="K460" s="4">
        <f>IF(OR(INDEX($P$2:$P$1001,MATCH(ROWS($O$2:O460),$O$2:$O$1001,0),1)&gt;=100000,INDEX($V$1005:$AE$1005,1,MATCH(COLUMNS($V$1006:AE1006),$V$1006:$AE$1006,0))&gt;=100000), " ",IF(INDEX($V$2:$AE$1001,MATCH(ROWS($O$2:O460),$O$2:$O$1001,0),MATCH(COLUMNS($V$1006:AE1006),$V$1006:$AE$1006,0)), HYPERLINK("#",""), HYPERLINK(CONCATENATE("#Metadata!", ADDRESS(INDEX($Q$2:$Q$1001,MATCH(ROWS($O$2:O460),$O$2:$O$1001,0),0), INDEX($V$1004:$AE$1004,1,MATCH(COLUMNS($V$1006:AE1006),$V$1006:$AE$1006,0)))),"Fix")))</f>
        <v>0</v>
      </c>
      <c r="O460">
        <v>0</v>
      </c>
      <c r="P460">
        <v>0</v>
      </c>
      <c r="Q460">
        <v>0</v>
      </c>
      <c r="R460">
        <f>IF(S460,TRUE,AND(V460:AE460))</f>
        <v>0</v>
      </c>
      <c r="S460">
        <f>COUNTBLANK(Metadata!B460:K460)=COLUMNS(Metadata!B460:K460)</f>
        <v>0</v>
      </c>
      <c r="T460">
        <v>0</v>
      </c>
      <c r="V460">
        <f>AND(IF(Metadata!B460="",FALSE,TRUE),COUNTIF(Metadata!B:B, Metadata!B460) = 1,NOT(ISERROR(SUMPRODUCT(SEARCH(MID(Metadata!B460,ROW(INDIRECT("1:"&amp;LEN(Metadata!B460))), 1),"0123456789abcdefghijklmnopqrstuvwxyzABCDEFGHIJKLMNOPQRSTUVWXYZ.")))))</f>
        <v>0</v>
      </c>
      <c r="W460">
        <f>AND(IF(Metadata!C460="",FALSE,TRUE),exact(Metadata!C460,"urban biome"))</f>
        <v>0</v>
      </c>
      <c r="X460">
        <f>AND(IF(Metadata!D460="",FALSE,TRUE),exact(Metadata!D460,"animal-associated habitat"))</f>
        <v>0</v>
      </c>
      <c r="Y460">
        <f>OR(AND(IF(Metadata!E460="",FALSE,TRUE),OR(exact(Metadata!E460,"not applicable"),exact(Metadata!E460,"missing: not collected"),exact(Metadata!E460,"missing: not provided"),exact(Metadata!E460,"missing: restricted access"))),AND(IF(Metadata!E460="",FALSE,ISNUMBER(VALUE(Metadata!E460))),Metadata!E460&gt;0))</f>
        <v>0</v>
      </c>
      <c r="Z460">
        <f>AND(IF(Metadata!F460="",FALSE,TRUE),exact(Metadata!F460,"weeks"))</f>
        <v>0</v>
      </c>
      <c r="AA460">
        <f>AND(IF(Metadata!G460="",FALSE,TRUE),exact(Metadata!G460,"mouse"))</f>
        <v>0</v>
      </c>
      <c r="AB460">
        <f>AND(IF(Metadata!H460="",FALSE,TRUE),exact(Metadata!H460,"Mus musculus"))</f>
        <v>0</v>
      </c>
      <c r="AC460">
        <f>AND(IF(Metadata!I460="",FALSE,TRUE),exact(Metadata!I460,"10090"))</f>
        <v>0</v>
      </c>
      <c r="AD460">
        <f>OR(AND(IF(Metadata!J460="",FALSE,TRUE),OR(exact(Metadata!J460,"not applicable"),exact(Metadata!J460,"missing: not collected"),exact(Metadata!J460,"missing: not provided"),exact(Metadata!J460,"missing: restricted access"))),AND(IF(Metadata!J460="",FALSE,ISNUMBER(VALUE(Metadata!J460))),Metadata!J460&gt;0))</f>
        <v>0</v>
      </c>
      <c r="AE460">
        <f>AND(IF(Metadata!K460="",FALSE,TRUE),exact(Metadata!K460,"g"))</f>
        <v>0</v>
      </c>
    </row>
    <row r="461" spans="1:31">
      <c r="A461" s="5">
        <f>IF(B461=" "," ",HYPERLINK(CONCATENATE("#metadata!",ADDRESS(INDEX($Q$2:$Q$1001,MATCH(ROWS($O$2:O461),$O$2:$O$1001,0),0),1)),INDEX($T$2:$T$1001,MATCH(ROWS($O$2:O461),$O$2:$O$1001,0),0)))</f>
        <v>0</v>
      </c>
      <c r="B461" s="4">
        <f>IF(OR(INDEX($P$2:$P$1001,MATCH(ROWS($O$2:O461),$O$2:$O$1001,0),1)&gt;=100000,INDEX($V$1005:$AE$1005,1,MATCH(COLUMNS($V$1006:V1006),$V$1006:$AE$1006,0))&gt;=100000), " ",IF(INDEX($V$2:$AE$1001,MATCH(ROWS($O$2:O461),$O$2:$O$1001,0),MATCH(COLUMNS($V$1006:V1006),$V$1006:$AE$1006,0)), HYPERLINK("#",""), HYPERLINK(CONCATENATE("#Metadata!", ADDRESS(INDEX($Q$2:$Q$1001,MATCH(ROWS($O$2:O461),$O$2:$O$1001,0),0), INDEX($V$1004:$AE$1004,1,MATCH(COLUMNS($V$1006:V1006),$V$1006:$AE$1006,0)))),"Fix")))</f>
        <v>0</v>
      </c>
      <c r="C461" s="4">
        <f>IF(OR(INDEX($P$2:$P$1001,MATCH(ROWS($O$2:O461),$O$2:$O$1001,0),1)&gt;=100000,INDEX($V$1005:$AE$1005,1,MATCH(COLUMNS($V$1006:W1006),$V$1006:$AE$1006,0))&gt;=100000), " ",IF(INDEX($V$2:$AE$1001,MATCH(ROWS($O$2:O461),$O$2:$O$1001,0),MATCH(COLUMNS($V$1006:W1006),$V$1006:$AE$1006,0)), HYPERLINK("#",""), HYPERLINK(CONCATENATE("#Metadata!", ADDRESS(INDEX($Q$2:$Q$1001,MATCH(ROWS($O$2:O461),$O$2:$O$1001,0),0), INDEX($V$1004:$AE$1004,1,MATCH(COLUMNS($V$1006:W1006),$V$1006:$AE$1006,0)))),"Fix")))</f>
        <v>0</v>
      </c>
      <c r="D461" s="4">
        <f>IF(OR(INDEX($P$2:$P$1001,MATCH(ROWS($O$2:O461),$O$2:$O$1001,0),1)&gt;=100000,INDEX($V$1005:$AE$1005,1,MATCH(COLUMNS($V$1006:X1006),$V$1006:$AE$1006,0))&gt;=100000), " ",IF(INDEX($V$2:$AE$1001,MATCH(ROWS($O$2:O461),$O$2:$O$1001,0),MATCH(COLUMNS($V$1006:X1006),$V$1006:$AE$1006,0)), HYPERLINK("#",""), HYPERLINK(CONCATENATE("#Metadata!", ADDRESS(INDEX($Q$2:$Q$1001,MATCH(ROWS($O$2:O461),$O$2:$O$1001,0),0), INDEX($V$1004:$AE$1004,1,MATCH(COLUMNS($V$1006:X1006),$V$1006:$AE$1006,0)))),"Fix")))</f>
        <v>0</v>
      </c>
      <c r="E461" s="4">
        <f>IF(OR(INDEX($P$2:$P$1001,MATCH(ROWS($O$2:O461),$O$2:$O$1001,0),1)&gt;=100000,INDEX($V$1005:$AE$1005,1,MATCH(COLUMNS($V$1006:Y1006),$V$1006:$AE$1006,0))&gt;=100000), " ",IF(INDEX($V$2:$AE$1001,MATCH(ROWS($O$2:O461),$O$2:$O$1001,0),MATCH(COLUMNS($V$1006:Y1006),$V$1006:$AE$1006,0)), HYPERLINK("#",""), HYPERLINK(CONCATENATE("#Metadata!", ADDRESS(INDEX($Q$2:$Q$1001,MATCH(ROWS($O$2:O461),$O$2:$O$1001,0),0), INDEX($V$1004:$AE$1004,1,MATCH(COLUMNS($V$1006:Y1006),$V$1006:$AE$1006,0)))),"Fix")))</f>
        <v>0</v>
      </c>
      <c r="F461" s="4">
        <f>IF(OR(INDEX($P$2:$P$1001,MATCH(ROWS($O$2:O461),$O$2:$O$1001,0),1)&gt;=100000,INDEX($V$1005:$AE$1005,1,MATCH(COLUMNS($V$1006:Z1006),$V$1006:$AE$1006,0))&gt;=100000), " ",IF(INDEX($V$2:$AE$1001,MATCH(ROWS($O$2:O461),$O$2:$O$1001,0),MATCH(COLUMNS($V$1006:Z1006),$V$1006:$AE$1006,0)), HYPERLINK("#",""), HYPERLINK(CONCATENATE("#Metadata!", ADDRESS(INDEX($Q$2:$Q$1001,MATCH(ROWS($O$2:O461),$O$2:$O$1001,0),0), INDEX($V$1004:$AE$1004,1,MATCH(COLUMNS($V$1006:Z1006),$V$1006:$AE$1006,0)))),"Fix")))</f>
        <v>0</v>
      </c>
      <c r="G461" s="4">
        <f>IF(OR(INDEX($P$2:$P$1001,MATCH(ROWS($O$2:O461),$O$2:$O$1001,0),1)&gt;=100000,INDEX($V$1005:$AE$1005,1,MATCH(COLUMNS($V$1006:AA1006),$V$1006:$AE$1006,0))&gt;=100000), " ",IF(INDEX($V$2:$AE$1001,MATCH(ROWS($O$2:O461),$O$2:$O$1001,0),MATCH(COLUMNS($V$1006:AA1006),$V$1006:$AE$1006,0)), HYPERLINK("#",""), HYPERLINK(CONCATENATE("#Metadata!", ADDRESS(INDEX($Q$2:$Q$1001,MATCH(ROWS($O$2:O461),$O$2:$O$1001,0),0), INDEX($V$1004:$AE$1004,1,MATCH(COLUMNS($V$1006:AA1006),$V$1006:$AE$1006,0)))),"Fix")))</f>
        <v>0</v>
      </c>
      <c r="H461" s="4">
        <f>IF(OR(INDEX($P$2:$P$1001,MATCH(ROWS($O$2:O461),$O$2:$O$1001,0),1)&gt;=100000,INDEX($V$1005:$AE$1005,1,MATCH(COLUMNS($V$1006:AB1006),$V$1006:$AE$1006,0))&gt;=100000), " ",IF(INDEX($V$2:$AE$1001,MATCH(ROWS($O$2:O461),$O$2:$O$1001,0),MATCH(COLUMNS($V$1006:AB1006),$V$1006:$AE$1006,0)), HYPERLINK("#",""), HYPERLINK(CONCATENATE("#Metadata!", ADDRESS(INDEX($Q$2:$Q$1001,MATCH(ROWS($O$2:O461),$O$2:$O$1001,0),0), INDEX($V$1004:$AE$1004,1,MATCH(COLUMNS($V$1006:AB1006),$V$1006:$AE$1006,0)))),"Fix")))</f>
        <v>0</v>
      </c>
      <c r="I461" s="4">
        <f>IF(OR(INDEX($P$2:$P$1001,MATCH(ROWS($O$2:O461),$O$2:$O$1001,0),1)&gt;=100000,INDEX($V$1005:$AE$1005,1,MATCH(COLUMNS($V$1006:AC1006),$V$1006:$AE$1006,0))&gt;=100000), " ",IF(INDEX($V$2:$AE$1001,MATCH(ROWS($O$2:O461),$O$2:$O$1001,0),MATCH(COLUMNS($V$1006:AC1006),$V$1006:$AE$1006,0)), HYPERLINK("#",""), HYPERLINK(CONCATENATE("#Metadata!", ADDRESS(INDEX($Q$2:$Q$1001,MATCH(ROWS($O$2:O461),$O$2:$O$1001,0),0), INDEX($V$1004:$AE$1004,1,MATCH(COLUMNS($V$1006:AC1006),$V$1006:$AE$1006,0)))),"Fix")))</f>
        <v>0</v>
      </c>
      <c r="J461" s="4">
        <f>IF(OR(INDEX($P$2:$P$1001,MATCH(ROWS($O$2:O461),$O$2:$O$1001,0),1)&gt;=100000,INDEX($V$1005:$AE$1005,1,MATCH(COLUMNS($V$1006:AD1006),$V$1006:$AE$1006,0))&gt;=100000), " ",IF(INDEX($V$2:$AE$1001,MATCH(ROWS($O$2:O461),$O$2:$O$1001,0),MATCH(COLUMNS($V$1006:AD1006),$V$1006:$AE$1006,0)), HYPERLINK("#",""), HYPERLINK(CONCATENATE("#Metadata!", ADDRESS(INDEX($Q$2:$Q$1001,MATCH(ROWS($O$2:O461),$O$2:$O$1001,0),0), INDEX($V$1004:$AE$1004,1,MATCH(COLUMNS($V$1006:AD1006),$V$1006:$AE$1006,0)))),"Fix")))</f>
        <v>0</v>
      </c>
      <c r="K461" s="4">
        <f>IF(OR(INDEX($P$2:$P$1001,MATCH(ROWS($O$2:O461),$O$2:$O$1001,0),1)&gt;=100000,INDEX($V$1005:$AE$1005,1,MATCH(COLUMNS($V$1006:AE1006),$V$1006:$AE$1006,0))&gt;=100000), " ",IF(INDEX($V$2:$AE$1001,MATCH(ROWS($O$2:O461),$O$2:$O$1001,0),MATCH(COLUMNS($V$1006:AE1006),$V$1006:$AE$1006,0)), HYPERLINK("#",""), HYPERLINK(CONCATENATE("#Metadata!", ADDRESS(INDEX($Q$2:$Q$1001,MATCH(ROWS($O$2:O461),$O$2:$O$1001,0),0), INDEX($V$1004:$AE$1004,1,MATCH(COLUMNS($V$1006:AE1006),$V$1006:$AE$1006,0)))),"Fix")))</f>
        <v>0</v>
      </c>
      <c r="O461">
        <v>0</v>
      </c>
      <c r="P461">
        <v>0</v>
      </c>
      <c r="Q461">
        <v>0</v>
      </c>
      <c r="R461">
        <f>IF(S461,TRUE,AND(V461:AE461))</f>
        <v>0</v>
      </c>
      <c r="S461">
        <f>COUNTBLANK(Metadata!B461:K461)=COLUMNS(Metadata!B461:K461)</f>
        <v>0</v>
      </c>
      <c r="T461">
        <v>0</v>
      </c>
      <c r="V461">
        <f>AND(IF(Metadata!B461="",FALSE,TRUE),COUNTIF(Metadata!B:B, Metadata!B461) = 1,NOT(ISERROR(SUMPRODUCT(SEARCH(MID(Metadata!B461,ROW(INDIRECT("1:"&amp;LEN(Metadata!B461))), 1),"0123456789abcdefghijklmnopqrstuvwxyzABCDEFGHIJKLMNOPQRSTUVWXYZ.")))))</f>
        <v>0</v>
      </c>
      <c r="W461">
        <f>AND(IF(Metadata!C461="",FALSE,TRUE),exact(Metadata!C461,"urban biome"))</f>
        <v>0</v>
      </c>
      <c r="X461">
        <f>AND(IF(Metadata!D461="",FALSE,TRUE),exact(Metadata!D461,"animal-associated habitat"))</f>
        <v>0</v>
      </c>
      <c r="Y461">
        <f>OR(AND(IF(Metadata!E461="",FALSE,TRUE),OR(exact(Metadata!E461,"not applicable"),exact(Metadata!E461,"missing: not collected"),exact(Metadata!E461,"missing: not provided"),exact(Metadata!E461,"missing: restricted access"))),AND(IF(Metadata!E461="",FALSE,ISNUMBER(VALUE(Metadata!E461))),Metadata!E461&gt;0))</f>
        <v>0</v>
      </c>
      <c r="Z461">
        <f>AND(IF(Metadata!F461="",FALSE,TRUE),exact(Metadata!F461,"weeks"))</f>
        <v>0</v>
      </c>
      <c r="AA461">
        <f>AND(IF(Metadata!G461="",FALSE,TRUE),exact(Metadata!G461,"mouse"))</f>
        <v>0</v>
      </c>
      <c r="AB461">
        <f>AND(IF(Metadata!H461="",FALSE,TRUE),exact(Metadata!H461,"Mus musculus"))</f>
        <v>0</v>
      </c>
      <c r="AC461">
        <f>AND(IF(Metadata!I461="",FALSE,TRUE),exact(Metadata!I461,"10090"))</f>
        <v>0</v>
      </c>
      <c r="AD461">
        <f>OR(AND(IF(Metadata!J461="",FALSE,TRUE),OR(exact(Metadata!J461,"not applicable"),exact(Metadata!J461,"missing: not collected"),exact(Metadata!J461,"missing: not provided"),exact(Metadata!J461,"missing: restricted access"))),AND(IF(Metadata!J461="",FALSE,ISNUMBER(VALUE(Metadata!J461))),Metadata!J461&gt;0))</f>
        <v>0</v>
      </c>
      <c r="AE461">
        <f>AND(IF(Metadata!K461="",FALSE,TRUE),exact(Metadata!K461,"g"))</f>
        <v>0</v>
      </c>
    </row>
    <row r="462" spans="1:31">
      <c r="A462" s="5">
        <f>IF(B462=" "," ",HYPERLINK(CONCATENATE("#metadata!",ADDRESS(INDEX($Q$2:$Q$1001,MATCH(ROWS($O$2:O462),$O$2:$O$1001,0),0),1)),INDEX($T$2:$T$1001,MATCH(ROWS($O$2:O462),$O$2:$O$1001,0),0)))</f>
        <v>0</v>
      </c>
      <c r="B462" s="4">
        <f>IF(OR(INDEX($P$2:$P$1001,MATCH(ROWS($O$2:O462),$O$2:$O$1001,0),1)&gt;=100000,INDEX($V$1005:$AE$1005,1,MATCH(COLUMNS($V$1006:V1006),$V$1006:$AE$1006,0))&gt;=100000), " ",IF(INDEX($V$2:$AE$1001,MATCH(ROWS($O$2:O462),$O$2:$O$1001,0),MATCH(COLUMNS($V$1006:V1006),$V$1006:$AE$1006,0)), HYPERLINK("#",""), HYPERLINK(CONCATENATE("#Metadata!", ADDRESS(INDEX($Q$2:$Q$1001,MATCH(ROWS($O$2:O462),$O$2:$O$1001,0),0), INDEX($V$1004:$AE$1004,1,MATCH(COLUMNS($V$1006:V1006),$V$1006:$AE$1006,0)))),"Fix")))</f>
        <v>0</v>
      </c>
      <c r="C462" s="4">
        <f>IF(OR(INDEX($P$2:$P$1001,MATCH(ROWS($O$2:O462),$O$2:$O$1001,0),1)&gt;=100000,INDEX($V$1005:$AE$1005,1,MATCH(COLUMNS($V$1006:W1006),$V$1006:$AE$1006,0))&gt;=100000), " ",IF(INDEX($V$2:$AE$1001,MATCH(ROWS($O$2:O462),$O$2:$O$1001,0),MATCH(COLUMNS($V$1006:W1006),$V$1006:$AE$1006,0)), HYPERLINK("#",""), HYPERLINK(CONCATENATE("#Metadata!", ADDRESS(INDEX($Q$2:$Q$1001,MATCH(ROWS($O$2:O462),$O$2:$O$1001,0),0), INDEX($V$1004:$AE$1004,1,MATCH(COLUMNS($V$1006:W1006),$V$1006:$AE$1006,0)))),"Fix")))</f>
        <v>0</v>
      </c>
      <c r="D462" s="4">
        <f>IF(OR(INDEX($P$2:$P$1001,MATCH(ROWS($O$2:O462),$O$2:$O$1001,0),1)&gt;=100000,INDEX($V$1005:$AE$1005,1,MATCH(COLUMNS($V$1006:X1006),$V$1006:$AE$1006,0))&gt;=100000), " ",IF(INDEX($V$2:$AE$1001,MATCH(ROWS($O$2:O462),$O$2:$O$1001,0),MATCH(COLUMNS($V$1006:X1006),$V$1006:$AE$1006,0)), HYPERLINK("#",""), HYPERLINK(CONCATENATE("#Metadata!", ADDRESS(INDEX($Q$2:$Q$1001,MATCH(ROWS($O$2:O462),$O$2:$O$1001,0),0), INDEX($V$1004:$AE$1004,1,MATCH(COLUMNS($V$1006:X1006),$V$1006:$AE$1006,0)))),"Fix")))</f>
        <v>0</v>
      </c>
      <c r="E462" s="4">
        <f>IF(OR(INDEX($P$2:$P$1001,MATCH(ROWS($O$2:O462),$O$2:$O$1001,0),1)&gt;=100000,INDEX($V$1005:$AE$1005,1,MATCH(COLUMNS($V$1006:Y1006),$V$1006:$AE$1006,0))&gt;=100000), " ",IF(INDEX($V$2:$AE$1001,MATCH(ROWS($O$2:O462),$O$2:$O$1001,0),MATCH(COLUMNS($V$1006:Y1006),$V$1006:$AE$1006,0)), HYPERLINK("#",""), HYPERLINK(CONCATENATE("#Metadata!", ADDRESS(INDEX($Q$2:$Q$1001,MATCH(ROWS($O$2:O462),$O$2:$O$1001,0),0), INDEX($V$1004:$AE$1004,1,MATCH(COLUMNS($V$1006:Y1006),$V$1006:$AE$1006,0)))),"Fix")))</f>
        <v>0</v>
      </c>
      <c r="F462" s="4">
        <f>IF(OR(INDEX($P$2:$P$1001,MATCH(ROWS($O$2:O462),$O$2:$O$1001,0),1)&gt;=100000,INDEX($V$1005:$AE$1005,1,MATCH(COLUMNS($V$1006:Z1006),$V$1006:$AE$1006,0))&gt;=100000), " ",IF(INDEX($V$2:$AE$1001,MATCH(ROWS($O$2:O462),$O$2:$O$1001,0),MATCH(COLUMNS($V$1006:Z1006),$V$1006:$AE$1006,0)), HYPERLINK("#",""), HYPERLINK(CONCATENATE("#Metadata!", ADDRESS(INDEX($Q$2:$Q$1001,MATCH(ROWS($O$2:O462),$O$2:$O$1001,0),0), INDEX($V$1004:$AE$1004,1,MATCH(COLUMNS($V$1006:Z1006),$V$1006:$AE$1006,0)))),"Fix")))</f>
        <v>0</v>
      </c>
      <c r="G462" s="4">
        <f>IF(OR(INDEX($P$2:$P$1001,MATCH(ROWS($O$2:O462),$O$2:$O$1001,0),1)&gt;=100000,INDEX($V$1005:$AE$1005,1,MATCH(COLUMNS($V$1006:AA1006),$V$1006:$AE$1006,0))&gt;=100000), " ",IF(INDEX($V$2:$AE$1001,MATCH(ROWS($O$2:O462),$O$2:$O$1001,0),MATCH(COLUMNS($V$1006:AA1006),$V$1006:$AE$1006,0)), HYPERLINK("#",""), HYPERLINK(CONCATENATE("#Metadata!", ADDRESS(INDEX($Q$2:$Q$1001,MATCH(ROWS($O$2:O462),$O$2:$O$1001,0),0), INDEX($V$1004:$AE$1004,1,MATCH(COLUMNS($V$1006:AA1006),$V$1006:$AE$1006,0)))),"Fix")))</f>
        <v>0</v>
      </c>
      <c r="H462" s="4">
        <f>IF(OR(INDEX($P$2:$P$1001,MATCH(ROWS($O$2:O462),$O$2:$O$1001,0),1)&gt;=100000,INDEX($V$1005:$AE$1005,1,MATCH(COLUMNS($V$1006:AB1006),$V$1006:$AE$1006,0))&gt;=100000), " ",IF(INDEX($V$2:$AE$1001,MATCH(ROWS($O$2:O462),$O$2:$O$1001,0),MATCH(COLUMNS($V$1006:AB1006),$V$1006:$AE$1006,0)), HYPERLINK("#",""), HYPERLINK(CONCATENATE("#Metadata!", ADDRESS(INDEX($Q$2:$Q$1001,MATCH(ROWS($O$2:O462),$O$2:$O$1001,0),0), INDEX($V$1004:$AE$1004,1,MATCH(COLUMNS($V$1006:AB1006),$V$1006:$AE$1006,0)))),"Fix")))</f>
        <v>0</v>
      </c>
      <c r="I462" s="4">
        <f>IF(OR(INDEX($P$2:$P$1001,MATCH(ROWS($O$2:O462),$O$2:$O$1001,0),1)&gt;=100000,INDEX($V$1005:$AE$1005,1,MATCH(COLUMNS($V$1006:AC1006),$V$1006:$AE$1006,0))&gt;=100000), " ",IF(INDEX($V$2:$AE$1001,MATCH(ROWS($O$2:O462),$O$2:$O$1001,0),MATCH(COLUMNS($V$1006:AC1006),$V$1006:$AE$1006,0)), HYPERLINK("#",""), HYPERLINK(CONCATENATE("#Metadata!", ADDRESS(INDEX($Q$2:$Q$1001,MATCH(ROWS($O$2:O462),$O$2:$O$1001,0),0), INDEX($V$1004:$AE$1004,1,MATCH(COLUMNS($V$1006:AC1006),$V$1006:$AE$1006,0)))),"Fix")))</f>
        <v>0</v>
      </c>
      <c r="J462" s="4">
        <f>IF(OR(INDEX($P$2:$P$1001,MATCH(ROWS($O$2:O462),$O$2:$O$1001,0),1)&gt;=100000,INDEX($V$1005:$AE$1005,1,MATCH(COLUMNS($V$1006:AD1006),$V$1006:$AE$1006,0))&gt;=100000), " ",IF(INDEX($V$2:$AE$1001,MATCH(ROWS($O$2:O462),$O$2:$O$1001,0),MATCH(COLUMNS($V$1006:AD1006),$V$1006:$AE$1006,0)), HYPERLINK("#",""), HYPERLINK(CONCATENATE("#Metadata!", ADDRESS(INDEX($Q$2:$Q$1001,MATCH(ROWS($O$2:O462),$O$2:$O$1001,0),0), INDEX($V$1004:$AE$1004,1,MATCH(COLUMNS($V$1006:AD1006),$V$1006:$AE$1006,0)))),"Fix")))</f>
        <v>0</v>
      </c>
      <c r="K462" s="4">
        <f>IF(OR(INDEX($P$2:$P$1001,MATCH(ROWS($O$2:O462),$O$2:$O$1001,0),1)&gt;=100000,INDEX($V$1005:$AE$1005,1,MATCH(COLUMNS($V$1006:AE1006),$V$1006:$AE$1006,0))&gt;=100000), " ",IF(INDEX($V$2:$AE$1001,MATCH(ROWS($O$2:O462),$O$2:$O$1001,0),MATCH(COLUMNS($V$1006:AE1006),$V$1006:$AE$1006,0)), HYPERLINK("#",""), HYPERLINK(CONCATENATE("#Metadata!", ADDRESS(INDEX($Q$2:$Q$1001,MATCH(ROWS($O$2:O462),$O$2:$O$1001,0),0), INDEX($V$1004:$AE$1004,1,MATCH(COLUMNS($V$1006:AE1006),$V$1006:$AE$1006,0)))),"Fix")))</f>
        <v>0</v>
      </c>
      <c r="O462">
        <v>0</v>
      </c>
      <c r="P462">
        <v>0</v>
      </c>
      <c r="Q462">
        <v>0</v>
      </c>
      <c r="R462">
        <f>IF(S462,TRUE,AND(V462:AE462))</f>
        <v>0</v>
      </c>
      <c r="S462">
        <f>COUNTBLANK(Metadata!B462:K462)=COLUMNS(Metadata!B462:K462)</f>
        <v>0</v>
      </c>
      <c r="T462">
        <v>0</v>
      </c>
      <c r="V462">
        <f>AND(IF(Metadata!B462="",FALSE,TRUE),COUNTIF(Metadata!B:B, Metadata!B462) = 1,NOT(ISERROR(SUMPRODUCT(SEARCH(MID(Metadata!B462,ROW(INDIRECT("1:"&amp;LEN(Metadata!B462))), 1),"0123456789abcdefghijklmnopqrstuvwxyzABCDEFGHIJKLMNOPQRSTUVWXYZ.")))))</f>
        <v>0</v>
      </c>
      <c r="W462">
        <f>AND(IF(Metadata!C462="",FALSE,TRUE),exact(Metadata!C462,"urban biome"))</f>
        <v>0</v>
      </c>
      <c r="X462">
        <f>AND(IF(Metadata!D462="",FALSE,TRUE),exact(Metadata!D462,"animal-associated habitat"))</f>
        <v>0</v>
      </c>
      <c r="Y462">
        <f>OR(AND(IF(Metadata!E462="",FALSE,TRUE),OR(exact(Metadata!E462,"not applicable"),exact(Metadata!E462,"missing: not collected"),exact(Metadata!E462,"missing: not provided"),exact(Metadata!E462,"missing: restricted access"))),AND(IF(Metadata!E462="",FALSE,ISNUMBER(VALUE(Metadata!E462))),Metadata!E462&gt;0))</f>
        <v>0</v>
      </c>
      <c r="Z462">
        <f>AND(IF(Metadata!F462="",FALSE,TRUE),exact(Metadata!F462,"weeks"))</f>
        <v>0</v>
      </c>
      <c r="AA462">
        <f>AND(IF(Metadata!G462="",FALSE,TRUE),exact(Metadata!G462,"mouse"))</f>
        <v>0</v>
      </c>
      <c r="AB462">
        <f>AND(IF(Metadata!H462="",FALSE,TRUE),exact(Metadata!H462,"Mus musculus"))</f>
        <v>0</v>
      </c>
      <c r="AC462">
        <f>AND(IF(Metadata!I462="",FALSE,TRUE),exact(Metadata!I462,"10090"))</f>
        <v>0</v>
      </c>
      <c r="AD462">
        <f>OR(AND(IF(Metadata!J462="",FALSE,TRUE),OR(exact(Metadata!J462,"not applicable"),exact(Metadata!J462,"missing: not collected"),exact(Metadata!J462,"missing: not provided"),exact(Metadata!J462,"missing: restricted access"))),AND(IF(Metadata!J462="",FALSE,ISNUMBER(VALUE(Metadata!J462))),Metadata!J462&gt;0))</f>
        <v>0</v>
      </c>
      <c r="AE462">
        <f>AND(IF(Metadata!K462="",FALSE,TRUE),exact(Metadata!K462,"g"))</f>
        <v>0</v>
      </c>
    </row>
    <row r="463" spans="1:31">
      <c r="A463" s="5">
        <f>IF(B463=" "," ",HYPERLINK(CONCATENATE("#metadata!",ADDRESS(INDEX($Q$2:$Q$1001,MATCH(ROWS($O$2:O463),$O$2:$O$1001,0),0),1)),INDEX($T$2:$T$1001,MATCH(ROWS($O$2:O463),$O$2:$O$1001,0),0)))</f>
        <v>0</v>
      </c>
      <c r="B463" s="4">
        <f>IF(OR(INDEX($P$2:$P$1001,MATCH(ROWS($O$2:O463),$O$2:$O$1001,0),1)&gt;=100000,INDEX($V$1005:$AE$1005,1,MATCH(COLUMNS($V$1006:V1006),$V$1006:$AE$1006,0))&gt;=100000), " ",IF(INDEX($V$2:$AE$1001,MATCH(ROWS($O$2:O463),$O$2:$O$1001,0),MATCH(COLUMNS($V$1006:V1006),$V$1006:$AE$1006,0)), HYPERLINK("#",""), HYPERLINK(CONCATENATE("#Metadata!", ADDRESS(INDEX($Q$2:$Q$1001,MATCH(ROWS($O$2:O463),$O$2:$O$1001,0),0), INDEX($V$1004:$AE$1004,1,MATCH(COLUMNS($V$1006:V1006),$V$1006:$AE$1006,0)))),"Fix")))</f>
        <v>0</v>
      </c>
      <c r="C463" s="4">
        <f>IF(OR(INDEX($P$2:$P$1001,MATCH(ROWS($O$2:O463),$O$2:$O$1001,0),1)&gt;=100000,INDEX($V$1005:$AE$1005,1,MATCH(COLUMNS($V$1006:W1006),$V$1006:$AE$1006,0))&gt;=100000), " ",IF(INDEX($V$2:$AE$1001,MATCH(ROWS($O$2:O463),$O$2:$O$1001,0),MATCH(COLUMNS($V$1006:W1006),$V$1006:$AE$1006,0)), HYPERLINK("#",""), HYPERLINK(CONCATENATE("#Metadata!", ADDRESS(INDEX($Q$2:$Q$1001,MATCH(ROWS($O$2:O463),$O$2:$O$1001,0),0), INDEX($V$1004:$AE$1004,1,MATCH(COLUMNS($V$1006:W1006),$V$1006:$AE$1006,0)))),"Fix")))</f>
        <v>0</v>
      </c>
      <c r="D463" s="4">
        <f>IF(OR(INDEX($P$2:$P$1001,MATCH(ROWS($O$2:O463),$O$2:$O$1001,0),1)&gt;=100000,INDEX($V$1005:$AE$1005,1,MATCH(COLUMNS($V$1006:X1006),$V$1006:$AE$1006,0))&gt;=100000), " ",IF(INDEX($V$2:$AE$1001,MATCH(ROWS($O$2:O463),$O$2:$O$1001,0),MATCH(COLUMNS($V$1006:X1006),$V$1006:$AE$1006,0)), HYPERLINK("#",""), HYPERLINK(CONCATENATE("#Metadata!", ADDRESS(INDEX($Q$2:$Q$1001,MATCH(ROWS($O$2:O463),$O$2:$O$1001,0),0), INDEX($V$1004:$AE$1004,1,MATCH(COLUMNS($V$1006:X1006),$V$1006:$AE$1006,0)))),"Fix")))</f>
        <v>0</v>
      </c>
      <c r="E463" s="4">
        <f>IF(OR(INDEX($P$2:$P$1001,MATCH(ROWS($O$2:O463),$O$2:$O$1001,0),1)&gt;=100000,INDEX($V$1005:$AE$1005,1,MATCH(COLUMNS($V$1006:Y1006),$V$1006:$AE$1006,0))&gt;=100000), " ",IF(INDEX($V$2:$AE$1001,MATCH(ROWS($O$2:O463),$O$2:$O$1001,0),MATCH(COLUMNS($V$1006:Y1006),$V$1006:$AE$1006,0)), HYPERLINK("#",""), HYPERLINK(CONCATENATE("#Metadata!", ADDRESS(INDEX($Q$2:$Q$1001,MATCH(ROWS($O$2:O463),$O$2:$O$1001,0),0), INDEX($V$1004:$AE$1004,1,MATCH(COLUMNS($V$1006:Y1006),$V$1006:$AE$1006,0)))),"Fix")))</f>
        <v>0</v>
      </c>
      <c r="F463" s="4">
        <f>IF(OR(INDEX($P$2:$P$1001,MATCH(ROWS($O$2:O463),$O$2:$O$1001,0),1)&gt;=100000,INDEX($V$1005:$AE$1005,1,MATCH(COLUMNS($V$1006:Z1006),$V$1006:$AE$1006,0))&gt;=100000), " ",IF(INDEX($V$2:$AE$1001,MATCH(ROWS($O$2:O463),$O$2:$O$1001,0),MATCH(COLUMNS($V$1006:Z1006),$V$1006:$AE$1006,0)), HYPERLINK("#",""), HYPERLINK(CONCATENATE("#Metadata!", ADDRESS(INDEX($Q$2:$Q$1001,MATCH(ROWS($O$2:O463),$O$2:$O$1001,0),0), INDEX($V$1004:$AE$1004,1,MATCH(COLUMNS($V$1006:Z1006),$V$1006:$AE$1006,0)))),"Fix")))</f>
        <v>0</v>
      </c>
      <c r="G463" s="4">
        <f>IF(OR(INDEX($P$2:$P$1001,MATCH(ROWS($O$2:O463),$O$2:$O$1001,0),1)&gt;=100000,INDEX($V$1005:$AE$1005,1,MATCH(COLUMNS($V$1006:AA1006),$V$1006:$AE$1006,0))&gt;=100000), " ",IF(INDEX($V$2:$AE$1001,MATCH(ROWS($O$2:O463),$O$2:$O$1001,0),MATCH(COLUMNS($V$1006:AA1006),$V$1006:$AE$1006,0)), HYPERLINK("#",""), HYPERLINK(CONCATENATE("#Metadata!", ADDRESS(INDEX($Q$2:$Q$1001,MATCH(ROWS($O$2:O463),$O$2:$O$1001,0),0), INDEX($V$1004:$AE$1004,1,MATCH(COLUMNS($V$1006:AA1006),$V$1006:$AE$1006,0)))),"Fix")))</f>
        <v>0</v>
      </c>
      <c r="H463" s="4">
        <f>IF(OR(INDEX($P$2:$P$1001,MATCH(ROWS($O$2:O463),$O$2:$O$1001,0),1)&gt;=100000,INDEX($V$1005:$AE$1005,1,MATCH(COLUMNS($V$1006:AB1006),$V$1006:$AE$1006,0))&gt;=100000), " ",IF(INDEX($V$2:$AE$1001,MATCH(ROWS($O$2:O463),$O$2:$O$1001,0),MATCH(COLUMNS($V$1006:AB1006),$V$1006:$AE$1006,0)), HYPERLINK("#",""), HYPERLINK(CONCATENATE("#Metadata!", ADDRESS(INDEX($Q$2:$Q$1001,MATCH(ROWS($O$2:O463),$O$2:$O$1001,0),0), INDEX($V$1004:$AE$1004,1,MATCH(COLUMNS($V$1006:AB1006),$V$1006:$AE$1006,0)))),"Fix")))</f>
        <v>0</v>
      </c>
      <c r="I463" s="4">
        <f>IF(OR(INDEX($P$2:$P$1001,MATCH(ROWS($O$2:O463),$O$2:$O$1001,0),1)&gt;=100000,INDEX($V$1005:$AE$1005,1,MATCH(COLUMNS($V$1006:AC1006),$V$1006:$AE$1006,0))&gt;=100000), " ",IF(INDEX($V$2:$AE$1001,MATCH(ROWS($O$2:O463),$O$2:$O$1001,0),MATCH(COLUMNS($V$1006:AC1006),$V$1006:$AE$1006,0)), HYPERLINK("#",""), HYPERLINK(CONCATENATE("#Metadata!", ADDRESS(INDEX($Q$2:$Q$1001,MATCH(ROWS($O$2:O463),$O$2:$O$1001,0),0), INDEX($V$1004:$AE$1004,1,MATCH(COLUMNS($V$1006:AC1006),$V$1006:$AE$1006,0)))),"Fix")))</f>
        <v>0</v>
      </c>
      <c r="J463" s="4">
        <f>IF(OR(INDEX($P$2:$P$1001,MATCH(ROWS($O$2:O463),$O$2:$O$1001,0),1)&gt;=100000,INDEX($V$1005:$AE$1005,1,MATCH(COLUMNS($V$1006:AD1006),$V$1006:$AE$1006,0))&gt;=100000), " ",IF(INDEX($V$2:$AE$1001,MATCH(ROWS($O$2:O463),$O$2:$O$1001,0),MATCH(COLUMNS($V$1006:AD1006),$V$1006:$AE$1006,0)), HYPERLINK("#",""), HYPERLINK(CONCATENATE("#Metadata!", ADDRESS(INDEX($Q$2:$Q$1001,MATCH(ROWS($O$2:O463),$O$2:$O$1001,0),0), INDEX($V$1004:$AE$1004,1,MATCH(COLUMNS($V$1006:AD1006),$V$1006:$AE$1006,0)))),"Fix")))</f>
        <v>0</v>
      </c>
      <c r="K463" s="4">
        <f>IF(OR(INDEX($P$2:$P$1001,MATCH(ROWS($O$2:O463),$O$2:$O$1001,0),1)&gt;=100000,INDEX($V$1005:$AE$1005,1,MATCH(COLUMNS($V$1006:AE1006),$V$1006:$AE$1006,0))&gt;=100000), " ",IF(INDEX($V$2:$AE$1001,MATCH(ROWS($O$2:O463),$O$2:$O$1001,0),MATCH(COLUMNS($V$1006:AE1006),$V$1006:$AE$1006,0)), HYPERLINK("#",""), HYPERLINK(CONCATENATE("#Metadata!", ADDRESS(INDEX($Q$2:$Q$1001,MATCH(ROWS($O$2:O463),$O$2:$O$1001,0),0), INDEX($V$1004:$AE$1004,1,MATCH(COLUMNS($V$1006:AE1006),$V$1006:$AE$1006,0)))),"Fix")))</f>
        <v>0</v>
      </c>
      <c r="O463">
        <v>0</v>
      </c>
      <c r="P463">
        <v>0</v>
      </c>
      <c r="Q463">
        <v>0</v>
      </c>
      <c r="R463">
        <f>IF(S463,TRUE,AND(V463:AE463))</f>
        <v>0</v>
      </c>
      <c r="S463">
        <f>COUNTBLANK(Metadata!B463:K463)=COLUMNS(Metadata!B463:K463)</f>
        <v>0</v>
      </c>
      <c r="T463">
        <v>0</v>
      </c>
      <c r="V463">
        <f>AND(IF(Metadata!B463="",FALSE,TRUE),COUNTIF(Metadata!B:B, Metadata!B463) = 1,NOT(ISERROR(SUMPRODUCT(SEARCH(MID(Metadata!B463,ROW(INDIRECT("1:"&amp;LEN(Metadata!B463))), 1),"0123456789abcdefghijklmnopqrstuvwxyzABCDEFGHIJKLMNOPQRSTUVWXYZ.")))))</f>
        <v>0</v>
      </c>
      <c r="W463">
        <f>AND(IF(Metadata!C463="",FALSE,TRUE),exact(Metadata!C463,"urban biome"))</f>
        <v>0</v>
      </c>
      <c r="X463">
        <f>AND(IF(Metadata!D463="",FALSE,TRUE),exact(Metadata!D463,"animal-associated habitat"))</f>
        <v>0</v>
      </c>
      <c r="Y463">
        <f>OR(AND(IF(Metadata!E463="",FALSE,TRUE),OR(exact(Metadata!E463,"not applicable"),exact(Metadata!E463,"missing: not collected"),exact(Metadata!E463,"missing: not provided"),exact(Metadata!E463,"missing: restricted access"))),AND(IF(Metadata!E463="",FALSE,ISNUMBER(VALUE(Metadata!E463))),Metadata!E463&gt;0))</f>
        <v>0</v>
      </c>
      <c r="Z463">
        <f>AND(IF(Metadata!F463="",FALSE,TRUE),exact(Metadata!F463,"weeks"))</f>
        <v>0</v>
      </c>
      <c r="AA463">
        <f>AND(IF(Metadata!G463="",FALSE,TRUE),exact(Metadata!G463,"mouse"))</f>
        <v>0</v>
      </c>
      <c r="AB463">
        <f>AND(IF(Metadata!H463="",FALSE,TRUE),exact(Metadata!H463,"Mus musculus"))</f>
        <v>0</v>
      </c>
      <c r="AC463">
        <f>AND(IF(Metadata!I463="",FALSE,TRUE),exact(Metadata!I463,"10090"))</f>
        <v>0</v>
      </c>
      <c r="AD463">
        <f>OR(AND(IF(Metadata!J463="",FALSE,TRUE),OR(exact(Metadata!J463,"not applicable"),exact(Metadata!J463,"missing: not collected"),exact(Metadata!J463,"missing: not provided"),exact(Metadata!J463,"missing: restricted access"))),AND(IF(Metadata!J463="",FALSE,ISNUMBER(VALUE(Metadata!J463))),Metadata!J463&gt;0))</f>
        <v>0</v>
      </c>
      <c r="AE463">
        <f>AND(IF(Metadata!K463="",FALSE,TRUE),exact(Metadata!K463,"g"))</f>
        <v>0</v>
      </c>
    </row>
    <row r="464" spans="1:31">
      <c r="A464" s="5">
        <f>IF(B464=" "," ",HYPERLINK(CONCATENATE("#metadata!",ADDRESS(INDEX($Q$2:$Q$1001,MATCH(ROWS($O$2:O464),$O$2:$O$1001,0),0),1)),INDEX($T$2:$T$1001,MATCH(ROWS($O$2:O464),$O$2:$O$1001,0),0)))</f>
        <v>0</v>
      </c>
      <c r="B464" s="4">
        <f>IF(OR(INDEX($P$2:$P$1001,MATCH(ROWS($O$2:O464),$O$2:$O$1001,0),1)&gt;=100000,INDEX($V$1005:$AE$1005,1,MATCH(COLUMNS($V$1006:V1006),$V$1006:$AE$1006,0))&gt;=100000), " ",IF(INDEX($V$2:$AE$1001,MATCH(ROWS($O$2:O464),$O$2:$O$1001,0),MATCH(COLUMNS($V$1006:V1006),$V$1006:$AE$1006,0)), HYPERLINK("#",""), HYPERLINK(CONCATENATE("#Metadata!", ADDRESS(INDEX($Q$2:$Q$1001,MATCH(ROWS($O$2:O464),$O$2:$O$1001,0),0), INDEX($V$1004:$AE$1004,1,MATCH(COLUMNS($V$1006:V1006),$V$1006:$AE$1006,0)))),"Fix")))</f>
        <v>0</v>
      </c>
      <c r="C464" s="4">
        <f>IF(OR(INDEX($P$2:$P$1001,MATCH(ROWS($O$2:O464),$O$2:$O$1001,0),1)&gt;=100000,INDEX($V$1005:$AE$1005,1,MATCH(COLUMNS($V$1006:W1006),$V$1006:$AE$1006,0))&gt;=100000), " ",IF(INDEX($V$2:$AE$1001,MATCH(ROWS($O$2:O464),$O$2:$O$1001,0),MATCH(COLUMNS($V$1006:W1006),$V$1006:$AE$1006,0)), HYPERLINK("#",""), HYPERLINK(CONCATENATE("#Metadata!", ADDRESS(INDEX($Q$2:$Q$1001,MATCH(ROWS($O$2:O464),$O$2:$O$1001,0),0), INDEX($V$1004:$AE$1004,1,MATCH(COLUMNS($V$1006:W1006),$V$1006:$AE$1006,0)))),"Fix")))</f>
        <v>0</v>
      </c>
      <c r="D464" s="4">
        <f>IF(OR(INDEX($P$2:$P$1001,MATCH(ROWS($O$2:O464),$O$2:$O$1001,0),1)&gt;=100000,INDEX($V$1005:$AE$1005,1,MATCH(COLUMNS($V$1006:X1006),$V$1006:$AE$1006,0))&gt;=100000), " ",IF(INDEX($V$2:$AE$1001,MATCH(ROWS($O$2:O464),$O$2:$O$1001,0),MATCH(COLUMNS($V$1006:X1006),$V$1006:$AE$1006,0)), HYPERLINK("#",""), HYPERLINK(CONCATENATE("#Metadata!", ADDRESS(INDEX($Q$2:$Q$1001,MATCH(ROWS($O$2:O464),$O$2:$O$1001,0),0), INDEX($V$1004:$AE$1004,1,MATCH(COLUMNS($V$1006:X1006),$V$1006:$AE$1006,0)))),"Fix")))</f>
        <v>0</v>
      </c>
      <c r="E464" s="4">
        <f>IF(OR(INDEX($P$2:$P$1001,MATCH(ROWS($O$2:O464),$O$2:$O$1001,0),1)&gt;=100000,INDEX($V$1005:$AE$1005,1,MATCH(COLUMNS($V$1006:Y1006),$V$1006:$AE$1006,0))&gt;=100000), " ",IF(INDEX($V$2:$AE$1001,MATCH(ROWS($O$2:O464),$O$2:$O$1001,0),MATCH(COLUMNS($V$1006:Y1006),$V$1006:$AE$1006,0)), HYPERLINK("#",""), HYPERLINK(CONCATENATE("#Metadata!", ADDRESS(INDEX($Q$2:$Q$1001,MATCH(ROWS($O$2:O464),$O$2:$O$1001,0),0), INDEX($V$1004:$AE$1004,1,MATCH(COLUMNS($V$1006:Y1006),$V$1006:$AE$1006,0)))),"Fix")))</f>
        <v>0</v>
      </c>
      <c r="F464" s="4">
        <f>IF(OR(INDEX($P$2:$P$1001,MATCH(ROWS($O$2:O464),$O$2:$O$1001,0),1)&gt;=100000,INDEX($V$1005:$AE$1005,1,MATCH(COLUMNS($V$1006:Z1006),$V$1006:$AE$1006,0))&gt;=100000), " ",IF(INDEX($V$2:$AE$1001,MATCH(ROWS($O$2:O464),$O$2:$O$1001,0),MATCH(COLUMNS($V$1006:Z1006),$V$1006:$AE$1006,0)), HYPERLINK("#",""), HYPERLINK(CONCATENATE("#Metadata!", ADDRESS(INDEX($Q$2:$Q$1001,MATCH(ROWS($O$2:O464),$O$2:$O$1001,0),0), INDEX($V$1004:$AE$1004,1,MATCH(COLUMNS($V$1006:Z1006),$V$1006:$AE$1006,0)))),"Fix")))</f>
        <v>0</v>
      </c>
      <c r="G464" s="4">
        <f>IF(OR(INDEX($P$2:$P$1001,MATCH(ROWS($O$2:O464),$O$2:$O$1001,0),1)&gt;=100000,INDEX($V$1005:$AE$1005,1,MATCH(COLUMNS($V$1006:AA1006),$V$1006:$AE$1006,0))&gt;=100000), " ",IF(INDEX($V$2:$AE$1001,MATCH(ROWS($O$2:O464),$O$2:$O$1001,0),MATCH(COLUMNS($V$1006:AA1006),$V$1006:$AE$1006,0)), HYPERLINK("#",""), HYPERLINK(CONCATENATE("#Metadata!", ADDRESS(INDEX($Q$2:$Q$1001,MATCH(ROWS($O$2:O464),$O$2:$O$1001,0),0), INDEX($V$1004:$AE$1004,1,MATCH(COLUMNS($V$1006:AA1006),$V$1006:$AE$1006,0)))),"Fix")))</f>
        <v>0</v>
      </c>
      <c r="H464" s="4">
        <f>IF(OR(INDEX($P$2:$P$1001,MATCH(ROWS($O$2:O464),$O$2:$O$1001,0),1)&gt;=100000,INDEX($V$1005:$AE$1005,1,MATCH(COLUMNS($V$1006:AB1006),$V$1006:$AE$1006,0))&gt;=100000), " ",IF(INDEX($V$2:$AE$1001,MATCH(ROWS($O$2:O464),$O$2:$O$1001,0),MATCH(COLUMNS($V$1006:AB1006),$V$1006:$AE$1006,0)), HYPERLINK("#",""), HYPERLINK(CONCATENATE("#Metadata!", ADDRESS(INDEX($Q$2:$Q$1001,MATCH(ROWS($O$2:O464),$O$2:$O$1001,0),0), INDEX($V$1004:$AE$1004,1,MATCH(COLUMNS($V$1006:AB1006),$V$1006:$AE$1006,0)))),"Fix")))</f>
        <v>0</v>
      </c>
      <c r="I464" s="4">
        <f>IF(OR(INDEX($P$2:$P$1001,MATCH(ROWS($O$2:O464),$O$2:$O$1001,0),1)&gt;=100000,INDEX($V$1005:$AE$1005,1,MATCH(COLUMNS($V$1006:AC1006),$V$1006:$AE$1006,0))&gt;=100000), " ",IF(INDEX($V$2:$AE$1001,MATCH(ROWS($O$2:O464),$O$2:$O$1001,0),MATCH(COLUMNS($V$1006:AC1006),$V$1006:$AE$1006,0)), HYPERLINK("#",""), HYPERLINK(CONCATENATE("#Metadata!", ADDRESS(INDEX($Q$2:$Q$1001,MATCH(ROWS($O$2:O464),$O$2:$O$1001,0),0), INDEX($V$1004:$AE$1004,1,MATCH(COLUMNS($V$1006:AC1006),$V$1006:$AE$1006,0)))),"Fix")))</f>
        <v>0</v>
      </c>
      <c r="J464" s="4">
        <f>IF(OR(INDEX($P$2:$P$1001,MATCH(ROWS($O$2:O464),$O$2:$O$1001,0),1)&gt;=100000,INDEX($V$1005:$AE$1005,1,MATCH(COLUMNS($V$1006:AD1006),$V$1006:$AE$1006,0))&gt;=100000), " ",IF(INDEX($V$2:$AE$1001,MATCH(ROWS($O$2:O464),$O$2:$O$1001,0),MATCH(COLUMNS($V$1006:AD1006),$V$1006:$AE$1006,0)), HYPERLINK("#",""), HYPERLINK(CONCATENATE("#Metadata!", ADDRESS(INDEX($Q$2:$Q$1001,MATCH(ROWS($O$2:O464),$O$2:$O$1001,0),0), INDEX($V$1004:$AE$1004,1,MATCH(COLUMNS($V$1006:AD1006),$V$1006:$AE$1006,0)))),"Fix")))</f>
        <v>0</v>
      </c>
      <c r="K464" s="4">
        <f>IF(OR(INDEX($P$2:$P$1001,MATCH(ROWS($O$2:O464),$O$2:$O$1001,0),1)&gt;=100000,INDEX($V$1005:$AE$1005,1,MATCH(COLUMNS($V$1006:AE1006),$V$1006:$AE$1006,0))&gt;=100000), " ",IF(INDEX($V$2:$AE$1001,MATCH(ROWS($O$2:O464),$O$2:$O$1001,0),MATCH(COLUMNS($V$1006:AE1006),$V$1006:$AE$1006,0)), HYPERLINK("#",""), HYPERLINK(CONCATENATE("#Metadata!", ADDRESS(INDEX($Q$2:$Q$1001,MATCH(ROWS($O$2:O464),$O$2:$O$1001,0),0), INDEX($V$1004:$AE$1004,1,MATCH(COLUMNS($V$1006:AE1006),$V$1006:$AE$1006,0)))),"Fix")))</f>
        <v>0</v>
      </c>
      <c r="O464">
        <v>0</v>
      </c>
      <c r="P464">
        <v>0</v>
      </c>
      <c r="Q464">
        <v>0</v>
      </c>
      <c r="R464">
        <f>IF(S464,TRUE,AND(V464:AE464))</f>
        <v>0</v>
      </c>
      <c r="S464">
        <f>COUNTBLANK(Metadata!B464:K464)=COLUMNS(Metadata!B464:K464)</f>
        <v>0</v>
      </c>
      <c r="T464">
        <v>0</v>
      </c>
      <c r="V464">
        <f>AND(IF(Metadata!B464="",FALSE,TRUE),COUNTIF(Metadata!B:B, Metadata!B464) = 1,NOT(ISERROR(SUMPRODUCT(SEARCH(MID(Metadata!B464,ROW(INDIRECT("1:"&amp;LEN(Metadata!B464))), 1),"0123456789abcdefghijklmnopqrstuvwxyzABCDEFGHIJKLMNOPQRSTUVWXYZ.")))))</f>
        <v>0</v>
      </c>
      <c r="W464">
        <f>AND(IF(Metadata!C464="",FALSE,TRUE),exact(Metadata!C464,"urban biome"))</f>
        <v>0</v>
      </c>
      <c r="X464">
        <f>AND(IF(Metadata!D464="",FALSE,TRUE),exact(Metadata!D464,"animal-associated habitat"))</f>
        <v>0</v>
      </c>
      <c r="Y464">
        <f>OR(AND(IF(Metadata!E464="",FALSE,TRUE),OR(exact(Metadata!E464,"not applicable"),exact(Metadata!E464,"missing: not collected"),exact(Metadata!E464,"missing: not provided"),exact(Metadata!E464,"missing: restricted access"))),AND(IF(Metadata!E464="",FALSE,ISNUMBER(VALUE(Metadata!E464))),Metadata!E464&gt;0))</f>
        <v>0</v>
      </c>
      <c r="Z464">
        <f>AND(IF(Metadata!F464="",FALSE,TRUE),exact(Metadata!F464,"weeks"))</f>
        <v>0</v>
      </c>
      <c r="AA464">
        <f>AND(IF(Metadata!G464="",FALSE,TRUE),exact(Metadata!G464,"mouse"))</f>
        <v>0</v>
      </c>
      <c r="AB464">
        <f>AND(IF(Metadata!H464="",FALSE,TRUE),exact(Metadata!H464,"Mus musculus"))</f>
        <v>0</v>
      </c>
      <c r="AC464">
        <f>AND(IF(Metadata!I464="",FALSE,TRUE),exact(Metadata!I464,"10090"))</f>
        <v>0</v>
      </c>
      <c r="AD464">
        <f>OR(AND(IF(Metadata!J464="",FALSE,TRUE),OR(exact(Metadata!J464,"not applicable"),exact(Metadata!J464,"missing: not collected"),exact(Metadata!J464,"missing: not provided"),exact(Metadata!J464,"missing: restricted access"))),AND(IF(Metadata!J464="",FALSE,ISNUMBER(VALUE(Metadata!J464))),Metadata!J464&gt;0))</f>
        <v>0</v>
      </c>
      <c r="AE464">
        <f>AND(IF(Metadata!K464="",FALSE,TRUE),exact(Metadata!K464,"g"))</f>
        <v>0</v>
      </c>
    </row>
    <row r="465" spans="1:31">
      <c r="A465" s="5">
        <f>IF(B465=" "," ",HYPERLINK(CONCATENATE("#metadata!",ADDRESS(INDEX($Q$2:$Q$1001,MATCH(ROWS($O$2:O465),$O$2:$O$1001,0),0),1)),INDEX($T$2:$T$1001,MATCH(ROWS($O$2:O465),$O$2:$O$1001,0),0)))</f>
        <v>0</v>
      </c>
      <c r="B465" s="4">
        <f>IF(OR(INDEX($P$2:$P$1001,MATCH(ROWS($O$2:O465),$O$2:$O$1001,0),1)&gt;=100000,INDEX($V$1005:$AE$1005,1,MATCH(COLUMNS($V$1006:V1006),$V$1006:$AE$1006,0))&gt;=100000), " ",IF(INDEX($V$2:$AE$1001,MATCH(ROWS($O$2:O465),$O$2:$O$1001,0),MATCH(COLUMNS($V$1006:V1006),$V$1006:$AE$1006,0)), HYPERLINK("#",""), HYPERLINK(CONCATENATE("#Metadata!", ADDRESS(INDEX($Q$2:$Q$1001,MATCH(ROWS($O$2:O465),$O$2:$O$1001,0),0), INDEX($V$1004:$AE$1004,1,MATCH(COLUMNS($V$1006:V1006),$V$1006:$AE$1006,0)))),"Fix")))</f>
        <v>0</v>
      </c>
      <c r="C465" s="4">
        <f>IF(OR(INDEX($P$2:$P$1001,MATCH(ROWS($O$2:O465),$O$2:$O$1001,0),1)&gt;=100000,INDEX($V$1005:$AE$1005,1,MATCH(COLUMNS($V$1006:W1006),$V$1006:$AE$1006,0))&gt;=100000), " ",IF(INDEX($V$2:$AE$1001,MATCH(ROWS($O$2:O465),$O$2:$O$1001,0),MATCH(COLUMNS($V$1006:W1006),$V$1006:$AE$1006,0)), HYPERLINK("#",""), HYPERLINK(CONCATENATE("#Metadata!", ADDRESS(INDEX($Q$2:$Q$1001,MATCH(ROWS($O$2:O465),$O$2:$O$1001,0),0), INDEX($V$1004:$AE$1004,1,MATCH(COLUMNS($V$1006:W1006),$V$1006:$AE$1006,0)))),"Fix")))</f>
        <v>0</v>
      </c>
      <c r="D465" s="4">
        <f>IF(OR(INDEX($P$2:$P$1001,MATCH(ROWS($O$2:O465),$O$2:$O$1001,0),1)&gt;=100000,INDEX($V$1005:$AE$1005,1,MATCH(COLUMNS($V$1006:X1006),$V$1006:$AE$1006,0))&gt;=100000), " ",IF(INDEX($V$2:$AE$1001,MATCH(ROWS($O$2:O465),$O$2:$O$1001,0),MATCH(COLUMNS($V$1006:X1006),$V$1006:$AE$1006,0)), HYPERLINK("#",""), HYPERLINK(CONCATENATE("#Metadata!", ADDRESS(INDEX($Q$2:$Q$1001,MATCH(ROWS($O$2:O465),$O$2:$O$1001,0),0), INDEX($V$1004:$AE$1004,1,MATCH(COLUMNS($V$1006:X1006),$V$1006:$AE$1006,0)))),"Fix")))</f>
        <v>0</v>
      </c>
      <c r="E465" s="4">
        <f>IF(OR(INDEX($P$2:$P$1001,MATCH(ROWS($O$2:O465),$O$2:$O$1001,0),1)&gt;=100000,INDEX($V$1005:$AE$1005,1,MATCH(COLUMNS($V$1006:Y1006),$V$1006:$AE$1006,0))&gt;=100000), " ",IF(INDEX($V$2:$AE$1001,MATCH(ROWS($O$2:O465),$O$2:$O$1001,0),MATCH(COLUMNS($V$1006:Y1006),$V$1006:$AE$1006,0)), HYPERLINK("#",""), HYPERLINK(CONCATENATE("#Metadata!", ADDRESS(INDEX($Q$2:$Q$1001,MATCH(ROWS($O$2:O465),$O$2:$O$1001,0),0), INDEX($V$1004:$AE$1004,1,MATCH(COLUMNS($V$1006:Y1006),$V$1006:$AE$1006,0)))),"Fix")))</f>
        <v>0</v>
      </c>
      <c r="F465" s="4">
        <f>IF(OR(INDEX($P$2:$P$1001,MATCH(ROWS($O$2:O465),$O$2:$O$1001,0),1)&gt;=100000,INDEX($V$1005:$AE$1005,1,MATCH(COLUMNS($V$1006:Z1006),$V$1006:$AE$1006,0))&gt;=100000), " ",IF(INDEX($V$2:$AE$1001,MATCH(ROWS($O$2:O465),$O$2:$O$1001,0),MATCH(COLUMNS($V$1006:Z1006),$V$1006:$AE$1006,0)), HYPERLINK("#",""), HYPERLINK(CONCATENATE("#Metadata!", ADDRESS(INDEX($Q$2:$Q$1001,MATCH(ROWS($O$2:O465),$O$2:$O$1001,0),0), INDEX($V$1004:$AE$1004,1,MATCH(COLUMNS($V$1006:Z1006),$V$1006:$AE$1006,0)))),"Fix")))</f>
        <v>0</v>
      </c>
      <c r="G465" s="4">
        <f>IF(OR(INDEX($P$2:$P$1001,MATCH(ROWS($O$2:O465),$O$2:$O$1001,0),1)&gt;=100000,INDEX($V$1005:$AE$1005,1,MATCH(COLUMNS($V$1006:AA1006),$V$1006:$AE$1006,0))&gt;=100000), " ",IF(INDEX($V$2:$AE$1001,MATCH(ROWS($O$2:O465),$O$2:$O$1001,0),MATCH(COLUMNS($V$1006:AA1006),$V$1006:$AE$1006,0)), HYPERLINK("#",""), HYPERLINK(CONCATENATE("#Metadata!", ADDRESS(INDEX($Q$2:$Q$1001,MATCH(ROWS($O$2:O465),$O$2:$O$1001,0),0), INDEX($V$1004:$AE$1004,1,MATCH(COLUMNS($V$1006:AA1006),$V$1006:$AE$1006,0)))),"Fix")))</f>
        <v>0</v>
      </c>
      <c r="H465" s="4">
        <f>IF(OR(INDEX($P$2:$P$1001,MATCH(ROWS($O$2:O465),$O$2:$O$1001,0),1)&gt;=100000,INDEX($V$1005:$AE$1005,1,MATCH(COLUMNS($V$1006:AB1006),$V$1006:$AE$1006,0))&gt;=100000), " ",IF(INDEX($V$2:$AE$1001,MATCH(ROWS($O$2:O465),$O$2:$O$1001,0),MATCH(COLUMNS($V$1006:AB1006),$V$1006:$AE$1006,0)), HYPERLINK("#",""), HYPERLINK(CONCATENATE("#Metadata!", ADDRESS(INDEX($Q$2:$Q$1001,MATCH(ROWS($O$2:O465),$O$2:$O$1001,0),0), INDEX($V$1004:$AE$1004,1,MATCH(COLUMNS($V$1006:AB1006),$V$1006:$AE$1006,0)))),"Fix")))</f>
        <v>0</v>
      </c>
      <c r="I465" s="4">
        <f>IF(OR(INDEX($P$2:$P$1001,MATCH(ROWS($O$2:O465),$O$2:$O$1001,0),1)&gt;=100000,INDEX($V$1005:$AE$1005,1,MATCH(COLUMNS($V$1006:AC1006),$V$1006:$AE$1006,0))&gt;=100000), " ",IF(INDEX($V$2:$AE$1001,MATCH(ROWS($O$2:O465),$O$2:$O$1001,0),MATCH(COLUMNS($V$1006:AC1006),$V$1006:$AE$1006,0)), HYPERLINK("#",""), HYPERLINK(CONCATENATE("#Metadata!", ADDRESS(INDEX($Q$2:$Q$1001,MATCH(ROWS($O$2:O465),$O$2:$O$1001,0),0), INDEX($V$1004:$AE$1004,1,MATCH(COLUMNS($V$1006:AC1006),$V$1006:$AE$1006,0)))),"Fix")))</f>
        <v>0</v>
      </c>
      <c r="J465" s="4">
        <f>IF(OR(INDEX($P$2:$P$1001,MATCH(ROWS($O$2:O465),$O$2:$O$1001,0),1)&gt;=100000,INDEX($V$1005:$AE$1005,1,MATCH(COLUMNS($V$1006:AD1006),$V$1006:$AE$1006,0))&gt;=100000), " ",IF(INDEX($V$2:$AE$1001,MATCH(ROWS($O$2:O465),$O$2:$O$1001,0),MATCH(COLUMNS($V$1006:AD1006),$V$1006:$AE$1006,0)), HYPERLINK("#",""), HYPERLINK(CONCATENATE("#Metadata!", ADDRESS(INDEX($Q$2:$Q$1001,MATCH(ROWS($O$2:O465),$O$2:$O$1001,0),0), INDEX($V$1004:$AE$1004,1,MATCH(COLUMNS($V$1006:AD1006),$V$1006:$AE$1006,0)))),"Fix")))</f>
        <v>0</v>
      </c>
      <c r="K465" s="4">
        <f>IF(OR(INDEX($P$2:$P$1001,MATCH(ROWS($O$2:O465),$O$2:$O$1001,0),1)&gt;=100000,INDEX($V$1005:$AE$1005,1,MATCH(COLUMNS($V$1006:AE1006),$V$1006:$AE$1006,0))&gt;=100000), " ",IF(INDEX($V$2:$AE$1001,MATCH(ROWS($O$2:O465),$O$2:$O$1001,0),MATCH(COLUMNS($V$1006:AE1006),$V$1006:$AE$1006,0)), HYPERLINK("#",""), HYPERLINK(CONCATENATE("#Metadata!", ADDRESS(INDEX($Q$2:$Q$1001,MATCH(ROWS($O$2:O465),$O$2:$O$1001,0),0), INDEX($V$1004:$AE$1004,1,MATCH(COLUMNS($V$1006:AE1006),$V$1006:$AE$1006,0)))),"Fix")))</f>
        <v>0</v>
      </c>
      <c r="O465">
        <v>0</v>
      </c>
      <c r="P465">
        <v>0</v>
      </c>
      <c r="Q465">
        <v>0</v>
      </c>
      <c r="R465">
        <f>IF(S465,TRUE,AND(V465:AE465))</f>
        <v>0</v>
      </c>
      <c r="S465">
        <f>COUNTBLANK(Metadata!B465:K465)=COLUMNS(Metadata!B465:K465)</f>
        <v>0</v>
      </c>
      <c r="T465">
        <v>0</v>
      </c>
      <c r="V465">
        <f>AND(IF(Metadata!B465="",FALSE,TRUE),COUNTIF(Metadata!B:B, Metadata!B465) = 1,NOT(ISERROR(SUMPRODUCT(SEARCH(MID(Metadata!B465,ROW(INDIRECT("1:"&amp;LEN(Metadata!B465))), 1),"0123456789abcdefghijklmnopqrstuvwxyzABCDEFGHIJKLMNOPQRSTUVWXYZ.")))))</f>
        <v>0</v>
      </c>
      <c r="W465">
        <f>AND(IF(Metadata!C465="",FALSE,TRUE),exact(Metadata!C465,"urban biome"))</f>
        <v>0</v>
      </c>
      <c r="X465">
        <f>AND(IF(Metadata!D465="",FALSE,TRUE),exact(Metadata!D465,"animal-associated habitat"))</f>
        <v>0</v>
      </c>
      <c r="Y465">
        <f>OR(AND(IF(Metadata!E465="",FALSE,TRUE),OR(exact(Metadata!E465,"not applicable"),exact(Metadata!E465,"missing: not collected"),exact(Metadata!E465,"missing: not provided"),exact(Metadata!E465,"missing: restricted access"))),AND(IF(Metadata!E465="",FALSE,ISNUMBER(VALUE(Metadata!E465))),Metadata!E465&gt;0))</f>
        <v>0</v>
      </c>
      <c r="Z465">
        <f>AND(IF(Metadata!F465="",FALSE,TRUE),exact(Metadata!F465,"weeks"))</f>
        <v>0</v>
      </c>
      <c r="AA465">
        <f>AND(IF(Metadata!G465="",FALSE,TRUE),exact(Metadata!G465,"mouse"))</f>
        <v>0</v>
      </c>
      <c r="AB465">
        <f>AND(IF(Metadata!H465="",FALSE,TRUE),exact(Metadata!H465,"Mus musculus"))</f>
        <v>0</v>
      </c>
      <c r="AC465">
        <f>AND(IF(Metadata!I465="",FALSE,TRUE),exact(Metadata!I465,"10090"))</f>
        <v>0</v>
      </c>
      <c r="AD465">
        <f>OR(AND(IF(Metadata!J465="",FALSE,TRUE),OR(exact(Metadata!J465,"not applicable"),exact(Metadata!J465,"missing: not collected"),exact(Metadata!J465,"missing: not provided"),exact(Metadata!J465,"missing: restricted access"))),AND(IF(Metadata!J465="",FALSE,ISNUMBER(VALUE(Metadata!J465))),Metadata!J465&gt;0))</f>
        <v>0</v>
      </c>
      <c r="AE465">
        <f>AND(IF(Metadata!K465="",FALSE,TRUE),exact(Metadata!K465,"g"))</f>
        <v>0</v>
      </c>
    </row>
    <row r="466" spans="1:31">
      <c r="A466" s="5">
        <f>IF(B466=" "," ",HYPERLINK(CONCATENATE("#metadata!",ADDRESS(INDEX($Q$2:$Q$1001,MATCH(ROWS($O$2:O466),$O$2:$O$1001,0),0),1)),INDEX($T$2:$T$1001,MATCH(ROWS($O$2:O466),$O$2:$O$1001,0),0)))</f>
        <v>0</v>
      </c>
      <c r="B466" s="4">
        <f>IF(OR(INDEX($P$2:$P$1001,MATCH(ROWS($O$2:O466),$O$2:$O$1001,0),1)&gt;=100000,INDEX($V$1005:$AE$1005,1,MATCH(COLUMNS($V$1006:V1006),$V$1006:$AE$1006,0))&gt;=100000), " ",IF(INDEX($V$2:$AE$1001,MATCH(ROWS($O$2:O466),$O$2:$O$1001,0),MATCH(COLUMNS($V$1006:V1006),$V$1006:$AE$1006,0)), HYPERLINK("#",""), HYPERLINK(CONCATENATE("#Metadata!", ADDRESS(INDEX($Q$2:$Q$1001,MATCH(ROWS($O$2:O466),$O$2:$O$1001,0),0), INDEX($V$1004:$AE$1004,1,MATCH(COLUMNS($V$1006:V1006),$V$1006:$AE$1006,0)))),"Fix")))</f>
        <v>0</v>
      </c>
      <c r="C466" s="4">
        <f>IF(OR(INDEX($P$2:$P$1001,MATCH(ROWS($O$2:O466),$O$2:$O$1001,0),1)&gt;=100000,INDEX($V$1005:$AE$1005,1,MATCH(COLUMNS($V$1006:W1006),$V$1006:$AE$1006,0))&gt;=100000), " ",IF(INDEX($V$2:$AE$1001,MATCH(ROWS($O$2:O466),$O$2:$O$1001,0),MATCH(COLUMNS($V$1006:W1006),$V$1006:$AE$1006,0)), HYPERLINK("#",""), HYPERLINK(CONCATENATE("#Metadata!", ADDRESS(INDEX($Q$2:$Q$1001,MATCH(ROWS($O$2:O466),$O$2:$O$1001,0),0), INDEX($V$1004:$AE$1004,1,MATCH(COLUMNS($V$1006:W1006),$V$1006:$AE$1006,0)))),"Fix")))</f>
        <v>0</v>
      </c>
      <c r="D466" s="4">
        <f>IF(OR(INDEX($P$2:$P$1001,MATCH(ROWS($O$2:O466),$O$2:$O$1001,0),1)&gt;=100000,INDEX($V$1005:$AE$1005,1,MATCH(COLUMNS($V$1006:X1006),$V$1006:$AE$1006,0))&gt;=100000), " ",IF(INDEX($V$2:$AE$1001,MATCH(ROWS($O$2:O466),$O$2:$O$1001,0),MATCH(COLUMNS($V$1006:X1006),$V$1006:$AE$1006,0)), HYPERLINK("#",""), HYPERLINK(CONCATENATE("#Metadata!", ADDRESS(INDEX($Q$2:$Q$1001,MATCH(ROWS($O$2:O466),$O$2:$O$1001,0),0), INDEX($V$1004:$AE$1004,1,MATCH(COLUMNS($V$1006:X1006),$V$1006:$AE$1006,0)))),"Fix")))</f>
        <v>0</v>
      </c>
      <c r="E466" s="4">
        <f>IF(OR(INDEX($P$2:$P$1001,MATCH(ROWS($O$2:O466),$O$2:$O$1001,0),1)&gt;=100000,INDEX($V$1005:$AE$1005,1,MATCH(COLUMNS($V$1006:Y1006),$V$1006:$AE$1006,0))&gt;=100000), " ",IF(INDEX($V$2:$AE$1001,MATCH(ROWS($O$2:O466),$O$2:$O$1001,0),MATCH(COLUMNS($V$1006:Y1006),$V$1006:$AE$1006,0)), HYPERLINK("#",""), HYPERLINK(CONCATENATE("#Metadata!", ADDRESS(INDEX($Q$2:$Q$1001,MATCH(ROWS($O$2:O466),$O$2:$O$1001,0),0), INDEX($V$1004:$AE$1004,1,MATCH(COLUMNS($V$1006:Y1006),$V$1006:$AE$1006,0)))),"Fix")))</f>
        <v>0</v>
      </c>
      <c r="F466" s="4">
        <f>IF(OR(INDEX($P$2:$P$1001,MATCH(ROWS($O$2:O466),$O$2:$O$1001,0),1)&gt;=100000,INDEX($V$1005:$AE$1005,1,MATCH(COLUMNS($V$1006:Z1006),$V$1006:$AE$1006,0))&gt;=100000), " ",IF(INDEX($V$2:$AE$1001,MATCH(ROWS($O$2:O466),$O$2:$O$1001,0),MATCH(COLUMNS($V$1006:Z1006),$V$1006:$AE$1006,0)), HYPERLINK("#",""), HYPERLINK(CONCATENATE("#Metadata!", ADDRESS(INDEX($Q$2:$Q$1001,MATCH(ROWS($O$2:O466),$O$2:$O$1001,0),0), INDEX($V$1004:$AE$1004,1,MATCH(COLUMNS($V$1006:Z1006),$V$1006:$AE$1006,0)))),"Fix")))</f>
        <v>0</v>
      </c>
      <c r="G466" s="4">
        <f>IF(OR(INDEX($P$2:$P$1001,MATCH(ROWS($O$2:O466),$O$2:$O$1001,0),1)&gt;=100000,INDEX($V$1005:$AE$1005,1,MATCH(COLUMNS($V$1006:AA1006),$V$1006:$AE$1006,0))&gt;=100000), " ",IF(INDEX($V$2:$AE$1001,MATCH(ROWS($O$2:O466),$O$2:$O$1001,0),MATCH(COLUMNS($V$1006:AA1006),$V$1006:$AE$1006,0)), HYPERLINK("#",""), HYPERLINK(CONCATENATE("#Metadata!", ADDRESS(INDEX($Q$2:$Q$1001,MATCH(ROWS($O$2:O466),$O$2:$O$1001,0),0), INDEX($V$1004:$AE$1004,1,MATCH(COLUMNS($V$1006:AA1006),$V$1006:$AE$1006,0)))),"Fix")))</f>
        <v>0</v>
      </c>
      <c r="H466" s="4">
        <f>IF(OR(INDEX($P$2:$P$1001,MATCH(ROWS($O$2:O466),$O$2:$O$1001,0),1)&gt;=100000,INDEX($V$1005:$AE$1005,1,MATCH(COLUMNS($V$1006:AB1006),$V$1006:$AE$1006,0))&gt;=100000), " ",IF(INDEX($V$2:$AE$1001,MATCH(ROWS($O$2:O466),$O$2:$O$1001,0),MATCH(COLUMNS($V$1006:AB1006),$V$1006:$AE$1006,0)), HYPERLINK("#",""), HYPERLINK(CONCATENATE("#Metadata!", ADDRESS(INDEX($Q$2:$Q$1001,MATCH(ROWS($O$2:O466),$O$2:$O$1001,0),0), INDEX($V$1004:$AE$1004,1,MATCH(COLUMNS($V$1006:AB1006),$V$1006:$AE$1006,0)))),"Fix")))</f>
        <v>0</v>
      </c>
      <c r="I466" s="4">
        <f>IF(OR(INDEX($P$2:$P$1001,MATCH(ROWS($O$2:O466),$O$2:$O$1001,0),1)&gt;=100000,INDEX($V$1005:$AE$1005,1,MATCH(COLUMNS($V$1006:AC1006),$V$1006:$AE$1006,0))&gt;=100000), " ",IF(INDEX($V$2:$AE$1001,MATCH(ROWS($O$2:O466),$O$2:$O$1001,0),MATCH(COLUMNS($V$1006:AC1006),$V$1006:$AE$1006,0)), HYPERLINK("#",""), HYPERLINK(CONCATENATE("#Metadata!", ADDRESS(INDEX($Q$2:$Q$1001,MATCH(ROWS($O$2:O466),$O$2:$O$1001,0),0), INDEX($V$1004:$AE$1004,1,MATCH(COLUMNS($V$1006:AC1006),$V$1006:$AE$1006,0)))),"Fix")))</f>
        <v>0</v>
      </c>
      <c r="J466" s="4">
        <f>IF(OR(INDEX($P$2:$P$1001,MATCH(ROWS($O$2:O466),$O$2:$O$1001,0),1)&gt;=100000,INDEX($V$1005:$AE$1005,1,MATCH(COLUMNS($V$1006:AD1006),$V$1006:$AE$1006,0))&gt;=100000), " ",IF(INDEX($V$2:$AE$1001,MATCH(ROWS($O$2:O466),$O$2:$O$1001,0),MATCH(COLUMNS($V$1006:AD1006),$V$1006:$AE$1006,0)), HYPERLINK("#",""), HYPERLINK(CONCATENATE("#Metadata!", ADDRESS(INDEX($Q$2:$Q$1001,MATCH(ROWS($O$2:O466),$O$2:$O$1001,0),0), INDEX($V$1004:$AE$1004,1,MATCH(COLUMNS($V$1006:AD1006),$V$1006:$AE$1006,0)))),"Fix")))</f>
        <v>0</v>
      </c>
      <c r="K466" s="4">
        <f>IF(OR(INDEX($P$2:$P$1001,MATCH(ROWS($O$2:O466),$O$2:$O$1001,0),1)&gt;=100000,INDEX($V$1005:$AE$1005,1,MATCH(COLUMNS($V$1006:AE1006),$V$1006:$AE$1006,0))&gt;=100000), " ",IF(INDEX($V$2:$AE$1001,MATCH(ROWS($O$2:O466),$O$2:$O$1001,0),MATCH(COLUMNS($V$1006:AE1006),$V$1006:$AE$1006,0)), HYPERLINK("#",""), HYPERLINK(CONCATENATE("#Metadata!", ADDRESS(INDEX($Q$2:$Q$1001,MATCH(ROWS($O$2:O466),$O$2:$O$1001,0),0), INDEX($V$1004:$AE$1004,1,MATCH(COLUMNS($V$1006:AE1006),$V$1006:$AE$1006,0)))),"Fix")))</f>
        <v>0</v>
      </c>
      <c r="O466">
        <v>0</v>
      </c>
      <c r="P466">
        <v>0</v>
      </c>
      <c r="Q466">
        <v>0</v>
      </c>
      <c r="R466">
        <f>IF(S466,TRUE,AND(V466:AE466))</f>
        <v>0</v>
      </c>
      <c r="S466">
        <f>COUNTBLANK(Metadata!B466:K466)=COLUMNS(Metadata!B466:K466)</f>
        <v>0</v>
      </c>
      <c r="T466">
        <v>0</v>
      </c>
      <c r="V466">
        <f>AND(IF(Metadata!B466="",FALSE,TRUE),COUNTIF(Metadata!B:B, Metadata!B466) = 1,NOT(ISERROR(SUMPRODUCT(SEARCH(MID(Metadata!B466,ROW(INDIRECT("1:"&amp;LEN(Metadata!B466))), 1),"0123456789abcdefghijklmnopqrstuvwxyzABCDEFGHIJKLMNOPQRSTUVWXYZ.")))))</f>
        <v>0</v>
      </c>
      <c r="W466">
        <f>AND(IF(Metadata!C466="",FALSE,TRUE),exact(Metadata!C466,"urban biome"))</f>
        <v>0</v>
      </c>
      <c r="X466">
        <f>AND(IF(Metadata!D466="",FALSE,TRUE),exact(Metadata!D466,"animal-associated habitat"))</f>
        <v>0</v>
      </c>
      <c r="Y466">
        <f>OR(AND(IF(Metadata!E466="",FALSE,TRUE),OR(exact(Metadata!E466,"not applicable"),exact(Metadata!E466,"missing: not collected"),exact(Metadata!E466,"missing: not provided"),exact(Metadata!E466,"missing: restricted access"))),AND(IF(Metadata!E466="",FALSE,ISNUMBER(VALUE(Metadata!E466))),Metadata!E466&gt;0))</f>
        <v>0</v>
      </c>
      <c r="Z466">
        <f>AND(IF(Metadata!F466="",FALSE,TRUE),exact(Metadata!F466,"weeks"))</f>
        <v>0</v>
      </c>
      <c r="AA466">
        <f>AND(IF(Metadata!G466="",FALSE,TRUE),exact(Metadata!G466,"mouse"))</f>
        <v>0</v>
      </c>
      <c r="AB466">
        <f>AND(IF(Metadata!H466="",FALSE,TRUE),exact(Metadata!H466,"Mus musculus"))</f>
        <v>0</v>
      </c>
      <c r="AC466">
        <f>AND(IF(Metadata!I466="",FALSE,TRUE),exact(Metadata!I466,"10090"))</f>
        <v>0</v>
      </c>
      <c r="AD466">
        <f>OR(AND(IF(Metadata!J466="",FALSE,TRUE),OR(exact(Metadata!J466,"not applicable"),exact(Metadata!J466,"missing: not collected"),exact(Metadata!J466,"missing: not provided"),exact(Metadata!J466,"missing: restricted access"))),AND(IF(Metadata!J466="",FALSE,ISNUMBER(VALUE(Metadata!J466))),Metadata!J466&gt;0))</f>
        <v>0</v>
      </c>
      <c r="AE466">
        <f>AND(IF(Metadata!K466="",FALSE,TRUE),exact(Metadata!K466,"g"))</f>
        <v>0</v>
      </c>
    </row>
    <row r="467" spans="1:31">
      <c r="A467" s="5">
        <f>IF(B467=" "," ",HYPERLINK(CONCATENATE("#metadata!",ADDRESS(INDEX($Q$2:$Q$1001,MATCH(ROWS($O$2:O467),$O$2:$O$1001,0),0),1)),INDEX($T$2:$T$1001,MATCH(ROWS($O$2:O467),$O$2:$O$1001,0),0)))</f>
        <v>0</v>
      </c>
      <c r="B467" s="4">
        <f>IF(OR(INDEX($P$2:$P$1001,MATCH(ROWS($O$2:O467),$O$2:$O$1001,0),1)&gt;=100000,INDEX($V$1005:$AE$1005,1,MATCH(COLUMNS($V$1006:V1006),$V$1006:$AE$1006,0))&gt;=100000), " ",IF(INDEX($V$2:$AE$1001,MATCH(ROWS($O$2:O467),$O$2:$O$1001,0),MATCH(COLUMNS($V$1006:V1006),$V$1006:$AE$1006,0)), HYPERLINK("#",""), HYPERLINK(CONCATENATE("#Metadata!", ADDRESS(INDEX($Q$2:$Q$1001,MATCH(ROWS($O$2:O467),$O$2:$O$1001,0),0), INDEX($V$1004:$AE$1004,1,MATCH(COLUMNS($V$1006:V1006),$V$1006:$AE$1006,0)))),"Fix")))</f>
        <v>0</v>
      </c>
      <c r="C467" s="4">
        <f>IF(OR(INDEX($P$2:$P$1001,MATCH(ROWS($O$2:O467),$O$2:$O$1001,0),1)&gt;=100000,INDEX($V$1005:$AE$1005,1,MATCH(COLUMNS($V$1006:W1006),$V$1006:$AE$1006,0))&gt;=100000), " ",IF(INDEX($V$2:$AE$1001,MATCH(ROWS($O$2:O467),$O$2:$O$1001,0),MATCH(COLUMNS($V$1006:W1006),$V$1006:$AE$1006,0)), HYPERLINK("#",""), HYPERLINK(CONCATENATE("#Metadata!", ADDRESS(INDEX($Q$2:$Q$1001,MATCH(ROWS($O$2:O467),$O$2:$O$1001,0),0), INDEX($V$1004:$AE$1004,1,MATCH(COLUMNS($V$1006:W1006),$V$1006:$AE$1006,0)))),"Fix")))</f>
        <v>0</v>
      </c>
      <c r="D467" s="4">
        <f>IF(OR(INDEX($P$2:$P$1001,MATCH(ROWS($O$2:O467),$O$2:$O$1001,0),1)&gt;=100000,INDEX($V$1005:$AE$1005,1,MATCH(COLUMNS($V$1006:X1006),$V$1006:$AE$1006,0))&gt;=100000), " ",IF(INDEX($V$2:$AE$1001,MATCH(ROWS($O$2:O467),$O$2:$O$1001,0),MATCH(COLUMNS($V$1006:X1006),$V$1006:$AE$1006,0)), HYPERLINK("#",""), HYPERLINK(CONCATENATE("#Metadata!", ADDRESS(INDEX($Q$2:$Q$1001,MATCH(ROWS($O$2:O467),$O$2:$O$1001,0),0), INDEX($V$1004:$AE$1004,1,MATCH(COLUMNS($V$1006:X1006),$V$1006:$AE$1006,0)))),"Fix")))</f>
        <v>0</v>
      </c>
      <c r="E467" s="4">
        <f>IF(OR(INDEX($P$2:$P$1001,MATCH(ROWS($O$2:O467),$O$2:$O$1001,0),1)&gt;=100000,INDEX($V$1005:$AE$1005,1,MATCH(COLUMNS($V$1006:Y1006),$V$1006:$AE$1006,0))&gt;=100000), " ",IF(INDEX($V$2:$AE$1001,MATCH(ROWS($O$2:O467),$O$2:$O$1001,0),MATCH(COLUMNS($V$1006:Y1006),$V$1006:$AE$1006,0)), HYPERLINK("#",""), HYPERLINK(CONCATENATE("#Metadata!", ADDRESS(INDEX($Q$2:$Q$1001,MATCH(ROWS($O$2:O467),$O$2:$O$1001,0),0), INDEX($V$1004:$AE$1004,1,MATCH(COLUMNS($V$1006:Y1006),$V$1006:$AE$1006,0)))),"Fix")))</f>
        <v>0</v>
      </c>
      <c r="F467" s="4">
        <f>IF(OR(INDEX($P$2:$P$1001,MATCH(ROWS($O$2:O467),$O$2:$O$1001,0),1)&gt;=100000,INDEX($V$1005:$AE$1005,1,MATCH(COLUMNS($V$1006:Z1006),$V$1006:$AE$1006,0))&gt;=100000), " ",IF(INDEX($V$2:$AE$1001,MATCH(ROWS($O$2:O467),$O$2:$O$1001,0),MATCH(COLUMNS($V$1006:Z1006),$V$1006:$AE$1006,0)), HYPERLINK("#",""), HYPERLINK(CONCATENATE("#Metadata!", ADDRESS(INDEX($Q$2:$Q$1001,MATCH(ROWS($O$2:O467),$O$2:$O$1001,0),0), INDEX($V$1004:$AE$1004,1,MATCH(COLUMNS($V$1006:Z1006),$V$1006:$AE$1006,0)))),"Fix")))</f>
        <v>0</v>
      </c>
      <c r="G467" s="4">
        <f>IF(OR(INDEX($P$2:$P$1001,MATCH(ROWS($O$2:O467),$O$2:$O$1001,0),1)&gt;=100000,INDEX($V$1005:$AE$1005,1,MATCH(COLUMNS($V$1006:AA1006),$V$1006:$AE$1006,0))&gt;=100000), " ",IF(INDEX($V$2:$AE$1001,MATCH(ROWS($O$2:O467),$O$2:$O$1001,0),MATCH(COLUMNS($V$1006:AA1006),$V$1006:$AE$1006,0)), HYPERLINK("#",""), HYPERLINK(CONCATENATE("#Metadata!", ADDRESS(INDEX($Q$2:$Q$1001,MATCH(ROWS($O$2:O467),$O$2:$O$1001,0),0), INDEX($V$1004:$AE$1004,1,MATCH(COLUMNS($V$1006:AA1006),$V$1006:$AE$1006,0)))),"Fix")))</f>
        <v>0</v>
      </c>
      <c r="H467" s="4">
        <f>IF(OR(INDEX($P$2:$P$1001,MATCH(ROWS($O$2:O467),$O$2:$O$1001,0),1)&gt;=100000,INDEX($V$1005:$AE$1005,1,MATCH(COLUMNS($V$1006:AB1006),$V$1006:$AE$1006,0))&gt;=100000), " ",IF(INDEX($V$2:$AE$1001,MATCH(ROWS($O$2:O467),$O$2:$O$1001,0),MATCH(COLUMNS($V$1006:AB1006),$V$1006:$AE$1006,0)), HYPERLINK("#",""), HYPERLINK(CONCATENATE("#Metadata!", ADDRESS(INDEX($Q$2:$Q$1001,MATCH(ROWS($O$2:O467),$O$2:$O$1001,0),0), INDEX($V$1004:$AE$1004,1,MATCH(COLUMNS($V$1006:AB1006),$V$1006:$AE$1006,0)))),"Fix")))</f>
        <v>0</v>
      </c>
      <c r="I467" s="4">
        <f>IF(OR(INDEX($P$2:$P$1001,MATCH(ROWS($O$2:O467),$O$2:$O$1001,0),1)&gt;=100000,INDEX($V$1005:$AE$1005,1,MATCH(COLUMNS($V$1006:AC1006),$V$1006:$AE$1006,0))&gt;=100000), " ",IF(INDEX($V$2:$AE$1001,MATCH(ROWS($O$2:O467),$O$2:$O$1001,0),MATCH(COLUMNS($V$1006:AC1006),$V$1006:$AE$1006,0)), HYPERLINK("#",""), HYPERLINK(CONCATENATE("#Metadata!", ADDRESS(INDEX($Q$2:$Q$1001,MATCH(ROWS($O$2:O467),$O$2:$O$1001,0),0), INDEX($V$1004:$AE$1004,1,MATCH(COLUMNS($V$1006:AC1006),$V$1006:$AE$1006,0)))),"Fix")))</f>
        <v>0</v>
      </c>
      <c r="J467" s="4">
        <f>IF(OR(INDEX($P$2:$P$1001,MATCH(ROWS($O$2:O467),$O$2:$O$1001,0),1)&gt;=100000,INDEX($V$1005:$AE$1005,1,MATCH(COLUMNS($V$1006:AD1006),$V$1006:$AE$1006,0))&gt;=100000), " ",IF(INDEX($V$2:$AE$1001,MATCH(ROWS($O$2:O467),$O$2:$O$1001,0),MATCH(COLUMNS($V$1006:AD1006),$V$1006:$AE$1006,0)), HYPERLINK("#",""), HYPERLINK(CONCATENATE("#Metadata!", ADDRESS(INDEX($Q$2:$Q$1001,MATCH(ROWS($O$2:O467),$O$2:$O$1001,0),0), INDEX($V$1004:$AE$1004,1,MATCH(COLUMNS($V$1006:AD1006),$V$1006:$AE$1006,0)))),"Fix")))</f>
        <v>0</v>
      </c>
      <c r="K467" s="4">
        <f>IF(OR(INDEX($P$2:$P$1001,MATCH(ROWS($O$2:O467),$O$2:$O$1001,0),1)&gt;=100000,INDEX($V$1005:$AE$1005,1,MATCH(COLUMNS($V$1006:AE1006),$V$1006:$AE$1006,0))&gt;=100000), " ",IF(INDEX($V$2:$AE$1001,MATCH(ROWS($O$2:O467),$O$2:$O$1001,0),MATCH(COLUMNS($V$1006:AE1006),$V$1006:$AE$1006,0)), HYPERLINK("#",""), HYPERLINK(CONCATENATE("#Metadata!", ADDRESS(INDEX($Q$2:$Q$1001,MATCH(ROWS($O$2:O467),$O$2:$O$1001,0),0), INDEX($V$1004:$AE$1004,1,MATCH(COLUMNS($V$1006:AE1006),$V$1006:$AE$1006,0)))),"Fix")))</f>
        <v>0</v>
      </c>
      <c r="O467">
        <v>0</v>
      </c>
      <c r="P467">
        <v>0</v>
      </c>
      <c r="Q467">
        <v>0</v>
      </c>
      <c r="R467">
        <f>IF(S467,TRUE,AND(V467:AE467))</f>
        <v>0</v>
      </c>
      <c r="S467">
        <f>COUNTBLANK(Metadata!B467:K467)=COLUMNS(Metadata!B467:K467)</f>
        <v>0</v>
      </c>
      <c r="T467">
        <v>0</v>
      </c>
      <c r="V467">
        <f>AND(IF(Metadata!B467="",FALSE,TRUE),COUNTIF(Metadata!B:B, Metadata!B467) = 1,NOT(ISERROR(SUMPRODUCT(SEARCH(MID(Metadata!B467,ROW(INDIRECT("1:"&amp;LEN(Metadata!B467))), 1),"0123456789abcdefghijklmnopqrstuvwxyzABCDEFGHIJKLMNOPQRSTUVWXYZ.")))))</f>
        <v>0</v>
      </c>
      <c r="W467">
        <f>AND(IF(Metadata!C467="",FALSE,TRUE),exact(Metadata!C467,"urban biome"))</f>
        <v>0</v>
      </c>
      <c r="X467">
        <f>AND(IF(Metadata!D467="",FALSE,TRUE),exact(Metadata!D467,"animal-associated habitat"))</f>
        <v>0</v>
      </c>
      <c r="Y467">
        <f>OR(AND(IF(Metadata!E467="",FALSE,TRUE),OR(exact(Metadata!E467,"not applicable"),exact(Metadata!E467,"missing: not collected"),exact(Metadata!E467,"missing: not provided"),exact(Metadata!E467,"missing: restricted access"))),AND(IF(Metadata!E467="",FALSE,ISNUMBER(VALUE(Metadata!E467))),Metadata!E467&gt;0))</f>
        <v>0</v>
      </c>
      <c r="Z467">
        <f>AND(IF(Metadata!F467="",FALSE,TRUE),exact(Metadata!F467,"weeks"))</f>
        <v>0</v>
      </c>
      <c r="AA467">
        <f>AND(IF(Metadata!G467="",FALSE,TRUE),exact(Metadata!G467,"mouse"))</f>
        <v>0</v>
      </c>
      <c r="AB467">
        <f>AND(IF(Metadata!H467="",FALSE,TRUE),exact(Metadata!H467,"Mus musculus"))</f>
        <v>0</v>
      </c>
      <c r="AC467">
        <f>AND(IF(Metadata!I467="",FALSE,TRUE),exact(Metadata!I467,"10090"))</f>
        <v>0</v>
      </c>
      <c r="AD467">
        <f>OR(AND(IF(Metadata!J467="",FALSE,TRUE),OR(exact(Metadata!J467,"not applicable"),exact(Metadata!J467,"missing: not collected"),exact(Metadata!J467,"missing: not provided"),exact(Metadata!J467,"missing: restricted access"))),AND(IF(Metadata!J467="",FALSE,ISNUMBER(VALUE(Metadata!J467))),Metadata!J467&gt;0))</f>
        <v>0</v>
      </c>
      <c r="AE467">
        <f>AND(IF(Metadata!K467="",FALSE,TRUE),exact(Metadata!K467,"g"))</f>
        <v>0</v>
      </c>
    </row>
    <row r="468" spans="1:31">
      <c r="A468" s="5">
        <f>IF(B468=" "," ",HYPERLINK(CONCATENATE("#metadata!",ADDRESS(INDEX($Q$2:$Q$1001,MATCH(ROWS($O$2:O468),$O$2:$O$1001,0),0),1)),INDEX($T$2:$T$1001,MATCH(ROWS($O$2:O468),$O$2:$O$1001,0),0)))</f>
        <v>0</v>
      </c>
      <c r="B468" s="4">
        <f>IF(OR(INDEX($P$2:$P$1001,MATCH(ROWS($O$2:O468),$O$2:$O$1001,0),1)&gt;=100000,INDEX($V$1005:$AE$1005,1,MATCH(COLUMNS($V$1006:V1006),$V$1006:$AE$1006,0))&gt;=100000), " ",IF(INDEX($V$2:$AE$1001,MATCH(ROWS($O$2:O468),$O$2:$O$1001,0),MATCH(COLUMNS($V$1006:V1006),$V$1006:$AE$1006,0)), HYPERLINK("#",""), HYPERLINK(CONCATENATE("#Metadata!", ADDRESS(INDEX($Q$2:$Q$1001,MATCH(ROWS($O$2:O468),$O$2:$O$1001,0),0), INDEX($V$1004:$AE$1004,1,MATCH(COLUMNS($V$1006:V1006),$V$1006:$AE$1006,0)))),"Fix")))</f>
        <v>0</v>
      </c>
      <c r="C468" s="4">
        <f>IF(OR(INDEX($P$2:$P$1001,MATCH(ROWS($O$2:O468),$O$2:$O$1001,0),1)&gt;=100000,INDEX($V$1005:$AE$1005,1,MATCH(COLUMNS($V$1006:W1006),$V$1006:$AE$1006,0))&gt;=100000), " ",IF(INDEX($V$2:$AE$1001,MATCH(ROWS($O$2:O468),$O$2:$O$1001,0),MATCH(COLUMNS($V$1006:W1006),$V$1006:$AE$1006,0)), HYPERLINK("#",""), HYPERLINK(CONCATENATE("#Metadata!", ADDRESS(INDEX($Q$2:$Q$1001,MATCH(ROWS($O$2:O468),$O$2:$O$1001,0),0), INDEX($V$1004:$AE$1004,1,MATCH(COLUMNS($V$1006:W1006),$V$1006:$AE$1006,0)))),"Fix")))</f>
        <v>0</v>
      </c>
      <c r="D468" s="4">
        <f>IF(OR(INDEX($P$2:$P$1001,MATCH(ROWS($O$2:O468),$O$2:$O$1001,0),1)&gt;=100000,INDEX($V$1005:$AE$1005,1,MATCH(COLUMNS($V$1006:X1006),$V$1006:$AE$1006,0))&gt;=100000), " ",IF(INDEX($V$2:$AE$1001,MATCH(ROWS($O$2:O468),$O$2:$O$1001,0),MATCH(COLUMNS($V$1006:X1006),$V$1006:$AE$1006,0)), HYPERLINK("#",""), HYPERLINK(CONCATENATE("#Metadata!", ADDRESS(INDEX($Q$2:$Q$1001,MATCH(ROWS($O$2:O468),$O$2:$O$1001,0),0), INDEX($V$1004:$AE$1004,1,MATCH(COLUMNS($V$1006:X1006),$V$1006:$AE$1006,0)))),"Fix")))</f>
        <v>0</v>
      </c>
      <c r="E468" s="4">
        <f>IF(OR(INDEX($P$2:$P$1001,MATCH(ROWS($O$2:O468),$O$2:$O$1001,0),1)&gt;=100000,INDEX($V$1005:$AE$1005,1,MATCH(COLUMNS($V$1006:Y1006),$V$1006:$AE$1006,0))&gt;=100000), " ",IF(INDEX($V$2:$AE$1001,MATCH(ROWS($O$2:O468),$O$2:$O$1001,0),MATCH(COLUMNS($V$1006:Y1006),$V$1006:$AE$1006,0)), HYPERLINK("#",""), HYPERLINK(CONCATENATE("#Metadata!", ADDRESS(INDEX($Q$2:$Q$1001,MATCH(ROWS($O$2:O468),$O$2:$O$1001,0),0), INDEX($V$1004:$AE$1004,1,MATCH(COLUMNS($V$1006:Y1006),$V$1006:$AE$1006,0)))),"Fix")))</f>
        <v>0</v>
      </c>
      <c r="F468" s="4">
        <f>IF(OR(INDEX($P$2:$P$1001,MATCH(ROWS($O$2:O468),$O$2:$O$1001,0),1)&gt;=100000,INDEX($V$1005:$AE$1005,1,MATCH(COLUMNS($V$1006:Z1006),$V$1006:$AE$1006,0))&gt;=100000), " ",IF(INDEX($V$2:$AE$1001,MATCH(ROWS($O$2:O468),$O$2:$O$1001,0),MATCH(COLUMNS($V$1006:Z1006),$V$1006:$AE$1006,0)), HYPERLINK("#",""), HYPERLINK(CONCATENATE("#Metadata!", ADDRESS(INDEX($Q$2:$Q$1001,MATCH(ROWS($O$2:O468),$O$2:$O$1001,0),0), INDEX($V$1004:$AE$1004,1,MATCH(COLUMNS($V$1006:Z1006),$V$1006:$AE$1006,0)))),"Fix")))</f>
        <v>0</v>
      </c>
      <c r="G468" s="4">
        <f>IF(OR(INDEX($P$2:$P$1001,MATCH(ROWS($O$2:O468),$O$2:$O$1001,0),1)&gt;=100000,INDEX($V$1005:$AE$1005,1,MATCH(COLUMNS($V$1006:AA1006),$V$1006:$AE$1006,0))&gt;=100000), " ",IF(INDEX($V$2:$AE$1001,MATCH(ROWS($O$2:O468),$O$2:$O$1001,0),MATCH(COLUMNS($V$1006:AA1006),$V$1006:$AE$1006,0)), HYPERLINK("#",""), HYPERLINK(CONCATENATE("#Metadata!", ADDRESS(INDEX($Q$2:$Q$1001,MATCH(ROWS($O$2:O468),$O$2:$O$1001,0),0), INDEX($V$1004:$AE$1004,1,MATCH(COLUMNS($V$1006:AA1006),$V$1006:$AE$1006,0)))),"Fix")))</f>
        <v>0</v>
      </c>
      <c r="H468" s="4">
        <f>IF(OR(INDEX($P$2:$P$1001,MATCH(ROWS($O$2:O468),$O$2:$O$1001,0),1)&gt;=100000,INDEX($V$1005:$AE$1005,1,MATCH(COLUMNS($V$1006:AB1006),$V$1006:$AE$1006,0))&gt;=100000), " ",IF(INDEX($V$2:$AE$1001,MATCH(ROWS($O$2:O468),$O$2:$O$1001,0),MATCH(COLUMNS($V$1006:AB1006),$V$1006:$AE$1006,0)), HYPERLINK("#",""), HYPERLINK(CONCATENATE("#Metadata!", ADDRESS(INDEX($Q$2:$Q$1001,MATCH(ROWS($O$2:O468),$O$2:$O$1001,0),0), INDEX($V$1004:$AE$1004,1,MATCH(COLUMNS($V$1006:AB1006),$V$1006:$AE$1006,0)))),"Fix")))</f>
        <v>0</v>
      </c>
      <c r="I468" s="4">
        <f>IF(OR(INDEX($P$2:$P$1001,MATCH(ROWS($O$2:O468),$O$2:$O$1001,0),1)&gt;=100000,INDEX($V$1005:$AE$1005,1,MATCH(COLUMNS($V$1006:AC1006),$V$1006:$AE$1006,0))&gt;=100000), " ",IF(INDEX($V$2:$AE$1001,MATCH(ROWS($O$2:O468),$O$2:$O$1001,0),MATCH(COLUMNS($V$1006:AC1006),$V$1006:$AE$1006,0)), HYPERLINK("#",""), HYPERLINK(CONCATENATE("#Metadata!", ADDRESS(INDEX($Q$2:$Q$1001,MATCH(ROWS($O$2:O468),$O$2:$O$1001,0),0), INDEX($V$1004:$AE$1004,1,MATCH(COLUMNS($V$1006:AC1006),$V$1006:$AE$1006,0)))),"Fix")))</f>
        <v>0</v>
      </c>
      <c r="J468" s="4">
        <f>IF(OR(INDEX($P$2:$P$1001,MATCH(ROWS($O$2:O468),$O$2:$O$1001,0),1)&gt;=100000,INDEX($V$1005:$AE$1005,1,MATCH(COLUMNS($V$1006:AD1006),$V$1006:$AE$1006,0))&gt;=100000), " ",IF(INDEX($V$2:$AE$1001,MATCH(ROWS($O$2:O468),$O$2:$O$1001,0),MATCH(COLUMNS($V$1006:AD1006),$V$1006:$AE$1006,0)), HYPERLINK("#",""), HYPERLINK(CONCATENATE("#Metadata!", ADDRESS(INDEX($Q$2:$Q$1001,MATCH(ROWS($O$2:O468),$O$2:$O$1001,0),0), INDEX($V$1004:$AE$1004,1,MATCH(COLUMNS($V$1006:AD1006),$V$1006:$AE$1006,0)))),"Fix")))</f>
        <v>0</v>
      </c>
      <c r="K468" s="4">
        <f>IF(OR(INDEX($P$2:$P$1001,MATCH(ROWS($O$2:O468),$O$2:$O$1001,0),1)&gt;=100000,INDEX($V$1005:$AE$1005,1,MATCH(COLUMNS($V$1006:AE1006),$V$1006:$AE$1006,0))&gt;=100000), " ",IF(INDEX($V$2:$AE$1001,MATCH(ROWS($O$2:O468),$O$2:$O$1001,0),MATCH(COLUMNS($V$1006:AE1006),$V$1006:$AE$1006,0)), HYPERLINK("#",""), HYPERLINK(CONCATENATE("#Metadata!", ADDRESS(INDEX($Q$2:$Q$1001,MATCH(ROWS($O$2:O468),$O$2:$O$1001,0),0), INDEX($V$1004:$AE$1004,1,MATCH(COLUMNS($V$1006:AE1006),$V$1006:$AE$1006,0)))),"Fix")))</f>
        <v>0</v>
      </c>
      <c r="O468">
        <v>0</v>
      </c>
      <c r="P468">
        <v>0</v>
      </c>
      <c r="Q468">
        <v>0</v>
      </c>
      <c r="R468">
        <f>IF(S468,TRUE,AND(V468:AE468))</f>
        <v>0</v>
      </c>
      <c r="S468">
        <f>COUNTBLANK(Metadata!B468:K468)=COLUMNS(Metadata!B468:K468)</f>
        <v>0</v>
      </c>
      <c r="T468">
        <v>0</v>
      </c>
      <c r="V468">
        <f>AND(IF(Metadata!B468="",FALSE,TRUE),COUNTIF(Metadata!B:B, Metadata!B468) = 1,NOT(ISERROR(SUMPRODUCT(SEARCH(MID(Metadata!B468,ROW(INDIRECT("1:"&amp;LEN(Metadata!B468))), 1),"0123456789abcdefghijklmnopqrstuvwxyzABCDEFGHIJKLMNOPQRSTUVWXYZ.")))))</f>
        <v>0</v>
      </c>
      <c r="W468">
        <f>AND(IF(Metadata!C468="",FALSE,TRUE),exact(Metadata!C468,"urban biome"))</f>
        <v>0</v>
      </c>
      <c r="X468">
        <f>AND(IF(Metadata!D468="",FALSE,TRUE),exact(Metadata!D468,"animal-associated habitat"))</f>
        <v>0</v>
      </c>
      <c r="Y468">
        <f>OR(AND(IF(Metadata!E468="",FALSE,TRUE),OR(exact(Metadata!E468,"not applicable"),exact(Metadata!E468,"missing: not collected"),exact(Metadata!E468,"missing: not provided"),exact(Metadata!E468,"missing: restricted access"))),AND(IF(Metadata!E468="",FALSE,ISNUMBER(VALUE(Metadata!E468))),Metadata!E468&gt;0))</f>
        <v>0</v>
      </c>
      <c r="Z468">
        <f>AND(IF(Metadata!F468="",FALSE,TRUE),exact(Metadata!F468,"weeks"))</f>
        <v>0</v>
      </c>
      <c r="AA468">
        <f>AND(IF(Metadata!G468="",FALSE,TRUE),exact(Metadata!G468,"mouse"))</f>
        <v>0</v>
      </c>
      <c r="AB468">
        <f>AND(IF(Metadata!H468="",FALSE,TRUE),exact(Metadata!H468,"Mus musculus"))</f>
        <v>0</v>
      </c>
      <c r="AC468">
        <f>AND(IF(Metadata!I468="",FALSE,TRUE),exact(Metadata!I468,"10090"))</f>
        <v>0</v>
      </c>
      <c r="AD468">
        <f>OR(AND(IF(Metadata!J468="",FALSE,TRUE),OR(exact(Metadata!J468,"not applicable"),exact(Metadata!J468,"missing: not collected"),exact(Metadata!J468,"missing: not provided"),exact(Metadata!J468,"missing: restricted access"))),AND(IF(Metadata!J468="",FALSE,ISNUMBER(VALUE(Metadata!J468))),Metadata!J468&gt;0))</f>
        <v>0</v>
      </c>
      <c r="AE468">
        <f>AND(IF(Metadata!K468="",FALSE,TRUE),exact(Metadata!K468,"g"))</f>
        <v>0</v>
      </c>
    </row>
    <row r="469" spans="1:31">
      <c r="A469" s="5">
        <f>IF(B469=" "," ",HYPERLINK(CONCATENATE("#metadata!",ADDRESS(INDEX($Q$2:$Q$1001,MATCH(ROWS($O$2:O469),$O$2:$O$1001,0),0),1)),INDEX($T$2:$T$1001,MATCH(ROWS($O$2:O469),$O$2:$O$1001,0),0)))</f>
        <v>0</v>
      </c>
      <c r="B469" s="4">
        <f>IF(OR(INDEX($P$2:$P$1001,MATCH(ROWS($O$2:O469),$O$2:$O$1001,0),1)&gt;=100000,INDEX($V$1005:$AE$1005,1,MATCH(COLUMNS($V$1006:V1006),$V$1006:$AE$1006,0))&gt;=100000), " ",IF(INDEX($V$2:$AE$1001,MATCH(ROWS($O$2:O469),$O$2:$O$1001,0),MATCH(COLUMNS($V$1006:V1006),$V$1006:$AE$1006,0)), HYPERLINK("#",""), HYPERLINK(CONCATENATE("#Metadata!", ADDRESS(INDEX($Q$2:$Q$1001,MATCH(ROWS($O$2:O469),$O$2:$O$1001,0),0), INDEX($V$1004:$AE$1004,1,MATCH(COLUMNS($V$1006:V1006),$V$1006:$AE$1006,0)))),"Fix")))</f>
        <v>0</v>
      </c>
      <c r="C469" s="4">
        <f>IF(OR(INDEX($P$2:$P$1001,MATCH(ROWS($O$2:O469),$O$2:$O$1001,0),1)&gt;=100000,INDEX($V$1005:$AE$1005,1,MATCH(COLUMNS($V$1006:W1006),$V$1006:$AE$1006,0))&gt;=100000), " ",IF(INDEX($V$2:$AE$1001,MATCH(ROWS($O$2:O469),$O$2:$O$1001,0),MATCH(COLUMNS($V$1006:W1006),$V$1006:$AE$1006,0)), HYPERLINK("#",""), HYPERLINK(CONCATENATE("#Metadata!", ADDRESS(INDEX($Q$2:$Q$1001,MATCH(ROWS($O$2:O469),$O$2:$O$1001,0),0), INDEX($V$1004:$AE$1004,1,MATCH(COLUMNS($V$1006:W1006),$V$1006:$AE$1006,0)))),"Fix")))</f>
        <v>0</v>
      </c>
      <c r="D469" s="4">
        <f>IF(OR(INDEX($P$2:$P$1001,MATCH(ROWS($O$2:O469),$O$2:$O$1001,0),1)&gt;=100000,INDEX($V$1005:$AE$1005,1,MATCH(COLUMNS($V$1006:X1006),$V$1006:$AE$1006,0))&gt;=100000), " ",IF(INDEX($V$2:$AE$1001,MATCH(ROWS($O$2:O469),$O$2:$O$1001,0),MATCH(COLUMNS($V$1006:X1006),$V$1006:$AE$1006,0)), HYPERLINK("#",""), HYPERLINK(CONCATENATE("#Metadata!", ADDRESS(INDEX($Q$2:$Q$1001,MATCH(ROWS($O$2:O469),$O$2:$O$1001,0),0), INDEX($V$1004:$AE$1004,1,MATCH(COLUMNS($V$1006:X1006),$V$1006:$AE$1006,0)))),"Fix")))</f>
        <v>0</v>
      </c>
      <c r="E469" s="4">
        <f>IF(OR(INDEX($P$2:$P$1001,MATCH(ROWS($O$2:O469),$O$2:$O$1001,0),1)&gt;=100000,INDEX($V$1005:$AE$1005,1,MATCH(COLUMNS($V$1006:Y1006),$V$1006:$AE$1006,0))&gt;=100000), " ",IF(INDEX($V$2:$AE$1001,MATCH(ROWS($O$2:O469),$O$2:$O$1001,0),MATCH(COLUMNS($V$1006:Y1006),$V$1006:$AE$1006,0)), HYPERLINK("#",""), HYPERLINK(CONCATENATE("#Metadata!", ADDRESS(INDEX($Q$2:$Q$1001,MATCH(ROWS($O$2:O469),$O$2:$O$1001,0),0), INDEX($V$1004:$AE$1004,1,MATCH(COLUMNS($V$1006:Y1006),$V$1006:$AE$1006,0)))),"Fix")))</f>
        <v>0</v>
      </c>
      <c r="F469" s="4">
        <f>IF(OR(INDEX($P$2:$P$1001,MATCH(ROWS($O$2:O469),$O$2:$O$1001,0),1)&gt;=100000,INDEX($V$1005:$AE$1005,1,MATCH(COLUMNS($V$1006:Z1006),$V$1006:$AE$1006,0))&gt;=100000), " ",IF(INDEX($V$2:$AE$1001,MATCH(ROWS($O$2:O469),$O$2:$O$1001,0),MATCH(COLUMNS($V$1006:Z1006),$V$1006:$AE$1006,0)), HYPERLINK("#",""), HYPERLINK(CONCATENATE("#Metadata!", ADDRESS(INDEX($Q$2:$Q$1001,MATCH(ROWS($O$2:O469),$O$2:$O$1001,0),0), INDEX($V$1004:$AE$1004,1,MATCH(COLUMNS($V$1006:Z1006),$V$1006:$AE$1006,0)))),"Fix")))</f>
        <v>0</v>
      </c>
      <c r="G469" s="4">
        <f>IF(OR(INDEX($P$2:$P$1001,MATCH(ROWS($O$2:O469),$O$2:$O$1001,0),1)&gt;=100000,INDEX($V$1005:$AE$1005,1,MATCH(COLUMNS($V$1006:AA1006),$V$1006:$AE$1006,0))&gt;=100000), " ",IF(INDEX($V$2:$AE$1001,MATCH(ROWS($O$2:O469),$O$2:$O$1001,0),MATCH(COLUMNS($V$1006:AA1006),$V$1006:$AE$1006,0)), HYPERLINK("#",""), HYPERLINK(CONCATENATE("#Metadata!", ADDRESS(INDEX($Q$2:$Q$1001,MATCH(ROWS($O$2:O469),$O$2:$O$1001,0),0), INDEX($V$1004:$AE$1004,1,MATCH(COLUMNS($V$1006:AA1006),$V$1006:$AE$1006,0)))),"Fix")))</f>
        <v>0</v>
      </c>
      <c r="H469" s="4">
        <f>IF(OR(INDEX($P$2:$P$1001,MATCH(ROWS($O$2:O469),$O$2:$O$1001,0),1)&gt;=100000,INDEX($V$1005:$AE$1005,1,MATCH(COLUMNS($V$1006:AB1006),$V$1006:$AE$1006,0))&gt;=100000), " ",IF(INDEX($V$2:$AE$1001,MATCH(ROWS($O$2:O469),$O$2:$O$1001,0),MATCH(COLUMNS($V$1006:AB1006),$V$1006:$AE$1006,0)), HYPERLINK("#",""), HYPERLINK(CONCATENATE("#Metadata!", ADDRESS(INDEX($Q$2:$Q$1001,MATCH(ROWS($O$2:O469),$O$2:$O$1001,0),0), INDEX($V$1004:$AE$1004,1,MATCH(COLUMNS($V$1006:AB1006),$V$1006:$AE$1006,0)))),"Fix")))</f>
        <v>0</v>
      </c>
      <c r="I469" s="4">
        <f>IF(OR(INDEX($P$2:$P$1001,MATCH(ROWS($O$2:O469),$O$2:$O$1001,0),1)&gt;=100000,INDEX($V$1005:$AE$1005,1,MATCH(COLUMNS($V$1006:AC1006),$V$1006:$AE$1006,0))&gt;=100000), " ",IF(INDEX($V$2:$AE$1001,MATCH(ROWS($O$2:O469),$O$2:$O$1001,0),MATCH(COLUMNS($V$1006:AC1006),$V$1006:$AE$1006,0)), HYPERLINK("#",""), HYPERLINK(CONCATENATE("#Metadata!", ADDRESS(INDEX($Q$2:$Q$1001,MATCH(ROWS($O$2:O469),$O$2:$O$1001,0),0), INDEX($V$1004:$AE$1004,1,MATCH(COLUMNS($V$1006:AC1006),$V$1006:$AE$1006,0)))),"Fix")))</f>
        <v>0</v>
      </c>
      <c r="J469" s="4">
        <f>IF(OR(INDEX($P$2:$P$1001,MATCH(ROWS($O$2:O469),$O$2:$O$1001,0),1)&gt;=100000,INDEX($V$1005:$AE$1005,1,MATCH(COLUMNS($V$1006:AD1006),$V$1006:$AE$1006,0))&gt;=100000), " ",IF(INDEX($V$2:$AE$1001,MATCH(ROWS($O$2:O469),$O$2:$O$1001,0),MATCH(COLUMNS($V$1006:AD1006),$V$1006:$AE$1006,0)), HYPERLINK("#",""), HYPERLINK(CONCATENATE("#Metadata!", ADDRESS(INDEX($Q$2:$Q$1001,MATCH(ROWS($O$2:O469),$O$2:$O$1001,0),0), INDEX($V$1004:$AE$1004,1,MATCH(COLUMNS($V$1006:AD1006),$V$1006:$AE$1006,0)))),"Fix")))</f>
        <v>0</v>
      </c>
      <c r="K469" s="4">
        <f>IF(OR(INDEX($P$2:$P$1001,MATCH(ROWS($O$2:O469),$O$2:$O$1001,0),1)&gt;=100000,INDEX($V$1005:$AE$1005,1,MATCH(COLUMNS($V$1006:AE1006),$V$1006:$AE$1006,0))&gt;=100000), " ",IF(INDEX($V$2:$AE$1001,MATCH(ROWS($O$2:O469),$O$2:$O$1001,0),MATCH(COLUMNS($V$1006:AE1006),$V$1006:$AE$1006,0)), HYPERLINK("#",""), HYPERLINK(CONCATENATE("#Metadata!", ADDRESS(INDEX($Q$2:$Q$1001,MATCH(ROWS($O$2:O469),$O$2:$O$1001,0),0), INDEX($V$1004:$AE$1004,1,MATCH(COLUMNS($V$1006:AE1006),$V$1006:$AE$1006,0)))),"Fix")))</f>
        <v>0</v>
      </c>
      <c r="O469">
        <v>0</v>
      </c>
      <c r="P469">
        <v>0</v>
      </c>
      <c r="Q469">
        <v>0</v>
      </c>
      <c r="R469">
        <f>IF(S469,TRUE,AND(V469:AE469))</f>
        <v>0</v>
      </c>
      <c r="S469">
        <f>COUNTBLANK(Metadata!B469:K469)=COLUMNS(Metadata!B469:K469)</f>
        <v>0</v>
      </c>
      <c r="T469">
        <v>0</v>
      </c>
      <c r="V469">
        <f>AND(IF(Metadata!B469="",FALSE,TRUE),COUNTIF(Metadata!B:B, Metadata!B469) = 1,NOT(ISERROR(SUMPRODUCT(SEARCH(MID(Metadata!B469,ROW(INDIRECT("1:"&amp;LEN(Metadata!B469))), 1),"0123456789abcdefghijklmnopqrstuvwxyzABCDEFGHIJKLMNOPQRSTUVWXYZ.")))))</f>
        <v>0</v>
      </c>
      <c r="W469">
        <f>AND(IF(Metadata!C469="",FALSE,TRUE),exact(Metadata!C469,"urban biome"))</f>
        <v>0</v>
      </c>
      <c r="X469">
        <f>AND(IF(Metadata!D469="",FALSE,TRUE),exact(Metadata!D469,"animal-associated habitat"))</f>
        <v>0</v>
      </c>
      <c r="Y469">
        <f>OR(AND(IF(Metadata!E469="",FALSE,TRUE),OR(exact(Metadata!E469,"not applicable"),exact(Metadata!E469,"missing: not collected"),exact(Metadata!E469,"missing: not provided"),exact(Metadata!E469,"missing: restricted access"))),AND(IF(Metadata!E469="",FALSE,ISNUMBER(VALUE(Metadata!E469))),Metadata!E469&gt;0))</f>
        <v>0</v>
      </c>
      <c r="Z469">
        <f>AND(IF(Metadata!F469="",FALSE,TRUE),exact(Metadata!F469,"weeks"))</f>
        <v>0</v>
      </c>
      <c r="AA469">
        <f>AND(IF(Metadata!G469="",FALSE,TRUE),exact(Metadata!G469,"mouse"))</f>
        <v>0</v>
      </c>
      <c r="AB469">
        <f>AND(IF(Metadata!H469="",FALSE,TRUE),exact(Metadata!H469,"Mus musculus"))</f>
        <v>0</v>
      </c>
      <c r="AC469">
        <f>AND(IF(Metadata!I469="",FALSE,TRUE),exact(Metadata!I469,"10090"))</f>
        <v>0</v>
      </c>
      <c r="AD469">
        <f>OR(AND(IF(Metadata!J469="",FALSE,TRUE),OR(exact(Metadata!J469,"not applicable"),exact(Metadata!J469,"missing: not collected"),exact(Metadata!J469,"missing: not provided"),exact(Metadata!J469,"missing: restricted access"))),AND(IF(Metadata!J469="",FALSE,ISNUMBER(VALUE(Metadata!J469))),Metadata!J469&gt;0))</f>
        <v>0</v>
      </c>
      <c r="AE469">
        <f>AND(IF(Metadata!K469="",FALSE,TRUE),exact(Metadata!K469,"g"))</f>
        <v>0</v>
      </c>
    </row>
    <row r="470" spans="1:31">
      <c r="A470" s="5">
        <f>IF(B470=" "," ",HYPERLINK(CONCATENATE("#metadata!",ADDRESS(INDEX($Q$2:$Q$1001,MATCH(ROWS($O$2:O470),$O$2:$O$1001,0),0),1)),INDEX($T$2:$T$1001,MATCH(ROWS($O$2:O470),$O$2:$O$1001,0),0)))</f>
        <v>0</v>
      </c>
      <c r="B470" s="4">
        <f>IF(OR(INDEX($P$2:$P$1001,MATCH(ROWS($O$2:O470),$O$2:$O$1001,0),1)&gt;=100000,INDEX($V$1005:$AE$1005,1,MATCH(COLUMNS($V$1006:V1006),$V$1006:$AE$1006,0))&gt;=100000), " ",IF(INDEX($V$2:$AE$1001,MATCH(ROWS($O$2:O470),$O$2:$O$1001,0),MATCH(COLUMNS($V$1006:V1006),$V$1006:$AE$1006,0)), HYPERLINK("#",""), HYPERLINK(CONCATENATE("#Metadata!", ADDRESS(INDEX($Q$2:$Q$1001,MATCH(ROWS($O$2:O470),$O$2:$O$1001,0),0), INDEX($V$1004:$AE$1004,1,MATCH(COLUMNS($V$1006:V1006),$V$1006:$AE$1006,0)))),"Fix")))</f>
        <v>0</v>
      </c>
      <c r="C470" s="4">
        <f>IF(OR(INDEX($P$2:$P$1001,MATCH(ROWS($O$2:O470),$O$2:$O$1001,0),1)&gt;=100000,INDEX($V$1005:$AE$1005,1,MATCH(COLUMNS($V$1006:W1006),$V$1006:$AE$1006,0))&gt;=100000), " ",IF(INDEX($V$2:$AE$1001,MATCH(ROWS($O$2:O470),$O$2:$O$1001,0),MATCH(COLUMNS($V$1006:W1006),$V$1006:$AE$1006,0)), HYPERLINK("#",""), HYPERLINK(CONCATENATE("#Metadata!", ADDRESS(INDEX($Q$2:$Q$1001,MATCH(ROWS($O$2:O470),$O$2:$O$1001,0),0), INDEX($V$1004:$AE$1004,1,MATCH(COLUMNS($V$1006:W1006),$V$1006:$AE$1006,0)))),"Fix")))</f>
        <v>0</v>
      </c>
      <c r="D470" s="4">
        <f>IF(OR(INDEX($P$2:$P$1001,MATCH(ROWS($O$2:O470),$O$2:$O$1001,0),1)&gt;=100000,INDEX($V$1005:$AE$1005,1,MATCH(COLUMNS($V$1006:X1006),$V$1006:$AE$1006,0))&gt;=100000), " ",IF(INDEX($V$2:$AE$1001,MATCH(ROWS($O$2:O470),$O$2:$O$1001,0),MATCH(COLUMNS($V$1006:X1006),$V$1006:$AE$1006,0)), HYPERLINK("#",""), HYPERLINK(CONCATENATE("#Metadata!", ADDRESS(INDEX($Q$2:$Q$1001,MATCH(ROWS($O$2:O470),$O$2:$O$1001,0),0), INDEX($V$1004:$AE$1004,1,MATCH(COLUMNS($V$1006:X1006),$V$1006:$AE$1006,0)))),"Fix")))</f>
        <v>0</v>
      </c>
      <c r="E470" s="4">
        <f>IF(OR(INDEX($P$2:$P$1001,MATCH(ROWS($O$2:O470),$O$2:$O$1001,0),1)&gt;=100000,INDEX($V$1005:$AE$1005,1,MATCH(COLUMNS($V$1006:Y1006),$V$1006:$AE$1006,0))&gt;=100000), " ",IF(INDEX($V$2:$AE$1001,MATCH(ROWS($O$2:O470),$O$2:$O$1001,0),MATCH(COLUMNS($V$1006:Y1006),$V$1006:$AE$1006,0)), HYPERLINK("#",""), HYPERLINK(CONCATENATE("#Metadata!", ADDRESS(INDEX($Q$2:$Q$1001,MATCH(ROWS($O$2:O470),$O$2:$O$1001,0),0), INDEX($V$1004:$AE$1004,1,MATCH(COLUMNS($V$1006:Y1006),$V$1006:$AE$1006,0)))),"Fix")))</f>
        <v>0</v>
      </c>
      <c r="F470" s="4">
        <f>IF(OR(INDEX($P$2:$P$1001,MATCH(ROWS($O$2:O470),$O$2:$O$1001,0),1)&gt;=100000,INDEX($V$1005:$AE$1005,1,MATCH(COLUMNS($V$1006:Z1006),$V$1006:$AE$1006,0))&gt;=100000), " ",IF(INDEX($V$2:$AE$1001,MATCH(ROWS($O$2:O470),$O$2:$O$1001,0),MATCH(COLUMNS($V$1006:Z1006),$V$1006:$AE$1006,0)), HYPERLINK("#",""), HYPERLINK(CONCATENATE("#Metadata!", ADDRESS(INDEX($Q$2:$Q$1001,MATCH(ROWS($O$2:O470),$O$2:$O$1001,0),0), INDEX($V$1004:$AE$1004,1,MATCH(COLUMNS($V$1006:Z1006),$V$1006:$AE$1006,0)))),"Fix")))</f>
        <v>0</v>
      </c>
      <c r="G470" s="4">
        <f>IF(OR(INDEX($P$2:$P$1001,MATCH(ROWS($O$2:O470),$O$2:$O$1001,0),1)&gt;=100000,INDEX($V$1005:$AE$1005,1,MATCH(COLUMNS($V$1006:AA1006),$V$1006:$AE$1006,0))&gt;=100000), " ",IF(INDEX($V$2:$AE$1001,MATCH(ROWS($O$2:O470),$O$2:$O$1001,0),MATCH(COLUMNS($V$1006:AA1006),$V$1006:$AE$1006,0)), HYPERLINK("#",""), HYPERLINK(CONCATENATE("#Metadata!", ADDRESS(INDEX($Q$2:$Q$1001,MATCH(ROWS($O$2:O470),$O$2:$O$1001,0),0), INDEX($V$1004:$AE$1004,1,MATCH(COLUMNS($V$1006:AA1006),$V$1006:$AE$1006,0)))),"Fix")))</f>
        <v>0</v>
      </c>
      <c r="H470" s="4">
        <f>IF(OR(INDEX($P$2:$P$1001,MATCH(ROWS($O$2:O470),$O$2:$O$1001,0),1)&gt;=100000,INDEX($V$1005:$AE$1005,1,MATCH(COLUMNS($V$1006:AB1006),$V$1006:$AE$1006,0))&gt;=100000), " ",IF(INDEX($V$2:$AE$1001,MATCH(ROWS($O$2:O470),$O$2:$O$1001,0),MATCH(COLUMNS($V$1006:AB1006),$V$1006:$AE$1006,0)), HYPERLINK("#",""), HYPERLINK(CONCATENATE("#Metadata!", ADDRESS(INDEX($Q$2:$Q$1001,MATCH(ROWS($O$2:O470),$O$2:$O$1001,0),0), INDEX($V$1004:$AE$1004,1,MATCH(COLUMNS($V$1006:AB1006),$V$1006:$AE$1006,0)))),"Fix")))</f>
        <v>0</v>
      </c>
      <c r="I470" s="4">
        <f>IF(OR(INDEX($P$2:$P$1001,MATCH(ROWS($O$2:O470),$O$2:$O$1001,0),1)&gt;=100000,INDEX($V$1005:$AE$1005,1,MATCH(COLUMNS($V$1006:AC1006),$V$1006:$AE$1006,0))&gt;=100000), " ",IF(INDEX($V$2:$AE$1001,MATCH(ROWS($O$2:O470),$O$2:$O$1001,0),MATCH(COLUMNS($V$1006:AC1006),$V$1006:$AE$1006,0)), HYPERLINK("#",""), HYPERLINK(CONCATENATE("#Metadata!", ADDRESS(INDEX($Q$2:$Q$1001,MATCH(ROWS($O$2:O470),$O$2:$O$1001,0),0), INDEX($V$1004:$AE$1004,1,MATCH(COLUMNS($V$1006:AC1006),$V$1006:$AE$1006,0)))),"Fix")))</f>
        <v>0</v>
      </c>
      <c r="J470" s="4">
        <f>IF(OR(INDEX($P$2:$P$1001,MATCH(ROWS($O$2:O470),$O$2:$O$1001,0),1)&gt;=100000,INDEX($V$1005:$AE$1005,1,MATCH(COLUMNS($V$1006:AD1006),$V$1006:$AE$1006,0))&gt;=100000), " ",IF(INDEX($V$2:$AE$1001,MATCH(ROWS($O$2:O470),$O$2:$O$1001,0),MATCH(COLUMNS($V$1006:AD1006),$V$1006:$AE$1006,0)), HYPERLINK("#",""), HYPERLINK(CONCATENATE("#Metadata!", ADDRESS(INDEX($Q$2:$Q$1001,MATCH(ROWS($O$2:O470),$O$2:$O$1001,0),0), INDEX($V$1004:$AE$1004,1,MATCH(COLUMNS($V$1006:AD1006),$V$1006:$AE$1006,0)))),"Fix")))</f>
        <v>0</v>
      </c>
      <c r="K470" s="4">
        <f>IF(OR(INDEX($P$2:$P$1001,MATCH(ROWS($O$2:O470),$O$2:$O$1001,0),1)&gt;=100000,INDEX($V$1005:$AE$1005,1,MATCH(COLUMNS($V$1006:AE1006),$V$1006:$AE$1006,0))&gt;=100000), " ",IF(INDEX($V$2:$AE$1001,MATCH(ROWS($O$2:O470),$O$2:$O$1001,0),MATCH(COLUMNS($V$1006:AE1006),$V$1006:$AE$1006,0)), HYPERLINK("#",""), HYPERLINK(CONCATENATE("#Metadata!", ADDRESS(INDEX($Q$2:$Q$1001,MATCH(ROWS($O$2:O470),$O$2:$O$1001,0),0), INDEX($V$1004:$AE$1004,1,MATCH(COLUMNS($V$1006:AE1006),$V$1006:$AE$1006,0)))),"Fix")))</f>
        <v>0</v>
      </c>
      <c r="O470">
        <v>0</v>
      </c>
      <c r="P470">
        <v>0</v>
      </c>
      <c r="Q470">
        <v>0</v>
      </c>
      <c r="R470">
        <f>IF(S470,TRUE,AND(V470:AE470))</f>
        <v>0</v>
      </c>
      <c r="S470">
        <f>COUNTBLANK(Metadata!B470:K470)=COLUMNS(Metadata!B470:K470)</f>
        <v>0</v>
      </c>
      <c r="T470">
        <v>0</v>
      </c>
      <c r="V470">
        <f>AND(IF(Metadata!B470="",FALSE,TRUE),COUNTIF(Metadata!B:B, Metadata!B470) = 1,NOT(ISERROR(SUMPRODUCT(SEARCH(MID(Metadata!B470,ROW(INDIRECT("1:"&amp;LEN(Metadata!B470))), 1),"0123456789abcdefghijklmnopqrstuvwxyzABCDEFGHIJKLMNOPQRSTUVWXYZ.")))))</f>
        <v>0</v>
      </c>
      <c r="W470">
        <f>AND(IF(Metadata!C470="",FALSE,TRUE),exact(Metadata!C470,"urban biome"))</f>
        <v>0</v>
      </c>
      <c r="X470">
        <f>AND(IF(Metadata!D470="",FALSE,TRUE),exact(Metadata!D470,"animal-associated habitat"))</f>
        <v>0</v>
      </c>
      <c r="Y470">
        <f>OR(AND(IF(Metadata!E470="",FALSE,TRUE),OR(exact(Metadata!E470,"not applicable"),exact(Metadata!E470,"missing: not collected"),exact(Metadata!E470,"missing: not provided"),exact(Metadata!E470,"missing: restricted access"))),AND(IF(Metadata!E470="",FALSE,ISNUMBER(VALUE(Metadata!E470))),Metadata!E470&gt;0))</f>
        <v>0</v>
      </c>
      <c r="Z470">
        <f>AND(IF(Metadata!F470="",FALSE,TRUE),exact(Metadata!F470,"weeks"))</f>
        <v>0</v>
      </c>
      <c r="AA470">
        <f>AND(IF(Metadata!G470="",FALSE,TRUE),exact(Metadata!G470,"mouse"))</f>
        <v>0</v>
      </c>
      <c r="AB470">
        <f>AND(IF(Metadata!H470="",FALSE,TRUE),exact(Metadata!H470,"Mus musculus"))</f>
        <v>0</v>
      </c>
      <c r="AC470">
        <f>AND(IF(Metadata!I470="",FALSE,TRUE),exact(Metadata!I470,"10090"))</f>
        <v>0</v>
      </c>
      <c r="AD470">
        <f>OR(AND(IF(Metadata!J470="",FALSE,TRUE),OR(exact(Metadata!J470,"not applicable"),exact(Metadata!J470,"missing: not collected"),exact(Metadata!J470,"missing: not provided"),exact(Metadata!J470,"missing: restricted access"))),AND(IF(Metadata!J470="",FALSE,ISNUMBER(VALUE(Metadata!J470))),Metadata!J470&gt;0))</f>
        <v>0</v>
      </c>
      <c r="AE470">
        <f>AND(IF(Metadata!K470="",FALSE,TRUE),exact(Metadata!K470,"g"))</f>
        <v>0</v>
      </c>
    </row>
    <row r="471" spans="1:31">
      <c r="A471" s="5">
        <f>IF(B471=" "," ",HYPERLINK(CONCATENATE("#metadata!",ADDRESS(INDEX($Q$2:$Q$1001,MATCH(ROWS($O$2:O471),$O$2:$O$1001,0),0),1)),INDEX($T$2:$T$1001,MATCH(ROWS($O$2:O471),$O$2:$O$1001,0),0)))</f>
        <v>0</v>
      </c>
      <c r="B471" s="4">
        <f>IF(OR(INDEX($P$2:$P$1001,MATCH(ROWS($O$2:O471),$O$2:$O$1001,0),1)&gt;=100000,INDEX($V$1005:$AE$1005,1,MATCH(COLUMNS($V$1006:V1006),$V$1006:$AE$1006,0))&gt;=100000), " ",IF(INDEX($V$2:$AE$1001,MATCH(ROWS($O$2:O471),$O$2:$O$1001,0),MATCH(COLUMNS($V$1006:V1006),$V$1006:$AE$1006,0)), HYPERLINK("#",""), HYPERLINK(CONCATENATE("#Metadata!", ADDRESS(INDEX($Q$2:$Q$1001,MATCH(ROWS($O$2:O471),$O$2:$O$1001,0),0), INDEX($V$1004:$AE$1004,1,MATCH(COLUMNS($V$1006:V1006),$V$1006:$AE$1006,0)))),"Fix")))</f>
        <v>0</v>
      </c>
      <c r="C471" s="4">
        <f>IF(OR(INDEX($P$2:$P$1001,MATCH(ROWS($O$2:O471),$O$2:$O$1001,0),1)&gt;=100000,INDEX($V$1005:$AE$1005,1,MATCH(COLUMNS($V$1006:W1006),$V$1006:$AE$1006,0))&gt;=100000), " ",IF(INDEX($V$2:$AE$1001,MATCH(ROWS($O$2:O471),$O$2:$O$1001,0),MATCH(COLUMNS($V$1006:W1006),$V$1006:$AE$1006,0)), HYPERLINK("#",""), HYPERLINK(CONCATENATE("#Metadata!", ADDRESS(INDEX($Q$2:$Q$1001,MATCH(ROWS($O$2:O471),$O$2:$O$1001,0),0), INDEX($V$1004:$AE$1004,1,MATCH(COLUMNS($V$1006:W1006),$V$1006:$AE$1006,0)))),"Fix")))</f>
        <v>0</v>
      </c>
      <c r="D471" s="4">
        <f>IF(OR(INDEX($P$2:$P$1001,MATCH(ROWS($O$2:O471),$O$2:$O$1001,0),1)&gt;=100000,INDEX($V$1005:$AE$1005,1,MATCH(COLUMNS($V$1006:X1006),$V$1006:$AE$1006,0))&gt;=100000), " ",IF(INDEX($V$2:$AE$1001,MATCH(ROWS($O$2:O471),$O$2:$O$1001,0),MATCH(COLUMNS($V$1006:X1006),$V$1006:$AE$1006,0)), HYPERLINK("#",""), HYPERLINK(CONCATENATE("#Metadata!", ADDRESS(INDEX($Q$2:$Q$1001,MATCH(ROWS($O$2:O471),$O$2:$O$1001,0),0), INDEX($V$1004:$AE$1004,1,MATCH(COLUMNS($V$1006:X1006),$V$1006:$AE$1006,0)))),"Fix")))</f>
        <v>0</v>
      </c>
      <c r="E471" s="4">
        <f>IF(OR(INDEX($P$2:$P$1001,MATCH(ROWS($O$2:O471),$O$2:$O$1001,0),1)&gt;=100000,INDEX($V$1005:$AE$1005,1,MATCH(COLUMNS($V$1006:Y1006),$V$1006:$AE$1006,0))&gt;=100000), " ",IF(INDEX($V$2:$AE$1001,MATCH(ROWS($O$2:O471),$O$2:$O$1001,0),MATCH(COLUMNS($V$1006:Y1006),$V$1006:$AE$1006,0)), HYPERLINK("#",""), HYPERLINK(CONCATENATE("#Metadata!", ADDRESS(INDEX($Q$2:$Q$1001,MATCH(ROWS($O$2:O471),$O$2:$O$1001,0),0), INDEX($V$1004:$AE$1004,1,MATCH(COLUMNS($V$1006:Y1006),$V$1006:$AE$1006,0)))),"Fix")))</f>
        <v>0</v>
      </c>
      <c r="F471" s="4">
        <f>IF(OR(INDEX($P$2:$P$1001,MATCH(ROWS($O$2:O471),$O$2:$O$1001,0),1)&gt;=100000,INDEX($V$1005:$AE$1005,1,MATCH(COLUMNS($V$1006:Z1006),$V$1006:$AE$1006,0))&gt;=100000), " ",IF(INDEX($V$2:$AE$1001,MATCH(ROWS($O$2:O471),$O$2:$O$1001,0),MATCH(COLUMNS($V$1006:Z1006),$V$1006:$AE$1006,0)), HYPERLINK("#",""), HYPERLINK(CONCATENATE("#Metadata!", ADDRESS(INDEX($Q$2:$Q$1001,MATCH(ROWS($O$2:O471),$O$2:$O$1001,0),0), INDEX($V$1004:$AE$1004,1,MATCH(COLUMNS($V$1006:Z1006),$V$1006:$AE$1006,0)))),"Fix")))</f>
        <v>0</v>
      </c>
      <c r="G471" s="4">
        <f>IF(OR(INDEX($P$2:$P$1001,MATCH(ROWS($O$2:O471),$O$2:$O$1001,0),1)&gt;=100000,INDEX($V$1005:$AE$1005,1,MATCH(COLUMNS($V$1006:AA1006),$V$1006:$AE$1006,0))&gt;=100000), " ",IF(INDEX($V$2:$AE$1001,MATCH(ROWS($O$2:O471),$O$2:$O$1001,0),MATCH(COLUMNS($V$1006:AA1006),$V$1006:$AE$1006,0)), HYPERLINK("#",""), HYPERLINK(CONCATENATE("#Metadata!", ADDRESS(INDEX($Q$2:$Q$1001,MATCH(ROWS($O$2:O471),$O$2:$O$1001,0),0), INDEX($V$1004:$AE$1004,1,MATCH(COLUMNS($V$1006:AA1006),$V$1006:$AE$1006,0)))),"Fix")))</f>
        <v>0</v>
      </c>
      <c r="H471" s="4">
        <f>IF(OR(INDEX($P$2:$P$1001,MATCH(ROWS($O$2:O471),$O$2:$O$1001,0),1)&gt;=100000,INDEX($V$1005:$AE$1005,1,MATCH(COLUMNS($V$1006:AB1006),$V$1006:$AE$1006,0))&gt;=100000), " ",IF(INDEX($V$2:$AE$1001,MATCH(ROWS($O$2:O471),$O$2:$O$1001,0),MATCH(COLUMNS($V$1006:AB1006),$V$1006:$AE$1006,0)), HYPERLINK("#",""), HYPERLINK(CONCATENATE("#Metadata!", ADDRESS(INDEX($Q$2:$Q$1001,MATCH(ROWS($O$2:O471),$O$2:$O$1001,0),0), INDEX($V$1004:$AE$1004,1,MATCH(COLUMNS($V$1006:AB1006),$V$1006:$AE$1006,0)))),"Fix")))</f>
        <v>0</v>
      </c>
      <c r="I471" s="4">
        <f>IF(OR(INDEX($P$2:$P$1001,MATCH(ROWS($O$2:O471),$O$2:$O$1001,0),1)&gt;=100000,INDEX($V$1005:$AE$1005,1,MATCH(COLUMNS($V$1006:AC1006),$V$1006:$AE$1006,0))&gt;=100000), " ",IF(INDEX($V$2:$AE$1001,MATCH(ROWS($O$2:O471),$O$2:$O$1001,0),MATCH(COLUMNS($V$1006:AC1006),$V$1006:$AE$1006,0)), HYPERLINK("#",""), HYPERLINK(CONCATENATE("#Metadata!", ADDRESS(INDEX($Q$2:$Q$1001,MATCH(ROWS($O$2:O471),$O$2:$O$1001,0),0), INDEX($V$1004:$AE$1004,1,MATCH(COLUMNS($V$1006:AC1006),$V$1006:$AE$1006,0)))),"Fix")))</f>
        <v>0</v>
      </c>
      <c r="J471" s="4">
        <f>IF(OR(INDEX($P$2:$P$1001,MATCH(ROWS($O$2:O471),$O$2:$O$1001,0),1)&gt;=100000,INDEX($V$1005:$AE$1005,1,MATCH(COLUMNS($V$1006:AD1006),$V$1006:$AE$1006,0))&gt;=100000), " ",IF(INDEX($V$2:$AE$1001,MATCH(ROWS($O$2:O471),$O$2:$O$1001,0),MATCH(COLUMNS($V$1006:AD1006),$V$1006:$AE$1006,0)), HYPERLINK("#",""), HYPERLINK(CONCATENATE("#Metadata!", ADDRESS(INDEX($Q$2:$Q$1001,MATCH(ROWS($O$2:O471),$O$2:$O$1001,0),0), INDEX($V$1004:$AE$1004,1,MATCH(COLUMNS($V$1006:AD1006),$V$1006:$AE$1006,0)))),"Fix")))</f>
        <v>0</v>
      </c>
      <c r="K471" s="4">
        <f>IF(OR(INDEX($P$2:$P$1001,MATCH(ROWS($O$2:O471),$O$2:$O$1001,0),1)&gt;=100000,INDEX($V$1005:$AE$1005,1,MATCH(COLUMNS($V$1006:AE1006),$V$1006:$AE$1006,0))&gt;=100000), " ",IF(INDEX($V$2:$AE$1001,MATCH(ROWS($O$2:O471),$O$2:$O$1001,0),MATCH(COLUMNS($V$1006:AE1006),$V$1006:$AE$1006,0)), HYPERLINK("#",""), HYPERLINK(CONCATENATE("#Metadata!", ADDRESS(INDEX($Q$2:$Q$1001,MATCH(ROWS($O$2:O471),$O$2:$O$1001,0),0), INDEX($V$1004:$AE$1004,1,MATCH(COLUMNS($V$1006:AE1006),$V$1006:$AE$1006,0)))),"Fix")))</f>
        <v>0</v>
      </c>
      <c r="O471">
        <v>0</v>
      </c>
      <c r="P471">
        <v>0</v>
      </c>
      <c r="Q471">
        <v>0</v>
      </c>
      <c r="R471">
        <f>IF(S471,TRUE,AND(V471:AE471))</f>
        <v>0</v>
      </c>
      <c r="S471">
        <f>COUNTBLANK(Metadata!B471:K471)=COLUMNS(Metadata!B471:K471)</f>
        <v>0</v>
      </c>
      <c r="T471">
        <v>0</v>
      </c>
      <c r="V471">
        <f>AND(IF(Metadata!B471="",FALSE,TRUE),COUNTIF(Metadata!B:B, Metadata!B471) = 1,NOT(ISERROR(SUMPRODUCT(SEARCH(MID(Metadata!B471,ROW(INDIRECT("1:"&amp;LEN(Metadata!B471))), 1),"0123456789abcdefghijklmnopqrstuvwxyzABCDEFGHIJKLMNOPQRSTUVWXYZ.")))))</f>
        <v>0</v>
      </c>
      <c r="W471">
        <f>AND(IF(Metadata!C471="",FALSE,TRUE),exact(Metadata!C471,"urban biome"))</f>
        <v>0</v>
      </c>
      <c r="X471">
        <f>AND(IF(Metadata!D471="",FALSE,TRUE),exact(Metadata!D471,"animal-associated habitat"))</f>
        <v>0</v>
      </c>
      <c r="Y471">
        <f>OR(AND(IF(Metadata!E471="",FALSE,TRUE),OR(exact(Metadata!E471,"not applicable"),exact(Metadata!E471,"missing: not collected"),exact(Metadata!E471,"missing: not provided"),exact(Metadata!E471,"missing: restricted access"))),AND(IF(Metadata!E471="",FALSE,ISNUMBER(VALUE(Metadata!E471))),Metadata!E471&gt;0))</f>
        <v>0</v>
      </c>
      <c r="Z471">
        <f>AND(IF(Metadata!F471="",FALSE,TRUE),exact(Metadata!F471,"weeks"))</f>
        <v>0</v>
      </c>
      <c r="AA471">
        <f>AND(IF(Metadata!G471="",FALSE,TRUE),exact(Metadata!G471,"mouse"))</f>
        <v>0</v>
      </c>
      <c r="AB471">
        <f>AND(IF(Metadata!H471="",FALSE,TRUE),exact(Metadata!H471,"Mus musculus"))</f>
        <v>0</v>
      </c>
      <c r="AC471">
        <f>AND(IF(Metadata!I471="",FALSE,TRUE),exact(Metadata!I471,"10090"))</f>
        <v>0</v>
      </c>
      <c r="AD471">
        <f>OR(AND(IF(Metadata!J471="",FALSE,TRUE),OR(exact(Metadata!J471,"not applicable"),exact(Metadata!J471,"missing: not collected"),exact(Metadata!J471,"missing: not provided"),exact(Metadata!J471,"missing: restricted access"))),AND(IF(Metadata!J471="",FALSE,ISNUMBER(VALUE(Metadata!J471))),Metadata!J471&gt;0))</f>
        <v>0</v>
      </c>
      <c r="AE471">
        <f>AND(IF(Metadata!K471="",FALSE,TRUE),exact(Metadata!K471,"g"))</f>
        <v>0</v>
      </c>
    </row>
    <row r="472" spans="1:31">
      <c r="A472" s="5">
        <f>IF(B472=" "," ",HYPERLINK(CONCATENATE("#metadata!",ADDRESS(INDEX($Q$2:$Q$1001,MATCH(ROWS($O$2:O472),$O$2:$O$1001,0),0),1)),INDEX($T$2:$T$1001,MATCH(ROWS($O$2:O472),$O$2:$O$1001,0),0)))</f>
        <v>0</v>
      </c>
      <c r="B472" s="4">
        <f>IF(OR(INDEX($P$2:$P$1001,MATCH(ROWS($O$2:O472),$O$2:$O$1001,0),1)&gt;=100000,INDEX($V$1005:$AE$1005,1,MATCH(COLUMNS($V$1006:V1006),$V$1006:$AE$1006,0))&gt;=100000), " ",IF(INDEX($V$2:$AE$1001,MATCH(ROWS($O$2:O472),$O$2:$O$1001,0),MATCH(COLUMNS($V$1006:V1006),$V$1006:$AE$1006,0)), HYPERLINK("#",""), HYPERLINK(CONCATENATE("#Metadata!", ADDRESS(INDEX($Q$2:$Q$1001,MATCH(ROWS($O$2:O472),$O$2:$O$1001,0),0), INDEX($V$1004:$AE$1004,1,MATCH(COLUMNS($V$1006:V1006),$V$1006:$AE$1006,0)))),"Fix")))</f>
        <v>0</v>
      </c>
      <c r="C472" s="4">
        <f>IF(OR(INDEX($P$2:$P$1001,MATCH(ROWS($O$2:O472),$O$2:$O$1001,0),1)&gt;=100000,INDEX($V$1005:$AE$1005,1,MATCH(COLUMNS($V$1006:W1006),$V$1006:$AE$1006,0))&gt;=100000), " ",IF(INDEX($V$2:$AE$1001,MATCH(ROWS($O$2:O472),$O$2:$O$1001,0),MATCH(COLUMNS($V$1006:W1006),$V$1006:$AE$1006,0)), HYPERLINK("#",""), HYPERLINK(CONCATENATE("#Metadata!", ADDRESS(INDEX($Q$2:$Q$1001,MATCH(ROWS($O$2:O472),$O$2:$O$1001,0),0), INDEX($V$1004:$AE$1004,1,MATCH(COLUMNS($V$1006:W1006),$V$1006:$AE$1006,0)))),"Fix")))</f>
        <v>0</v>
      </c>
      <c r="D472" s="4">
        <f>IF(OR(INDEX($P$2:$P$1001,MATCH(ROWS($O$2:O472),$O$2:$O$1001,0),1)&gt;=100000,INDEX($V$1005:$AE$1005,1,MATCH(COLUMNS($V$1006:X1006),$V$1006:$AE$1006,0))&gt;=100000), " ",IF(INDEX($V$2:$AE$1001,MATCH(ROWS($O$2:O472),$O$2:$O$1001,0),MATCH(COLUMNS($V$1006:X1006),$V$1006:$AE$1006,0)), HYPERLINK("#",""), HYPERLINK(CONCATENATE("#Metadata!", ADDRESS(INDEX($Q$2:$Q$1001,MATCH(ROWS($O$2:O472),$O$2:$O$1001,0),0), INDEX($V$1004:$AE$1004,1,MATCH(COLUMNS($V$1006:X1006),$V$1006:$AE$1006,0)))),"Fix")))</f>
        <v>0</v>
      </c>
      <c r="E472" s="4">
        <f>IF(OR(INDEX($P$2:$P$1001,MATCH(ROWS($O$2:O472),$O$2:$O$1001,0),1)&gt;=100000,INDEX($V$1005:$AE$1005,1,MATCH(COLUMNS($V$1006:Y1006),$V$1006:$AE$1006,0))&gt;=100000), " ",IF(INDEX($V$2:$AE$1001,MATCH(ROWS($O$2:O472),$O$2:$O$1001,0),MATCH(COLUMNS($V$1006:Y1006),$V$1006:$AE$1006,0)), HYPERLINK("#",""), HYPERLINK(CONCATENATE("#Metadata!", ADDRESS(INDEX($Q$2:$Q$1001,MATCH(ROWS($O$2:O472),$O$2:$O$1001,0),0), INDEX($V$1004:$AE$1004,1,MATCH(COLUMNS($V$1006:Y1006),$V$1006:$AE$1006,0)))),"Fix")))</f>
        <v>0</v>
      </c>
      <c r="F472" s="4">
        <f>IF(OR(INDEX($P$2:$P$1001,MATCH(ROWS($O$2:O472),$O$2:$O$1001,0),1)&gt;=100000,INDEX($V$1005:$AE$1005,1,MATCH(COLUMNS($V$1006:Z1006),$V$1006:$AE$1006,0))&gt;=100000), " ",IF(INDEX($V$2:$AE$1001,MATCH(ROWS($O$2:O472),$O$2:$O$1001,0),MATCH(COLUMNS($V$1006:Z1006),$V$1006:$AE$1006,0)), HYPERLINK("#",""), HYPERLINK(CONCATENATE("#Metadata!", ADDRESS(INDEX($Q$2:$Q$1001,MATCH(ROWS($O$2:O472),$O$2:$O$1001,0),0), INDEX($V$1004:$AE$1004,1,MATCH(COLUMNS($V$1006:Z1006),$V$1006:$AE$1006,0)))),"Fix")))</f>
        <v>0</v>
      </c>
      <c r="G472" s="4">
        <f>IF(OR(INDEX($P$2:$P$1001,MATCH(ROWS($O$2:O472),$O$2:$O$1001,0),1)&gt;=100000,INDEX($V$1005:$AE$1005,1,MATCH(COLUMNS($V$1006:AA1006),$V$1006:$AE$1006,0))&gt;=100000), " ",IF(INDEX($V$2:$AE$1001,MATCH(ROWS($O$2:O472),$O$2:$O$1001,0),MATCH(COLUMNS($V$1006:AA1006),$V$1006:$AE$1006,0)), HYPERLINK("#",""), HYPERLINK(CONCATENATE("#Metadata!", ADDRESS(INDEX($Q$2:$Q$1001,MATCH(ROWS($O$2:O472),$O$2:$O$1001,0),0), INDEX($V$1004:$AE$1004,1,MATCH(COLUMNS($V$1006:AA1006),$V$1006:$AE$1006,0)))),"Fix")))</f>
        <v>0</v>
      </c>
      <c r="H472" s="4">
        <f>IF(OR(INDEX($P$2:$P$1001,MATCH(ROWS($O$2:O472),$O$2:$O$1001,0),1)&gt;=100000,INDEX($V$1005:$AE$1005,1,MATCH(COLUMNS($V$1006:AB1006),$V$1006:$AE$1006,0))&gt;=100000), " ",IF(INDEX($V$2:$AE$1001,MATCH(ROWS($O$2:O472),$O$2:$O$1001,0),MATCH(COLUMNS($V$1006:AB1006),$V$1006:$AE$1006,0)), HYPERLINK("#",""), HYPERLINK(CONCATENATE("#Metadata!", ADDRESS(INDEX($Q$2:$Q$1001,MATCH(ROWS($O$2:O472),$O$2:$O$1001,0),0), INDEX($V$1004:$AE$1004,1,MATCH(COLUMNS($V$1006:AB1006),$V$1006:$AE$1006,0)))),"Fix")))</f>
        <v>0</v>
      </c>
      <c r="I472" s="4">
        <f>IF(OR(INDEX($P$2:$P$1001,MATCH(ROWS($O$2:O472),$O$2:$O$1001,0),1)&gt;=100000,INDEX($V$1005:$AE$1005,1,MATCH(COLUMNS($V$1006:AC1006),$V$1006:$AE$1006,0))&gt;=100000), " ",IF(INDEX($V$2:$AE$1001,MATCH(ROWS($O$2:O472),$O$2:$O$1001,0),MATCH(COLUMNS($V$1006:AC1006),$V$1006:$AE$1006,0)), HYPERLINK("#",""), HYPERLINK(CONCATENATE("#Metadata!", ADDRESS(INDEX($Q$2:$Q$1001,MATCH(ROWS($O$2:O472),$O$2:$O$1001,0),0), INDEX($V$1004:$AE$1004,1,MATCH(COLUMNS($V$1006:AC1006),$V$1006:$AE$1006,0)))),"Fix")))</f>
        <v>0</v>
      </c>
      <c r="J472" s="4">
        <f>IF(OR(INDEX($P$2:$P$1001,MATCH(ROWS($O$2:O472),$O$2:$O$1001,0),1)&gt;=100000,INDEX($V$1005:$AE$1005,1,MATCH(COLUMNS($V$1006:AD1006),$V$1006:$AE$1006,0))&gt;=100000), " ",IF(INDEX($V$2:$AE$1001,MATCH(ROWS($O$2:O472),$O$2:$O$1001,0),MATCH(COLUMNS($V$1006:AD1006),$V$1006:$AE$1006,0)), HYPERLINK("#",""), HYPERLINK(CONCATENATE("#Metadata!", ADDRESS(INDEX($Q$2:$Q$1001,MATCH(ROWS($O$2:O472),$O$2:$O$1001,0),0), INDEX($V$1004:$AE$1004,1,MATCH(COLUMNS($V$1006:AD1006),$V$1006:$AE$1006,0)))),"Fix")))</f>
        <v>0</v>
      </c>
      <c r="K472" s="4">
        <f>IF(OR(INDEX($P$2:$P$1001,MATCH(ROWS($O$2:O472),$O$2:$O$1001,0),1)&gt;=100000,INDEX($V$1005:$AE$1005,1,MATCH(COLUMNS($V$1006:AE1006),$V$1006:$AE$1006,0))&gt;=100000), " ",IF(INDEX($V$2:$AE$1001,MATCH(ROWS($O$2:O472),$O$2:$O$1001,0),MATCH(COLUMNS($V$1006:AE1006),$V$1006:$AE$1006,0)), HYPERLINK("#",""), HYPERLINK(CONCATENATE("#Metadata!", ADDRESS(INDEX($Q$2:$Q$1001,MATCH(ROWS($O$2:O472),$O$2:$O$1001,0),0), INDEX($V$1004:$AE$1004,1,MATCH(COLUMNS($V$1006:AE1006),$V$1006:$AE$1006,0)))),"Fix")))</f>
        <v>0</v>
      </c>
      <c r="O472">
        <v>0</v>
      </c>
      <c r="P472">
        <v>0</v>
      </c>
      <c r="Q472">
        <v>0</v>
      </c>
      <c r="R472">
        <f>IF(S472,TRUE,AND(V472:AE472))</f>
        <v>0</v>
      </c>
      <c r="S472">
        <f>COUNTBLANK(Metadata!B472:K472)=COLUMNS(Metadata!B472:K472)</f>
        <v>0</v>
      </c>
      <c r="T472">
        <v>0</v>
      </c>
      <c r="V472">
        <f>AND(IF(Metadata!B472="",FALSE,TRUE),COUNTIF(Metadata!B:B, Metadata!B472) = 1,NOT(ISERROR(SUMPRODUCT(SEARCH(MID(Metadata!B472,ROW(INDIRECT("1:"&amp;LEN(Metadata!B472))), 1),"0123456789abcdefghijklmnopqrstuvwxyzABCDEFGHIJKLMNOPQRSTUVWXYZ.")))))</f>
        <v>0</v>
      </c>
      <c r="W472">
        <f>AND(IF(Metadata!C472="",FALSE,TRUE),exact(Metadata!C472,"urban biome"))</f>
        <v>0</v>
      </c>
      <c r="X472">
        <f>AND(IF(Metadata!D472="",FALSE,TRUE),exact(Metadata!D472,"animal-associated habitat"))</f>
        <v>0</v>
      </c>
      <c r="Y472">
        <f>OR(AND(IF(Metadata!E472="",FALSE,TRUE),OR(exact(Metadata!E472,"not applicable"),exact(Metadata!E472,"missing: not collected"),exact(Metadata!E472,"missing: not provided"),exact(Metadata!E472,"missing: restricted access"))),AND(IF(Metadata!E472="",FALSE,ISNUMBER(VALUE(Metadata!E472))),Metadata!E472&gt;0))</f>
        <v>0</v>
      </c>
      <c r="Z472">
        <f>AND(IF(Metadata!F472="",FALSE,TRUE),exact(Metadata!F472,"weeks"))</f>
        <v>0</v>
      </c>
      <c r="AA472">
        <f>AND(IF(Metadata!G472="",FALSE,TRUE),exact(Metadata!G472,"mouse"))</f>
        <v>0</v>
      </c>
      <c r="AB472">
        <f>AND(IF(Metadata!H472="",FALSE,TRUE),exact(Metadata!H472,"Mus musculus"))</f>
        <v>0</v>
      </c>
      <c r="AC472">
        <f>AND(IF(Metadata!I472="",FALSE,TRUE),exact(Metadata!I472,"10090"))</f>
        <v>0</v>
      </c>
      <c r="AD472">
        <f>OR(AND(IF(Metadata!J472="",FALSE,TRUE),OR(exact(Metadata!J472,"not applicable"),exact(Metadata!J472,"missing: not collected"),exact(Metadata!J472,"missing: not provided"),exact(Metadata!J472,"missing: restricted access"))),AND(IF(Metadata!J472="",FALSE,ISNUMBER(VALUE(Metadata!J472))),Metadata!J472&gt;0))</f>
        <v>0</v>
      </c>
      <c r="AE472">
        <f>AND(IF(Metadata!K472="",FALSE,TRUE),exact(Metadata!K472,"g"))</f>
        <v>0</v>
      </c>
    </row>
    <row r="473" spans="1:31">
      <c r="A473" s="5">
        <f>IF(B473=" "," ",HYPERLINK(CONCATENATE("#metadata!",ADDRESS(INDEX($Q$2:$Q$1001,MATCH(ROWS($O$2:O473),$O$2:$O$1001,0),0),1)),INDEX($T$2:$T$1001,MATCH(ROWS($O$2:O473),$O$2:$O$1001,0),0)))</f>
        <v>0</v>
      </c>
      <c r="B473" s="4">
        <f>IF(OR(INDEX($P$2:$P$1001,MATCH(ROWS($O$2:O473),$O$2:$O$1001,0),1)&gt;=100000,INDEX($V$1005:$AE$1005,1,MATCH(COLUMNS($V$1006:V1006),$V$1006:$AE$1006,0))&gt;=100000), " ",IF(INDEX($V$2:$AE$1001,MATCH(ROWS($O$2:O473),$O$2:$O$1001,0),MATCH(COLUMNS($V$1006:V1006),$V$1006:$AE$1006,0)), HYPERLINK("#",""), HYPERLINK(CONCATENATE("#Metadata!", ADDRESS(INDEX($Q$2:$Q$1001,MATCH(ROWS($O$2:O473),$O$2:$O$1001,0),0), INDEX($V$1004:$AE$1004,1,MATCH(COLUMNS($V$1006:V1006),$V$1006:$AE$1006,0)))),"Fix")))</f>
        <v>0</v>
      </c>
      <c r="C473" s="4">
        <f>IF(OR(INDEX($P$2:$P$1001,MATCH(ROWS($O$2:O473),$O$2:$O$1001,0),1)&gt;=100000,INDEX($V$1005:$AE$1005,1,MATCH(COLUMNS($V$1006:W1006),$V$1006:$AE$1006,0))&gt;=100000), " ",IF(INDEX($V$2:$AE$1001,MATCH(ROWS($O$2:O473),$O$2:$O$1001,0),MATCH(COLUMNS($V$1006:W1006),$V$1006:$AE$1006,0)), HYPERLINK("#",""), HYPERLINK(CONCATENATE("#Metadata!", ADDRESS(INDEX($Q$2:$Q$1001,MATCH(ROWS($O$2:O473),$O$2:$O$1001,0),0), INDEX($V$1004:$AE$1004,1,MATCH(COLUMNS($V$1006:W1006),$V$1006:$AE$1006,0)))),"Fix")))</f>
        <v>0</v>
      </c>
      <c r="D473" s="4">
        <f>IF(OR(INDEX($P$2:$P$1001,MATCH(ROWS($O$2:O473),$O$2:$O$1001,0),1)&gt;=100000,INDEX($V$1005:$AE$1005,1,MATCH(COLUMNS($V$1006:X1006),$V$1006:$AE$1006,0))&gt;=100000), " ",IF(INDEX($V$2:$AE$1001,MATCH(ROWS($O$2:O473),$O$2:$O$1001,0),MATCH(COLUMNS($V$1006:X1006),$V$1006:$AE$1006,0)), HYPERLINK("#",""), HYPERLINK(CONCATENATE("#Metadata!", ADDRESS(INDEX($Q$2:$Q$1001,MATCH(ROWS($O$2:O473),$O$2:$O$1001,0),0), INDEX($V$1004:$AE$1004,1,MATCH(COLUMNS($V$1006:X1006),$V$1006:$AE$1006,0)))),"Fix")))</f>
        <v>0</v>
      </c>
      <c r="E473" s="4">
        <f>IF(OR(INDEX($P$2:$P$1001,MATCH(ROWS($O$2:O473),$O$2:$O$1001,0),1)&gt;=100000,INDEX($V$1005:$AE$1005,1,MATCH(COLUMNS($V$1006:Y1006),$V$1006:$AE$1006,0))&gt;=100000), " ",IF(INDEX($V$2:$AE$1001,MATCH(ROWS($O$2:O473),$O$2:$O$1001,0),MATCH(COLUMNS($V$1006:Y1006),$V$1006:$AE$1006,0)), HYPERLINK("#",""), HYPERLINK(CONCATENATE("#Metadata!", ADDRESS(INDEX($Q$2:$Q$1001,MATCH(ROWS($O$2:O473),$O$2:$O$1001,0),0), INDEX($V$1004:$AE$1004,1,MATCH(COLUMNS($V$1006:Y1006),$V$1006:$AE$1006,0)))),"Fix")))</f>
        <v>0</v>
      </c>
      <c r="F473" s="4">
        <f>IF(OR(INDEX($P$2:$P$1001,MATCH(ROWS($O$2:O473),$O$2:$O$1001,0),1)&gt;=100000,INDEX($V$1005:$AE$1005,1,MATCH(COLUMNS($V$1006:Z1006),$V$1006:$AE$1006,0))&gt;=100000), " ",IF(INDEX($V$2:$AE$1001,MATCH(ROWS($O$2:O473),$O$2:$O$1001,0),MATCH(COLUMNS($V$1006:Z1006),$V$1006:$AE$1006,0)), HYPERLINK("#",""), HYPERLINK(CONCATENATE("#Metadata!", ADDRESS(INDEX($Q$2:$Q$1001,MATCH(ROWS($O$2:O473),$O$2:$O$1001,0),0), INDEX($V$1004:$AE$1004,1,MATCH(COLUMNS($V$1006:Z1006),$V$1006:$AE$1006,0)))),"Fix")))</f>
        <v>0</v>
      </c>
      <c r="G473" s="4">
        <f>IF(OR(INDEX($P$2:$P$1001,MATCH(ROWS($O$2:O473),$O$2:$O$1001,0),1)&gt;=100000,INDEX($V$1005:$AE$1005,1,MATCH(COLUMNS($V$1006:AA1006),$V$1006:$AE$1006,0))&gt;=100000), " ",IF(INDEX($V$2:$AE$1001,MATCH(ROWS($O$2:O473),$O$2:$O$1001,0),MATCH(COLUMNS($V$1006:AA1006),$V$1006:$AE$1006,0)), HYPERLINK("#",""), HYPERLINK(CONCATENATE("#Metadata!", ADDRESS(INDEX($Q$2:$Q$1001,MATCH(ROWS($O$2:O473),$O$2:$O$1001,0),0), INDEX($V$1004:$AE$1004,1,MATCH(COLUMNS($V$1006:AA1006),$V$1006:$AE$1006,0)))),"Fix")))</f>
        <v>0</v>
      </c>
      <c r="H473" s="4">
        <f>IF(OR(INDEX($P$2:$P$1001,MATCH(ROWS($O$2:O473),$O$2:$O$1001,0),1)&gt;=100000,INDEX($V$1005:$AE$1005,1,MATCH(COLUMNS($V$1006:AB1006),$V$1006:$AE$1006,0))&gt;=100000), " ",IF(INDEX($V$2:$AE$1001,MATCH(ROWS($O$2:O473),$O$2:$O$1001,0),MATCH(COLUMNS($V$1006:AB1006),$V$1006:$AE$1006,0)), HYPERLINK("#",""), HYPERLINK(CONCATENATE("#Metadata!", ADDRESS(INDEX($Q$2:$Q$1001,MATCH(ROWS($O$2:O473),$O$2:$O$1001,0),0), INDEX($V$1004:$AE$1004,1,MATCH(COLUMNS($V$1006:AB1006),$V$1006:$AE$1006,0)))),"Fix")))</f>
        <v>0</v>
      </c>
      <c r="I473" s="4">
        <f>IF(OR(INDEX($P$2:$P$1001,MATCH(ROWS($O$2:O473),$O$2:$O$1001,0),1)&gt;=100000,INDEX($V$1005:$AE$1005,1,MATCH(COLUMNS($V$1006:AC1006),$V$1006:$AE$1006,0))&gt;=100000), " ",IF(INDEX($V$2:$AE$1001,MATCH(ROWS($O$2:O473),$O$2:$O$1001,0),MATCH(COLUMNS($V$1006:AC1006),$V$1006:$AE$1006,0)), HYPERLINK("#",""), HYPERLINK(CONCATENATE("#Metadata!", ADDRESS(INDEX($Q$2:$Q$1001,MATCH(ROWS($O$2:O473),$O$2:$O$1001,0),0), INDEX($V$1004:$AE$1004,1,MATCH(COLUMNS($V$1006:AC1006),$V$1006:$AE$1006,0)))),"Fix")))</f>
        <v>0</v>
      </c>
      <c r="J473" s="4">
        <f>IF(OR(INDEX($P$2:$P$1001,MATCH(ROWS($O$2:O473),$O$2:$O$1001,0),1)&gt;=100000,INDEX($V$1005:$AE$1005,1,MATCH(COLUMNS($V$1006:AD1006),$V$1006:$AE$1006,0))&gt;=100000), " ",IF(INDEX($V$2:$AE$1001,MATCH(ROWS($O$2:O473),$O$2:$O$1001,0),MATCH(COLUMNS($V$1006:AD1006),$V$1006:$AE$1006,0)), HYPERLINK("#",""), HYPERLINK(CONCATENATE("#Metadata!", ADDRESS(INDEX($Q$2:$Q$1001,MATCH(ROWS($O$2:O473),$O$2:$O$1001,0),0), INDEX($V$1004:$AE$1004,1,MATCH(COLUMNS($V$1006:AD1006),$V$1006:$AE$1006,0)))),"Fix")))</f>
        <v>0</v>
      </c>
      <c r="K473" s="4">
        <f>IF(OR(INDEX($P$2:$P$1001,MATCH(ROWS($O$2:O473),$O$2:$O$1001,0),1)&gt;=100000,INDEX($V$1005:$AE$1005,1,MATCH(COLUMNS($V$1006:AE1006),$V$1006:$AE$1006,0))&gt;=100000), " ",IF(INDEX($V$2:$AE$1001,MATCH(ROWS($O$2:O473),$O$2:$O$1001,0),MATCH(COLUMNS($V$1006:AE1006),$V$1006:$AE$1006,0)), HYPERLINK("#",""), HYPERLINK(CONCATENATE("#Metadata!", ADDRESS(INDEX($Q$2:$Q$1001,MATCH(ROWS($O$2:O473),$O$2:$O$1001,0),0), INDEX($V$1004:$AE$1004,1,MATCH(COLUMNS($V$1006:AE1006),$V$1006:$AE$1006,0)))),"Fix")))</f>
        <v>0</v>
      </c>
      <c r="O473">
        <v>0</v>
      </c>
      <c r="P473">
        <v>0</v>
      </c>
      <c r="Q473">
        <v>0</v>
      </c>
      <c r="R473">
        <f>IF(S473,TRUE,AND(V473:AE473))</f>
        <v>0</v>
      </c>
      <c r="S473">
        <f>COUNTBLANK(Metadata!B473:K473)=COLUMNS(Metadata!B473:K473)</f>
        <v>0</v>
      </c>
      <c r="T473">
        <v>0</v>
      </c>
      <c r="V473">
        <f>AND(IF(Metadata!B473="",FALSE,TRUE),COUNTIF(Metadata!B:B, Metadata!B473) = 1,NOT(ISERROR(SUMPRODUCT(SEARCH(MID(Metadata!B473,ROW(INDIRECT("1:"&amp;LEN(Metadata!B473))), 1),"0123456789abcdefghijklmnopqrstuvwxyzABCDEFGHIJKLMNOPQRSTUVWXYZ.")))))</f>
        <v>0</v>
      </c>
      <c r="W473">
        <f>AND(IF(Metadata!C473="",FALSE,TRUE),exact(Metadata!C473,"urban biome"))</f>
        <v>0</v>
      </c>
      <c r="X473">
        <f>AND(IF(Metadata!D473="",FALSE,TRUE),exact(Metadata!D473,"animal-associated habitat"))</f>
        <v>0</v>
      </c>
      <c r="Y473">
        <f>OR(AND(IF(Metadata!E473="",FALSE,TRUE),OR(exact(Metadata!E473,"not applicable"),exact(Metadata!E473,"missing: not collected"),exact(Metadata!E473,"missing: not provided"),exact(Metadata!E473,"missing: restricted access"))),AND(IF(Metadata!E473="",FALSE,ISNUMBER(VALUE(Metadata!E473))),Metadata!E473&gt;0))</f>
        <v>0</v>
      </c>
      <c r="Z473">
        <f>AND(IF(Metadata!F473="",FALSE,TRUE),exact(Metadata!F473,"weeks"))</f>
        <v>0</v>
      </c>
      <c r="AA473">
        <f>AND(IF(Metadata!G473="",FALSE,TRUE),exact(Metadata!G473,"mouse"))</f>
        <v>0</v>
      </c>
      <c r="AB473">
        <f>AND(IF(Metadata!H473="",FALSE,TRUE),exact(Metadata!H473,"Mus musculus"))</f>
        <v>0</v>
      </c>
      <c r="AC473">
        <f>AND(IF(Metadata!I473="",FALSE,TRUE),exact(Metadata!I473,"10090"))</f>
        <v>0</v>
      </c>
      <c r="AD473">
        <f>OR(AND(IF(Metadata!J473="",FALSE,TRUE),OR(exact(Metadata!J473,"not applicable"),exact(Metadata!J473,"missing: not collected"),exact(Metadata!J473,"missing: not provided"),exact(Metadata!J473,"missing: restricted access"))),AND(IF(Metadata!J473="",FALSE,ISNUMBER(VALUE(Metadata!J473))),Metadata!J473&gt;0))</f>
        <v>0</v>
      </c>
      <c r="AE473">
        <f>AND(IF(Metadata!K473="",FALSE,TRUE),exact(Metadata!K473,"g"))</f>
        <v>0</v>
      </c>
    </row>
    <row r="474" spans="1:31">
      <c r="A474" s="5">
        <f>IF(B474=" "," ",HYPERLINK(CONCATENATE("#metadata!",ADDRESS(INDEX($Q$2:$Q$1001,MATCH(ROWS($O$2:O474),$O$2:$O$1001,0),0),1)),INDEX($T$2:$T$1001,MATCH(ROWS($O$2:O474),$O$2:$O$1001,0),0)))</f>
        <v>0</v>
      </c>
      <c r="B474" s="4">
        <f>IF(OR(INDEX($P$2:$P$1001,MATCH(ROWS($O$2:O474),$O$2:$O$1001,0),1)&gt;=100000,INDEX($V$1005:$AE$1005,1,MATCH(COLUMNS($V$1006:V1006),$V$1006:$AE$1006,0))&gt;=100000), " ",IF(INDEX($V$2:$AE$1001,MATCH(ROWS($O$2:O474),$O$2:$O$1001,0),MATCH(COLUMNS($V$1006:V1006),$V$1006:$AE$1006,0)), HYPERLINK("#",""), HYPERLINK(CONCATENATE("#Metadata!", ADDRESS(INDEX($Q$2:$Q$1001,MATCH(ROWS($O$2:O474),$O$2:$O$1001,0),0), INDEX($V$1004:$AE$1004,1,MATCH(COLUMNS($V$1006:V1006),$V$1006:$AE$1006,0)))),"Fix")))</f>
        <v>0</v>
      </c>
      <c r="C474" s="4">
        <f>IF(OR(INDEX($P$2:$P$1001,MATCH(ROWS($O$2:O474),$O$2:$O$1001,0),1)&gt;=100000,INDEX($V$1005:$AE$1005,1,MATCH(COLUMNS($V$1006:W1006),$V$1006:$AE$1006,0))&gt;=100000), " ",IF(INDEX($V$2:$AE$1001,MATCH(ROWS($O$2:O474),$O$2:$O$1001,0),MATCH(COLUMNS($V$1006:W1006),$V$1006:$AE$1006,0)), HYPERLINK("#",""), HYPERLINK(CONCATENATE("#Metadata!", ADDRESS(INDEX($Q$2:$Q$1001,MATCH(ROWS($O$2:O474),$O$2:$O$1001,0),0), INDEX($V$1004:$AE$1004,1,MATCH(COLUMNS($V$1006:W1006),$V$1006:$AE$1006,0)))),"Fix")))</f>
        <v>0</v>
      </c>
      <c r="D474" s="4">
        <f>IF(OR(INDEX($P$2:$P$1001,MATCH(ROWS($O$2:O474),$O$2:$O$1001,0),1)&gt;=100000,INDEX($V$1005:$AE$1005,1,MATCH(COLUMNS($V$1006:X1006),$V$1006:$AE$1006,0))&gt;=100000), " ",IF(INDEX($V$2:$AE$1001,MATCH(ROWS($O$2:O474),$O$2:$O$1001,0),MATCH(COLUMNS($V$1006:X1006),$V$1006:$AE$1006,0)), HYPERLINK("#",""), HYPERLINK(CONCATENATE("#Metadata!", ADDRESS(INDEX($Q$2:$Q$1001,MATCH(ROWS($O$2:O474),$O$2:$O$1001,0),0), INDEX($V$1004:$AE$1004,1,MATCH(COLUMNS($V$1006:X1006),$V$1006:$AE$1006,0)))),"Fix")))</f>
        <v>0</v>
      </c>
      <c r="E474" s="4">
        <f>IF(OR(INDEX($P$2:$P$1001,MATCH(ROWS($O$2:O474),$O$2:$O$1001,0),1)&gt;=100000,INDEX($V$1005:$AE$1005,1,MATCH(COLUMNS($V$1006:Y1006),$V$1006:$AE$1006,0))&gt;=100000), " ",IF(INDEX($V$2:$AE$1001,MATCH(ROWS($O$2:O474),$O$2:$O$1001,0),MATCH(COLUMNS($V$1006:Y1006),$V$1006:$AE$1006,0)), HYPERLINK("#",""), HYPERLINK(CONCATENATE("#Metadata!", ADDRESS(INDEX($Q$2:$Q$1001,MATCH(ROWS($O$2:O474),$O$2:$O$1001,0),0), INDEX($V$1004:$AE$1004,1,MATCH(COLUMNS($V$1006:Y1006),$V$1006:$AE$1006,0)))),"Fix")))</f>
        <v>0</v>
      </c>
      <c r="F474" s="4">
        <f>IF(OR(INDEX($P$2:$P$1001,MATCH(ROWS($O$2:O474),$O$2:$O$1001,0),1)&gt;=100000,INDEX($V$1005:$AE$1005,1,MATCH(COLUMNS($V$1006:Z1006),$V$1006:$AE$1006,0))&gt;=100000), " ",IF(INDEX($V$2:$AE$1001,MATCH(ROWS($O$2:O474),$O$2:$O$1001,0),MATCH(COLUMNS($V$1006:Z1006),$V$1006:$AE$1006,0)), HYPERLINK("#",""), HYPERLINK(CONCATENATE("#Metadata!", ADDRESS(INDEX($Q$2:$Q$1001,MATCH(ROWS($O$2:O474),$O$2:$O$1001,0),0), INDEX($V$1004:$AE$1004,1,MATCH(COLUMNS($V$1006:Z1006),$V$1006:$AE$1006,0)))),"Fix")))</f>
        <v>0</v>
      </c>
      <c r="G474" s="4">
        <f>IF(OR(INDEX($P$2:$P$1001,MATCH(ROWS($O$2:O474),$O$2:$O$1001,0),1)&gt;=100000,INDEX($V$1005:$AE$1005,1,MATCH(COLUMNS($V$1006:AA1006),$V$1006:$AE$1006,0))&gt;=100000), " ",IF(INDEX($V$2:$AE$1001,MATCH(ROWS($O$2:O474),$O$2:$O$1001,0),MATCH(COLUMNS($V$1006:AA1006),$V$1006:$AE$1006,0)), HYPERLINK("#",""), HYPERLINK(CONCATENATE("#Metadata!", ADDRESS(INDEX($Q$2:$Q$1001,MATCH(ROWS($O$2:O474),$O$2:$O$1001,0),0), INDEX($V$1004:$AE$1004,1,MATCH(COLUMNS($V$1006:AA1006),$V$1006:$AE$1006,0)))),"Fix")))</f>
        <v>0</v>
      </c>
      <c r="H474" s="4">
        <f>IF(OR(INDEX($P$2:$P$1001,MATCH(ROWS($O$2:O474),$O$2:$O$1001,0),1)&gt;=100000,INDEX($V$1005:$AE$1005,1,MATCH(COLUMNS($V$1006:AB1006),$V$1006:$AE$1006,0))&gt;=100000), " ",IF(INDEX($V$2:$AE$1001,MATCH(ROWS($O$2:O474),$O$2:$O$1001,0),MATCH(COLUMNS($V$1006:AB1006),$V$1006:$AE$1006,0)), HYPERLINK("#",""), HYPERLINK(CONCATENATE("#Metadata!", ADDRESS(INDEX($Q$2:$Q$1001,MATCH(ROWS($O$2:O474),$O$2:$O$1001,0),0), INDEX($V$1004:$AE$1004,1,MATCH(COLUMNS($V$1006:AB1006),$V$1006:$AE$1006,0)))),"Fix")))</f>
        <v>0</v>
      </c>
      <c r="I474" s="4">
        <f>IF(OR(INDEX($P$2:$P$1001,MATCH(ROWS($O$2:O474),$O$2:$O$1001,0),1)&gt;=100000,INDEX($V$1005:$AE$1005,1,MATCH(COLUMNS($V$1006:AC1006),$V$1006:$AE$1006,0))&gt;=100000), " ",IF(INDEX($V$2:$AE$1001,MATCH(ROWS($O$2:O474),$O$2:$O$1001,0),MATCH(COLUMNS($V$1006:AC1006),$V$1006:$AE$1006,0)), HYPERLINK("#",""), HYPERLINK(CONCATENATE("#Metadata!", ADDRESS(INDEX($Q$2:$Q$1001,MATCH(ROWS($O$2:O474),$O$2:$O$1001,0),0), INDEX($V$1004:$AE$1004,1,MATCH(COLUMNS($V$1006:AC1006),$V$1006:$AE$1006,0)))),"Fix")))</f>
        <v>0</v>
      </c>
      <c r="J474" s="4">
        <f>IF(OR(INDEX($P$2:$P$1001,MATCH(ROWS($O$2:O474),$O$2:$O$1001,0),1)&gt;=100000,INDEX($V$1005:$AE$1005,1,MATCH(COLUMNS($V$1006:AD1006),$V$1006:$AE$1006,0))&gt;=100000), " ",IF(INDEX($V$2:$AE$1001,MATCH(ROWS($O$2:O474),$O$2:$O$1001,0),MATCH(COLUMNS($V$1006:AD1006),$V$1006:$AE$1006,0)), HYPERLINK("#",""), HYPERLINK(CONCATENATE("#Metadata!", ADDRESS(INDEX($Q$2:$Q$1001,MATCH(ROWS($O$2:O474),$O$2:$O$1001,0),0), INDEX($V$1004:$AE$1004,1,MATCH(COLUMNS($V$1006:AD1006),$V$1006:$AE$1006,0)))),"Fix")))</f>
        <v>0</v>
      </c>
      <c r="K474" s="4">
        <f>IF(OR(INDEX($P$2:$P$1001,MATCH(ROWS($O$2:O474),$O$2:$O$1001,0),1)&gt;=100000,INDEX($V$1005:$AE$1005,1,MATCH(COLUMNS($V$1006:AE1006),$V$1006:$AE$1006,0))&gt;=100000), " ",IF(INDEX($V$2:$AE$1001,MATCH(ROWS($O$2:O474),$O$2:$O$1001,0),MATCH(COLUMNS($V$1006:AE1006),$V$1006:$AE$1006,0)), HYPERLINK("#",""), HYPERLINK(CONCATENATE("#Metadata!", ADDRESS(INDEX($Q$2:$Q$1001,MATCH(ROWS($O$2:O474),$O$2:$O$1001,0),0), INDEX($V$1004:$AE$1004,1,MATCH(COLUMNS($V$1006:AE1006),$V$1006:$AE$1006,0)))),"Fix")))</f>
        <v>0</v>
      </c>
      <c r="O474">
        <v>0</v>
      </c>
      <c r="P474">
        <v>0</v>
      </c>
      <c r="Q474">
        <v>0</v>
      </c>
      <c r="R474">
        <f>IF(S474,TRUE,AND(V474:AE474))</f>
        <v>0</v>
      </c>
      <c r="S474">
        <f>COUNTBLANK(Metadata!B474:K474)=COLUMNS(Metadata!B474:K474)</f>
        <v>0</v>
      </c>
      <c r="T474">
        <v>0</v>
      </c>
      <c r="V474">
        <f>AND(IF(Metadata!B474="",FALSE,TRUE),COUNTIF(Metadata!B:B, Metadata!B474) = 1,NOT(ISERROR(SUMPRODUCT(SEARCH(MID(Metadata!B474,ROW(INDIRECT("1:"&amp;LEN(Metadata!B474))), 1),"0123456789abcdefghijklmnopqrstuvwxyzABCDEFGHIJKLMNOPQRSTUVWXYZ.")))))</f>
        <v>0</v>
      </c>
      <c r="W474">
        <f>AND(IF(Metadata!C474="",FALSE,TRUE),exact(Metadata!C474,"urban biome"))</f>
        <v>0</v>
      </c>
      <c r="X474">
        <f>AND(IF(Metadata!D474="",FALSE,TRUE),exact(Metadata!D474,"animal-associated habitat"))</f>
        <v>0</v>
      </c>
      <c r="Y474">
        <f>OR(AND(IF(Metadata!E474="",FALSE,TRUE),OR(exact(Metadata!E474,"not applicable"),exact(Metadata!E474,"missing: not collected"),exact(Metadata!E474,"missing: not provided"),exact(Metadata!E474,"missing: restricted access"))),AND(IF(Metadata!E474="",FALSE,ISNUMBER(VALUE(Metadata!E474))),Metadata!E474&gt;0))</f>
        <v>0</v>
      </c>
      <c r="Z474">
        <f>AND(IF(Metadata!F474="",FALSE,TRUE),exact(Metadata!F474,"weeks"))</f>
        <v>0</v>
      </c>
      <c r="AA474">
        <f>AND(IF(Metadata!G474="",FALSE,TRUE),exact(Metadata!G474,"mouse"))</f>
        <v>0</v>
      </c>
      <c r="AB474">
        <f>AND(IF(Metadata!H474="",FALSE,TRUE),exact(Metadata!H474,"Mus musculus"))</f>
        <v>0</v>
      </c>
      <c r="AC474">
        <f>AND(IF(Metadata!I474="",FALSE,TRUE),exact(Metadata!I474,"10090"))</f>
        <v>0</v>
      </c>
      <c r="AD474">
        <f>OR(AND(IF(Metadata!J474="",FALSE,TRUE),OR(exact(Metadata!J474,"not applicable"),exact(Metadata!J474,"missing: not collected"),exact(Metadata!J474,"missing: not provided"),exact(Metadata!J474,"missing: restricted access"))),AND(IF(Metadata!J474="",FALSE,ISNUMBER(VALUE(Metadata!J474))),Metadata!J474&gt;0))</f>
        <v>0</v>
      </c>
      <c r="AE474">
        <f>AND(IF(Metadata!K474="",FALSE,TRUE),exact(Metadata!K474,"g"))</f>
        <v>0</v>
      </c>
    </row>
    <row r="475" spans="1:31">
      <c r="A475" s="5">
        <f>IF(B475=" "," ",HYPERLINK(CONCATENATE("#metadata!",ADDRESS(INDEX($Q$2:$Q$1001,MATCH(ROWS($O$2:O475),$O$2:$O$1001,0),0),1)),INDEX($T$2:$T$1001,MATCH(ROWS($O$2:O475),$O$2:$O$1001,0),0)))</f>
        <v>0</v>
      </c>
      <c r="B475" s="4">
        <f>IF(OR(INDEX($P$2:$P$1001,MATCH(ROWS($O$2:O475),$O$2:$O$1001,0),1)&gt;=100000,INDEX($V$1005:$AE$1005,1,MATCH(COLUMNS($V$1006:V1006),$V$1006:$AE$1006,0))&gt;=100000), " ",IF(INDEX($V$2:$AE$1001,MATCH(ROWS($O$2:O475),$O$2:$O$1001,0),MATCH(COLUMNS($V$1006:V1006),$V$1006:$AE$1006,0)), HYPERLINK("#",""), HYPERLINK(CONCATENATE("#Metadata!", ADDRESS(INDEX($Q$2:$Q$1001,MATCH(ROWS($O$2:O475),$O$2:$O$1001,0),0), INDEX($V$1004:$AE$1004,1,MATCH(COLUMNS($V$1006:V1006),$V$1006:$AE$1006,0)))),"Fix")))</f>
        <v>0</v>
      </c>
      <c r="C475" s="4">
        <f>IF(OR(INDEX($P$2:$P$1001,MATCH(ROWS($O$2:O475),$O$2:$O$1001,0),1)&gt;=100000,INDEX($V$1005:$AE$1005,1,MATCH(COLUMNS($V$1006:W1006),$V$1006:$AE$1006,0))&gt;=100000), " ",IF(INDEX($V$2:$AE$1001,MATCH(ROWS($O$2:O475),$O$2:$O$1001,0),MATCH(COLUMNS($V$1006:W1006),$V$1006:$AE$1006,0)), HYPERLINK("#",""), HYPERLINK(CONCATENATE("#Metadata!", ADDRESS(INDEX($Q$2:$Q$1001,MATCH(ROWS($O$2:O475),$O$2:$O$1001,0),0), INDEX($V$1004:$AE$1004,1,MATCH(COLUMNS($V$1006:W1006),$V$1006:$AE$1006,0)))),"Fix")))</f>
        <v>0</v>
      </c>
      <c r="D475" s="4">
        <f>IF(OR(INDEX($P$2:$P$1001,MATCH(ROWS($O$2:O475),$O$2:$O$1001,0),1)&gt;=100000,INDEX($V$1005:$AE$1005,1,MATCH(COLUMNS($V$1006:X1006),$V$1006:$AE$1006,0))&gt;=100000), " ",IF(INDEX($V$2:$AE$1001,MATCH(ROWS($O$2:O475),$O$2:$O$1001,0),MATCH(COLUMNS($V$1006:X1006),$V$1006:$AE$1006,0)), HYPERLINK("#",""), HYPERLINK(CONCATENATE("#Metadata!", ADDRESS(INDEX($Q$2:$Q$1001,MATCH(ROWS($O$2:O475),$O$2:$O$1001,0),0), INDEX($V$1004:$AE$1004,1,MATCH(COLUMNS($V$1006:X1006),$V$1006:$AE$1006,0)))),"Fix")))</f>
        <v>0</v>
      </c>
      <c r="E475" s="4">
        <f>IF(OR(INDEX($P$2:$P$1001,MATCH(ROWS($O$2:O475),$O$2:$O$1001,0),1)&gt;=100000,INDEX($V$1005:$AE$1005,1,MATCH(COLUMNS($V$1006:Y1006),$V$1006:$AE$1006,0))&gt;=100000), " ",IF(INDEX($V$2:$AE$1001,MATCH(ROWS($O$2:O475),$O$2:$O$1001,0),MATCH(COLUMNS($V$1006:Y1006),$V$1006:$AE$1006,0)), HYPERLINK("#",""), HYPERLINK(CONCATENATE("#Metadata!", ADDRESS(INDEX($Q$2:$Q$1001,MATCH(ROWS($O$2:O475),$O$2:$O$1001,0),0), INDEX($V$1004:$AE$1004,1,MATCH(COLUMNS($V$1006:Y1006),$V$1006:$AE$1006,0)))),"Fix")))</f>
        <v>0</v>
      </c>
      <c r="F475" s="4">
        <f>IF(OR(INDEX($P$2:$P$1001,MATCH(ROWS($O$2:O475),$O$2:$O$1001,0),1)&gt;=100000,INDEX($V$1005:$AE$1005,1,MATCH(COLUMNS($V$1006:Z1006),$V$1006:$AE$1006,0))&gt;=100000), " ",IF(INDEX($V$2:$AE$1001,MATCH(ROWS($O$2:O475),$O$2:$O$1001,0),MATCH(COLUMNS($V$1006:Z1006),$V$1006:$AE$1006,0)), HYPERLINK("#",""), HYPERLINK(CONCATENATE("#Metadata!", ADDRESS(INDEX($Q$2:$Q$1001,MATCH(ROWS($O$2:O475),$O$2:$O$1001,0),0), INDEX($V$1004:$AE$1004,1,MATCH(COLUMNS($V$1006:Z1006),$V$1006:$AE$1006,0)))),"Fix")))</f>
        <v>0</v>
      </c>
      <c r="G475" s="4">
        <f>IF(OR(INDEX($P$2:$P$1001,MATCH(ROWS($O$2:O475),$O$2:$O$1001,0),1)&gt;=100000,INDEX($V$1005:$AE$1005,1,MATCH(COLUMNS($V$1006:AA1006),$V$1006:$AE$1006,0))&gt;=100000), " ",IF(INDEX($V$2:$AE$1001,MATCH(ROWS($O$2:O475),$O$2:$O$1001,0),MATCH(COLUMNS($V$1006:AA1006),$V$1006:$AE$1006,0)), HYPERLINK("#",""), HYPERLINK(CONCATENATE("#Metadata!", ADDRESS(INDEX($Q$2:$Q$1001,MATCH(ROWS($O$2:O475),$O$2:$O$1001,0),0), INDEX($V$1004:$AE$1004,1,MATCH(COLUMNS($V$1006:AA1006),$V$1006:$AE$1006,0)))),"Fix")))</f>
        <v>0</v>
      </c>
      <c r="H475" s="4">
        <f>IF(OR(INDEX($P$2:$P$1001,MATCH(ROWS($O$2:O475),$O$2:$O$1001,0),1)&gt;=100000,INDEX($V$1005:$AE$1005,1,MATCH(COLUMNS($V$1006:AB1006),$V$1006:$AE$1006,0))&gt;=100000), " ",IF(INDEX($V$2:$AE$1001,MATCH(ROWS($O$2:O475),$O$2:$O$1001,0),MATCH(COLUMNS($V$1006:AB1006),$V$1006:$AE$1006,0)), HYPERLINK("#",""), HYPERLINK(CONCATENATE("#Metadata!", ADDRESS(INDEX($Q$2:$Q$1001,MATCH(ROWS($O$2:O475),$O$2:$O$1001,0),0), INDEX($V$1004:$AE$1004,1,MATCH(COLUMNS($V$1006:AB1006),$V$1006:$AE$1006,0)))),"Fix")))</f>
        <v>0</v>
      </c>
      <c r="I475" s="4">
        <f>IF(OR(INDEX($P$2:$P$1001,MATCH(ROWS($O$2:O475),$O$2:$O$1001,0),1)&gt;=100000,INDEX($V$1005:$AE$1005,1,MATCH(COLUMNS($V$1006:AC1006),$V$1006:$AE$1006,0))&gt;=100000), " ",IF(INDEX($V$2:$AE$1001,MATCH(ROWS($O$2:O475),$O$2:$O$1001,0),MATCH(COLUMNS($V$1006:AC1006),$V$1006:$AE$1006,0)), HYPERLINK("#",""), HYPERLINK(CONCATENATE("#Metadata!", ADDRESS(INDEX($Q$2:$Q$1001,MATCH(ROWS($O$2:O475),$O$2:$O$1001,0),0), INDEX($V$1004:$AE$1004,1,MATCH(COLUMNS($V$1006:AC1006),$V$1006:$AE$1006,0)))),"Fix")))</f>
        <v>0</v>
      </c>
      <c r="J475" s="4">
        <f>IF(OR(INDEX($P$2:$P$1001,MATCH(ROWS($O$2:O475),$O$2:$O$1001,0),1)&gt;=100000,INDEX($V$1005:$AE$1005,1,MATCH(COLUMNS($V$1006:AD1006),$V$1006:$AE$1006,0))&gt;=100000), " ",IF(INDEX($V$2:$AE$1001,MATCH(ROWS($O$2:O475),$O$2:$O$1001,0),MATCH(COLUMNS($V$1006:AD1006),$V$1006:$AE$1006,0)), HYPERLINK("#",""), HYPERLINK(CONCATENATE("#Metadata!", ADDRESS(INDEX($Q$2:$Q$1001,MATCH(ROWS($O$2:O475),$O$2:$O$1001,0),0), INDEX($V$1004:$AE$1004,1,MATCH(COLUMNS($V$1006:AD1006),$V$1006:$AE$1006,0)))),"Fix")))</f>
        <v>0</v>
      </c>
      <c r="K475" s="4">
        <f>IF(OR(INDEX($P$2:$P$1001,MATCH(ROWS($O$2:O475),$O$2:$O$1001,0),1)&gt;=100000,INDEX($V$1005:$AE$1005,1,MATCH(COLUMNS($V$1006:AE1006),$V$1006:$AE$1006,0))&gt;=100000), " ",IF(INDEX($V$2:$AE$1001,MATCH(ROWS($O$2:O475),$O$2:$O$1001,0),MATCH(COLUMNS($V$1006:AE1006),$V$1006:$AE$1006,0)), HYPERLINK("#",""), HYPERLINK(CONCATENATE("#Metadata!", ADDRESS(INDEX($Q$2:$Q$1001,MATCH(ROWS($O$2:O475),$O$2:$O$1001,0),0), INDEX($V$1004:$AE$1004,1,MATCH(COLUMNS($V$1006:AE1006),$V$1006:$AE$1006,0)))),"Fix")))</f>
        <v>0</v>
      </c>
      <c r="O475">
        <v>0</v>
      </c>
      <c r="P475">
        <v>0</v>
      </c>
      <c r="Q475">
        <v>0</v>
      </c>
      <c r="R475">
        <f>IF(S475,TRUE,AND(V475:AE475))</f>
        <v>0</v>
      </c>
      <c r="S475">
        <f>COUNTBLANK(Metadata!B475:K475)=COLUMNS(Metadata!B475:K475)</f>
        <v>0</v>
      </c>
      <c r="T475">
        <v>0</v>
      </c>
      <c r="V475">
        <f>AND(IF(Metadata!B475="",FALSE,TRUE),COUNTIF(Metadata!B:B, Metadata!B475) = 1,NOT(ISERROR(SUMPRODUCT(SEARCH(MID(Metadata!B475,ROW(INDIRECT("1:"&amp;LEN(Metadata!B475))), 1),"0123456789abcdefghijklmnopqrstuvwxyzABCDEFGHIJKLMNOPQRSTUVWXYZ.")))))</f>
        <v>0</v>
      </c>
      <c r="W475">
        <f>AND(IF(Metadata!C475="",FALSE,TRUE),exact(Metadata!C475,"urban biome"))</f>
        <v>0</v>
      </c>
      <c r="X475">
        <f>AND(IF(Metadata!D475="",FALSE,TRUE),exact(Metadata!D475,"animal-associated habitat"))</f>
        <v>0</v>
      </c>
      <c r="Y475">
        <f>OR(AND(IF(Metadata!E475="",FALSE,TRUE),OR(exact(Metadata!E475,"not applicable"),exact(Metadata!E475,"missing: not collected"),exact(Metadata!E475,"missing: not provided"),exact(Metadata!E475,"missing: restricted access"))),AND(IF(Metadata!E475="",FALSE,ISNUMBER(VALUE(Metadata!E475))),Metadata!E475&gt;0))</f>
        <v>0</v>
      </c>
      <c r="Z475">
        <f>AND(IF(Metadata!F475="",FALSE,TRUE),exact(Metadata!F475,"weeks"))</f>
        <v>0</v>
      </c>
      <c r="AA475">
        <f>AND(IF(Metadata!G475="",FALSE,TRUE),exact(Metadata!G475,"mouse"))</f>
        <v>0</v>
      </c>
      <c r="AB475">
        <f>AND(IF(Metadata!H475="",FALSE,TRUE),exact(Metadata!H475,"Mus musculus"))</f>
        <v>0</v>
      </c>
      <c r="AC475">
        <f>AND(IF(Metadata!I475="",FALSE,TRUE),exact(Metadata!I475,"10090"))</f>
        <v>0</v>
      </c>
      <c r="AD475">
        <f>OR(AND(IF(Metadata!J475="",FALSE,TRUE),OR(exact(Metadata!J475,"not applicable"),exact(Metadata!J475,"missing: not collected"),exact(Metadata!J475,"missing: not provided"),exact(Metadata!J475,"missing: restricted access"))),AND(IF(Metadata!J475="",FALSE,ISNUMBER(VALUE(Metadata!J475))),Metadata!J475&gt;0))</f>
        <v>0</v>
      </c>
      <c r="AE475">
        <f>AND(IF(Metadata!K475="",FALSE,TRUE),exact(Metadata!K475,"g"))</f>
        <v>0</v>
      </c>
    </row>
    <row r="476" spans="1:31">
      <c r="A476" s="5">
        <f>IF(B476=" "," ",HYPERLINK(CONCATENATE("#metadata!",ADDRESS(INDEX($Q$2:$Q$1001,MATCH(ROWS($O$2:O476),$O$2:$O$1001,0),0),1)),INDEX($T$2:$T$1001,MATCH(ROWS($O$2:O476),$O$2:$O$1001,0),0)))</f>
        <v>0</v>
      </c>
      <c r="B476" s="4">
        <f>IF(OR(INDEX($P$2:$P$1001,MATCH(ROWS($O$2:O476),$O$2:$O$1001,0),1)&gt;=100000,INDEX($V$1005:$AE$1005,1,MATCH(COLUMNS($V$1006:V1006),$V$1006:$AE$1006,0))&gt;=100000), " ",IF(INDEX($V$2:$AE$1001,MATCH(ROWS($O$2:O476),$O$2:$O$1001,0),MATCH(COLUMNS($V$1006:V1006),$V$1006:$AE$1006,0)), HYPERLINK("#",""), HYPERLINK(CONCATENATE("#Metadata!", ADDRESS(INDEX($Q$2:$Q$1001,MATCH(ROWS($O$2:O476),$O$2:$O$1001,0),0), INDEX($V$1004:$AE$1004,1,MATCH(COLUMNS($V$1006:V1006),$V$1006:$AE$1006,0)))),"Fix")))</f>
        <v>0</v>
      </c>
      <c r="C476" s="4">
        <f>IF(OR(INDEX($P$2:$P$1001,MATCH(ROWS($O$2:O476),$O$2:$O$1001,0),1)&gt;=100000,INDEX($V$1005:$AE$1005,1,MATCH(COLUMNS($V$1006:W1006),$V$1006:$AE$1006,0))&gt;=100000), " ",IF(INDEX($V$2:$AE$1001,MATCH(ROWS($O$2:O476),$O$2:$O$1001,0),MATCH(COLUMNS($V$1006:W1006),$V$1006:$AE$1006,0)), HYPERLINK("#",""), HYPERLINK(CONCATENATE("#Metadata!", ADDRESS(INDEX($Q$2:$Q$1001,MATCH(ROWS($O$2:O476),$O$2:$O$1001,0),0), INDEX($V$1004:$AE$1004,1,MATCH(COLUMNS($V$1006:W1006),$V$1006:$AE$1006,0)))),"Fix")))</f>
        <v>0</v>
      </c>
      <c r="D476" s="4">
        <f>IF(OR(INDEX($P$2:$P$1001,MATCH(ROWS($O$2:O476),$O$2:$O$1001,0),1)&gt;=100000,INDEX($V$1005:$AE$1005,1,MATCH(COLUMNS($V$1006:X1006),$V$1006:$AE$1006,0))&gt;=100000), " ",IF(INDEX($V$2:$AE$1001,MATCH(ROWS($O$2:O476),$O$2:$O$1001,0),MATCH(COLUMNS($V$1006:X1006),$V$1006:$AE$1006,0)), HYPERLINK("#",""), HYPERLINK(CONCATENATE("#Metadata!", ADDRESS(INDEX($Q$2:$Q$1001,MATCH(ROWS($O$2:O476),$O$2:$O$1001,0),0), INDEX($V$1004:$AE$1004,1,MATCH(COLUMNS($V$1006:X1006),$V$1006:$AE$1006,0)))),"Fix")))</f>
        <v>0</v>
      </c>
      <c r="E476" s="4">
        <f>IF(OR(INDEX($P$2:$P$1001,MATCH(ROWS($O$2:O476),$O$2:$O$1001,0),1)&gt;=100000,INDEX($V$1005:$AE$1005,1,MATCH(COLUMNS($V$1006:Y1006),$V$1006:$AE$1006,0))&gt;=100000), " ",IF(INDEX($V$2:$AE$1001,MATCH(ROWS($O$2:O476),$O$2:$O$1001,0),MATCH(COLUMNS($V$1006:Y1006),$V$1006:$AE$1006,0)), HYPERLINK("#",""), HYPERLINK(CONCATENATE("#Metadata!", ADDRESS(INDEX($Q$2:$Q$1001,MATCH(ROWS($O$2:O476),$O$2:$O$1001,0),0), INDEX($V$1004:$AE$1004,1,MATCH(COLUMNS($V$1006:Y1006),$V$1006:$AE$1006,0)))),"Fix")))</f>
        <v>0</v>
      </c>
      <c r="F476" s="4">
        <f>IF(OR(INDEX($P$2:$P$1001,MATCH(ROWS($O$2:O476),$O$2:$O$1001,0),1)&gt;=100000,INDEX($V$1005:$AE$1005,1,MATCH(COLUMNS($V$1006:Z1006),$V$1006:$AE$1006,0))&gt;=100000), " ",IF(INDEX($V$2:$AE$1001,MATCH(ROWS($O$2:O476),$O$2:$O$1001,0),MATCH(COLUMNS($V$1006:Z1006),$V$1006:$AE$1006,0)), HYPERLINK("#",""), HYPERLINK(CONCATENATE("#Metadata!", ADDRESS(INDEX($Q$2:$Q$1001,MATCH(ROWS($O$2:O476),$O$2:$O$1001,0),0), INDEX($V$1004:$AE$1004,1,MATCH(COLUMNS($V$1006:Z1006),$V$1006:$AE$1006,0)))),"Fix")))</f>
        <v>0</v>
      </c>
      <c r="G476" s="4">
        <f>IF(OR(INDEX($P$2:$P$1001,MATCH(ROWS($O$2:O476),$O$2:$O$1001,0),1)&gt;=100000,INDEX($V$1005:$AE$1005,1,MATCH(COLUMNS($V$1006:AA1006),$V$1006:$AE$1006,0))&gt;=100000), " ",IF(INDEX($V$2:$AE$1001,MATCH(ROWS($O$2:O476),$O$2:$O$1001,0),MATCH(COLUMNS($V$1006:AA1006),$V$1006:$AE$1006,0)), HYPERLINK("#",""), HYPERLINK(CONCATENATE("#Metadata!", ADDRESS(INDEX($Q$2:$Q$1001,MATCH(ROWS($O$2:O476),$O$2:$O$1001,0),0), INDEX($V$1004:$AE$1004,1,MATCH(COLUMNS($V$1006:AA1006),$V$1006:$AE$1006,0)))),"Fix")))</f>
        <v>0</v>
      </c>
      <c r="H476" s="4">
        <f>IF(OR(INDEX($P$2:$P$1001,MATCH(ROWS($O$2:O476),$O$2:$O$1001,0),1)&gt;=100000,INDEX($V$1005:$AE$1005,1,MATCH(COLUMNS($V$1006:AB1006),$V$1006:$AE$1006,0))&gt;=100000), " ",IF(INDEX($V$2:$AE$1001,MATCH(ROWS($O$2:O476),$O$2:$O$1001,0),MATCH(COLUMNS($V$1006:AB1006),$V$1006:$AE$1006,0)), HYPERLINK("#",""), HYPERLINK(CONCATENATE("#Metadata!", ADDRESS(INDEX($Q$2:$Q$1001,MATCH(ROWS($O$2:O476),$O$2:$O$1001,0),0), INDEX($V$1004:$AE$1004,1,MATCH(COLUMNS($V$1006:AB1006),$V$1006:$AE$1006,0)))),"Fix")))</f>
        <v>0</v>
      </c>
      <c r="I476" s="4">
        <f>IF(OR(INDEX($P$2:$P$1001,MATCH(ROWS($O$2:O476),$O$2:$O$1001,0),1)&gt;=100000,INDEX($V$1005:$AE$1005,1,MATCH(COLUMNS($V$1006:AC1006),$V$1006:$AE$1006,0))&gt;=100000), " ",IF(INDEX($V$2:$AE$1001,MATCH(ROWS($O$2:O476),$O$2:$O$1001,0),MATCH(COLUMNS($V$1006:AC1006),$V$1006:$AE$1006,0)), HYPERLINK("#",""), HYPERLINK(CONCATENATE("#Metadata!", ADDRESS(INDEX($Q$2:$Q$1001,MATCH(ROWS($O$2:O476),$O$2:$O$1001,0),0), INDEX($V$1004:$AE$1004,1,MATCH(COLUMNS($V$1006:AC1006),$V$1006:$AE$1006,0)))),"Fix")))</f>
        <v>0</v>
      </c>
      <c r="J476" s="4">
        <f>IF(OR(INDEX($P$2:$P$1001,MATCH(ROWS($O$2:O476),$O$2:$O$1001,0),1)&gt;=100000,INDEX($V$1005:$AE$1005,1,MATCH(COLUMNS($V$1006:AD1006),$V$1006:$AE$1006,0))&gt;=100000), " ",IF(INDEX($V$2:$AE$1001,MATCH(ROWS($O$2:O476),$O$2:$O$1001,0),MATCH(COLUMNS($V$1006:AD1006),$V$1006:$AE$1006,0)), HYPERLINK("#",""), HYPERLINK(CONCATENATE("#Metadata!", ADDRESS(INDEX($Q$2:$Q$1001,MATCH(ROWS($O$2:O476),$O$2:$O$1001,0),0), INDEX($V$1004:$AE$1004,1,MATCH(COLUMNS($V$1006:AD1006),$V$1006:$AE$1006,0)))),"Fix")))</f>
        <v>0</v>
      </c>
      <c r="K476" s="4">
        <f>IF(OR(INDEX($P$2:$P$1001,MATCH(ROWS($O$2:O476),$O$2:$O$1001,0),1)&gt;=100000,INDEX($V$1005:$AE$1005,1,MATCH(COLUMNS($V$1006:AE1006),$V$1006:$AE$1006,0))&gt;=100000), " ",IF(INDEX($V$2:$AE$1001,MATCH(ROWS($O$2:O476),$O$2:$O$1001,0),MATCH(COLUMNS($V$1006:AE1006),$V$1006:$AE$1006,0)), HYPERLINK("#",""), HYPERLINK(CONCATENATE("#Metadata!", ADDRESS(INDEX($Q$2:$Q$1001,MATCH(ROWS($O$2:O476),$O$2:$O$1001,0),0), INDEX($V$1004:$AE$1004,1,MATCH(COLUMNS($V$1006:AE1006),$V$1006:$AE$1006,0)))),"Fix")))</f>
        <v>0</v>
      </c>
      <c r="O476">
        <v>0</v>
      </c>
      <c r="P476">
        <v>0</v>
      </c>
      <c r="Q476">
        <v>0</v>
      </c>
      <c r="R476">
        <f>IF(S476,TRUE,AND(V476:AE476))</f>
        <v>0</v>
      </c>
      <c r="S476">
        <f>COUNTBLANK(Metadata!B476:K476)=COLUMNS(Metadata!B476:K476)</f>
        <v>0</v>
      </c>
      <c r="T476">
        <v>0</v>
      </c>
      <c r="V476">
        <f>AND(IF(Metadata!B476="",FALSE,TRUE),COUNTIF(Metadata!B:B, Metadata!B476) = 1,NOT(ISERROR(SUMPRODUCT(SEARCH(MID(Metadata!B476,ROW(INDIRECT("1:"&amp;LEN(Metadata!B476))), 1),"0123456789abcdefghijklmnopqrstuvwxyzABCDEFGHIJKLMNOPQRSTUVWXYZ.")))))</f>
        <v>0</v>
      </c>
      <c r="W476">
        <f>AND(IF(Metadata!C476="",FALSE,TRUE),exact(Metadata!C476,"urban biome"))</f>
        <v>0</v>
      </c>
      <c r="X476">
        <f>AND(IF(Metadata!D476="",FALSE,TRUE),exact(Metadata!D476,"animal-associated habitat"))</f>
        <v>0</v>
      </c>
      <c r="Y476">
        <f>OR(AND(IF(Metadata!E476="",FALSE,TRUE),OR(exact(Metadata!E476,"not applicable"),exact(Metadata!E476,"missing: not collected"),exact(Metadata!E476,"missing: not provided"),exact(Metadata!E476,"missing: restricted access"))),AND(IF(Metadata!E476="",FALSE,ISNUMBER(VALUE(Metadata!E476))),Metadata!E476&gt;0))</f>
        <v>0</v>
      </c>
      <c r="Z476">
        <f>AND(IF(Metadata!F476="",FALSE,TRUE),exact(Metadata!F476,"weeks"))</f>
        <v>0</v>
      </c>
      <c r="AA476">
        <f>AND(IF(Metadata!G476="",FALSE,TRUE),exact(Metadata!G476,"mouse"))</f>
        <v>0</v>
      </c>
      <c r="AB476">
        <f>AND(IF(Metadata!H476="",FALSE,TRUE),exact(Metadata!H476,"Mus musculus"))</f>
        <v>0</v>
      </c>
      <c r="AC476">
        <f>AND(IF(Metadata!I476="",FALSE,TRUE),exact(Metadata!I476,"10090"))</f>
        <v>0</v>
      </c>
      <c r="AD476">
        <f>OR(AND(IF(Metadata!J476="",FALSE,TRUE),OR(exact(Metadata!J476,"not applicable"),exact(Metadata!J476,"missing: not collected"),exact(Metadata!J476,"missing: not provided"),exact(Metadata!J476,"missing: restricted access"))),AND(IF(Metadata!J476="",FALSE,ISNUMBER(VALUE(Metadata!J476))),Metadata!J476&gt;0))</f>
        <v>0</v>
      </c>
      <c r="AE476">
        <f>AND(IF(Metadata!K476="",FALSE,TRUE),exact(Metadata!K476,"g"))</f>
        <v>0</v>
      </c>
    </row>
    <row r="477" spans="1:31">
      <c r="A477" s="5">
        <f>IF(B477=" "," ",HYPERLINK(CONCATENATE("#metadata!",ADDRESS(INDEX($Q$2:$Q$1001,MATCH(ROWS($O$2:O477),$O$2:$O$1001,0),0),1)),INDEX($T$2:$T$1001,MATCH(ROWS($O$2:O477),$O$2:$O$1001,0),0)))</f>
        <v>0</v>
      </c>
      <c r="B477" s="4">
        <f>IF(OR(INDEX($P$2:$P$1001,MATCH(ROWS($O$2:O477),$O$2:$O$1001,0),1)&gt;=100000,INDEX($V$1005:$AE$1005,1,MATCH(COLUMNS($V$1006:V1006),$V$1006:$AE$1006,0))&gt;=100000), " ",IF(INDEX($V$2:$AE$1001,MATCH(ROWS($O$2:O477),$O$2:$O$1001,0),MATCH(COLUMNS($V$1006:V1006),$V$1006:$AE$1006,0)), HYPERLINK("#",""), HYPERLINK(CONCATENATE("#Metadata!", ADDRESS(INDEX($Q$2:$Q$1001,MATCH(ROWS($O$2:O477),$O$2:$O$1001,0),0), INDEX($V$1004:$AE$1004,1,MATCH(COLUMNS($V$1006:V1006),$V$1006:$AE$1006,0)))),"Fix")))</f>
        <v>0</v>
      </c>
      <c r="C477" s="4">
        <f>IF(OR(INDEX($P$2:$P$1001,MATCH(ROWS($O$2:O477),$O$2:$O$1001,0),1)&gt;=100000,INDEX($V$1005:$AE$1005,1,MATCH(COLUMNS($V$1006:W1006),$V$1006:$AE$1006,0))&gt;=100000), " ",IF(INDEX($V$2:$AE$1001,MATCH(ROWS($O$2:O477),$O$2:$O$1001,0),MATCH(COLUMNS($V$1006:W1006),$V$1006:$AE$1006,0)), HYPERLINK("#",""), HYPERLINK(CONCATENATE("#Metadata!", ADDRESS(INDEX($Q$2:$Q$1001,MATCH(ROWS($O$2:O477),$O$2:$O$1001,0),0), INDEX($V$1004:$AE$1004,1,MATCH(COLUMNS($V$1006:W1006),$V$1006:$AE$1006,0)))),"Fix")))</f>
        <v>0</v>
      </c>
      <c r="D477" s="4">
        <f>IF(OR(INDEX($P$2:$P$1001,MATCH(ROWS($O$2:O477),$O$2:$O$1001,0),1)&gt;=100000,INDEX($V$1005:$AE$1005,1,MATCH(COLUMNS($V$1006:X1006),$V$1006:$AE$1006,0))&gt;=100000), " ",IF(INDEX($V$2:$AE$1001,MATCH(ROWS($O$2:O477),$O$2:$O$1001,0),MATCH(COLUMNS($V$1006:X1006),$V$1006:$AE$1006,0)), HYPERLINK("#",""), HYPERLINK(CONCATENATE("#Metadata!", ADDRESS(INDEX($Q$2:$Q$1001,MATCH(ROWS($O$2:O477),$O$2:$O$1001,0),0), INDEX($V$1004:$AE$1004,1,MATCH(COLUMNS($V$1006:X1006),$V$1006:$AE$1006,0)))),"Fix")))</f>
        <v>0</v>
      </c>
      <c r="E477" s="4">
        <f>IF(OR(INDEX($P$2:$P$1001,MATCH(ROWS($O$2:O477),$O$2:$O$1001,0),1)&gt;=100000,INDEX($V$1005:$AE$1005,1,MATCH(COLUMNS($V$1006:Y1006),$V$1006:$AE$1006,0))&gt;=100000), " ",IF(INDEX($V$2:$AE$1001,MATCH(ROWS($O$2:O477),$O$2:$O$1001,0),MATCH(COLUMNS($V$1006:Y1006),$V$1006:$AE$1006,0)), HYPERLINK("#",""), HYPERLINK(CONCATENATE("#Metadata!", ADDRESS(INDEX($Q$2:$Q$1001,MATCH(ROWS($O$2:O477),$O$2:$O$1001,0),0), INDEX($V$1004:$AE$1004,1,MATCH(COLUMNS($V$1006:Y1006),$V$1006:$AE$1006,0)))),"Fix")))</f>
        <v>0</v>
      </c>
      <c r="F477" s="4">
        <f>IF(OR(INDEX($P$2:$P$1001,MATCH(ROWS($O$2:O477),$O$2:$O$1001,0),1)&gt;=100000,INDEX($V$1005:$AE$1005,1,MATCH(COLUMNS($V$1006:Z1006),$V$1006:$AE$1006,0))&gt;=100000), " ",IF(INDEX($V$2:$AE$1001,MATCH(ROWS($O$2:O477),$O$2:$O$1001,0),MATCH(COLUMNS($V$1006:Z1006),$V$1006:$AE$1006,0)), HYPERLINK("#",""), HYPERLINK(CONCATENATE("#Metadata!", ADDRESS(INDEX($Q$2:$Q$1001,MATCH(ROWS($O$2:O477),$O$2:$O$1001,0),0), INDEX($V$1004:$AE$1004,1,MATCH(COLUMNS($V$1006:Z1006),$V$1006:$AE$1006,0)))),"Fix")))</f>
        <v>0</v>
      </c>
      <c r="G477" s="4">
        <f>IF(OR(INDEX($P$2:$P$1001,MATCH(ROWS($O$2:O477),$O$2:$O$1001,0),1)&gt;=100000,INDEX($V$1005:$AE$1005,1,MATCH(COLUMNS($V$1006:AA1006),$V$1006:$AE$1006,0))&gt;=100000), " ",IF(INDEX($V$2:$AE$1001,MATCH(ROWS($O$2:O477),$O$2:$O$1001,0),MATCH(COLUMNS($V$1006:AA1006),$V$1006:$AE$1006,0)), HYPERLINK("#",""), HYPERLINK(CONCATENATE("#Metadata!", ADDRESS(INDEX($Q$2:$Q$1001,MATCH(ROWS($O$2:O477),$O$2:$O$1001,0),0), INDEX($V$1004:$AE$1004,1,MATCH(COLUMNS($V$1006:AA1006),$V$1006:$AE$1006,0)))),"Fix")))</f>
        <v>0</v>
      </c>
      <c r="H477" s="4">
        <f>IF(OR(INDEX($P$2:$P$1001,MATCH(ROWS($O$2:O477),$O$2:$O$1001,0),1)&gt;=100000,INDEX($V$1005:$AE$1005,1,MATCH(COLUMNS($V$1006:AB1006),$V$1006:$AE$1006,0))&gt;=100000), " ",IF(INDEX($V$2:$AE$1001,MATCH(ROWS($O$2:O477),$O$2:$O$1001,0),MATCH(COLUMNS($V$1006:AB1006),$V$1006:$AE$1006,0)), HYPERLINK("#",""), HYPERLINK(CONCATENATE("#Metadata!", ADDRESS(INDEX($Q$2:$Q$1001,MATCH(ROWS($O$2:O477),$O$2:$O$1001,0),0), INDEX($V$1004:$AE$1004,1,MATCH(COLUMNS($V$1006:AB1006),$V$1006:$AE$1006,0)))),"Fix")))</f>
        <v>0</v>
      </c>
      <c r="I477" s="4">
        <f>IF(OR(INDEX($P$2:$P$1001,MATCH(ROWS($O$2:O477),$O$2:$O$1001,0),1)&gt;=100000,INDEX($V$1005:$AE$1005,1,MATCH(COLUMNS($V$1006:AC1006),$V$1006:$AE$1006,0))&gt;=100000), " ",IF(INDEX($V$2:$AE$1001,MATCH(ROWS($O$2:O477),$O$2:$O$1001,0),MATCH(COLUMNS($V$1006:AC1006),$V$1006:$AE$1006,0)), HYPERLINK("#",""), HYPERLINK(CONCATENATE("#Metadata!", ADDRESS(INDEX($Q$2:$Q$1001,MATCH(ROWS($O$2:O477),$O$2:$O$1001,0),0), INDEX($V$1004:$AE$1004,1,MATCH(COLUMNS($V$1006:AC1006),$V$1006:$AE$1006,0)))),"Fix")))</f>
        <v>0</v>
      </c>
      <c r="J477" s="4">
        <f>IF(OR(INDEX($P$2:$P$1001,MATCH(ROWS($O$2:O477),$O$2:$O$1001,0),1)&gt;=100000,INDEX($V$1005:$AE$1005,1,MATCH(COLUMNS($V$1006:AD1006),$V$1006:$AE$1006,0))&gt;=100000), " ",IF(INDEX($V$2:$AE$1001,MATCH(ROWS($O$2:O477),$O$2:$O$1001,0),MATCH(COLUMNS($V$1006:AD1006),$V$1006:$AE$1006,0)), HYPERLINK("#",""), HYPERLINK(CONCATENATE("#Metadata!", ADDRESS(INDEX($Q$2:$Q$1001,MATCH(ROWS($O$2:O477),$O$2:$O$1001,0),0), INDEX($V$1004:$AE$1004,1,MATCH(COLUMNS($V$1006:AD1006),$V$1006:$AE$1006,0)))),"Fix")))</f>
        <v>0</v>
      </c>
      <c r="K477" s="4">
        <f>IF(OR(INDEX($P$2:$P$1001,MATCH(ROWS($O$2:O477),$O$2:$O$1001,0),1)&gt;=100000,INDEX($V$1005:$AE$1005,1,MATCH(COLUMNS($V$1006:AE1006),$V$1006:$AE$1006,0))&gt;=100000), " ",IF(INDEX($V$2:$AE$1001,MATCH(ROWS($O$2:O477),$O$2:$O$1001,0),MATCH(COLUMNS($V$1006:AE1006),$V$1006:$AE$1006,0)), HYPERLINK("#",""), HYPERLINK(CONCATENATE("#Metadata!", ADDRESS(INDEX($Q$2:$Q$1001,MATCH(ROWS($O$2:O477),$O$2:$O$1001,0),0), INDEX($V$1004:$AE$1004,1,MATCH(COLUMNS($V$1006:AE1006),$V$1006:$AE$1006,0)))),"Fix")))</f>
        <v>0</v>
      </c>
      <c r="O477">
        <v>0</v>
      </c>
      <c r="P477">
        <v>0</v>
      </c>
      <c r="Q477">
        <v>0</v>
      </c>
      <c r="R477">
        <f>IF(S477,TRUE,AND(V477:AE477))</f>
        <v>0</v>
      </c>
      <c r="S477">
        <f>COUNTBLANK(Metadata!B477:K477)=COLUMNS(Metadata!B477:K477)</f>
        <v>0</v>
      </c>
      <c r="T477">
        <v>0</v>
      </c>
      <c r="V477">
        <f>AND(IF(Metadata!B477="",FALSE,TRUE),COUNTIF(Metadata!B:B, Metadata!B477) = 1,NOT(ISERROR(SUMPRODUCT(SEARCH(MID(Metadata!B477,ROW(INDIRECT("1:"&amp;LEN(Metadata!B477))), 1),"0123456789abcdefghijklmnopqrstuvwxyzABCDEFGHIJKLMNOPQRSTUVWXYZ.")))))</f>
        <v>0</v>
      </c>
      <c r="W477">
        <f>AND(IF(Metadata!C477="",FALSE,TRUE),exact(Metadata!C477,"urban biome"))</f>
        <v>0</v>
      </c>
      <c r="X477">
        <f>AND(IF(Metadata!D477="",FALSE,TRUE),exact(Metadata!D477,"animal-associated habitat"))</f>
        <v>0</v>
      </c>
      <c r="Y477">
        <f>OR(AND(IF(Metadata!E477="",FALSE,TRUE),OR(exact(Metadata!E477,"not applicable"),exact(Metadata!E477,"missing: not collected"),exact(Metadata!E477,"missing: not provided"),exact(Metadata!E477,"missing: restricted access"))),AND(IF(Metadata!E477="",FALSE,ISNUMBER(VALUE(Metadata!E477))),Metadata!E477&gt;0))</f>
        <v>0</v>
      </c>
      <c r="Z477">
        <f>AND(IF(Metadata!F477="",FALSE,TRUE),exact(Metadata!F477,"weeks"))</f>
        <v>0</v>
      </c>
      <c r="AA477">
        <f>AND(IF(Metadata!G477="",FALSE,TRUE),exact(Metadata!G477,"mouse"))</f>
        <v>0</v>
      </c>
      <c r="AB477">
        <f>AND(IF(Metadata!H477="",FALSE,TRUE),exact(Metadata!H477,"Mus musculus"))</f>
        <v>0</v>
      </c>
      <c r="AC477">
        <f>AND(IF(Metadata!I477="",FALSE,TRUE),exact(Metadata!I477,"10090"))</f>
        <v>0</v>
      </c>
      <c r="AD477">
        <f>OR(AND(IF(Metadata!J477="",FALSE,TRUE),OR(exact(Metadata!J477,"not applicable"),exact(Metadata!J477,"missing: not collected"),exact(Metadata!J477,"missing: not provided"),exact(Metadata!J477,"missing: restricted access"))),AND(IF(Metadata!J477="",FALSE,ISNUMBER(VALUE(Metadata!J477))),Metadata!J477&gt;0))</f>
        <v>0</v>
      </c>
      <c r="AE477">
        <f>AND(IF(Metadata!K477="",FALSE,TRUE),exact(Metadata!K477,"g"))</f>
        <v>0</v>
      </c>
    </row>
    <row r="478" spans="1:31">
      <c r="A478" s="5">
        <f>IF(B478=" "," ",HYPERLINK(CONCATENATE("#metadata!",ADDRESS(INDEX($Q$2:$Q$1001,MATCH(ROWS($O$2:O478),$O$2:$O$1001,0),0),1)),INDEX($T$2:$T$1001,MATCH(ROWS($O$2:O478),$O$2:$O$1001,0),0)))</f>
        <v>0</v>
      </c>
      <c r="B478" s="4">
        <f>IF(OR(INDEX($P$2:$P$1001,MATCH(ROWS($O$2:O478),$O$2:$O$1001,0),1)&gt;=100000,INDEX($V$1005:$AE$1005,1,MATCH(COLUMNS($V$1006:V1006),$V$1006:$AE$1006,0))&gt;=100000), " ",IF(INDEX($V$2:$AE$1001,MATCH(ROWS($O$2:O478),$O$2:$O$1001,0),MATCH(COLUMNS($V$1006:V1006),$V$1006:$AE$1006,0)), HYPERLINK("#",""), HYPERLINK(CONCATENATE("#Metadata!", ADDRESS(INDEX($Q$2:$Q$1001,MATCH(ROWS($O$2:O478),$O$2:$O$1001,0),0), INDEX($V$1004:$AE$1004,1,MATCH(COLUMNS($V$1006:V1006),$V$1006:$AE$1006,0)))),"Fix")))</f>
        <v>0</v>
      </c>
      <c r="C478" s="4">
        <f>IF(OR(INDEX($P$2:$P$1001,MATCH(ROWS($O$2:O478),$O$2:$O$1001,0),1)&gt;=100000,INDEX($V$1005:$AE$1005,1,MATCH(COLUMNS($V$1006:W1006),$V$1006:$AE$1006,0))&gt;=100000), " ",IF(INDEX($V$2:$AE$1001,MATCH(ROWS($O$2:O478),$O$2:$O$1001,0),MATCH(COLUMNS($V$1006:W1006),$V$1006:$AE$1006,0)), HYPERLINK("#",""), HYPERLINK(CONCATENATE("#Metadata!", ADDRESS(INDEX($Q$2:$Q$1001,MATCH(ROWS($O$2:O478),$O$2:$O$1001,0),0), INDEX($V$1004:$AE$1004,1,MATCH(COLUMNS($V$1006:W1006),$V$1006:$AE$1006,0)))),"Fix")))</f>
        <v>0</v>
      </c>
      <c r="D478" s="4">
        <f>IF(OR(INDEX($P$2:$P$1001,MATCH(ROWS($O$2:O478),$O$2:$O$1001,0),1)&gt;=100000,INDEX($V$1005:$AE$1005,1,MATCH(COLUMNS($V$1006:X1006),$V$1006:$AE$1006,0))&gt;=100000), " ",IF(INDEX($V$2:$AE$1001,MATCH(ROWS($O$2:O478),$O$2:$O$1001,0),MATCH(COLUMNS($V$1006:X1006),$V$1006:$AE$1006,0)), HYPERLINK("#",""), HYPERLINK(CONCATENATE("#Metadata!", ADDRESS(INDEX($Q$2:$Q$1001,MATCH(ROWS($O$2:O478),$O$2:$O$1001,0),0), INDEX($V$1004:$AE$1004,1,MATCH(COLUMNS($V$1006:X1006),$V$1006:$AE$1006,0)))),"Fix")))</f>
        <v>0</v>
      </c>
      <c r="E478" s="4">
        <f>IF(OR(INDEX($P$2:$P$1001,MATCH(ROWS($O$2:O478),$O$2:$O$1001,0),1)&gt;=100000,INDEX($V$1005:$AE$1005,1,MATCH(COLUMNS($V$1006:Y1006),$V$1006:$AE$1006,0))&gt;=100000), " ",IF(INDEX($V$2:$AE$1001,MATCH(ROWS($O$2:O478),$O$2:$O$1001,0),MATCH(COLUMNS($V$1006:Y1006),$V$1006:$AE$1006,0)), HYPERLINK("#",""), HYPERLINK(CONCATENATE("#Metadata!", ADDRESS(INDEX($Q$2:$Q$1001,MATCH(ROWS($O$2:O478),$O$2:$O$1001,0),0), INDEX($V$1004:$AE$1004,1,MATCH(COLUMNS($V$1006:Y1006),$V$1006:$AE$1006,0)))),"Fix")))</f>
        <v>0</v>
      </c>
      <c r="F478" s="4">
        <f>IF(OR(INDEX($P$2:$P$1001,MATCH(ROWS($O$2:O478),$O$2:$O$1001,0),1)&gt;=100000,INDEX($V$1005:$AE$1005,1,MATCH(COLUMNS($V$1006:Z1006),$V$1006:$AE$1006,0))&gt;=100000), " ",IF(INDEX($V$2:$AE$1001,MATCH(ROWS($O$2:O478),$O$2:$O$1001,0),MATCH(COLUMNS($V$1006:Z1006),$V$1006:$AE$1006,0)), HYPERLINK("#",""), HYPERLINK(CONCATENATE("#Metadata!", ADDRESS(INDEX($Q$2:$Q$1001,MATCH(ROWS($O$2:O478),$O$2:$O$1001,0),0), INDEX($V$1004:$AE$1004,1,MATCH(COLUMNS($V$1006:Z1006),$V$1006:$AE$1006,0)))),"Fix")))</f>
        <v>0</v>
      </c>
      <c r="G478" s="4">
        <f>IF(OR(INDEX($P$2:$P$1001,MATCH(ROWS($O$2:O478),$O$2:$O$1001,0),1)&gt;=100000,INDEX($V$1005:$AE$1005,1,MATCH(COLUMNS($V$1006:AA1006),$V$1006:$AE$1006,0))&gt;=100000), " ",IF(INDEX($V$2:$AE$1001,MATCH(ROWS($O$2:O478),$O$2:$O$1001,0),MATCH(COLUMNS($V$1006:AA1006),$V$1006:$AE$1006,0)), HYPERLINK("#",""), HYPERLINK(CONCATENATE("#Metadata!", ADDRESS(INDEX($Q$2:$Q$1001,MATCH(ROWS($O$2:O478),$O$2:$O$1001,0),0), INDEX($V$1004:$AE$1004,1,MATCH(COLUMNS($V$1006:AA1006),$V$1006:$AE$1006,0)))),"Fix")))</f>
        <v>0</v>
      </c>
      <c r="H478" s="4">
        <f>IF(OR(INDEX($P$2:$P$1001,MATCH(ROWS($O$2:O478),$O$2:$O$1001,0),1)&gt;=100000,INDEX($V$1005:$AE$1005,1,MATCH(COLUMNS($V$1006:AB1006),$V$1006:$AE$1006,0))&gt;=100000), " ",IF(INDEX($V$2:$AE$1001,MATCH(ROWS($O$2:O478),$O$2:$O$1001,0),MATCH(COLUMNS($V$1006:AB1006),$V$1006:$AE$1006,0)), HYPERLINK("#",""), HYPERLINK(CONCATENATE("#Metadata!", ADDRESS(INDEX($Q$2:$Q$1001,MATCH(ROWS($O$2:O478),$O$2:$O$1001,0),0), INDEX($V$1004:$AE$1004,1,MATCH(COLUMNS($V$1006:AB1006),$V$1006:$AE$1006,0)))),"Fix")))</f>
        <v>0</v>
      </c>
      <c r="I478" s="4">
        <f>IF(OR(INDEX($P$2:$P$1001,MATCH(ROWS($O$2:O478),$O$2:$O$1001,0),1)&gt;=100000,INDEX($V$1005:$AE$1005,1,MATCH(COLUMNS($V$1006:AC1006),$V$1006:$AE$1006,0))&gt;=100000), " ",IF(INDEX($V$2:$AE$1001,MATCH(ROWS($O$2:O478),$O$2:$O$1001,0),MATCH(COLUMNS($V$1006:AC1006),$V$1006:$AE$1006,0)), HYPERLINK("#",""), HYPERLINK(CONCATENATE("#Metadata!", ADDRESS(INDEX($Q$2:$Q$1001,MATCH(ROWS($O$2:O478),$O$2:$O$1001,0),0), INDEX($V$1004:$AE$1004,1,MATCH(COLUMNS($V$1006:AC1006),$V$1006:$AE$1006,0)))),"Fix")))</f>
        <v>0</v>
      </c>
      <c r="J478" s="4">
        <f>IF(OR(INDEX($P$2:$P$1001,MATCH(ROWS($O$2:O478),$O$2:$O$1001,0),1)&gt;=100000,INDEX($V$1005:$AE$1005,1,MATCH(COLUMNS($V$1006:AD1006),$V$1006:$AE$1006,0))&gt;=100000), " ",IF(INDEX($V$2:$AE$1001,MATCH(ROWS($O$2:O478),$O$2:$O$1001,0),MATCH(COLUMNS($V$1006:AD1006),$V$1006:$AE$1006,0)), HYPERLINK("#",""), HYPERLINK(CONCATENATE("#Metadata!", ADDRESS(INDEX($Q$2:$Q$1001,MATCH(ROWS($O$2:O478),$O$2:$O$1001,0),0), INDEX($V$1004:$AE$1004,1,MATCH(COLUMNS($V$1006:AD1006),$V$1006:$AE$1006,0)))),"Fix")))</f>
        <v>0</v>
      </c>
      <c r="K478" s="4">
        <f>IF(OR(INDEX($P$2:$P$1001,MATCH(ROWS($O$2:O478),$O$2:$O$1001,0),1)&gt;=100000,INDEX($V$1005:$AE$1005,1,MATCH(COLUMNS($V$1006:AE1006),$V$1006:$AE$1006,0))&gt;=100000), " ",IF(INDEX($V$2:$AE$1001,MATCH(ROWS($O$2:O478),$O$2:$O$1001,0),MATCH(COLUMNS($V$1006:AE1006),$V$1006:$AE$1006,0)), HYPERLINK("#",""), HYPERLINK(CONCATENATE("#Metadata!", ADDRESS(INDEX($Q$2:$Q$1001,MATCH(ROWS($O$2:O478),$O$2:$O$1001,0),0), INDEX($V$1004:$AE$1004,1,MATCH(COLUMNS($V$1006:AE1006),$V$1006:$AE$1006,0)))),"Fix")))</f>
        <v>0</v>
      </c>
      <c r="O478">
        <v>0</v>
      </c>
      <c r="P478">
        <v>0</v>
      </c>
      <c r="Q478">
        <v>0</v>
      </c>
      <c r="R478">
        <f>IF(S478,TRUE,AND(V478:AE478))</f>
        <v>0</v>
      </c>
      <c r="S478">
        <f>COUNTBLANK(Metadata!B478:K478)=COLUMNS(Metadata!B478:K478)</f>
        <v>0</v>
      </c>
      <c r="T478">
        <v>0</v>
      </c>
      <c r="V478">
        <f>AND(IF(Metadata!B478="",FALSE,TRUE),COUNTIF(Metadata!B:B, Metadata!B478) = 1,NOT(ISERROR(SUMPRODUCT(SEARCH(MID(Metadata!B478,ROW(INDIRECT("1:"&amp;LEN(Metadata!B478))), 1),"0123456789abcdefghijklmnopqrstuvwxyzABCDEFGHIJKLMNOPQRSTUVWXYZ.")))))</f>
        <v>0</v>
      </c>
      <c r="W478">
        <f>AND(IF(Metadata!C478="",FALSE,TRUE),exact(Metadata!C478,"urban biome"))</f>
        <v>0</v>
      </c>
      <c r="X478">
        <f>AND(IF(Metadata!D478="",FALSE,TRUE),exact(Metadata!D478,"animal-associated habitat"))</f>
        <v>0</v>
      </c>
      <c r="Y478">
        <f>OR(AND(IF(Metadata!E478="",FALSE,TRUE),OR(exact(Metadata!E478,"not applicable"),exact(Metadata!E478,"missing: not collected"),exact(Metadata!E478,"missing: not provided"),exact(Metadata!E478,"missing: restricted access"))),AND(IF(Metadata!E478="",FALSE,ISNUMBER(VALUE(Metadata!E478))),Metadata!E478&gt;0))</f>
        <v>0</v>
      </c>
      <c r="Z478">
        <f>AND(IF(Metadata!F478="",FALSE,TRUE),exact(Metadata!F478,"weeks"))</f>
        <v>0</v>
      </c>
      <c r="AA478">
        <f>AND(IF(Metadata!G478="",FALSE,TRUE),exact(Metadata!G478,"mouse"))</f>
        <v>0</v>
      </c>
      <c r="AB478">
        <f>AND(IF(Metadata!H478="",FALSE,TRUE),exact(Metadata!H478,"Mus musculus"))</f>
        <v>0</v>
      </c>
      <c r="AC478">
        <f>AND(IF(Metadata!I478="",FALSE,TRUE),exact(Metadata!I478,"10090"))</f>
        <v>0</v>
      </c>
      <c r="AD478">
        <f>OR(AND(IF(Metadata!J478="",FALSE,TRUE),OR(exact(Metadata!J478,"not applicable"),exact(Metadata!J478,"missing: not collected"),exact(Metadata!J478,"missing: not provided"),exact(Metadata!J478,"missing: restricted access"))),AND(IF(Metadata!J478="",FALSE,ISNUMBER(VALUE(Metadata!J478))),Metadata!J478&gt;0))</f>
        <v>0</v>
      </c>
      <c r="AE478">
        <f>AND(IF(Metadata!K478="",FALSE,TRUE),exact(Metadata!K478,"g"))</f>
        <v>0</v>
      </c>
    </row>
    <row r="479" spans="1:31">
      <c r="A479" s="5">
        <f>IF(B479=" "," ",HYPERLINK(CONCATENATE("#metadata!",ADDRESS(INDEX($Q$2:$Q$1001,MATCH(ROWS($O$2:O479),$O$2:$O$1001,0),0),1)),INDEX($T$2:$T$1001,MATCH(ROWS($O$2:O479),$O$2:$O$1001,0),0)))</f>
        <v>0</v>
      </c>
      <c r="B479" s="4">
        <f>IF(OR(INDEX($P$2:$P$1001,MATCH(ROWS($O$2:O479),$O$2:$O$1001,0),1)&gt;=100000,INDEX($V$1005:$AE$1005,1,MATCH(COLUMNS($V$1006:V1006),$V$1006:$AE$1006,0))&gt;=100000), " ",IF(INDEX($V$2:$AE$1001,MATCH(ROWS($O$2:O479),$O$2:$O$1001,0),MATCH(COLUMNS($V$1006:V1006),$V$1006:$AE$1006,0)), HYPERLINK("#",""), HYPERLINK(CONCATENATE("#Metadata!", ADDRESS(INDEX($Q$2:$Q$1001,MATCH(ROWS($O$2:O479),$O$2:$O$1001,0),0), INDEX($V$1004:$AE$1004,1,MATCH(COLUMNS($V$1006:V1006),$V$1006:$AE$1006,0)))),"Fix")))</f>
        <v>0</v>
      </c>
      <c r="C479" s="4">
        <f>IF(OR(INDEX($P$2:$P$1001,MATCH(ROWS($O$2:O479),$O$2:$O$1001,0),1)&gt;=100000,INDEX($V$1005:$AE$1005,1,MATCH(COLUMNS($V$1006:W1006),$V$1006:$AE$1006,0))&gt;=100000), " ",IF(INDEX($V$2:$AE$1001,MATCH(ROWS($O$2:O479),$O$2:$O$1001,0),MATCH(COLUMNS($V$1006:W1006),$V$1006:$AE$1006,0)), HYPERLINK("#",""), HYPERLINK(CONCATENATE("#Metadata!", ADDRESS(INDEX($Q$2:$Q$1001,MATCH(ROWS($O$2:O479),$O$2:$O$1001,0),0), INDEX($V$1004:$AE$1004,1,MATCH(COLUMNS($V$1006:W1006),$V$1006:$AE$1006,0)))),"Fix")))</f>
        <v>0</v>
      </c>
      <c r="D479" s="4">
        <f>IF(OR(INDEX($P$2:$P$1001,MATCH(ROWS($O$2:O479),$O$2:$O$1001,0),1)&gt;=100000,INDEX($V$1005:$AE$1005,1,MATCH(COLUMNS($V$1006:X1006),$V$1006:$AE$1006,0))&gt;=100000), " ",IF(INDEX($V$2:$AE$1001,MATCH(ROWS($O$2:O479),$O$2:$O$1001,0),MATCH(COLUMNS($V$1006:X1006),$V$1006:$AE$1006,0)), HYPERLINK("#",""), HYPERLINK(CONCATENATE("#Metadata!", ADDRESS(INDEX($Q$2:$Q$1001,MATCH(ROWS($O$2:O479),$O$2:$O$1001,0),0), INDEX($V$1004:$AE$1004,1,MATCH(COLUMNS($V$1006:X1006),$V$1006:$AE$1006,0)))),"Fix")))</f>
        <v>0</v>
      </c>
      <c r="E479" s="4">
        <f>IF(OR(INDEX($P$2:$P$1001,MATCH(ROWS($O$2:O479),$O$2:$O$1001,0),1)&gt;=100000,INDEX($V$1005:$AE$1005,1,MATCH(COLUMNS($V$1006:Y1006),$V$1006:$AE$1006,0))&gt;=100000), " ",IF(INDEX($V$2:$AE$1001,MATCH(ROWS($O$2:O479),$O$2:$O$1001,0),MATCH(COLUMNS($V$1006:Y1006),$V$1006:$AE$1006,0)), HYPERLINK("#",""), HYPERLINK(CONCATENATE("#Metadata!", ADDRESS(INDEX($Q$2:$Q$1001,MATCH(ROWS($O$2:O479),$O$2:$O$1001,0),0), INDEX($V$1004:$AE$1004,1,MATCH(COLUMNS($V$1006:Y1006),$V$1006:$AE$1006,0)))),"Fix")))</f>
        <v>0</v>
      </c>
      <c r="F479" s="4">
        <f>IF(OR(INDEX($P$2:$P$1001,MATCH(ROWS($O$2:O479),$O$2:$O$1001,0),1)&gt;=100000,INDEX($V$1005:$AE$1005,1,MATCH(COLUMNS($V$1006:Z1006),$V$1006:$AE$1006,0))&gt;=100000), " ",IF(INDEX($V$2:$AE$1001,MATCH(ROWS($O$2:O479),$O$2:$O$1001,0),MATCH(COLUMNS($V$1006:Z1006),$V$1006:$AE$1006,0)), HYPERLINK("#",""), HYPERLINK(CONCATENATE("#Metadata!", ADDRESS(INDEX($Q$2:$Q$1001,MATCH(ROWS($O$2:O479),$O$2:$O$1001,0),0), INDEX($V$1004:$AE$1004,1,MATCH(COLUMNS($V$1006:Z1006),$V$1006:$AE$1006,0)))),"Fix")))</f>
        <v>0</v>
      </c>
      <c r="G479" s="4">
        <f>IF(OR(INDEX($P$2:$P$1001,MATCH(ROWS($O$2:O479),$O$2:$O$1001,0),1)&gt;=100000,INDEX($V$1005:$AE$1005,1,MATCH(COLUMNS($V$1006:AA1006),$V$1006:$AE$1006,0))&gt;=100000), " ",IF(INDEX($V$2:$AE$1001,MATCH(ROWS($O$2:O479),$O$2:$O$1001,0),MATCH(COLUMNS($V$1006:AA1006),$V$1006:$AE$1006,0)), HYPERLINK("#",""), HYPERLINK(CONCATENATE("#Metadata!", ADDRESS(INDEX($Q$2:$Q$1001,MATCH(ROWS($O$2:O479),$O$2:$O$1001,0),0), INDEX($V$1004:$AE$1004,1,MATCH(COLUMNS($V$1006:AA1006),$V$1006:$AE$1006,0)))),"Fix")))</f>
        <v>0</v>
      </c>
      <c r="H479" s="4">
        <f>IF(OR(INDEX($P$2:$P$1001,MATCH(ROWS($O$2:O479),$O$2:$O$1001,0),1)&gt;=100000,INDEX($V$1005:$AE$1005,1,MATCH(COLUMNS($V$1006:AB1006),$V$1006:$AE$1006,0))&gt;=100000), " ",IF(INDEX($V$2:$AE$1001,MATCH(ROWS($O$2:O479),$O$2:$O$1001,0),MATCH(COLUMNS($V$1006:AB1006),$V$1006:$AE$1006,0)), HYPERLINK("#",""), HYPERLINK(CONCATENATE("#Metadata!", ADDRESS(INDEX($Q$2:$Q$1001,MATCH(ROWS($O$2:O479),$O$2:$O$1001,0),0), INDEX($V$1004:$AE$1004,1,MATCH(COLUMNS($V$1006:AB1006),$V$1006:$AE$1006,0)))),"Fix")))</f>
        <v>0</v>
      </c>
      <c r="I479" s="4">
        <f>IF(OR(INDEX($P$2:$P$1001,MATCH(ROWS($O$2:O479),$O$2:$O$1001,0),1)&gt;=100000,INDEX($V$1005:$AE$1005,1,MATCH(COLUMNS($V$1006:AC1006),$V$1006:$AE$1006,0))&gt;=100000), " ",IF(INDEX($V$2:$AE$1001,MATCH(ROWS($O$2:O479),$O$2:$O$1001,0),MATCH(COLUMNS($V$1006:AC1006),$V$1006:$AE$1006,0)), HYPERLINK("#",""), HYPERLINK(CONCATENATE("#Metadata!", ADDRESS(INDEX($Q$2:$Q$1001,MATCH(ROWS($O$2:O479),$O$2:$O$1001,0),0), INDEX($V$1004:$AE$1004,1,MATCH(COLUMNS($V$1006:AC1006),$V$1006:$AE$1006,0)))),"Fix")))</f>
        <v>0</v>
      </c>
      <c r="J479" s="4">
        <f>IF(OR(INDEX($P$2:$P$1001,MATCH(ROWS($O$2:O479),$O$2:$O$1001,0),1)&gt;=100000,INDEX($V$1005:$AE$1005,1,MATCH(COLUMNS($V$1006:AD1006),$V$1006:$AE$1006,0))&gt;=100000), " ",IF(INDEX($V$2:$AE$1001,MATCH(ROWS($O$2:O479),$O$2:$O$1001,0),MATCH(COLUMNS($V$1006:AD1006),$V$1006:$AE$1006,0)), HYPERLINK("#",""), HYPERLINK(CONCATENATE("#Metadata!", ADDRESS(INDEX($Q$2:$Q$1001,MATCH(ROWS($O$2:O479),$O$2:$O$1001,0),0), INDEX($V$1004:$AE$1004,1,MATCH(COLUMNS($V$1006:AD1006),$V$1006:$AE$1006,0)))),"Fix")))</f>
        <v>0</v>
      </c>
      <c r="K479" s="4">
        <f>IF(OR(INDEX($P$2:$P$1001,MATCH(ROWS($O$2:O479),$O$2:$O$1001,0),1)&gt;=100000,INDEX($V$1005:$AE$1005,1,MATCH(COLUMNS($V$1006:AE1006),$V$1006:$AE$1006,0))&gt;=100000), " ",IF(INDEX($V$2:$AE$1001,MATCH(ROWS($O$2:O479),$O$2:$O$1001,0),MATCH(COLUMNS($V$1006:AE1006),$V$1006:$AE$1006,0)), HYPERLINK("#",""), HYPERLINK(CONCATENATE("#Metadata!", ADDRESS(INDEX($Q$2:$Q$1001,MATCH(ROWS($O$2:O479),$O$2:$O$1001,0),0), INDEX($V$1004:$AE$1004,1,MATCH(COLUMNS($V$1006:AE1006),$V$1006:$AE$1006,0)))),"Fix")))</f>
        <v>0</v>
      </c>
      <c r="O479">
        <v>0</v>
      </c>
      <c r="P479">
        <v>0</v>
      </c>
      <c r="Q479">
        <v>0</v>
      </c>
      <c r="R479">
        <f>IF(S479,TRUE,AND(V479:AE479))</f>
        <v>0</v>
      </c>
      <c r="S479">
        <f>COUNTBLANK(Metadata!B479:K479)=COLUMNS(Metadata!B479:K479)</f>
        <v>0</v>
      </c>
      <c r="T479">
        <v>0</v>
      </c>
      <c r="V479">
        <f>AND(IF(Metadata!B479="",FALSE,TRUE),COUNTIF(Metadata!B:B, Metadata!B479) = 1,NOT(ISERROR(SUMPRODUCT(SEARCH(MID(Metadata!B479,ROW(INDIRECT("1:"&amp;LEN(Metadata!B479))), 1),"0123456789abcdefghijklmnopqrstuvwxyzABCDEFGHIJKLMNOPQRSTUVWXYZ.")))))</f>
        <v>0</v>
      </c>
      <c r="W479">
        <f>AND(IF(Metadata!C479="",FALSE,TRUE),exact(Metadata!C479,"urban biome"))</f>
        <v>0</v>
      </c>
      <c r="X479">
        <f>AND(IF(Metadata!D479="",FALSE,TRUE),exact(Metadata!D479,"animal-associated habitat"))</f>
        <v>0</v>
      </c>
      <c r="Y479">
        <f>OR(AND(IF(Metadata!E479="",FALSE,TRUE),OR(exact(Metadata!E479,"not applicable"),exact(Metadata!E479,"missing: not collected"),exact(Metadata!E479,"missing: not provided"),exact(Metadata!E479,"missing: restricted access"))),AND(IF(Metadata!E479="",FALSE,ISNUMBER(VALUE(Metadata!E479))),Metadata!E479&gt;0))</f>
        <v>0</v>
      </c>
      <c r="Z479">
        <f>AND(IF(Metadata!F479="",FALSE,TRUE),exact(Metadata!F479,"weeks"))</f>
        <v>0</v>
      </c>
      <c r="AA479">
        <f>AND(IF(Metadata!G479="",FALSE,TRUE),exact(Metadata!G479,"mouse"))</f>
        <v>0</v>
      </c>
      <c r="AB479">
        <f>AND(IF(Metadata!H479="",FALSE,TRUE),exact(Metadata!H479,"Mus musculus"))</f>
        <v>0</v>
      </c>
      <c r="AC479">
        <f>AND(IF(Metadata!I479="",FALSE,TRUE),exact(Metadata!I479,"10090"))</f>
        <v>0</v>
      </c>
      <c r="AD479">
        <f>OR(AND(IF(Metadata!J479="",FALSE,TRUE),OR(exact(Metadata!J479,"not applicable"),exact(Metadata!J479,"missing: not collected"),exact(Metadata!J479,"missing: not provided"),exact(Metadata!J479,"missing: restricted access"))),AND(IF(Metadata!J479="",FALSE,ISNUMBER(VALUE(Metadata!J479))),Metadata!J479&gt;0))</f>
        <v>0</v>
      </c>
      <c r="AE479">
        <f>AND(IF(Metadata!K479="",FALSE,TRUE),exact(Metadata!K479,"g"))</f>
        <v>0</v>
      </c>
    </row>
    <row r="480" spans="1:31">
      <c r="A480" s="5">
        <f>IF(B480=" "," ",HYPERLINK(CONCATENATE("#metadata!",ADDRESS(INDEX($Q$2:$Q$1001,MATCH(ROWS($O$2:O480),$O$2:$O$1001,0),0),1)),INDEX($T$2:$T$1001,MATCH(ROWS($O$2:O480),$O$2:$O$1001,0),0)))</f>
        <v>0</v>
      </c>
      <c r="B480" s="4">
        <f>IF(OR(INDEX($P$2:$P$1001,MATCH(ROWS($O$2:O480),$O$2:$O$1001,0),1)&gt;=100000,INDEX($V$1005:$AE$1005,1,MATCH(COLUMNS($V$1006:V1006),$V$1006:$AE$1006,0))&gt;=100000), " ",IF(INDEX($V$2:$AE$1001,MATCH(ROWS($O$2:O480),$O$2:$O$1001,0),MATCH(COLUMNS($V$1006:V1006),$V$1006:$AE$1006,0)), HYPERLINK("#",""), HYPERLINK(CONCATENATE("#Metadata!", ADDRESS(INDEX($Q$2:$Q$1001,MATCH(ROWS($O$2:O480),$O$2:$O$1001,0),0), INDEX($V$1004:$AE$1004,1,MATCH(COLUMNS($V$1006:V1006),$V$1006:$AE$1006,0)))),"Fix")))</f>
        <v>0</v>
      </c>
      <c r="C480" s="4">
        <f>IF(OR(INDEX($P$2:$P$1001,MATCH(ROWS($O$2:O480),$O$2:$O$1001,0),1)&gt;=100000,INDEX($V$1005:$AE$1005,1,MATCH(COLUMNS($V$1006:W1006),$V$1006:$AE$1006,0))&gt;=100000), " ",IF(INDEX($V$2:$AE$1001,MATCH(ROWS($O$2:O480),$O$2:$O$1001,0),MATCH(COLUMNS($V$1006:W1006),$V$1006:$AE$1006,0)), HYPERLINK("#",""), HYPERLINK(CONCATENATE("#Metadata!", ADDRESS(INDEX($Q$2:$Q$1001,MATCH(ROWS($O$2:O480),$O$2:$O$1001,0),0), INDEX($V$1004:$AE$1004,1,MATCH(COLUMNS($V$1006:W1006),$V$1006:$AE$1006,0)))),"Fix")))</f>
        <v>0</v>
      </c>
      <c r="D480" s="4">
        <f>IF(OR(INDEX($P$2:$P$1001,MATCH(ROWS($O$2:O480),$O$2:$O$1001,0),1)&gt;=100000,INDEX($V$1005:$AE$1005,1,MATCH(COLUMNS($V$1006:X1006),$V$1006:$AE$1006,0))&gt;=100000), " ",IF(INDEX($V$2:$AE$1001,MATCH(ROWS($O$2:O480),$O$2:$O$1001,0),MATCH(COLUMNS($V$1006:X1006),$V$1006:$AE$1006,0)), HYPERLINK("#",""), HYPERLINK(CONCATENATE("#Metadata!", ADDRESS(INDEX($Q$2:$Q$1001,MATCH(ROWS($O$2:O480),$O$2:$O$1001,0),0), INDEX($V$1004:$AE$1004,1,MATCH(COLUMNS($V$1006:X1006),$V$1006:$AE$1006,0)))),"Fix")))</f>
        <v>0</v>
      </c>
      <c r="E480" s="4">
        <f>IF(OR(INDEX($P$2:$P$1001,MATCH(ROWS($O$2:O480),$O$2:$O$1001,0),1)&gt;=100000,INDEX($V$1005:$AE$1005,1,MATCH(COLUMNS($V$1006:Y1006),$V$1006:$AE$1006,0))&gt;=100000), " ",IF(INDEX($V$2:$AE$1001,MATCH(ROWS($O$2:O480),$O$2:$O$1001,0),MATCH(COLUMNS($V$1006:Y1006),$V$1006:$AE$1006,0)), HYPERLINK("#",""), HYPERLINK(CONCATENATE("#Metadata!", ADDRESS(INDEX($Q$2:$Q$1001,MATCH(ROWS($O$2:O480),$O$2:$O$1001,0),0), INDEX($V$1004:$AE$1004,1,MATCH(COLUMNS($V$1006:Y1006),$V$1006:$AE$1006,0)))),"Fix")))</f>
        <v>0</v>
      </c>
      <c r="F480" s="4">
        <f>IF(OR(INDEX($P$2:$P$1001,MATCH(ROWS($O$2:O480),$O$2:$O$1001,0),1)&gt;=100000,INDEX($V$1005:$AE$1005,1,MATCH(COLUMNS($V$1006:Z1006),$V$1006:$AE$1006,0))&gt;=100000), " ",IF(INDEX($V$2:$AE$1001,MATCH(ROWS($O$2:O480),$O$2:$O$1001,0),MATCH(COLUMNS($V$1006:Z1006),$V$1006:$AE$1006,0)), HYPERLINK("#",""), HYPERLINK(CONCATENATE("#Metadata!", ADDRESS(INDEX($Q$2:$Q$1001,MATCH(ROWS($O$2:O480),$O$2:$O$1001,0),0), INDEX($V$1004:$AE$1004,1,MATCH(COLUMNS($V$1006:Z1006),$V$1006:$AE$1006,0)))),"Fix")))</f>
        <v>0</v>
      </c>
      <c r="G480" s="4">
        <f>IF(OR(INDEX($P$2:$P$1001,MATCH(ROWS($O$2:O480),$O$2:$O$1001,0),1)&gt;=100000,INDEX($V$1005:$AE$1005,1,MATCH(COLUMNS($V$1006:AA1006),$V$1006:$AE$1006,0))&gt;=100000), " ",IF(INDEX($V$2:$AE$1001,MATCH(ROWS($O$2:O480),$O$2:$O$1001,0),MATCH(COLUMNS($V$1006:AA1006),$V$1006:$AE$1006,0)), HYPERLINK("#",""), HYPERLINK(CONCATENATE("#Metadata!", ADDRESS(INDEX($Q$2:$Q$1001,MATCH(ROWS($O$2:O480),$O$2:$O$1001,0),0), INDEX($V$1004:$AE$1004,1,MATCH(COLUMNS($V$1006:AA1006),$V$1006:$AE$1006,0)))),"Fix")))</f>
        <v>0</v>
      </c>
      <c r="H480" s="4">
        <f>IF(OR(INDEX($P$2:$P$1001,MATCH(ROWS($O$2:O480),$O$2:$O$1001,0),1)&gt;=100000,INDEX($V$1005:$AE$1005,1,MATCH(COLUMNS($V$1006:AB1006),$V$1006:$AE$1006,0))&gt;=100000), " ",IF(INDEX($V$2:$AE$1001,MATCH(ROWS($O$2:O480),$O$2:$O$1001,0),MATCH(COLUMNS($V$1006:AB1006),$V$1006:$AE$1006,0)), HYPERLINK("#",""), HYPERLINK(CONCATENATE("#Metadata!", ADDRESS(INDEX($Q$2:$Q$1001,MATCH(ROWS($O$2:O480),$O$2:$O$1001,0),0), INDEX($V$1004:$AE$1004,1,MATCH(COLUMNS($V$1006:AB1006),$V$1006:$AE$1006,0)))),"Fix")))</f>
        <v>0</v>
      </c>
      <c r="I480" s="4">
        <f>IF(OR(INDEX($P$2:$P$1001,MATCH(ROWS($O$2:O480),$O$2:$O$1001,0),1)&gt;=100000,INDEX($V$1005:$AE$1005,1,MATCH(COLUMNS($V$1006:AC1006),$V$1006:$AE$1006,0))&gt;=100000), " ",IF(INDEX($V$2:$AE$1001,MATCH(ROWS($O$2:O480),$O$2:$O$1001,0),MATCH(COLUMNS($V$1006:AC1006),$V$1006:$AE$1006,0)), HYPERLINK("#",""), HYPERLINK(CONCATENATE("#Metadata!", ADDRESS(INDEX($Q$2:$Q$1001,MATCH(ROWS($O$2:O480),$O$2:$O$1001,0),0), INDEX($V$1004:$AE$1004,1,MATCH(COLUMNS($V$1006:AC1006),$V$1006:$AE$1006,0)))),"Fix")))</f>
        <v>0</v>
      </c>
      <c r="J480" s="4">
        <f>IF(OR(INDEX($P$2:$P$1001,MATCH(ROWS($O$2:O480),$O$2:$O$1001,0),1)&gt;=100000,INDEX($V$1005:$AE$1005,1,MATCH(COLUMNS($V$1006:AD1006),$V$1006:$AE$1006,0))&gt;=100000), " ",IF(INDEX($V$2:$AE$1001,MATCH(ROWS($O$2:O480),$O$2:$O$1001,0),MATCH(COLUMNS($V$1006:AD1006),$V$1006:$AE$1006,0)), HYPERLINK("#",""), HYPERLINK(CONCATENATE("#Metadata!", ADDRESS(INDEX($Q$2:$Q$1001,MATCH(ROWS($O$2:O480),$O$2:$O$1001,0),0), INDEX($V$1004:$AE$1004,1,MATCH(COLUMNS($V$1006:AD1006),$V$1006:$AE$1006,0)))),"Fix")))</f>
        <v>0</v>
      </c>
      <c r="K480" s="4">
        <f>IF(OR(INDEX($P$2:$P$1001,MATCH(ROWS($O$2:O480),$O$2:$O$1001,0),1)&gt;=100000,INDEX($V$1005:$AE$1005,1,MATCH(COLUMNS($V$1006:AE1006),$V$1006:$AE$1006,0))&gt;=100000), " ",IF(INDEX($V$2:$AE$1001,MATCH(ROWS($O$2:O480),$O$2:$O$1001,0),MATCH(COLUMNS($V$1006:AE1006),$V$1006:$AE$1006,0)), HYPERLINK("#",""), HYPERLINK(CONCATENATE("#Metadata!", ADDRESS(INDEX($Q$2:$Q$1001,MATCH(ROWS($O$2:O480),$O$2:$O$1001,0),0), INDEX($V$1004:$AE$1004,1,MATCH(COLUMNS($V$1006:AE1006),$V$1006:$AE$1006,0)))),"Fix")))</f>
        <v>0</v>
      </c>
      <c r="O480">
        <v>0</v>
      </c>
      <c r="P480">
        <v>0</v>
      </c>
      <c r="Q480">
        <v>0</v>
      </c>
      <c r="R480">
        <f>IF(S480,TRUE,AND(V480:AE480))</f>
        <v>0</v>
      </c>
      <c r="S480">
        <f>COUNTBLANK(Metadata!B480:K480)=COLUMNS(Metadata!B480:K480)</f>
        <v>0</v>
      </c>
      <c r="T480">
        <v>0</v>
      </c>
      <c r="V480">
        <f>AND(IF(Metadata!B480="",FALSE,TRUE),COUNTIF(Metadata!B:B, Metadata!B480) = 1,NOT(ISERROR(SUMPRODUCT(SEARCH(MID(Metadata!B480,ROW(INDIRECT("1:"&amp;LEN(Metadata!B480))), 1),"0123456789abcdefghijklmnopqrstuvwxyzABCDEFGHIJKLMNOPQRSTUVWXYZ.")))))</f>
        <v>0</v>
      </c>
      <c r="W480">
        <f>AND(IF(Metadata!C480="",FALSE,TRUE),exact(Metadata!C480,"urban biome"))</f>
        <v>0</v>
      </c>
      <c r="X480">
        <f>AND(IF(Metadata!D480="",FALSE,TRUE),exact(Metadata!D480,"animal-associated habitat"))</f>
        <v>0</v>
      </c>
      <c r="Y480">
        <f>OR(AND(IF(Metadata!E480="",FALSE,TRUE),OR(exact(Metadata!E480,"not applicable"),exact(Metadata!E480,"missing: not collected"),exact(Metadata!E480,"missing: not provided"),exact(Metadata!E480,"missing: restricted access"))),AND(IF(Metadata!E480="",FALSE,ISNUMBER(VALUE(Metadata!E480))),Metadata!E480&gt;0))</f>
        <v>0</v>
      </c>
      <c r="Z480">
        <f>AND(IF(Metadata!F480="",FALSE,TRUE),exact(Metadata!F480,"weeks"))</f>
        <v>0</v>
      </c>
      <c r="AA480">
        <f>AND(IF(Metadata!G480="",FALSE,TRUE),exact(Metadata!G480,"mouse"))</f>
        <v>0</v>
      </c>
      <c r="AB480">
        <f>AND(IF(Metadata!H480="",FALSE,TRUE),exact(Metadata!H480,"Mus musculus"))</f>
        <v>0</v>
      </c>
      <c r="AC480">
        <f>AND(IF(Metadata!I480="",FALSE,TRUE),exact(Metadata!I480,"10090"))</f>
        <v>0</v>
      </c>
      <c r="AD480">
        <f>OR(AND(IF(Metadata!J480="",FALSE,TRUE),OR(exact(Metadata!J480,"not applicable"),exact(Metadata!J480,"missing: not collected"),exact(Metadata!J480,"missing: not provided"),exact(Metadata!J480,"missing: restricted access"))),AND(IF(Metadata!J480="",FALSE,ISNUMBER(VALUE(Metadata!J480))),Metadata!J480&gt;0))</f>
        <v>0</v>
      </c>
      <c r="AE480">
        <f>AND(IF(Metadata!K480="",FALSE,TRUE),exact(Metadata!K480,"g"))</f>
        <v>0</v>
      </c>
    </row>
    <row r="481" spans="1:31">
      <c r="A481" s="5">
        <f>IF(B481=" "," ",HYPERLINK(CONCATENATE("#metadata!",ADDRESS(INDEX($Q$2:$Q$1001,MATCH(ROWS($O$2:O481),$O$2:$O$1001,0),0),1)),INDEX($T$2:$T$1001,MATCH(ROWS($O$2:O481),$O$2:$O$1001,0),0)))</f>
        <v>0</v>
      </c>
      <c r="B481" s="4">
        <f>IF(OR(INDEX($P$2:$P$1001,MATCH(ROWS($O$2:O481),$O$2:$O$1001,0),1)&gt;=100000,INDEX($V$1005:$AE$1005,1,MATCH(COLUMNS($V$1006:V1006),$V$1006:$AE$1006,0))&gt;=100000), " ",IF(INDEX($V$2:$AE$1001,MATCH(ROWS($O$2:O481),$O$2:$O$1001,0),MATCH(COLUMNS($V$1006:V1006),$V$1006:$AE$1006,0)), HYPERLINK("#",""), HYPERLINK(CONCATENATE("#Metadata!", ADDRESS(INDEX($Q$2:$Q$1001,MATCH(ROWS($O$2:O481),$O$2:$O$1001,0),0), INDEX($V$1004:$AE$1004,1,MATCH(COLUMNS($V$1006:V1006),$V$1006:$AE$1006,0)))),"Fix")))</f>
        <v>0</v>
      </c>
      <c r="C481" s="4">
        <f>IF(OR(INDEX($P$2:$P$1001,MATCH(ROWS($O$2:O481),$O$2:$O$1001,0),1)&gt;=100000,INDEX($V$1005:$AE$1005,1,MATCH(COLUMNS($V$1006:W1006),$V$1006:$AE$1006,0))&gt;=100000), " ",IF(INDEX($V$2:$AE$1001,MATCH(ROWS($O$2:O481),$O$2:$O$1001,0),MATCH(COLUMNS($V$1006:W1006),$V$1006:$AE$1006,0)), HYPERLINK("#",""), HYPERLINK(CONCATENATE("#Metadata!", ADDRESS(INDEX($Q$2:$Q$1001,MATCH(ROWS($O$2:O481),$O$2:$O$1001,0),0), INDEX($V$1004:$AE$1004,1,MATCH(COLUMNS($V$1006:W1006),$V$1006:$AE$1006,0)))),"Fix")))</f>
        <v>0</v>
      </c>
      <c r="D481" s="4">
        <f>IF(OR(INDEX($P$2:$P$1001,MATCH(ROWS($O$2:O481),$O$2:$O$1001,0),1)&gt;=100000,INDEX($V$1005:$AE$1005,1,MATCH(COLUMNS($V$1006:X1006),$V$1006:$AE$1006,0))&gt;=100000), " ",IF(INDEX($V$2:$AE$1001,MATCH(ROWS($O$2:O481),$O$2:$O$1001,0),MATCH(COLUMNS($V$1006:X1006),$V$1006:$AE$1006,0)), HYPERLINK("#",""), HYPERLINK(CONCATENATE("#Metadata!", ADDRESS(INDEX($Q$2:$Q$1001,MATCH(ROWS($O$2:O481),$O$2:$O$1001,0),0), INDEX($V$1004:$AE$1004,1,MATCH(COLUMNS($V$1006:X1006),$V$1006:$AE$1006,0)))),"Fix")))</f>
        <v>0</v>
      </c>
      <c r="E481" s="4">
        <f>IF(OR(INDEX($P$2:$P$1001,MATCH(ROWS($O$2:O481),$O$2:$O$1001,0),1)&gt;=100000,INDEX($V$1005:$AE$1005,1,MATCH(COLUMNS($V$1006:Y1006),$V$1006:$AE$1006,0))&gt;=100000), " ",IF(INDEX($V$2:$AE$1001,MATCH(ROWS($O$2:O481),$O$2:$O$1001,0),MATCH(COLUMNS($V$1006:Y1006),$V$1006:$AE$1006,0)), HYPERLINK("#",""), HYPERLINK(CONCATENATE("#Metadata!", ADDRESS(INDEX($Q$2:$Q$1001,MATCH(ROWS($O$2:O481),$O$2:$O$1001,0),0), INDEX($V$1004:$AE$1004,1,MATCH(COLUMNS($V$1006:Y1006),$V$1006:$AE$1006,0)))),"Fix")))</f>
        <v>0</v>
      </c>
      <c r="F481" s="4">
        <f>IF(OR(INDEX($P$2:$P$1001,MATCH(ROWS($O$2:O481),$O$2:$O$1001,0),1)&gt;=100000,INDEX($V$1005:$AE$1005,1,MATCH(COLUMNS($V$1006:Z1006),$V$1006:$AE$1006,0))&gt;=100000), " ",IF(INDEX($V$2:$AE$1001,MATCH(ROWS($O$2:O481),$O$2:$O$1001,0),MATCH(COLUMNS($V$1006:Z1006),$V$1006:$AE$1006,0)), HYPERLINK("#",""), HYPERLINK(CONCATENATE("#Metadata!", ADDRESS(INDEX($Q$2:$Q$1001,MATCH(ROWS($O$2:O481),$O$2:$O$1001,0),0), INDEX($V$1004:$AE$1004,1,MATCH(COLUMNS($V$1006:Z1006),$V$1006:$AE$1006,0)))),"Fix")))</f>
        <v>0</v>
      </c>
      <c r="G481" s="4">
        <f>IF(OR(INDEX($P$2:$P$1001,MATCH(ROWS($O$2:O481),$O$2:$O$1001,0),1)&gt;=100000,INDEX($V$1005:$AE$1005,1,MATCH(COLUMNS($V$1006:AA1006),$V$1006:$AE$1006,0))&gt;=100000), " ",IF(INDEX($V$2:$AE$1001,MATCH(ROWS($O$2:O481),$O$2:$O$1001,0),MATCH(COLUMNS($V$1006:AA1006),$V$1006:$AE$1006,0)), HYPERLINK("#",""), HYPERLINK(CONCATENATE("#Metadata!", ADDRESS(INDEX($Q$2:$Q$1001,MATCH(ROWS($O$2:O481),$O$2:$O$1001,0),0), INDEX($V$1004:$AE$1004,1,MATCH(COLUMNS($V$1006:AA1006),$V$1006:$AE$1006,0)))),"Fix")))</f>
        <v>0</v>
      </c>
      <c r="H481" s="4">
        <f>IF(OR(INDEX($P$2:$P$1001,MATCH(ROWS($O$2:O481),$O$2:$O$1001,0),1)&gt;=100000,INDEX($V$1005:$AE$1005,1,MATCH(COLUMNS($V$1006:AB1006),$V$1006:$AE$1006,0))&gt;=100000), " ",IF(INDEX($V$2:$AE$1001,MATCH(ROWS($O$2:O481),$O$2:$O$1001,0),MATCH(COLUMNS($V$1006:AB1006),$V$1006:$AE$1006,0)), HYPERLINK("#",""), HYPERLINK(CONCATENATE("#Metadata!", ADDRESS(INDEX($Q$2:$Q$1001,MATCH(ROWS($O$2:O481),$O$2:$O$1001,0),0), INDEX($V$1004:$AE$1004,1,MATCH(COLUMNS($V$1006:AB1006),$V$1006:$AE$1006,0)))),"Fix")))</f>
        <v>0</v>
      </c>
      <c r="I481" s="4">
        <f>IF(OR(INDEX($P$2:$P$1001,MATCH(ROWS($O$2:O481),$O$2:$O$1001,0),1)&gt;=100000,INDEX($V$1005:$AE$1005,1,MATCH(COLUMNS($V$1006:AC1006),$V$1006:$AE$1006,0))&gt;=100000), " ",IF(INDEX($V$2:$AE$1001,MATCH(ROWS($O$2:O481),$O$2:$O$1001,0),MATCH(COLUMNS($V$1006:AC1006),$V$1006:$AE$1006,0)), HYPERLINK("#",""), HYPERLINK(CONCATENATE("#Metadata!", ADDRESS(INDEX($Q$2:$Q$1001,MATCH(ROWS($O$2:O481),$O$2:$O$1001,0),0), INDEX($V$1004:$AE$1004,1,MATCH(COLUMNS($V$1006:AC1006),$V$1006:$AE$1006,0)))),"Fix")))</f>
        <v>0</v>
      </c>
      <c r="J481" s="4">
        <f>IF(OR(INDEX($P$2:$P$1001,MATCH(ROWS($O$2:O481),$O$2:$O$1001,0),1)&gt;=100000,INDEX($V$1005:$AE$1005,1,MATCH(COLUMNS($V$1006:AD1006),$V$1006:$AE$1006,0))&gt;=100000), " ",IF(INDEX($V$2:$AE$1001,MATCH(ROWS($O$2:O481),$O$2:$O$1001,0),MATCH(COLUMNS($V$1006:AD1006),$V$1006:$AE$1006,0)), HYPERLINK("#",""), HYPERLINK(CONCATENATE("#Metadata!", ADDRESS(INDEX($Q$2:$Q$1001,MATCH(ROWS($O$2:O481),$O$2:$O$1001,0),0), INDEX($V$1004:$AE$1004,1,MATCH(COLUMNS($V$1006:AD1006),$V$1006:$AE$1006,0)))),"Fix")))</f>
        <v>0</v>
      </c>
      <c r="K481" s="4">
        <f>IF(OR(INDEX($P$2:$P$1001,MATCH(ROWS($O$2:O481),$O$2:$O$1001,0),1)&gt;=100000,INDEX($V$1005:$AE$1005,1,MATCH(COLUMNS($V$1006:AE1006),$V$1006:$AE$1006,0))&gt;=100000), " ",IF(INDEX($V$2:$AE$1001,MATCH(ROWS($O$2:O481),$O$2:$O$1001,0),MATCH(COLUMNS($V$1006:AE1006),$V$1006:$AE$1006,0)), HYPERLINK("#",""), HYPERLINK(CONCATENATE("#Metadata!", ADDRESS(INDEX($Q$2:$Q$1001,MATCH(ROWS($O$2:O481),$O$2:$O$1001,0),0), INDEX($V$1004:$AE$1004,1,MATCH(COLUMNS($V$1006:AE1006),$V$1006:$AE$1006,0)))),"Fix")))</f>
        <v>0</v>
      </c>
      <c r="O481">
        <v>0</v>
      </c>
      <c r="P481">
        <v>0</v>
      </c>
      <c r="Q481">
        <v>0</v>
      </c>
      <c r="R481">
        <f>IF(S481,TRUE,AND(V481:AE481))</f>
        <v>0</v>
      </c>
      <c r="S481">
        <f>COUNTBLANK(Metadata!B481:K481)=COLUMNS(Metadata!B481:K481)</f>
        <v>0</v>
      </c>
      <c r="T481">
        <v>0</v>
      </c>
      <c r="V481">
        <f>AND(IF(Metadata!B481="",FALSE,TRUE),COUNTIF(Metadata!B:B, Metadata!B481) = 1,NOT(ISERROR(SUMPRODUCT(SEARCH(MID(Metadata!B481,ROW(INDIRECT("1:"&amp;LEN(Metadata!B481))), 1),"0123456789abcdefghijklmnopqrstuvwxyzABCDEFGHIJKLMNOPQRSTUVWXYZ.")))))</f>
        <v>0</v>
      </c>
      <c r="W481">
        <f>AND(IF(Metadata!C481="",FALSE,TRUE),exact(Metadata!C481,"urban biome"))</f>
        <v>0</v>
      </c>
      <c r="X481">
        <f>AND(IF(Metadata!D481="",FALSE,TRUE),exact(Metadata!D481,"animal-associated habitat"))</f>
        <v>0</v>
      </c>
      <c r="Y481">
        <f>OR(AND(IF(Metadata!E481="",FALSE,TRUE),OR(exact(Metadata!E481,"not applicable"),exact(Metadata!E481,"missing: not collected"),exact(Metadata!E481,"missing: not provided"),exact(Metadata!E481,"missing: restricted access"))),AND(IF(Metadata!E481="",FALSE,ISNUMBER(VALUE(Metadata!E481))),Metadata!E481&gt;0))</f>
        <v>0</v>
      </c>
      <c r="Z481">
        <f>AND(IF(Metadata!F481="",FALSE,TRUE),exact(Metadata!F481,"weeks"))</f>
        <v>0</v>
      </c>
      <c r="AA481">
        <f>AND(IF(Metadata!G481="",FALSE,TRUE),exact(Metadata!G481,"mouse"))</f>
        <v>0</v>
      </c>
      <c r="AB481">
        <f>AND(IF(Metadata!H481="",FALSE,TRUE),exact(Metadata!H481,"Mus musculus"))</f>
        <v>0</v>
      </c>
      <c r="AC481">
        <f>AND(IF(Metadata!I481="",FALSE,TRUE),exact(Metadata!I481,"10090"))</f>
        <v>0</v>
      </c>
      <c r="AD481">
        <f>OR(AND(IF(Metadata!J481="",FALSE,TRUE),OR(exact(Metadata!J481,"not applicable"),exact(Metadata!J481,"missing: not collected"),exact(Metadata!J481,"missing: not provided"),exact(Metadata!J481,"missing: restricted access"))),AND(IF(Metadata!J481="",FALSE,ISNUMBER(VALUE(Metadata!J481))),Metadata!J481&gt;0))</f>
        <v>0</v>
      </c>
      <c r="AE481">
        <f>AND(IF(Metadata!K481="",FALSE,TRUE),exact(Metadata!K481,"g"))</f>
        <v>0</v>
      </c>
    </row>
    <row r="482" spans="1:31">
      <c r="A482" s="5">
        <f>IF(B482=" "," ",HYPERLINK(CONCATENATE("#metadata!",ADDRESS(INDEX($Q$2:$Q$1001,MATCH(ROWS($O$2:O482),$O$2:$O$1001,0),0),1)),INDEX($T$2:$T$1001,MATCH(ROWS($O$2:O482),$O$2:$O$1001,0),0)))</f>
        <v>0</v>
      </c>
      <c r="B482" s="4">
        <f>IF(OR(INDEX($P$2:$P$1001,MATCH(ROWS($O$2:O482),$O$2:$O$1001,0),1)&gt;=100000,INDEX($V$1005:$AE$1005,1,MATCH(COLUMNS($V$1006:V1006),$V$1006:$AE$1006,0))&gt;=100000), " ",IF(INDEX($V$2:$AE$1001,MATCH(ROWS($O$2:O482),$O$2:$O$1001,0),MATCH(COLUMNS($V$1006:V1006),$V$1006:$AE$1006,0)), HYPERLINK("#",""), HYPERLINK(CONCATENATE("#Metadata!", ADDRESS(INDEX($Q$2:$Q$1001,MATCH(ROWS($O$2:O482),$O$2:$O$1001,0),0), INDEX($V$1004:$AE$1004,1,MATCH(COLUMNS($V$1006:V1006),$V$1006:$AE$1006,0)))),"Fix")))</f>
        <v>0</v>
      </c>
      <c r="C482" s="4">
        <f>IF(OR(INDEX($P$2:$P$1001,MATCH(ROWS($O$2:O482),$O$2:$O$1001,0),1)&gt;=100000,INDEX($V$1005:$AE$1005,1,MATCH(COLUMNS($V$1006:W1006),$V$1006:$AE$1006,0))&gt;=100000), " ",IF(INDEX($V$2:$AE$1001,MATCH(ROWS($O$2:O482),$O$2:$O$1001,0),MATCH(COLUMNS($V$1006:W1006),$V$1006:$AE$1006,0)), HYPERLINK("#",""), HYPERLINK(CONCATENATE("#Metadata!", ADDRESS(INDEX($Q$2:$Q$1001,MATCH(ROWS($O$2:O482),$O$2:$O$1001,0),0), INDEX($V$1004:$AE$1004,1,MATCH(COLUMNS($V$1006:W1006),$V$1006:$AE$1006,0)))),"Fix")))</f>
        <v>0</v>
      </c>
      <c r="D482" s="4">
        <f>IF(OR(INDEX($P$2:$P$1001,MATCH(ROWS($O$2:O482),$O$2:$O$1001,0),1)&gt;=100000,INDEX($V$1005:$AE$1005,1,MATCH(COLUMNS($V$1006:X1006),$V$1006:$AE$1006,0))&gt;=100000), " ",IF(INDEX($V$2:$AE$1001,MATCH(ROWS($O$2:O482),$O$2:$O$1001,0),MATCH(COLUMNS($V$1006:X1006),$V$1006:$AE$1006,0)), HYPERLINK("#",""), HYPERLINK(CONCATENATE("#Metadata!", ADDRESS(INDEX($Q$2:$Q$1001,MATCH(ROWS($O$2:O482),$O$2:$O$1001,0),0), INDEX($V$1004:$AE$1004,1,MATCH(COLUMNS($V$1006:X1006),$V$1006:$AE$1006,0)))),"Fix")))</f>
        <v>0</v>
      </c>
      <c r="E482" s="4">
        <f>IF(OR(INDEX($P$2:$P$1001,MATCH(ROWS($O$2:O482),$O$2:$O$1001,0),1)&gt;=100000,INDEX($V$1005:$AE$1005,1,MATCH(COLUMNS($V$1006:Y1006),$V$1006:$AE$1006,0))&gt;=100000), " ",IF(INDEX($V$2:$AE$1001,MATCH(ROWS($O$2:O482),$O$2:$O$1001,0),MATCH(COLUMNS($V$1006:Y1006),$V$1006:$AE$1006,0)), HYPERLINK("#",""), HYPERLINK(CONCATENATE("#Metadata!", ADDRESS(INDEX($Q$2:$Q$1001,MATCH(ROWS($O$2:O482),$O$2:$O$1001,0),0), INDEX($V$1004:$AE$1004,1,MATCH(COLUMNS($V$1006:Y1006),$V$1006:$AE$1006,0)))),"Fix")))</f>
        <v>0</v>
      </c>
      <c r="F482" s="4">
        <f>IF(OR(INDEX($P$2:$P$1001,MATCH(ROWS($O$2:O482),$O$2:$O$1001,0),1)&gt;=100000,INDEX($V$1005:$AE$1005,1,MATCH(COLUMNS($V$1006:Z1006),$V$1006:$AE$1006,0))&gt;=100000), " ",IF(INDEX($V$2:$AE$1001,MATCH(ROWS($O$2:O482),$O$2:$O$1001,0),MATCH(COLUMNS($V$1006:Z1006),$V$1006:$AE$1006,0)), HYPERLINK("#",""), HYPERLINK(CONCATENATE("#Metadata!", ADDRESS(INDEX($Q$2:$Q$1001,MATCH(ROWS($O$2:O482),$O$2:$O$1001,0),0), INDEX($V$1004:$AE$1004,1,MATCH(COLUMNS($V$1006:Z1006),$V$1006:$AE$1006,0)))),"Fix")))</f>
        <v>0</v>
      </c>
      <c r="G482" s="4">
        <f>IF(OR(INDEX($P$2:$P$1001,MATCH(ROWS($O$2:O482),$O$2:$O$1001,0),1)&gt;=100000,INDEX($V$1005:$AE$1005,1,MATCH(COLUMNS($V$1006:AA1006),$V$1006:$AE$1006,0))&gt;=100000), " ",IF(INDEX($V$2:$AE$1001,MATCH(ROWS($O$2:O482),$O$2:$O$1001,0),MATCH(COLUMNS($V$1006:AA1006),$V$1006:$AE$1006,0)), HYPERLINK("#",""), HYPERLINK(CONCATENATE("#Metadata!", ADDRESS(INDEX($Q$2:$Q$1001,MATCH(ROWS($O$2:O482),$O$2:$O$1001,0),0), INDEX($V$1004:$AE$1004,1,MATCH(COLUMNS($V$1006:AA1006),$V$1006:$AE$1006,0)))),"Fix")))</f>
        <v>0</v>
      </c>
      <c r="H482" s="4">
        <f>IF(OR(INDEX($P$2:$P$1001,MATCH(ROWS($O$2:O482),$O$2:$O$1001,0),1)&gt;=100000,INDEX($V$1005:$AE$1005,1,MATCH(COLUMNS($V$1006:AB1006),$V$1006:$AE$1006,0))&gt;=100000), " ",IF(INDEX($V$2:$AE$1001,MATCH(ROWS($O$2:O482),$O$2:$O$1001,0),MATCH(COLUMNS($V$1006:AB1006),$V$1006:$AE$1006,0)), HYPERLINK("#",""), HYPERLINK(CONCATENATE("#Metadata!", ADDRESS(INDEX($Q$2:$Q$1001,MATCH(ROWS($O$2:O482),$O$2:$O$1001,0),0), INDEX($V$1004:$AE$1004,1,MATCH(COLUMNS($V$1006:AB1006),$V$1006:$AE$1006,0)))),"Fix")))</f>
        <v>0</v>
      </c>
      <c r="I482" s="4">
        <f>IF(OR(INDEX($P$2:$P$1001,MATCH(ROWS($O$2:O482),$O$2:$O$1001,0),1)&gt;=100000,INDEX($V$1005:$AE$1005,1,MATCH(COLUMNS($V$1006:AC1006),$V$1006:$AE$1006,0))&gt;=100000), " ",IF(INDEX($V$2:$AE$1001,MATCH(ROWS($O$2:O482),$O$2:$O$1001,0),MATCH(COLUMNS($V$1006:AC1006),$V$1006:$AE$1006,0)), HYPERLINK("#",""), HYPERLINK(CONCATENATE("#Metadata!", ADDRESS(INDEX($Q$2:$Q$1001,MATCH(ROWS($O$2:O482),$O$2:$O$1001,0),0), INDEX($V$1004:$AE$1004,1,MATCH(COLUMNS($V$1006:AC1006),$V$1006:$AE$1006,0)))),"Fix")))</f>
        <v>0</v>
      </c>
      <c r="J482" s="4">
        <f>IF(OR(INDEX($P$2:$P$1001,MATCH(ROWS($O$2:O482),$O$2:$O$1001,0),1)&gt;=100000,INDEX($V$1005:$AE$1005,1,MATCH(COLUMNS($V$1006:AD1006),$V$1006:$AE$1006,0))&gt;=100000), " ",IF(INDEX($V$2:$AE$1001,MATCH(ROWS($O$2:O482),$O$2:$O$1001,0),MATCH(COLUMNS($V$1006:AD1006),$V$1006:$AE$1006,0)), HYPERLINK("#",""), HYPERLINK(CONCATENATE("#Metadata!", ADDRESS(INDEX($Q$2:$Q$1001,MATCH(ROWS($O$2:O482),$O$2:$O$1001,0),0), INDEX($V$1004:$AE$1004,1,MATCH(COLUMNS($V$1006:AD1006),$V$1006:$AE$1006,0)))),"Fix")))</f>
        <v>0</v>
      </c>
      <c r="K482" s="4">
        <f>IF(OR(INDEX($P$2:$P$1001,MATCH(ROWS($O$2:O482),$O$2:$O$1001,0),1)&gt;=100000,INDEX($V$1005:$AE$1005,1,MATCH(COLUMNS($V$1006:AE1006),$V$1006:$AE$1006,0))&gt;=100000), " ",IF(INDEX($V$2:$AE$1001,MATCH(ROWS($O$2:O482),$O$2:$O$1001,0),MATCH(COLUMNS($V$1006:AE1006),$V$1006:$AE$1006,0)), HYPERLINK("#",""), HYPERLINK(CONCATENATE("#Metadata!", ADDRESS(INDEX($Q$2:$Q$1001,MATCH(ROWS($O$2:O482),$O$2:$O$1001,0),0), INDEX($V$1004:$AE$1004,1,MATCH(COLUMNS($V$1006:AE1006),$V$1006:$AE$1006,0)))),"Fix")))</f>
        <v>0</v>
      </c>
      <c r="O482">
        <v>0</v>
      </c>
      <c r="P482">
        <v>0</v>
      </c>
      <c r="Q482">
        <v>0</v>
      </c>
      <c r="R482">
        <f>IF(S482,TRUE,AND(V482:AE482))</f>
        <v>0</v>
      </c>
      <c r="S482">
        <f>COUNTBLANK(Metadata!B482:K482)=COLUMNS(Metadata!B482:K482)</f>
        <v>0</v>
      </c>
      <c r="T482">
        <v>0</v>
      </c>
      <c r="V482">
        <f>AND(IF(Metadata!B482="",FALSE,TRUE),COUNTIF(Metadata!B:B, Metadata!B482) = 1,NOT(ISERROR(SUMPRODUCT(SEARCH(MID(Metadata!B482,ROW(INDIRECT("1:"&amp;LEN(Metadata!B482))), 1),"0123456789abcdefghijklmnopqrstuvwxyzABCDEFGHIJKLMNOPQRSTUVWXYZ.")))))</f>
        <v>0</v>
      </c>
      <c r="W482">
        <f>AND(IF(Metadata!C482="",FALSE,TRUE),exact(Metadata!C482,"urban biome"))</f>
        <v>0</v>
      </c>
      <c r="X482">
        <f>AND(IF(Metadata!D482="",FALSE,TRUE),exact(Metadata!D482,"animal-associated habitat"))</f>
        <v>0</v>
      </c>
      <c r="Y482">
        <f>OR(AND(IF(Metadata!E482="",FALSE,TRUE),OR(exact(Metadata!E482,"not applicable"),exact(Metadata!E482,"missing: not collected"),exact(Metadata!E482,"missing: not provided"),exact(Metadata!E482,"missing: restricted access"))),AND(IF(Metadata!E482="",FALSE,ISNUMBER(VALUE(Metadata!E482))),Metadata!E482&gt;0))</f>
        <v>0</v>
      </c>
      <c r="Z482">
        <f>AND(IF(Metadata!F482="",FALSE,TRUE),exact(Metadata!F482,"weeks"))</f>
        <v>0</v>
      </c>
      <c r="AA482">
        <f>AND(IF(Metadata!G482="",FALSE,TRUE),exact(Metadata!G482,"mouse"))</f>
        <v>0</v>
      </c>
      <c r="AB482">
        <f>AND(IF(Metadata!H482="",FALSE,TRUE),exact(Metadata!H482,"Mus musculus"))</f>
        <v>0</v>
      </c>
      <c r="AC482">
        <f>AND(IF(Metadata!I482="",FALSE,TRUE),exact(Metadata!I482,"10090"))</f>
        <v>0</v>
      </c>
      <c r="AD482">
        <f>OR(AND(IF(Metadata!J482="",FALSE,TRUE),OR(exact(Metadata!J482,"not applicable"),exact(Metadata!J482,"missing: not collected"),exact(Metadata!J482,"missing: not provided"),exact(Metadata!J482,"missing: restricted access"))),AND(IF(Metadata!J482="",FALSE,ISNUMBER(VALUE(Metadata!J482))),Metadata!J482&gt;0))</f>
        <v>0</v>
      </c>
      <c r="AE482">
        <f>AND(IF(Metadata!K482="",FALSE,TRUE),exact(Metadata!K482,"g"))</f>
        <v>0</v>
      </c>
    </row>
    <row r="483" spans="1:31">
      <c r="A483" s="5">
        <f>IF(B483=" "," ",HYPERLINK(CONCATENATE("#metadata!",ADDRESS(INDEX($Q$2:$Q$1001,MATCH(ROWS($O$2:O483),$O$2:$O$1001,0),0),1)),INDEX($T$2:$T$1001,MATCH(ROWS($O$2:O483),$O$2:$O$1001,0),0)))</f>
        <v>0</v>
      </c>
      <c r="B483" s="4">
        <f>IF(OR(INDEX($P$2:$P$1001,MATCH(ROWS($O$2:O483),$O$2:$O$1001,0),1)&gt;=100000,INDEX($V$1005:$AE$1005,1,MATCH(COLUMNS($V$1006:V1006),$V$1006:$AE$1006,0))&gt;=100000), " ",IF(INDEX($V$2:$AE$1001,MATCH(ROWS($O$2:O483),$O$2:$O$1001,0),MATCH(COLUMNS($V$1006:V1006),$V$1006:$AE$1006,0)), HYPERLINK("#",""), HYPERLINK(CONCATENATE("#Metadata!", ADDRESS(INDEX($Q$2:$Q$1001,MATCH(ROWS($O$2:O483),$O$2:$O$1001,0),0), INDEX($V$1004:$AE$1004,1,MATCH(COLUMNS($V$1006:V1006),$V$1006:$AE$1006,0)))),"Fix")))</f>
        <v>0</v>
      </c>
      <c r="C483" s="4">
        <f>IF(OR(INDEX($P$2:$P$1001,MATCH(ROWS($O$2:O483),$O$2:$O$1001,0),1)&gt;=100000,INDEX($V$1005:$AE$1005,1,MATCH(COLUMNS($V$1006:W1006),$V$1006:$AE$1006,0))&gt;=100000), " ",IF(INDEX($V$2:$AE$1001,MATCH(ROWS($O$2:O483),$O$2:$O$1001,0),MATCH(COLUMNS($V$1006:W1006),$V$1006:$AE$1006,0)), HYPERLINK("#",""), HYPERLINK(CONCATENATE("#Metadata!", ADDRESS(INDEX($Q$2:$Q$1001,MATCH(ROWS($O$2:O483),$O$2:$O$1001,0),0), INDEX($V$1004:$AE$1004,1,MATCH(COLUMNS($V$1006:W1006),$V$1006:$AE$1006,0)))),"Fix")))</f>
        <v>0</v>
      </c>
      <c r="D483" s="4">
        <f>IF(OR(INDEX($P$2:$P$1001,MATCH(ROWS($O$2:O483),$O$2:$O$1001,0),1)&gt;=100000,INDEX($V$1005:$AE$1005,1,MATCH(COLUMNS($V$1006:X1006),$V$1006:$AE$1006,0))&gt;=100000), " ",IF(INDEX($V$2:$AE$1001,MATCH(ROWS($O$2:O483),$O$2:$O$1001,0),MATCH(COLUMNS($V$1006:X1006),$V$1006:$AE$1006,0)), HYPERLINK("#",""), HYPERLINK(CONCATENATE("#Metadata!", ADDRESS(INDEX($Q$2:$Q$1001,MATCH(ROWS($O$2:O483),$O$2:$O$1001,0),0), INDEX($V$1004:$AE$1004,1,MATCH(COLUMNS($V$1006:X1006),$V$1006:$AE$1006,0)))),"Fix")))</f>
        <v>0</v>
      </c>
      <c r="E483" s="4">
        <f>IF(OR(INDEX($P$2:$P$1001,MATCH(ROWS($O$2:O483),$O$2:$O$1001,0),1)&gt;=100000,INDEX($V$1005:$AE$1005,1,MATCH(COLUMNS($V$1006:Y1006),$V$1006:$AE$1006,0))&gt;=100000), " ",IF(INDEX($V$2:$AE$1001,MATCH(ROWS($O$2:O483),$O$2:$O$1001,0),MATCH(COLUMNS($V$1006:Y1006),$V$1006:$AE$1006,0)), HYPERLINK("#",""), HYPERLINK(CONCATENATE("#Metadata!", ADDRESS(INDEX($Q$2:$Q$1001,MATCH(ROWS($O$2:O483),$O$2:$O$1001,0),0), INDEX($V$1004:$AE$1004,1,MATCH(COLUMNS($V$1006:Y1006),$V$1006:$AE$1006,0)))),"Fix")))</f>
        <v>0</v>
      </c>
      <c r="F483" s="4">
        <f>IF(OR(INDEX($P$2:$P$1001,MATCH(ROWS($O$2:O483),$O$2:$O$1001,0),1)&gt;=100000,INDEX($V$1005:$AE$1005,1,MATCH(COLUMNS($V$1006:Z1006),$V$1006:$AE$1006,0))&gt;=100000), " ",IF(INDEX($V$2:$AE$1001,MATCH(ROWS($O$2:O483),$O$2:$O$1001,0),MATCH(COLUMNS($V$1006:Z1006),$V$1006:$AE$1006,0)), HYPERLINK("#",""), HYPERLINK(CONCATENATE("#Metadata!", ADDRESS(INDEX($Q$2:$Q$1001,MATCH(ROWS($O$2:O483),$O$2:$O$1001,0),0), INDEX($V$1004:$AE$1004,1,MATCH(COLUMNS($V$1006:Z1006),$V$1006:$AE$1006,0)))),"Fix")))</f>
        <v>0</v>
      </c>
      <c r="G483" s="4">
        <f>IF(OR(INDEX($P$2:$P$1001,MATCH(ROWS($O$2:O483),$O$2:$O$1001,0),1)&gt;=100000,INDEX($V$1005:$AE$1005,1,MATCH(COLUMNS($V$1006:AA1006),$V$1006:$AE$1006,0))&gt;=100000), " ",IF(INDEX($V$2:$AE$1001,MATCH(ROWS($O$2:O483),$O$2:$O$1001,0),MATCH(COLUMNS($V$1006:AA1006),$V$1006:$AE$1006,0)), HYPERLINK("#",""), HYPERLINK(CONCATENATE("#Metadata!", ADDRESS(INDEX($Q$2:$Q$1001,MATCH(ROWS($O$2:O483),$O$2:$O$1001,0),0), INDEX($V$1004:$AE$1004,1,MATCH(COLUMNS($V$1006:AA1006),$V$1006:$AE$1006,0)))),"Fix")))</f>
        <v>0</v>
      </c>
      <c r="H483" s="4">
        <f>IF(OR(INDEX($P$2:$P$1001,MATCH(ROWS($O$2:O483),$O$2:$O$1001,0),1)&gt;=100000,INDEX($V$1005:$AE$1005,1,MATCH(COLUMNS($V$1006:AB1006),$V$1006:$AE$1006,0))&gt;=100000), " ",IF(INDEX($V$2:$AE$1001,MATCH(ROWS($O$2:O483),$O$2:$O$1001,0),MATCH(COLUMNS($V$1006:AB1006),$V$1006:$AE$1006,0)), HYPERLINK("#",""), HYPERLINK(CONCATENATE("#Metadata!", ADDRESS(INDEX($Q$2:$Q$1001,MATCH(ROWS($O$2:O483),$O$2:$O$1001,0),0), INDEX($V$1004:$AE$1004,1,MATCH(COLUMNS($V$1006:AB1006),$V$1006:$AE$1006,0)))),"Fix")))</f>
        <v>0</v>
      </c>
      <c r="I483" s="4">
        <f>IF(OR(INDEX($P$2:$P$1001,MATCH(ROWS($O$2:O483),$O$2:$O$1001,0),1)&gt;=100000,INDEX($V$1005:$AE$1005,1,MATCH(COLUMNS($V$1006:AC1006),$V$1006:$AE$1006,0))&gt;=100000), " ",IF(INDEX($V$2:$AE$1001,MATCH(ROWS($O$2:O483),$O$2:$O$1001,0),MATCH(COLUMNS($V$1006:AC1006),$V$1006:$AE$1006,0)), HYPERLINK("#",""), HYPERLINK(CONCATENATE("#Metadata!", ADDRESS(INDEX($Q$2:$Q$1001,MATCH(ROWS($O$2:O483),$O$2:$O$1001,0),0), INDEX($V$1004:$AE$1004,1,MATCH(COLUMNS($V$1006:AC1006),$V$1006:$AE$1006,0)))),"Fix")))</f>
        <v>0</v>
      </c>
      <c r="J483" s="4">
        <f>IF(OR(INDEX($P$2:$P$1001,MATCH(ROWS($O$2:O483),$O$2:$O$1001,0),1)&gt;=100000,INDEX($V$1005:$AE$1005,1,MATCH(COLUMNS($V$1006:AD1006),$V$1006:$AE$1006,0))&gt;=100000), " ",IF(INDEX($V$2:$AE$1001,MATCH(ROWS($O$2:O483),$O$2:$O$1001,0),MATCH(COLUMNS($V$1006:AD1006),$V$1006:$AE$1006,0)), HYPERLINK("#",""), HYPERLINK(CONCATENATE("#Metadata!", ADDRESS(INDEX($Q$2:$Q$1001,MATCH(ROWS($O$2:O483),$O$2:$O$1001,0),0), INDEX($V$1004:$AE$1004,1,MATCH(COLUMNS($V$1006:AD1006),$V$1006:$AE$1006,0)))),"Fix")))</f>
        <v>0</v>
      </c>
      <c r="K483" s="4">
        <f>IF(OR(INDEX($P$2:$P$1001,MATCH(ROWS($O$2:O483),$O$2:$O$1001,0),1)&gt;=100000,INDEX($V$1005:$AE$1005,1,MATCH(COLUMNS($V$1006:AE1006),$V$1006:$AE$1006,0))&gt;=100000), " ",IF(INDEX($V$2:$AE$1001,MATCH(ROWS($O$2:O483),$O$2:$O$1001,0),MATCH(COLUMNS($V$1006:AE1006),$V$1006:$AE$1006,0)), HYPERLINK("#",""), HYPERLINK(CONCATENATE("#Metadata!", ADDRESS(INDEX($Q$2:$Q$1001,MATCH(ROWS($O$2:O483),$O$2:$O$1001,0),0), INDEX($V$1004:$AE$1004,1,MATCH(COLUMNS($V$1006:AE1006),$V$1006:$AE$1006,0)))),"Fix")))</f>
        <v>0</v>
      </c>
      <c r="O483">
        <v>0</v>
      </c>
      <c r="P483">
        <v>0</v>
      </c>
      <c r="Q483">
        <v>0</v>
      </c>
      <c r="R483">
        <f>IF(S483,TRUE,AND(V483:AE483))</f>
        <v>0</v>
      </c>
      <c r="S483">
        <f>COUNTBLANK(Metadata!B483:K483)=COLUMNS(Metadata!B483:K483)</f>
        <v>0</v>
      </c>
      <c r="T483">
        <v>0</v>
      </c>
      <c r="V483">
        <f>AND(IF(Metadata!B483="",FALSE,TRUE),COUNTIF(Metadata!B:B, Metadata!B483) = 1,NOT(ISERROR(SUMPRODUCT(SEARCH(MID(Metadata!B483,ROW(INDIRECT("1:"&amp;LEN(Metadata!B483))), 1),"0123456789abcdefghijklmnopqrstuvwxyzABCDEFGHIJKLMNOPQRSTUVWXYZ.")))))</f>
        <v>0</v>
      </c>
      <c r="W483">
        <f>AND(IF(Metadata!C483="",FALSE,TRUE),exact(Metadata!C483,"urban biome"))</f>
        <v>0</v>
      </c>
      <c r="X483">
        <f>AND(IF(Metadata!D483="",FALSE,TRUE),exact(Metadata!D483,"animal-associated habitat"))</f>
        <v>0</v>
      </c>
      <c r="Y483">
        <f>OR(AND(IF(Metadata!E483="",FALSE,TRUE),OR(exact(Metadata!E483,"not applicable"),exact(Metadata!E483,"missing: not collected"),exact(Metadata!E483,"missing: not provided"),exact(Metadata!E483,"missing: restricted access"))),AND(IF(Metadata!E483="",FALSE,ISNUMBER(VALUE(Metadata!E483))),Metadata!E483&gt;0))</f>
        <v>0</v>
      </c>
      <c r="Z483">
        <f>AND(IF(Metadata!F483="",FALSE,TRUE),exact(Metadata!F483,"weeks"))</f>
        <v>0</v>
      </c>
      <c r="AA483">
        <f>AND(IF(Metadata!G483="",FALSE,TRUE),exact(Metadata!G483,"mouse"))</f>
        <v>0</v>
      </c>
      <c r="AB483">
        <f>AND(IF(Metadata!H483="",FALSE,TRUE),exact(Metadata!H483,"Mus musculus"))</f>
        <v>0</v>
      </c>
      <c r="AC483">
        <f>AND(IF(Metadata!I483="",FALSE,TRUE),exact(Metadata!I483,"10090"))</f>
        <v>0</v>
      </c>
      <c r="AD483">
        <f>OR(AND(IF(Metadata!J483="",FALSE,TRUE),OR(exact(Metadata!J483,"not applicable"),exact(Metadata!J483,"missing: not collected"),exact(Metadata!J483,"missing: not provided"),exact(Metadata!J483,"missing: restricted access"))),AND(IF(Metadata!J483="",FALSE,ISNUMBER(VALUE(Metadata!J483))),Metadata!J483&gt;0))</f>
        <v>0</v>
      </c>
      <c r="AE483">
        <f>AND(IF(Metadata!K483="",FALSE,TRUE),exact(Metadata!K483,"g"))</f>
        <v>0</v>
      </c>
    </row>
    <row r="484" spans="1:31">
      <c r="A484" s="5">
        <f>IF(B484=" "," ",HYPERLINK(CONCATENATE("#metadata!",ADDRESS(INDEX($Q$2:$Q$1001,MATCH(ROWS($O$2:O484),$O$2:$O$1001,0),0),1)),INDEX($T$2:$T$1001,MATCH(ROWS($O$2:O484),$O$2:$O$1001,0),0)))</f>
        <v>0</v>
      </c>
      <c r="B484" s="4">
        <f>IF(OR(INDEX($P$2:$P$1001,MATCH(ROWS($O$2:O484),$O$2:$O$1001,0),1)&gt;=100000,INDEX($V$1005:$AE$1005,1,MATCH(COLUMNS($V$1006:V1006),$V$1006:$AE$1006,0))&gt;=100000), " ",IF(INDEX($V$2:$AE$1001,MATCH(ROWS($O$2:O484),$O$2:$O$1001,0),MATCH(COLUMNS($V$1006:V1006),$V$1006:$AE$1006,0)), HYPERLINK("#",""), HYPERLINK(CONCATENATE("#Metadata!", ADDRESS(INDEX($Q$2:$Q$1001,MATCH(ROWS($O$2:O484),$O$2:$O$1001,0),0), INDEX($V$1004:$AE$1004,1,MATCH(COLUMNS($V$1006:V1006),$V$1006:$AE$1006,0)))),"Fix")))</f>
        <v>0</v>
      </c>
      <c r="C484" s="4">
        <f>IF(OR(INDEX($P$2:$P$1001,MATCH(ROWS($O$2:O484),$O$2:$O$1001,0),1)&gt;=100000,INDEX($V$1005:$AE$1005,1,MATCH(COLUMNS($V$1006:W1006),$V$1006:$AE$1006,0))&gt;=100000), " ",IF(INDEX($V$2:$AE$1001,MATCH(ROWS($O$2:O484),$O$2:$O$1001,0),MATCH(COLUMNS($V$1006:W1006),$V$1006:$AE$1006,0)), HYPERLINK("#",""), HYPERLINK(CONCATENATE("#Metadata!", ADDRESS(INDEX($Q$2:$Q$1001,MATCH(ROWS($O$2:O484),$O$2:$O$1001,0),0), INDEX($V$1004:$AE$1004,1,MATCH(COLUMNS($V$1006:W1006),$V$1006:$AE$1006,0)))),"Fix")))</f>
        <v>0</v>
      </c>
      <c r="D484" s="4">
        <f>IF(OR(INDEX($P$2:$P$1001,MATCH(ROWS($O$2:O484),$O$2:$O$1001,0),1)&gt;=100000,INDEX($V$1005:$AE$1005,1,MATCH(COLUMNS($V$1006:X1006),$V$1006:$AE$1006,0))&gt;=100000), " ",IF(INDEX($V$2:$AE$1001,MATCH(ROWS($O$2:O484),$O$2:$O$1001,0),MATCH(COLUMNS($V$1006:X1006),$V$1006:$AE$1006,0)), HYPERLINK("#",""), HYPERLINK(CONCATENATE("#Metadata!", ADDRESS(INDEX($Q$2:$Q$1001,MATCH(ROWS($O$2:O484),$O$2:$O$1001,0),0), INDEX($V$1004:$AE$1004,1,MATCH(COLUMNS($V$1006:X1006),$V$1006:$AE$1006,0)))),"Fix")))</f>
        <v>0</v>
      </c>
      <c r="E484" s="4">
        <f>IF(OR(INDEX($P$2:$P$1001,MATCH(ROWS($O$2:O484),$O$2:$O$1001,0),1)&gt;=100000,INDEX($V$1005:$AE$1005,1,MATCH(COLUMNS($V$1006:Y1006),$V$1006:$AE$1006,0))&gt;=100000), " ",IF(INDEX($V$2:$AE$1001,MATCH(ROWS($O$2:O484),$O$2:$O$1001,0),MATCH(COLUMNS($V$1006:Y1006),$V$1006:$AE$1006,0)), HYPERLINK("#",""), HYPERLINK(CONCATENATE("#Metadata!", ADDRESS(INDEX($Q$2:$Q$1001,MATCH(ROWS($O$2:O484),$O$2:$O$1001,0),0), INDEX($V$1004:$AE$1004,1,MATCH(COLUMNS($V$1006:Y1006),$V$1006:$AE$1006,0)))),"Fix")))</f>
        <v>0</v>
      </c>
      <c r="F484" s="4">
        <f>IF(OR(INDEX($P$2:$P$1001,MATCH(ROWS($O$2:O484),$O$2:$O$1001,0),1)&gt;=100000,INDEX($V$1005:$AE$1005,1,MATCH(COLUMNS($V$1006:Z1006),$V$1006:$AE$1006,0))&gt;=100000), " ",IF(INDEX($V$2:$AE$1001,MATCH(ROWS($O$2:O484),$O$2:$O$1001,0),MATCH(COLUMNS($V$1006:Z1006),$V$1006:$AE$1006,0)), HYPERLINK("#",""), HYPERLINK(CONCATENATE("#Metadata!", ADDRESS(INDEX($Q$2:$Q$1001,MATCH(ROWS($O$2:O484),$O$2:$O$1001,0),0), INDEX($V$1004:$AE$1004,1,MATCH(COLUMNS($V$1006:Z1006),$V$1006:$AE$1006,0)))),"Fix")))</f>
        <v>0</v>
      </c>
      <c r="G484" s="4">
        <f>IF(OR(INDEX($P$2:$P$1001,MATCH(ROWS($O$2:O484),$O$2:$O$1001,0),1)&gt;=100000,INDEX($V$1005:$AE$1005,1,MATCH(COLUMNS($V$1006:AA1006),$V$1006:$AE$1006,0))&gt;=100000), " ",IF(INDEX($V$2:$AE$1001,MATCH(ROWS($O$2:O484),$O$2:$O$1001,0),MATCH(COLUMNS($V$1006:AA1006),$V$1006:$AE$1006,0)), HYPERLINK("#",""), HYPERLINK(CONCATENATE("#Metadata!", ADDRESS(INDEX($Q$2:$Q$1001,MATCH(ROWS($O$2:O484),$O$2:$O$1001,0),0), INDEX($V$1004:$AE$1004,1,MATCH(COLUMNS($V$1006:AA1006),$V$1006:$AE$1006,0)))),"Fix")))</f>
        <v>0</v>
      </c>
      <c r="H484" s="4">
        <f>IF(OR(INDEX($P$2:$P$1001,MATCH(ROWS($O$2:O484),$O$2:$O$1001,0),1)&gt;=100000,INDEX($V$1005:$AE$1005,1,MATCH(COLUMNS($V$1006:AB1006),$V$1006:$AE$1006,0))&gt;=100000), " ",IF(INDEX($V$2:$AE$1001,MATCH(ROWS($O$2:O484),$O$2:$O$1001,0),MATCH(COLUMNS($V$1006:AB1006),$V$1006:$AE$1006,0)), HYPERLINK("#",""), HYPERLINK(CONCATENATE("#Metadata!", ADDRESS(INDEX($Q$2:$Q$1001,MATCH(ROWS($O$2:O484),$O$2:$O$1001,0),0), INDEX($V$1004:$AE$1004,1,MATCH(COLUMNS($V$1006:AB1006),$V$1006:$AE$1006,0)))),"Fix")))</f>
        <v>0</v>
      </c>
      <c r="I484" s="4">
        <f>IF(OR(INDEX($P$2:$P$1001,MATCH(ROWS($O$2:O484),$O$2:$O$1001,0),1)&gt;=100000,INDEX($V$1005:$AE$1005,1,MATCH(COLUMNS($V$1006:AC1006),$V$1006:$AE$1006,0))&gt;=100000), " ",IF(INDEX($V$2:$AE$1001,MATCH(ROWS($O$2:O484),$O$2:$O$1001,0),MATCH(COLUMNS($V$1006:AC1006),$V$1006:$AE$1006,0)), HYPERLINK("#",""), HYPERLINK(CONCATENATE("#Metadata!", ADDRESS(INDEX($Q$2:$Q$1001,MATCH(ROWS($O$2:O484),$O$2:$O$1001,0),0), INDEX($V$1004:$AE$1004,1,MATCH(COLUMNS($V$1006:AC1006),$V$1006:$AE$1006,0)))),"Fix")))</f>
        <v>0</v>
      </c>
      <c r="J484" s="4">
        <f>IF(OR(INDEX($P$2:$P$1001,MATCH(ROWS($O$2:O484),$O$2:$O$1001,0),1)&gt;=100000,INDEX($V$1005:$AE$1005,1,MATCH(COLUMNS($V$1006:AD1006),$V$1006:$AE$1006,0))&gt;=100000), " ",IF(INDEX($V$2:$AE$1001,MATCH(ROWS($O$2:O484),$O$2:$O$1001,0),MATCH(COLUMNS($V$1006:AD1006),$V$1006:$AE$1006,0)), HYPERLINK("#",""), HYPERLINK(CONCATENATE("#Metadata!", ADDRESS(INDEX($Q$2:$Q$1001,MATCH(ROWS($O$2:O484),$O$2:$O$1001,0),0), INDEX($V$1004:$AE$1004,1,MATCH(COLUMNS($V$1006:AD1006),$V$1006:$AE$1006,0)))),"Fix")))</f>
        <v>0</v>
      </c>
      <c r="K484" s="4">
        <f>IF(OR(INDEX($P$2:$P$1001,MATCH(ROWS($O$2:O484),$O$2:$O$1001,0),1)&gt;=100000,INDEX($V$1005:$AE$1005,1,MATCH(COLUMNS($V$1006:AE1006),$V$1006:$AE$1006,0))&gt;=100000), " ",IF(INDEX($V$2:$AE$1001,MATCH(ROWS($O$2:O484),$O$2:$O$1001,0),MATCH(COLUMNS($V$1006:AE1006),$V$1006:$AE$1006,0)), HYPERLINK("#",""), HYPERLINK(CONCATENATE("#Metadata!", ADDRESS(INDEX($Q$2:$Q$1001,MATCH(ROWS($O$2:O484),$O$2:$O$1001,0),0), INDEX($V$1004:$AE$1004,1,MATCH(COLUMNS($V$1006:AE1006),$V$1006:$AE$1006,0)))),"Fix")))</f>
        <v>0</v>
      </c>
      <c r="O484">
        <v>0</v>
      </c>
      <c r="P484">
        <v>0</v>
      </c>
      <c r="Q484">
        <v>0</v>
      </c>
      <c r="R484">
        <f>IF(S484,TRUE,AND(V484:AE484))</f>
        <v>0</v>
      </c>
      <c r="S484">
        <f>COUNTBLANK(Metadata!B484:K484)=COLUMNS(Metadata!B484:K484)</f>
        <v>0</v>
      </c>
      <c r="T484">
        <v>0</v>
      </c>
      <c r="V484">
        <f>AND(IF(Metadata!B484="",FALSE,TRUE),COUNTIF(Metadata!B:B, Metadata!B484) = 1,NOT(ISERROR(SUMPRODUCT(SEARCH(MID(Metadata!B484,ROW(INDIRECT("1:"&amp;LEN(Metadata!B484))), 1),"0123456789abcdefghijklmnopqrstuvwxyzABCDEFGHIJKLMNOPQRSTUVWXYZ.")))))</f>
        <v>0</v>
      </c>
      <c r="W484">
        <f>AND(IF(Metadata!C484="",FALSE,TRUE),exact(Metadata!C484,"urban biome"))</f>
        <v>0</v>
      </c>
      <c r="X484">
        <f>AND(IF(Metadata!D484="",FALSE,TRUE),exact(Metadata!D484,"animal-associated habitat"))</f>
        <v>0</v>
      </c>
      <c r="Y484">
        <f>OR(AND(IF(Metadata!E484="",FALSE,TRUE),OR(exact(Metadata!E484,"not applicable"),exact(Metadata!E484,"missing: not collected"),exact(Metadata!E484,"missing: not provided"),exact(Metadata!E484,"missing: restricted access"))),AND(IF(Metadata!E484="",FALSE,ISNUMBER(VALUE(Metadata!E484))),Metadata!E484&gt;0))</f>
        <v>0</v>
      </c>
      <c r="Z484">
        <f>AND(IF(Metadata!F484="",FALSE,TRUE),exact(Metadata!F484,"weeks"))</f>
        <v>0</v>
      </c>
      <c r="AA484">
        <f>AND(IF(Metadata!G484="",FALSE,TRUE),exact(Metadata!G484,"mouse"))</f>
        <v>0</v>
      </c>
      <c r="AB484">
        <f>AND(IF(Metadata!H484="",FALSE,TRUE),exact(Metadata!H484,"Mus musculus"))</f>
        <v>0</v>
      </c>
      <c r="AC484">
        <f>AND(IF(Metadata!I484="",FALSE,TRUE),exact(Metadata!I484,"10090"))</f>
        <v>0</v>
      </c>
      <c r="AD484">
        <f>OR(AND(IF(Metadata!J484="",FALSE,TRUE),OR(exact(Metadata!J484,"not applicable"),exact(Metadata!J484,"missing: not collected"),exact(Metadata!J484,"missing: not provided"),exact(Metadata!J484,"missing: restricted access"))),AND(IF(Metadata!J484="",FALSE,ISNUMBER(VALUE(Metadata!J484))),Metadata!J484&gt;0))</f>
        <v>0</v>
      </c>
      <c r="AE484">
        <f>AND(IF(Metadata!K484="",FALSE,TRUE),exact(Metadata!K484,"g"))</f>
        <v>0</v>
      </c>
    </row>
    <row r="485" spans="1:31">
      <c r="A485" s="5">
        <f>IF(B485=" "," ",HYPERLINK(CONCATENATE("#metadata!",ADDRESS(INDEX($Q$2:$Q$1001,MATCH(ROWS($O$2:O485),$O$2:$O$1001,0),0),1)),INDEX($T$2:$T$1001,MATCH(ROWS($O$2:O485),$O$2:$O$1001,0),0)))</f>
        <v>0</v>
      </c>
      <c r="B485" s="4">
        <f>IF(OR(INDEX($P$2:$P$1001,MATCH(ROWS($O$2:O485),$O$2:$O$1001,0),1)&gt;=100000,INDEX($V$1005:$AE$1005,1,MATCH(COLUMNS($V$1006:V1006),$V$1006:$AE$1006,0))&gt;=100000), " ",IF(INDEX($V$2:$AE$1001,MATCH(ROWS($O$2:O485),$O$2:$O$1001,0),MATCH(COLUMNS($V$1006:V1006),$V$1006:$AE$1006,0)), HYPERLINK("#",""), HYPERLINK(CONCATENATE("#Metadata!", ADDRESS(INDEX($Q$2:$Q$1001,MATCH(ROWS($O$2:O485),$O$2:$O$1001,0),0), INDEX($V$1004:$AE$1004,1,MATCH(COLUMNS($V$1006:V1006),$V$1006:$AE$1006,0)))),"Fix")))</f>
        <v>0</v>
      </c>
      <c r="C485" s="4">
        <f>IF(OR(INDEX($P$2:$P$1001,MATCH(ROWS($O$2:O485),$O$2:$O$1001,0),1)&gt;=100000,INDEX($V$1005:$AE$1005,1,MATCH(COLUMNS($V$1006:W1006),$V$1006:$AE$1006,0))&gt;=100000), " ",IF(INDEX($V$2:$AE$1001,MATCH(ROWS($O$2:O485),$O$2:$O$1001,0),MATCH(COLUMNS($V$1006:W1006),$V$1006:$AE$1006,0)), HYPERLINK("#",""), HYPERLINK(CONCATENATE("#Metadata!", ADDRESS(INDEX($Q$2:$Q$1001,MATCH(ROWS($O$2:O485),$O$2:$O$1001,0),0), INDEX($V$1004:$AE$1004,1,MATCH(COLUMNS($V$1006:W1006),$V$1006:$AE$1006,0)))),"Fix")))</f>
        <v>0</v>
      </c>
      <c r="D485" s="4">
        <f>IF(OR(INDEX($P$2:$P$1001,MATCH(ROWS($O$2:O485),$O$2:$O$1001,0),1)&gt;=100000,INDEX($V$1005:$AE$1005,1,MATCH(COLUMNS($V$1006:X1006),$V$1006:$AE$1006,0))&gt;=100000), " ",IF(INDEX($V$2:$AE$1001,MATCH(ROWS($O$2:O485),$O$2:$O$1001,0),MATCH(COLUMNS($V$1006:X1006),$V$1006:$AE$1006,0)), HYPERLINK("#",""), HYPERLINK(CONCATENATE("#Metadata!", ADDRESS(INDEX($Q$2:$Q$1001,MATCH(ROWS($O$2:O485),$O$2:$O$1001,0),0), INDEX($V$1004:$AE$1004,1,MATCH(COLUMNS($V$1006:X1006),$V$1006:$AE$1006,0)))),"Fix")))</f>
        <v>0</v>
      </c>
      <c r="E485" s="4">
        <f>IF(OR(INDEX($P$2:$P$1001,MATCH(ROWS($O$2:O485),$O$2:$O$1001,0),1)&gt;=100000,INDEX($V$1005:$AE$1005,1,MATCH(COLUMNS($V$1006:Y1006),$V$1006:$AE$1006,0))&gt;=100000), " ",IF(INDEX($V$2:$AE$1001,MATCH(ROWS($O$2:O485),$O$2:$O$1001,0),MATCH(COLUMNS($V$1006:Y1006),$V$1006:$AE$1006,0)), HYPERLINK("#",""), HYPERLINK(CONCATENATE("#Metadata!", ADDRESS(INDEX($Q$2:$Q$1001,MATCH(ROWS($O$2:O485),$O$2:$O$1001,0),0), INDEX($V$1004:$AE$1004,1,MATCH(COLUMNS($V$1006:Y1006),$V$1006:$AE$1006,0)))),"Fix")))</f>
        <v>0</v>
      </c>
      <c r="F485" s="4">
        <f>IF(OR(INDEX($P$2:$P$1001,MATCH(ROWS($O$2:O485),$O$2:$O$1001,0),1)&gt;=100000,INDEX($V$1005:$AE$1005,1,MATCH(COLUMNS($V$1006:Z1006),$V$1006:$AE$1006,0))&gt;=100000), " ",IF(INDEX($V$2:$AE$1001,MATCH(ROWS($O$2:O485),$O$2:$O$1001,0),MATCH(COLUMNS($V$1006:Z1006),$V$1006:$AE$1006,0)), HYPERLINK("#",""), HYPERLINK(CONCATENATE("#Metadata!", ADDRESS(INDEX($Q$2:$Q$1001,MATCH(ROWS($O$2:O485),$O$2:$O$1001,0),0), INDEX($V$1004:$AE$1004,1,MATCH(COLUMNS($V$1006:Z1006),$V$1006:$AE$1006,0)))),"Fix")))</f>
        <v>0</v>
      </c>
      <c r="G485" s="4">
        <f>IF(OR(INDEX($P$2:$P$1001,MATCH(ROWS($O$2:O485),$O$2:$O$1001,0),1)&gt;=100000,INDEX($V$1005:$AE$1005,1,MATCH(COLUMNS($V$1006:AA1006),$V$1006:$AE$1006,0))&gt;=100000), " ",IF(INDEX($V$2:$AE$1001,MATCH(ROWS($O$2:O485),$O$2:$O$1001,0),MATCH(COLUMNS($V$1006:AA1006),$V$1006:$AE$1006,0)), HYPERLINK("#",""), HYPERLINK(CONCATENATE("#Metadata!", ADDRESS(INDEX($Q$2:$Q$1001,MATCH(ROWS($O$2:O485),$O$2:$O$1001,0),0), INDEX($V$1004:$AE$1004,1,MATCH(COLUMNS($V$1006:AA1006),$V$1006:$AE$1006,0)))),"Fix")))</f>
        <v>0</v>
      </c>
      <c r="H485" s="4">
        <f>IF(OR(INDEX($P$2:$P$1001,MATCH(ROWS($O$2:O485),$O$2:$O$1001,0),1)&gt;=100000,INDEX($V$1005:$AE$1005,1,MATCH(COLUMNS($V$1006:AB1006),$V$1006:$AE$1006,0))&gt;=100000), " ",IF(INDEX($V$2:$AE$1001,MATCH(ROWS($O$2:O485),$O$2:$O$1001,0),MATCH(COLUMNS($V$1006:AB1006),$V$1006:$AE$1006,0)), HYPERLINK("#",""), HYPERLINK(CONCATENATE("#Metadata!", ADDRESS(INDEX($Q$2:$Q$1001,MATCH(ROWS($O$2:O485),$O$2:$O$1001,0),0), INDEX($V$1004:$AE$1004,1,MATCH(COLUMNS($V$1006:AB1006),$V$1006:$AE$1006,0)))),"Fix")))</f>
        <v>0</v>
      </c>
      <c r="I485" s="4">
        <f>IF(OR(INDEX($P$2:$P$1001,MATCH(ROWS($O$2:O485),$O$2:$O$1001,0),1)&gt;=100000,INDEX($V$1005:$AE$1005,1,MATCH(COLUMNS($V$1006:AC1006),$V$1006:$AE$1006,0))&gt;=100000), " ",IF(INDEX($V$2:$AE$1001,MATCH(ROWS($O$2:O485),$O$2:$O$1001,0),MATCH(COLUMNS($V$1006:AC1006),$V$1006:$AE$1006,0)), HYPERLINK("#",""), HYPERLINK(CONCATENATE("#Metadata!", ADDRESS(INDEX($Q$2:$Q$1001,MATCH(ROWS($O$2:O485),$O$2:$O$1001,0),0), INDEX($V$1004:$AE$1004,1,MATCH(COLUMNS($V$1006:AC1006),$V$1006:$AE$1006,0)))),"Fix")))</f>
        <v>0</v>
      </c>
      <c r="J485" s="4">
        <f>IF(OR(INDEX($P$2:$P$1001,MATCH(ROWS($O$2:O485),$O$2:$O$1001,0),1)&gt;=100000,INDEX($V$1005:$AE$1005,1,MATCH(COLUMNS($V$1006:AD1006),$V$1006:$AE$1006,0))&gt;=100000), " ",IF(INDEX($V$2:$AE$1001,MATCH(ROWS($O$2:O485),$O$2:$O$1001,0),MATCH(COLUMNS($V$1006:AD1006),$V$1006:$AE$1006,0)), HYPERLINK("#",""), HYPERLINK(CONCATENATE("#Metadata!", ADDRESS(INDEX($Q$2:$Q$1001,MATCH(ROWS($O$2:O485),$O$2:$O$1001,0),0), INDEX($V$1004:$AE$1004,1,MATCH(COLUMNS($V$1006:AD1006),$V$1006:$AE$1006,0)))),"Fix")))</f>
        <v>0</v>
      </c>
      <c r="K485" s="4">
        <f>IF(OR(INDEX($P$2:$P$1001,MATCH(ROWS($O$2:O485),$O$2:$O$1001,0),1)&gt;=100000,INDEX($V$1005:$AE$1005,1,MATCH(COLUMNS($V$1006:AE1006),$V$1006:$AE$1006,0))&gt;=100000), " ",IF(INDEX($V$2:$AE$1001,MATCH(ROWS($O$2:O485),$O$2:$O$1001,0),MATCH(COLUMNS($V$1006:AE1006),$V$1006:$AE$1006,0)), HYPERLINK("#",""), HYPERLINK(CONCATENATE("#Metadata!", ADDRESS(INDEX($Q$2:$Q$1001,MATCH(ROWS($O$2:O485),$O$2:$O$1001,0),0), INDEX($V$1004:$AE$1004,1,MATCH(COLUMNS($V$1006:AE1006),$V$1006:$AE$1006,0)))),"Fix")))</f>
        <v>0</v>
      </c>
      <c r="O485">
        <v>0</v>
      </c>
      <c r="P485">
        <v>0</v>
      </c>
      <c r="Q485">
        <v>0</v>
      </c>
      <c r="R485">
        <f>IF(S485,TRUE,AND(V485:AE485))</f>
        <v>0</v>
      </c>
      <c r="S485">
        <f>COUNTBLANK(Metadata!B485:K485)=COLUMNS(Metadata!B485:K485)</f>
        <v>0</v>
      </c>
      <c r="T485">
        <v>0</v>
      </c>
      <c r="V485">
        <f>AND(IF(Metadata!B485="",FALSE,TRUE),COUNTIF(Metadata!B:B, Metadata!B485) = 1,NOT(ISERROR(SUMPRODUCT(SEARCH(MID(Metadata!B485,ROW(INDIRECT("1:"&amp;LEN(Metadata!B485))), 1),"0123456789abcdefghijklmnopqrstuvwxyzABCDEFGHIJKLMNOPQRSTUVWXYZ.")))))</f>
        <v>0</v>
      </c>
      <c r="W485">
        <f>AND(IF(Metadata!C485="",FALSE,TRUE),exact(Metadata!C485,"urban biome"))</f>
        <v>0</v>
      </c>
      <c r="X485">
        <f>AND(IF(Metadata!D485="",FALSE,TRUE),exact(Metadata!D485,"animal-associated habitat"))</f>
        <v>0</v>
      </c>
      <c r="Y485">
        <f>OR(AND(IF(Metadata!E485="",FALSE,TRUE),OR(exact(Metadata!E485,"not applicable"),exact(Metadata!E485,"missing: not collected"),exact(Metadata!E485,"missing: not provided"),exact(Metadata!E485,"missing: restricted access"))),AND(IF(Metadata!E485="",FALSE,ISNUMBER(VALUE(Metadata!E485))),Metadata!E485&gt;0))</f>
        <v>0</v>
      </c>
      <c r="Z485">
        <f>AND(IF(Metadata!F485="",FALSE,TRUE),exact(Metadata!F485,"weeks"))</f>
        <v>0</v>
      </c>
      <c r="AA485">
        <f>AND(IF(Metadata!G485="",FALSE,TRUE),exact(Metadata!G485,"mouse"))</f>
        <v>0</v>
      </c>
      <c r="AB485">
        <f>AND(IF(Metadata!H485="",FALSE,TRUE),exact(Metadata!H485,"Mus musculus"))</f>
        <v>0</v>
      </c>
      <c r="AC485">
        <f>AND(IF(Metadata!I485="",FALSE,TRUE),exact(Metadata!I485,"10090"))</f>
        <v>0</v>
      </c>
      <c r="AD485">
        <f>OR(AND(IF(Metadata!J485="",FALSE,TRUE),OR(exact(Metadata!J485,"not applicable"),exact(Metadata!J485,"missing: not collected"),exact(Metadata!J485,"missing: not provided"),exact(Metadata!J485,"missing: restricted access"))),AND(IF(Metadata!J485="",FALSE,ISNUMBER(VALUE(Metadata!J485))),Metadata!J485&gt;0))</f>
        <v>0</v>
      </c>
      <c r="AE485">
        <f>AND(IF(Metadata!K485="",FALSE,TRUE),exact(Metadata!K485,"g"))</f>
        <v>0</v>
      </c>
    </row>
    <row r="486" spans="1:31">
      <c r="A486" s="5">
        <f>IF(B486=" "," ",HYPERLINK(CONCATENATE("#metadata!",ADDRESS(INDEX($Q$2:$Q$1001,MATCH(ROWS($O$2:O486),$O$2:$O$1001,0),0),1)),INDEX($T$2:$T$1001,MATCH(ROWS($O$2:O486),$O$2:$O$1001,0),0)))</f>
        <v>0</v>
      </c>
      <c r="B486" s="4">
        <f>IF(OR(INDEX($P$2:$P$1001,MATCH(ROWS($O$2:O486),$O$2:$O$1001,0),1)&gt;=100000,INDEX($V$1005:$AE$1005,1,MATCH(COLUMNS($V$1006:V1006),$V$1006:$AE$1006,0))&gt;=100000), " ",IF(INDEX($V$2:$AE$1001,MATCH(ROWS($O$2:O486),$O$2:$O$1001,0),MATCH(COLUMNS($V$1006:V1006),$V$1006:$AE$1006,0)), HYPERLINK("#",""), HYPERLINK(CONCATENATE("#Metadata!", ADDRESS(INDEX($Q$2:$Q$1001,MATCH(ROWS($O$2:O486),$O$2:$O$1001,0),0), INDEX($V$1004:$AE$1004,1,MATCH(COLUMNS($V$1006:V1006),$V$1006:$AE$1006,0)))),"Fix")))</f>
        <v>0</v>
      </c>
      <c r="C486" s="4">
        <f>IF(OR(INDEX($P$2:$P$1001,MATCH(ROWS($O$2:O486),$O$2:$O$1001,0),1)&gt;=100000,INDEX($V$1005:$AE$1005,1,MATCH(COLUMNS($V$1006:W1006),$V$1006:$AE$1006,0))&gt;=100000), " ",IF(INDEX($V$2:$AE$1001,MATCH(ROWS($O$2:O486),$O$2:$O$1001,0),MATCH(COLUMNS($V$1006:W1006),$V$1006:$AE$1006,0)), HYPERLINK("#",""), HYPERLINK(CONCATENATE("#Metadata!", ADDRESS(INDEX($Q$2:$Q$1001,MATCH(ROWS($O$2:O486),$O$2:$O$1001,0),0), INDEX($V$1004:$AE$1004,1,MATCH(COLUMNS($V$1006:W1006),$V$1006:$AE$1006,0)))),"Fix")))</f>
        <v>0</v>
      </c>
      <c r="D486" s="4">
        <f>IF(OR(INDEX($P$2:$P$1001,MATCH(ROWS($O$2:O486),$O$2:$O$1001,0),1)&gt;=100000,INDEX($V$1005:$AE$1005,1,MATCH(COLUMNS($V$1006:X1006),$V$1006:$AE$1006,0))&gt;=100000), " ",IF(INDEX($V$2:$AE$1001,MATCH(ROWS($O$2:O486),$O$2:$O$1001,0),MATCH(COLUMNS($V$1006:X1006),$V$1006:$AE$1006,0)), HYPERLINK("#",""), HYPERLINK(CONCATENATE("#Metadata!", ADDRESS(INDEX($Q$2:$Q$1001,MATCH(ROWS($O$2:O486),$O$2:$O$1001,0),0), INDEX($V$1004:$AE$1004,1,MATCH(COLUMNS($V$1006:X1006),$V$1006:$AE$1006,0)))),"Fix")))</f>
        <v>0</v>
      </c>
      <c r="E486" s="4">
        <f>IF(OR(INDEX($P$2:$P$1001,MATCH(ROWS($O$2:O486),$O$2:$O$1001,0),1)&gt;=100000,INDEX($V$1005:$AE$1005,1,MATCH(COLUMNS($V$1006:Y1006),$V$1006:$AE$1006,0))&gt;=100000), " ",IF(INDEX($V$2:$AE$1001,MATCH(ROWS($O$2:O486),$O$2:$O$1001,0),MATCH(COLUMNS($V$1006:Y1006),$V$1006:$AE$1006,0)), HYPERLINK("#",""), HYPERLINK(CONCATENATE("#Metadata!", ADDRESS(INDEX($Q$2:$Q$1001,MATCH(ROWS($O$2:O486),$O$2:$O$1001,0),0), INDEX($V$1004:$AE$1004,1,MATCH(COLUMNS($V$1006:Y1006),$V$1006:$AE$1006,0)))),"Fix")))</f>
        <v>0</v>
      </c>
      <c r="F486" s="4">
        <f>IF(OR(INDEX($P$2:$P$1001,MATCH(ROWS($O$2:O486),$O$2:$O$1001,0),1)&gt;=100000,INDEX($V$1005:$AE$1005,1,MATCH(COLUMNS($V$1006:Z1006),$V$1006:$AE$1006,0))&gt;=100000), " ",IF(INDEX($V$2:$AE$1001,MATCH(ROWS($O$2:O486),$O$2:$O$1001,0),MATCH(COLUMNS($V$1006:Z1006),$V$1006:$AE$1006,0)), HYPERLINK("#",""), HYPERLINK(CONCATENATE("#Metadata!", ADDRESS(INDEX($Q$2:$Q$1001,MATCH(ROWS($O$2:O486),$O$2:$O$1001,0),0), INDEX($V$1004:$AE$1004,1,MATCH(COLUMNS($V$1006:Z1006),$V$1006:$AE$1006,0)))),"Fix")))</f>
        <v>0</v>
      </c>
      <c r="G486" s="4">
        <f>IF(OR(INDEX($P$2:$P$1001,MATCH(ROWS($O$2:O486),$O$2:$O$1001,0),1)&gt;=100000,INDEX($V$1005:$AE$1005,1,MATCH(COLUMNS($V$1006:AA1006),$V$1006:$AE$1006,0))&gt;=100000), " ",IF(INDEX($V$2:$AE$1001,MATCH(ROWS($O$2:O486),$O$2:$O$1001,0),MATCH(COLUMNS($V$1006:AA1006),$V$1006:$AE$1006,0)), HYPERLINK("#",""), HYPERLINK(CONCATENATE("#Metadata!", ADDRESS(INDEX($Q$2:$Q$1001,MATCH(ROWS($O$2:O486),$O$2:$O$1001,0),0), INDEX($V$1004:$AE$1004,1,MATCH(COLUMNS($V$1006:AA1006),$V$1006:$AE$1006,0)))),"Fix")))</f>
        <v>0</v>
      </c>
      <c r="H486" s="4">
        <f>IF(OR(INDEX($P$2:$P$1001,MATCH(ROWS($O$2:O486),$O$2:$O$1001,0),1)&gt;=100000,INDEX($V$1005:$AE$1005,1,MATCH(COLUMNS($V$1006:AB1006),$V$1006:$AE$1006,0))&gt;=100000), " ",IF(INDEX($V$2:$AE$1001,MATCH(ROWS($O$2:O486),$O$2:$O$1001,0),MATCH(COLUMNS($V$1006:AB1006),$V$1006:$AE$1006,0)), HYPERLINK("#",""), HYPERLINK(CONCATENATE("#Metadata!", ADDRESS(INDEX($Q$2:$Q$1001,MATCH(ROWS($O$2:O486),$O$2:$O$1001,0),0), INDEX($V$1004:$AE$1004,1,MATCH(COLUMNS($V$1006:AB1006),$V$1006:$AE$1006,0)))),"Fix")))</f>
        <v>0</v>
      </c>
      <c r="I486" s="4">
        <f>IF(OR(INDEX($P$2:$P$1001,MATCH(ROWS($O$2:O486),$O$2:$O$1001,0),1)&gt;=100000,INDEX($V$1005:$AE$1005,1,MATCH(COLUMNS($V$1006:AC1006),$V$1006:$AE$1006,0))&gt;=100000), " ",IF(INDEX($V$2:$AE$1001,MATCH(ROWS($O$2:O486),$O$2:$O$1001,0),MATCH(COLUMNS($V$1006:AC1006),$V$1006:$AE$1006,0)), HYPERLINK("#",""), HYPERLINK(CONCATENATE("#Metadata!", ADDRESS(INDEX($Q$2:$Q$1001,MATCH(ROWS($O$2:O486),$O$2:$O$1001,0),0), INDEX($V$1004:$AE$1004,1,MATCH(COLUMNS($V$1006:AC1006),$V$1006:$AE$1006,0)))),"Fix")))</f>
        <v>0</v>
      </c>
      <c r="J486" s="4">
        <f>IF(OR(INDEX($P$2:$P$1001,MATCH(ROWS($O$2:O486),$O$2:$O$1001,0),1)&gt;=100000,INDEX($V$1005:$AE$1005,1,MATCH(COLUMNS($V$1006:AD1006),$V$1006:$AE$1006,0))&gt;=100000), " ",IF(INDEX($V$2:$AE$1001,MATCH(ROWS($O$2:O486),$O$2:$O$1001,0),MATCH(COLUMNS($V$1006:AD1006),$V$1006:$AE$1006,0)), HYPERLINK("#",""), HYPERLINK(CONCATENATE("#Metadata!", ADDRESS(INDEX($Q$2:$Q$1001,MATCH(ROWS($O$2:O486),$O$2:$O$1001,0),0), INDEX($V$1004:$AE$1004,1,MATCH(COLUMNS($V$1006:AD1006),$V$1006:$AE$1006,0)))),"Fix")))</f>
        <v>0</v>
      </c>
      <c r="K486" s="4">
        <f>IF(OR(INDEX($P$2:$P$1001,MATCH(ROWS($O$2:O486),$O$2:$O$1001,0),1)&gt;=100000,INDEX($V$1005:$AE$1005,1,MATCH(COLUMNS($V$1006:AE1006),$V$1006:$AE$1006,0))&gt;=100000), " ",IF(INDEX($V$2:$AE$1001,MATCH(ROWS($O$2:O486),$O$2:$O$1001,0),MATCH(COLUMNS($V$1006:AE1006),$V$1006:$AE$1006,0)), HYPERLINK("#",""), HYPERLINK(CONCATENATE("#Metadata!", ADDRESS(INDEX($Q$2:$Q$1001,MATCH(ROWS($O$2:O486),$O$2:$O$1001,0),0), INDEX($V$1004:$AE$1004,1,MATCH(COLUMNS($V$1006:AE1006),$V$1006:$AE$1006,0)))),"Fix")))</f>
        <v>0</v>
      </c>
      <c r="O486">
        <v>0</v>
      </c>
      <c r="P486">
        <v>0</v>
      </c>
      <c r="Q486">
        <v>0</v>
      </c>
      <c r="R486">
        <f>IF(S486,TRUE,AND(V486:AE486))</f>
        <v>0</v>
      </c>
      <c r="S486">
        <f>COUNTBLANK(Metadata!B486:K486)=COLUMNS(Metadata!B486:K486)</f>
        <v>0</v>
      </c>
      <c r="T486">
        <v>0</v>
      </c>
      <c r="V486">
        <f>AND(IF(Metadata!B486="",FALSE,TRUE),COUNTIF(Metadata!B:B, Metadata!B486) = 1,NOT(ISERROR(SUMPRODUCT(SEARCH(MID(Metadata!B486,ROW(INDIRECT("1:"&amp;LEN(Metadata!B486))), 1),"0123456789abcdefghijklmnopqrstuvwxyzABCDEFGHIJKLMNOPQRSTUVWXYZ.")))))</f>
        <v>0</v>
      </c>
      <c r="W486">
        <f>AND(IF(Metadata!C486="",FALSE,TRUE),exact(Metadata!C486,"urban biome"))</f>
        <v>0</v>
      </c>
      <c r="X486">
        <f>AND(IF(Metadata!D486="",FALSE,TRUE),exact(Metadata!D486,"animal-associated habitat"))</f>
        <v>0</v>
      </c>
      <c r="Y486">
        <f>OR(AND(IF(Metadata!E486="",FALSE,TRUE),OR(exact(Metadata!E486,"not applicable"),exact(Metadata!E486,"missing: not collected"),exact(Metadata!E486,"missing: not provided"),exact(Metadata!E486,"missing: restricted access"))),AND(IF(Metadata!E486="",FALSE,ISNUMBER(VALUE(Metadata!E486))),Metadata!E486&gt;0))</f>
        <v>0</v>
      </c>
      <c r="Z486">
        <f>AND(IF(Metadata!F486="",FALSE,TRUE),exact(Metadata!F486,"weeks"))</f>
        <v>0</v>
      </c>
      <c r="AA486">
        <f>AND(IF(Metadata!G486="",FALSE,TRUE),exact(Metadata!G486,"mouse"))</f>
        <v>0</v>
      </c>
      <c r="AB486">
        <f>AND(IF(Metadata!H486="",FALSE,TRUE),exact(Metadata!H486,"Mus musculus"))</f>
        <v>0</v>
      </c>
      <c r="AC486">
        <f>AND(IF(Metadata!I486="",FALSE,TRUE),exact(Metadata!I486,"10090"))</f>
        <v>0</v>
      </c>
      <c r="AD486">
        <f>OR(AND(IF(Metadata!J486="",FALSE,TRUE),OR(exact(Metadata!J486,"not applicable"),exact(Metadata!J486,"missing: not collected"),exact(Metadata!J486,"missing: not provided"),exact(Metadata!J486,"missing: restricted access"))),AND(IF(Metadata!J486="",FALSE,ISNUMBER(VALUE(Metadata!J486))),Metadata!J486&gt;0))</f>
        <v>0</v>
      </c>
      <c r="AE486">
        <f>AND(IF(Metadata!K486="",FALSE,TRUE),exact(Metadata!K486,"g"))</f>
        <v>0</v>
      </c>
    </row>
    <row r="487" spans="1:31">
      <c r="A487" s="5">
        <f>IF(B487=" "," ",HYPERLINK(CONCATENATE("#metadata!",ADDRESS(INDEX($Q$2:$Q$1001,MATCH(ROWS($O$2:O487),$O$2:$O$1001,0),0),1)),INDEX($T$2:$T$1001,MATCH(ROWS($O$2:O487),$O$2:$O$1001,0),0)))</f>
        <v>0</v>
      </c>
      <c r="B487" s="4">
        <f>IF(OR(INDEX($P$2:$P$1001,MATCH(ROWS($O$2:O487),$O$2:$O$1001,0),1)&gt;=100000,INDEX($V$1005:$AE$1005,1,MATCH(COLUMNS($V$1006:V1006),$V$1006:$AE$1006,0))&gt;=100000), " ",IF(INDEX($V$2:$AE$1001,MATCH(ROWS($O$2:O487),$O$2:$O$1001,0),MATCH(COLUMNS($V$1006:V1006),$V$1006:$AE$1006,0)), HYPERLINK("#",""), HYPERLINK(CONCATENATE("#Metadata!", ADDRESS(INDEX($Q$2:$Q$1001,MATCH(ROWS($O$2:O487),$O$2:$O$1001,0),0), INDEX($V$1004:$AE$1004,1,MATCH(COLUMNS($V$1006:V1006),$V$1006:$AE$1006,0)))),"Fix")))</f>
        <v>0</v>
      </c>
      <c r="C487" s="4">
        <f>IF(OR(INDEX($P$2:$P$1001,MATCH(ROWS($O$2:O487),$O$2:$O$1001,0),1)&gt;=100000,INDEX($V$1005:$AE$1005,1,MATCH(COLUMNS($V$1006:W1006),$V$1006:$AE$1006,0))&gt;=100000), " ",IF(INDEX($V$2:$AE$1001,MATCH(ROWS($O$2:O487),$O$2:$O$1001,0),MATCH(COLUMNS($V$1006:W1006),$V$1006:$AE$1006,0)), HYPERLINK("#",""), HYPERLINK(CONCATENATE("#Metadata!", ADDRESS(INDEX($Q$2:$Q$1001,MATCH(ROWS($O$2:O487),$O$2:$O$1001,0),0), INDEX($V$1004:$AE$1004,1,MATCH(COLUMNS($V$1006:W1006),$V$1006:$AE$1006,0)))),"Fix")))</f>
        <v>0</v>
      </c>
      <c r="D487" s="4">
        <f>IF(OR(INDEX($P$2:$P$1001,MATCH(ROWS($O$2:O487),$O$2:$O$1001,0),1)&gt;=100000,INDEX($V$1005:$AE$1005,1,MATCH(COLUMNS($V$1006:X1006),$V$1006:$AE$1006,0))&gt;=100000), " ",IF(INDEX($V$2:$AE$1001,MATCH(ROWS($O$2:O487),$O$2:$O$1001,0),MATCH(COLUMNS($V$1006:X1006),$V$1006:$AE$1006,0)), HYPERLINK("#",""), HYPERLINK(CONCATENATE("#Metadata!", ADDRESS(INDEX($Q$2:$Q$1001,MATCH(ROWS($O$2:O487),$O$2:$O$1001,0),0), INDEX($V$1004:$AE$1004,1,MATCH(COLUMNS($V$1006:X1006),$V$1006:$AE$1006,0)))),"Fix")))</f>
        <v>0</v>
      </c>
      <c r="E487" s="4">
        <f>IF(OR(INDEX($P$2:$P$1001,MATCH(ROWS($O$2:O487),$O$2:$O$1001,0),1)&gt;=100000,INDEX($V$1005:$AE$1005,1,MATCH(COLUMNS($V$1006:Y1006),$V$1006:$AE$1006,0))&gt;=100000), " ",IF(INDEX($V$2:$AE$1001,MATCH(ROWS($O$2:O487),$O$2:$O$1001,0),MATCH(COLUMNS($V$1006:Y1006),$V$1006:$AE$1006,0)), HYPERLINK("#",""), HYPERLINK(CONCATENATE("#Metadata!", ADDRESS(INDEX($Q$2:$Q$1001,MATCH(ROWS($O$2:O487),$O$2:$O$1001,0),0), INDEX($V$1004:$AE$1004,1,MATCH(COLUMNS($V$1006:Y1006),$V$1006:$AE$1006,0)))),"Fix")))</f>
        <v>0</v>
      </c>
      <c r="F487" s="4">
        <f>IF(OR(INDEX($P$2:$P$1001,MATCH(ROWS($O$2:O487),$O$2:$O$1001,0),1)&gt;=100000,INDEX($V$1005:$AE$1005,1,MATCH(COLUMNS($V$1006:Z1006),$V$1006:$AE$1006,0))&gt;=100000), " ",IF(INDEX($V$2:$AE$1001,MATCH(ROWS($O$2:O487),$O$2:$O$1001,0),MATCH(COLUMNS($V$1006:Z1006),$V$1006:$AE$1006,0)), HYPERLINK("#",""), HYPERLINK(CONCATENATE("#Metadata!", ADDRESS(INDEX($Q$2:$Q$1001,MATCH(ROWS($O$2:O487),$O$2:$O$1001,0),0), INDEX($V$1004:$AE$1004,1,MATCH(COLUMNS($V$1006:Z1006),$V$1006:$AE$1006,0)))),"Fix")))</f>
        <v>0</v>
      </c>
      <c r="G487" s="4">
        <f>IF(OR(INDEX($P$2:$P$1001,MATCH(ROWS($O$2:O487),$O$2:$O$1001,0),1)&gt;=100000,INDEX($V$1005:$AE$1005,1,MATCH(COLUMNS($V$1006:AA1006),$V$1006:$AE$1006,0))&gt;=100000), " ",IF(INDEX($V$2:$AE$1001,MATCH(ROWS($O$2:O487),$O$2:$O$1001,0),MATCH(COLUMNS($V$1006:AA1006),$V$1006:$AE$1006,0)), HYPERLINK("#",""), HYPERLINK(CONCATENATE("#Metadata!", ADDRESS(INDEX($Q$2:$Q$1001,MATCH(ROWS($O$2:O487),$O$2:$O$1001,0),0), INDEX($V$1004:$AE$1004,1,MATCH(COLUMNS($V$1006:AA1006),$V$1006:$AE$1006,0)))),"Fix")))</f>
        <v>0</v>
      </c>
      <c r="H487" s="4">
        <f>IF(OR(INDEX($P$2:$P$1001,MATCH(ROWS($O$2:O487),$O$2:$O$1001,0),1)&gt;=100000,INDEX($V$1005:$AE$1005,1,MATCH(COLUMNS($V$1006:AB1006),$V$1006:$AE$1006,0))&gt;=100000), " ",IF(INDEX($V$2:$AE$1001,MATCH(ROWS($O$2:O487),$O$2:$O$1001,0),MATCH(COLUMNS($V$1006:AB1006),$V$1006:$AE$1006,0)), HYPERLINK("#",""), HYPERLINK(CONCATENATE("#Metadata!", ADDRESS(INDEX($Q$2:$Q$1001,MATCH(ROWS($O$2:O487),$O$2:$O$1001,0),0), INDEX($V$1004:$AE$1004,1,MATCH(COLUMNS($V$1006:AB1006),$V$1006:$AE$1006,0)))),"Fix")))</f>
        <v>0</v>
      </c>
      <c r="I487" s="4">
        <f>IF(OR(INDEX($P$2:$P$1001,MATCH(ROWS($O$2:O487),$O$2:$O$1001,0),1)&gt;=100000,INDEX($V$1005:$AE$1005,1,MATCH(COLUMNS($V$1006:AC1006),$V$1006:$AE$1006,0))&gt;=100000), " ",IF(INDEX($V$2:$AE$1001,MATCH(ROWS($O$2:O487),$O$2:$O$1001,0),MATCH(COLUMNS($V$1006:AC1006),$V$1006:$AE$1006,0)), HYPERLINK("#",""), HYPERLINK(CONCATENATE("#Metadata!", ADDRESS(INDEX($Q$2:$Q$1001,MATCH(ROWS($O$2:O487),$O$2:$O$1001,0),0), INDEX($V$1004:$AE$1004,1,MATCH(COLUMNS($V$1006:AC1006),$V$1006:$AE$1006,0)))),"Fix")))</f>
        <v>0</v>
      </c>
      <c r="J487" s="4">
        <f>IF(OR(INDEX($P$2:$P$1001,MATCH(ROWS($O$2:O487),$O$2:$O$1001,0),1)&gt;=100000,INDEX($V$1005:$AE$1005,1,MATCH(COLUMNS($V$1006:AD1006),$V$1006:$AE$1006,0))&gt;=100000), " ",IF(INDEX($V$2:$AE$1001,MATCH(ROWS($O$2:O487),$O$2:$O$1001,0),MATCH(COLUMNS($V$1006:AD1006),$V$1006:$AE$1006,0)), HYPERLINK("#",""), HYPERLINK(CONCATENATE("#Metadata!", ADDRESS(INDEX($Q$2:$Q$1001,MATCH(ROWS($O$2:O487),$O$2:$O$1001,0),0), INDEX($V$1004:$AE$1004,1,MATCH(COLUMNS($V$1006:AD1006),$V$1006:$AE$1006,0)))),"Fix")))</f>
        <v>0</v>
      </c>
      <c r="K487" s="4">
        <f>IF(OR(INDEX($P$2:$P$1001,MATCH(ROWS($O$2:O487),$O$2:$O$1001,0),1)&gt;=100000,INDEX($V$1005:$AE$1005,1,MATCH(COLUMNS($V$1006:AE1006),$V$1006:$AE$1006,0))&gt;=100000), " ",IF(INDEX($V$2:$AE$1001,MATCH(ROWS($O$2:O487),$O$2:$O$1001,0),MATCH(COLUMNS($V$1006:AE1006),$V$1006:$AE$1006,0)), HYPERLINK("#",""), HYPERLINK(CONCATENATE("#Metadata!", ADDRESS(INDEX($Q$2:$Q$1001,MATCH(ROWS($O$2:O487),$O$2:$O$1001,0),0), INDEX($V$1004:$AE$1004,1,MATCH(COLUMNS($V$1006:AE1006),$V$1006:$AE$1006,0)))),"Fix")))</f>
        <v>0</v>
      </c>
      <c r="O487">
        <v>0</v>
      </c>
      <c r="P487">
        <v>0</v>
      </c>
      <c r="Q487">
        <v>0</v>
      </c>
      <c r="R487">
        <f>IF(S487,TRUE,AND(V487:AE487))</f>
        <v>0</v>
      </c>
      <c r="S487">
        <f>COUNTBLANK(Metadata!B487:K487)=COLUMNS(Metadata!B487:K487)</f>
        <v>0</v>
      </c>
      <c r="T487">
        <v>0</v>
      </c>
      <c r="V487">
        <f>AND(IF(Metadata!B487="",FALSE,TRUE),COUNTIF(Metadata!B:B, Metadata!B487) = 1,NOT(ISERROR(SUMPRODUCT(SEARCH(MID(Metadata!B487,ROW(INDIRECT("1:"&amp;LEN(Metadata!B487))), 1),"0123456789abcdefghijklmnopqrstuvwxyzABCDEFGHIJKLMNOPQRSTUVWXYZ.")))))</f>
        <v>0</v>
      </c>
      <c r="W487">
        <f>AND(IF(Metadata!C487="",FALSE,TRUE),exact(Metadata!C487,"urban biome"))</f>
        <v>0</v>
      </c>
      <c r="X487">
        <f>AND(IF(Metadata!D487="",FALSE,TRUE),exact(Metadata!D487,"animal-associated habitat"))</f>
        <v>0</v>
      </c>
      <c r="Y487">
        <f>OR(AND(IF(Metadata!E487="",FALSE,TRUE),OR(exact(Metadata!E487,"not applicable"),exact(Metadata!E487,"missing: not collected"),exact(Metadata!E487,"missing: not provided"),exact(Metadata!E487,"missing: restricted access"))),AND(IF(Metadata!E487="",FALSE,ISNUMBER(VALUE(Metadata!E487))),Metadata!E487&gt;0))</f>
        <v>0</v>
      </c>
      <c r="Z487">
        <f>AND(IF(Metadata!F487="",FALSE,TRUE),exact(Metadata!F487,"weeks"))</f>
        <v>0</v>
      </c>
      <c r="AA487">
        <f>AND(IF(Metadata!G487="",FALSE,TRUE),exact(Metadata!G487,"mouse"))</f>
        <v>0</v>
      </c>
      <c r="AB487">
        <f>AND(IF(Metadata!H487="",FALSE,TRUE),exact(Metadata!H487,"Mus musculus"))</f>
        <v>0</v>
      </c>
      <c r="AC487">
        <f>AND(IF(Metadata!I487="",FALSE,TRUE),exact(Metadata!I487,"10090"))</f>
        <v>0</v>
      </c>
      <c r="AD487">
        <f>OR(AND(IF(Metadata!J487="",FALSE,TRUE),OR(exact(Metadata!J487,"not applicable"),exact(Metadata!J487,"missing: not collected"),exact(Metadata!J487,"missing: not provided"),exact(Metadata!J487,"missing: restricted access"))),AND(IF(Metadata!J487="",FALSE,ISNUMBER(VALUE(Metadata!J487))),Metadata!J487&gt;0))</f>
        <v>0</v>
      </c>
      <c r="AE487">
        <f>AND(IF(Metadata!K487="",FALSE,TRUE),exact(Metadata!K487,"g"))</f>
        <v>0</v>
      </c>
    </row>
    <row r="488" spans="1:31">
      <c r="A488" s="5">
        <f>IF(B488=" "," ",HYPERLINK(CONCATENATE("#metadata!",ADDRESS(INDEX($Q$2:$Q$1001,MATCH(ROWS($O$2:O488),$O$2:$O$1001,0),0),1)),INDEX($T$2:$T$1001,MATCH(ROWS($O$2:O488),$O$2:$O$1001,0),0)))</f>
        <v>0</v>
      </c>
      <c r="B488" s="4">
        <f>IF(OR(INDEX($P$2:$P$1001,MATCH(ROWS($O$2:O488),$O$2:$O$1001,0),1)&gt;=100000,INDEX($V$1005:$AE$1005,1,MATCH(COLUMNS($V$1006:V1006),$V$1006:$AE$1006,0))&gt;=100000), " ",IF(INDEX($V$2:$AE$1001,MATCH(ROWS($O$2:O488),$O$2:$O$1001,0),MATCH(COLUMNS($V$1006:V1006),$V$1006:$AE$1006,0)), HYPERLINK("#",""), HYPERLINK(CONCATENATE("#Metadata!", ADDRESS(INDEX($Q$2:$Q$1001,MATCH(ROWS($O$2:O488),$O$2:$O$1001,0),0), INDEX($V$1004:$AE$1004,1,MATCH(COLUMNS($V$1006:V1006),$V$1006:$AE$1006,0)))),"Fix")))</f>
        <v>0</v>
      </c>
      <c r="C488" s="4">
        <f>IF(OR(INDEX($P$2:$P$1001,MATCH(ROWS($O$2:O488),$O$2:$O$1001,0),1)&gt;=100000,INDEX($V$1005:$AE$1005,1,MATCH(COLUMNS($V$1006:W1006),$V$1006:$AE$1006,0))&gt;=100000), " ",IF(INDEX($V$2:$AE$1001,MATCH(ROWS($O$2:O488),$O$2:$O$1001,0),MATCH(COLUMNS($V$1006:W1006),$V$1006:$AE$1006,0)), HYPERLINK("#",""), HYPERLINK(CONCATENATE("#Metadata!", ADDRESS(INDEX($Q$2:$Q$1001,MATCH(ROWS($O$2:O488),$O$2:$O$1001,0),0), INDEX($V$1004:$AE$1004,1,MATCH(COLUMNS($V$1006:W1006),$V$1006:$AE$1006,0)))),"Fix")))</f>
        <v>0</v>
      </c>
      <c r="D488" s="4">
        <f>IF(OR(INDEX($P$2:$P$1001,MATCH(ROWS($O$2:O488),$O$2:$O$1001,0),1)&gt;=100000,INDEX($V$1005:$AE$1005,1,MATCH(COLUMNS($V$1006:X1006),$V$1006:$AE$1006,0))&gt;=100000), " ",IF(INDEX($V$2:$AE$1001,MATCH(ROWS($O$2:O488),$O$2:$O$1001,0),MATCH(COLUMNS($V$1006:X1006),$V$1006:$AE$1006,0)), HYPERLINK("#",""), HYPERLINK(CONCATENATE("#Metadata!", ADDRESS(INDEX($Q$2:$Q$1001,MATCH(ROWS($O$2:O488),$O$2:$O$1001,0),0), INDEX($V$1004:$AE$1004,1,MATCH(COLUMNS($V$1006:X1006),$V$1006:$AE$1006,0)))),"Fix")))</f>
        <v>0</v>
      </c>
      <c r="E488" s="4">
        <f>IF(OR(INDEX($P$2:$P$1001,MATCH(ROWS($O$2:O488),$O$2:$O$1001,0),1)&gt;=100000,INDEX($V$1005:$AE$1005,1,MATCH(COLUMNS($V$1006:Y1006),$V$1006:$AE$1006,0))&gt;=100000), " ",IF(INDEX($V$2:$AE$1001,MATCH(ROWS($O$2:O488),$O$2:$O$1001,0),MATCH(COLUMNS($V$1006:Y1006),$V$1006:$AE$1006,0)), HYPERLINK("#",""), HYPERLINK(CONCATENATE("#Metadata!", ADDRESS(INDEX($Q$2:$Q$1001,MATCH(ROWS($O$2:O488),$O$2:$O$1001,0),0), INDEX($V$1004:$AE$1004,1,MATCH(COLUMNS($V$1006:Y1006),$V$1006:$AE$1006,0)))),"Fix")))</f>
        <v>0</v>
      </c>
      <c r="F488" s="4">
        <f>IF(OR(INDEX($P$2:$P$1001,MATCH(ROWS($O$2:O488),$O$2:$O$1001,0),1)&gt;=100000,INDEX($V$1005:$AE$1005,1,MATCH(COLUMNS($V$1006:Z1006),$V$1006:$AE$1006,0))&gt;=100000), " ",IF(INDEX($V$2:$AE$1001,MATCH(ROWS($O$2:O488),$O$2:$O$1001,0),MATCH(COLUMNS($V$1006:Z1006),$V$1006:$AE$1006,0)), HYPERLINK("#",""), HYPERLINK(CONCATENATE("#Metadata!", ADDRESS(INDEX($Q$2:$Q$1001,MATCH(ROWS($O$2:O488),$O$2:$O$1001,0),0), INDEX($V$1004:$AE$1004,1,MATCH(COLUMNS($V$1006:Z1006),$V$1006:$AE$1006,0)))),"Fix")))</f>
        <v>0</v>
      </c>
      <c r="G488" s="4">
        <f>IF(OR(INDEX($P$2:$P$1001,MATCH(ROWS($O$2:O488),$O$2:$O$1001,0),1)&gt;=100000,INDEX($V$1005:$AE$1005,1,MATCH(COLUMNS($V$1006:AA1006),$V$1006:$AE$1006,0))&gt;=100000), " ",IF(INDEX($V$2:$AE$1001,MATCH(ROWS($O$2:O488),$O$2:$O$1001,0),MATCH(COLUMNS($V$1006:AA1006),$V$1006:$AE$1006,0)), HYPERLINK("#",""), HYPERLINK(CONCATENATE("#Metadata!", ADDRESS(INDEX($Q$2:$Q$1001,MATCH(ROWS($O$2:O488),$O$2:$O$1001,0),0), INDEX($V$1004:$AE$1004,1,MATCH(COLUMNS($V$1006:AA1006),$V$1006:$AE$1006,0)))),"Fix")))</f>
        <v>0</v>
      </c>
      <c r="H488" s="4">
        <f>IF(OR(INDEX($P$2:$P$1001,MATCH(ROWS($O$2:O488),$O$2:$O$1001,0),1)&gt;=100000,INDEX($V$1005:$AE$1005,1,MATCH(COLUMNS($V$1006:AB1006),$V$1006:$AE$1006,0))&gt;=100000), " ",IF(INDEX($V$2:$AE$1001,MATCH(ROWS($O$2:O488),$O$2:$O$1001,0),MATCH(COLUMNS($V$1006:AB1006),$V$1006:$AE$1006,0)), HYPERLINK("#",""), HYPERLINK(CONCATENATE("#Metadata!", ADDRESS(INDEX($Q$2:$Q$1001,MATCH(ROWS($O$2:O488),$O$2:$O$1001,0),0), INDEX($V$1004:$AE$1004,1,MATCH(COLUMNS($V$1006:AB1006),$V$1006:$AE$1006,0)))),"Fix")))</f>
        <v>0</v>
      </c>
      <c r="I488" s="4">
        <f>IF(OR(INDEX($P$2:$P$1001,MATCH(ROWS($O$2:O488),$O$2:$O$1001,0),1)&gt;=100000,INDEX($V$1005:$AE$1005,1,MATCH(COLUMNS($V$1006:AC1006),$V$1006:$AE$1006,0))&gt;=100000), " ",IF(INDEX($V$2:$AE$1001,MATCH(ROWS($O$2:O488),$O$2:$O$1001,0),MATCH(COLUMNS($V$1006:AC1006),$V$1006:$AE$1006,0)), HYPERLINK("#",""), HYPERLINK(CONCATENATE("#Metadata!", ADDRESS(INDEX($Q$2:$Q$1001,MATCH(ROWS($O$2:O488),$O$2:$O$1001,0),0), INDEX($V$1004:$AE$1004,1,MATCH(COLUMNS($V$1006:AC1006),$V$1006:$AE$1006,0)))),"Fix")))</f>
        <v>0</v>
      </c>
      <c r="J488" s="4">
        <f>IF(OR(INDEX($P$2:$P$1001,MATCH(ROWS($O$2:O488),$O$2:$O$1001,0),1)&gt;=100000,INDEX($V$1005:$AE$1005,1,MATCH(COLUMNS($V$1006:AD1006),$V$1006:$AE$1006,0))&gt;=100000), " ",IF(INDEX($V$2:$AE$1001,MATCH(ROWS($O$2:O488),$O$2:$O$1001,0),MATCH(COLUMNS($V$1006:AD1006),$V$1006:$AE$1006,0)), HYPERLINK("#",""), HYPERLINK(CONCATENATE("#Metadata!", ADDRESS(INDEX($Q$2:$Q$1001,MATCH(ROWS($O$2:O488),$O$2:$O$1001,0),0), INDEX($V$1004:$AE$1004,1,MATCH(COLUMNS($V$1006:AD1006),$V$1006:$AE$1006,0)))),"Fix")))</f>
        <v>0</v>
      </c>
      <c r="K488" s="4">
        <f>IF(OR(INDEX($P$2:$P$1001,MATCH(ROWS($O$2:O488),$O$2:$O$1001,0),1)&gt;=100000,INDEX($V$1005:$AE$1005,1,MATCH(COLUMNS($V$1006:AE1006),$V$1006:$AE$1006,0))&gt;=100000), " ",IF(INDEX($V$2:$AE$1001,MATCH(ROWS($O$2:O488),$O$2:$O$1001,0),MATCH(COLUMNS($V$1006:AE1006),$V$1006:$AE$1006,0)), HYPERLINK("#",""), HYPERLINK(CONCATENATE("#Metadata!", ADDRESS(INDEX($Q$2:$Q$1001,MATCH(ROWS($O$2:O488),$O$2:$O$1001,0),0), INDEX($V$1004:$AE$1004,1,MATCH(COLUMNS($V$1006:AE1006),$V$1006:$AE$1006,0)))),"Fix")))</f>
        <v>0</v>
      </c>
      <c r="O488">
        <v>0</v>
      </c>
      <c r="P488">
        <v>0</v>
      </c>
      <c r="Q488">
        <v>0</v>
      </c>
      <c r="R488">
        <f>IF(S488,TRUE,AND(V488:AE488))</f>
        <v>0</v>
      </c>
      <c r="S488">
        <f>COUNTBLANK(Metadata!B488:K488)=COLUMNS(Metadata!B488:K488)</f>
        <v>0</v>
      </c>
      <c r="T488">
        <v>0</v>
      </c>
      <c r="V488">
        <f>AND(IF(Metadata!B488="",FALSE,TRUE),COUNTIF(Metadata!B:B, Metadata!B488) = 1,NOT(ISERROR(SUMPRODUCT(SEARCH(MID(Metadata!B488,ROW(INDIRECT("1:"&amp;LEN(Metadata!B488))), 1),"0123456789abcdefghijklmnopqrstuvwxyzABCDEFGHIJKLMNOPQRSTUVWXYZ.")))))</f>
        <v>0</v>
      </c>
      <c r="W488">
        <f>AND(IF(Metadata!C488="",FALSE,TRUE),exact(Metadata!C488,"urban biome"))</f>
        <v>0</v>
      </c>
      <c r="X488">
        <f>AND(IF(Metadata!D488="",FALSE,TRUE),exact(Metadata!D488,"animal-associated habitat"))</f>
        <v>0</v>
      </c>
      <c r="Y488">
        <f>OR(AND(IF(Metadata!E488="",FALSE,TRUE),OR(exact(Metadata!E488,"not applicable"),exact(Metadata!E488,"missing: not collected"),exact(Metadata!E488,"missing: not provided"),exact(Metadata!E488,"missing: restricted access"))),AND(IF(Metadata!E488="",FALSE,ISNUMBER(VALUE(Metadata!E488))),Metadata!E488&gt;0))</f>
        <v>0</v>
      </c>
      <c r="Z488">
        <f>AND(IF(Metadata!F488="",FALSE,TRUE),exact(Metadata!F488,"weeks"))</f>
        <v>0</v>
      </c>
      <c r="AA488">
        <f>AND(IF(Metadata!G488="",FALSE,TRUE),exact(Metadata!G488,"mouse"))</f>
        <v>0</v>
      </c>
      <c r="AB488">
        <f>AND(IF(Metadata!H488="",FALSE,TRUE),exact(Metadata!H488,"Mus musculus"))</f>
        <v>0</v>
      </c>
      <c r="AC488">
        <f>AND(IF(Metadata!I488="",FALSE,TRUE),exact(Metadata!I488,"10090"))</f>
        <v>0</v>
      </c>
      <c r="AD488">
        <f>OR(AND(IF(Metadata!J488="",FALSE,TRUE),OR(exact(Metadata!J488,"not applicable"),exact(Metadata!J488,"missing: not collected"),exact(Metadata!J488,"missing: not provided"),exact(Metadata!J488,"missing: restricted access"))),AND(IF(Metadata!J488="",FALSE,ISNUMBER(VALUE(Metadata!J488))),Metadata!J488&gt;0))</f>
        <v>0</v>
      </c>
      <c r="AE488">
        <f>AND(IF(Metadata!K488="",FALSE,TRUE),exact(Metadata!K488,"g"))</f>
        <v>0</v>
      </c>
    </row>
    <row r="489" spans="1:31">
      <c r="A489" s="5">
        <f>IF(B489=" "," ",HYPERLINK(CONCATENATE("#metadata!",ADDRESS(INDEX($Q$2:$Q$1001,MATCH(ROWS($O$2:O489),$O$2:$O$1001,0),0),1)),INDEX($T$2:$T$1001,MATCH(ROWS($O$2:O489),$O$2:$O$1001,0),0)))</f>
        <v>0</v>
      </c>
      <c r="B489" s="4">
        <f>IF(OR(INDEX($P$2:$P$1001,MATCH(ROWS($O$2:O489),$O$2:$O$1001,0),1)&gt;=100000,INDEX($V$1005:$AE$1005,1,MATCH(COLUMNS($V$1006:V1006),$V$1006:$AE$1006,0))&gt;=100000), " ",IF(INDEX($V$2:$AE$1001,MATCH(ROWS($O$2:O489),$O$2:$O$1001,0),MATCH(COLUMNS($V$1006:V1006),$V$1006:$AE$1006,0)), HYPERLINK("#",""), HYPERLINK(CONCATENATE("#Metadata!", ADDRESS(INDEX($Q$2:$Q$1001,MATCH(ROWS($O$2:O489),$O$2:$O$1001,0),0), INDEX($V$1004:$AE$1004,1,MATCH(COLUMNS($V$1006:V1006),$V$1006:$AE$1006,0)))),"Fix")))</f>
        <v>0</v>
      </c>
      <c r="C489" s="4">
        <f>IF(OR(INDEX($P$2:$P$1001,MATCH(ROWS($O$2:O489),$O$2:$O$1001,0),1)&gt;=100000,INDEX($V$1005:$AE$1005,1,MATCH(COLUMNS($V$1006:W1006),$V$1006:$AE$1006,0))&gt;=100000), " ",IF(INDEX($V$2:$AE$1001,MATCH(ROWS($O$2:O489),$O$2:$O$1001,0),MATCH(COLUMNS($V$1006:W1006),$V$1006:$AE$1006,0)), HYPERLINK("#",""), HYPERLINK(CONCATENATE("#Metadata!", ADDRESS(INDEX($Q$2:$Q$1001,MATCH(ROWS($O$2:O489),$O$2:$O$1001,0),0), INDEX($V$1004:$AE$1004,1,MATCH(COLUMNS($V$1006:W1006),$V$1006:$AE$1006,0)))),"Fix")))</f>
        <v>0</v>
      </c>
      <c r="D489" s="4">
        <f>IF(OR(INDEX($P$2:$P$1001,MATCH(ROWS($O$2:O489),$O$2:$O$1001,0),1)&gt;=100000,INDEX($V$1005:$AE$1005,1,MATCH(COLUMNS($V$1006:X1006),$V$1006:$AE$1006,0))&gt;=100000), " ",IF(INDEX($V$2:$AE$1001,MATCH(ROWS($O$2:O489),$O$2:$O$1001,0),MATCH(COLUMNS($V$1006:X1006),$V$1006:$AE$1006,0)), HYPERLINK("#",""), HYPERLINK(CONCATENATE("#Metadata!", ADDRESS(INDEX($Q$2:$Q$1001,MATCH(ROWS($O$2:O489),$O$2:$O$1001,0),0), INDEX($V$1004:$AE$1004,1,MATCH(COLUMNS($V$1006:X1006),$V$1006:$AE$1006,0)))),"Fix")))</f>
        <v>0</v>
      </c>
      <c r="E489" s="4">
        <f>IF(OR(INDEX($P$2:$P$1001,MATCH(ROWS($O$2:O489),$O$2:$O$1001,0),1)&gt;=100000,INDEX($V$1005:$AE$1005,1,MATCH(COLUMNS($V$1006:Y1006),$V$1006:$AE$1006,0))&gt;=100000), " ",IF(INDEX($V$2:$AE$1001,MATCH(ROWS($O$2:O489),$O$2:$O$1001,0),MATCH(COLUMNS($V$1006:Y1006),$V$1006:$AE$1006,0)), HYPERLINK("#",""), HYPERLINK(CONCATENATE("#Metadata!", ADDRESS(INDEX($Q$2:$Q$1001,MATCH(ROWS($O$2:O489),$O$2:$O$1001,0),0), INDEX($V$1004:$AE$1004,1,MATCH(COLUMNS($V$1006:Y1006),$V$1006:$AE$1006,0)))),"Fix")))</f>
        <v>0</v>
      </c>
      <c r="F489" s="4">
        <f>IF(OR(INDEX($P$2:$P$1001,MATCH(ROWS($O$2:O489),$O$2:$O$1001,0),1)&gt;=100000,INDEX($V$1005:$AE$1005,1,MATCH(COLUMNS($V$1006:Z1006),$V$1006:$AE$1006,0))&gt;=100000), " ",IF(INDEX($V$2:$AE$1001,MATCH(ROWS($O$2:O489),$O$2:$O$1001,0),MATCH(COLUMNS($V$1006:Z1006),$V$1006:$AE$1006,0)), HYPERLINK("#",""), HYPERLINK(CONCATENATE("#Metadata!", ADDRESS(INDEX($Q$2:$Q$1001,MATCH(ROWS($O$2:O489),$O$2:$O$1001,0),0), INDEX($V$1004:$AE$1004,1,MATCH(COLUMNS($V$1006:Z1006),$V$1006:$AE$1006,0)))),"Fix")))</f>
        <v>0</v>
      </c>
      <c r="G489" s="4">
        <f>IF(OR(INDEX($P$2:$P$1001,MATCH(ROWS($O$2:O489),$O$2:$O$1001,0),1)&gt;=100000,INDEX($V$1005:$AE$1005,1,MATCH(COLUMNS($V$1006:AA1006),$V$1006:$AE$1006,0))&gt;=100000), " ",IF(INDEX($V$2:$AE$1001,MATCH(ROWS($O$2:O489),$O$2:$O$1001,0),MATCH(COLUMNS($V$1006:AA1006),$V$1006:$AE$1006,0)), HYPERLINK("#",""), HYPERLINK(CONCATENATE("#Metadata!", ADDRESS(INDEX($Q$2:$Q$1001,MATCH(ROWS($O$2:O489),$O$2:$O$1001,0),0), INDEX($V$1004:$AE$1004,1,MATCH(COLUMNS($V$1006:AA1006),$V$1006:$AE$1006,0)))),"Fix")))</f>
        <v>0</v>
      </c>
      <c r="H489" s="4">
        <f>IF(OR(INDEX($P$2:$P$1001,MATCH(ROWS($O$2:O489),$O$2:$O$1001,0),1)&gt;=100000,INDEX($V$1005:$AE$1005,1,MATCH(COLUMNS($V$1006:AB1006),$V$1006:$AE$1006,0))&gt;=100000), " ",IF(INDEX($V$2:$AE$1001,MATCH(ROWS($O$2:O489),$O$2:$O$1001,0),MATCH(COLUMNS($V$1006:AB1006),$V$1006:$AE$1006,0)), HYPERLINK("#",""), HYPERLINK(CONCATENATE("#Metadata!", ADDRESS(INDEX($Q$2:$Q$1001,MATCH(ROWS($O$2:O489),$O$2:$O$1001,0),0), INDEX($V$1004:$AE$1004,1,MATCH(COLUMNS($V$1006:AB1006),$V$1006:$AE$1006,0)))),"Fix")))</f>
        <v>0</v>
      </c>
      <c r="I489" s="4">
        <f>IF(OR(INDEX($P$2:$P$1001,MATCH(ROWS($O$2:O489),$O$2:$O$1001,0),1)&gt;=100000,INDEX($V$1005:$AE$1005,1,MATCH(COLUMNS($V$1006:AC1006),$V$1006:$AE$1006,0))&gt;=100000), " ",IF(INDEX($V$2:$AE$1001,MATCH(ROWS($O$2:O489),$O$2:$O$1001,0),MATCH(COLUMNS($V$1006:AC1006),$V$1006:$AE$1006,0)), HYPERLINK("#",""), HYPERLINK(CONCATENATE("#Metadata!", ADDRESS(INDEX($Q$2:$Q$1001,MATCH(ROWS($O$2:O489),$O$2:$O$1001,0),0), INDEX($V$1004:$AE$1004,1,MATCH(COLUMNS($V$1006:AC1006),$V$1006:$AE$1006,0)))),"Fix")))</f>
        <v>0</v>
      </c>
      <c r="J489" s="4">
        <f>IF(OR(INDEX($P$2:$P$1001,MATCH(ROWS($O$2:O489),$O$2:$O$1001,0),1)&gt;=100000,INDEX($V$1005:$AE$1005,1,MATCH(COLUMNS($V$1006:AD1006),$V$1006:$AE$1006,0))&gt;=100000), " ",IF(INDEX($V$2:$AE$1001,MATCH(ROWS($O$2:O489),$O$2:$O$1001,0),MATCH(COLUMNS($V$1006:AD1006),$V$1006:$AE$1006,0)), HYPERLINK("#",""), HYPERLINK(CONCATENATE("#Metadata!", ADDRESS(INDEX($Q$2:$Q$1001,MATCH(ROWS($O$2:O489),$O$2:$O$1001,0),0), INDEX($V$1004:$AE$1004,1,MATCH(COLUMNS($V$1006:AD1006),$V$1006:$AE$1006,0)))),"Fix")))</f>
        <v>0</v>
      </c>
      <c r="K489" s="4">
        <f>IF(OR(INDEX($P$2:$P$1001,MATCH(ROWS($O$2:O489),$O$2:$O$1001,0),1)&gt;=100000,INDEX($V$1005:$AE$1005,1,MATCH(COLUMNS($V$1006:AE1006),$V$1006:$AE$1006,0))&gt;=100000), " ",IF(INDEX($V$2:$AE$1001,MATCH(ROWS($O$2:O489),$O$2:$O$1001,0),MATCH(COLUMNS($V$1006:AE1006),$V$1006:$AE$1006,0)), HYPERLINK("#",""), HYPERLINK(CONCATENATE("#Metadata!", ADDRESS(INDEX($Q$2:$Q$1001,MATCH(ROWS($O$2:O489),$O$2:$O$1001,0),0), INDEX($V$1004:$AE$1004,1,MATCH(COLUMNS($V$1006:AE1006),$V$1006:$AE$1006,0)))),"Fix")))</f>
        <v>0</v>
      </c>
      <c r="O489">
        <v>0</v>
      </c>
      <c r="P489">
        <v>0</v>
      </c>
      <c r="Q489">
        <v>0</v>
      </c>
      <c r="R489">
        <f>IF(S489,TRUE,AND(V489:AE489))</f>
        <v>0</v>
      </c>
      <c r="S489">
        <f>COUNTBLANK(Metadata!B489:K489)=COLUMNS(Metadata!B489:K489)</f>
        <v>0</v>
      </c>
      <c r="T489">
        <v>0</v>
      </c>
      <c r="V489">
        <f>AND(IF(Metadata!B489="",FALSE,TRUE),COUNTIF(Metadata!B:B, Metadata!B489) = 1,NOT(ISERROR(SUMPRODUCT(SEARCH(MID(Metadata!B489,ROW(INDIRECT("1:"&amp;LEN(Metadata!B489))), 1),"0123456789abcdefghijklmnopqrstuvwxyzABCDEFGHIJKLMNOPQRSTUVWXYZ.")))))</f>
        <v>0</v>
      </c>
      <c r="W489">
        <f>AND(IF(Metadata!C489="",FALSE,TRUE),exact(Metadata!C489,"urban biome"))</f>
        <v>0</v>
      </c>
      <c r="X489">
        <f>AND(IF(Metadata!D489="",FALSE,TRUE),exact(Metadata!D489,"animal-associated habitat"))</f>
        <v>0</v>
      </c>
      <c r="Y489">
        <f>OR(AND(IF(Metadata!E489="",FALSE,TRUE),OR(exact(Metadata!E489,"not applicable"),exact(Metadata!E489,"missing: not collected"),exact(Metadata!E489,"missing: not provided"),exact(Metadata!E489,"missing: restricted access"))),AND(IF(Metadata!E489="",FALSE,ISNUMBER(VALUE(Metadata!E489))),Metadata!E489&gt;0))</f>
        <v>0</v>
      </c>
      <c r="Z489">
        <f>AND(IF(Metadata!F489="",FALSE,TRUE),exact(Metadata!F489,"weeks"))</f>
        <v>0</v>
      </c>
      <c r="AA489">
        <f>AND(IF(Metadata!G489="",FALSE,TRUE),exact(Metadata!G489,"mouse"))</f>
        <v>0</v>
      </c>
      <c r="AB489">
        <f>AND(IF(Metadata!H489="",FALSE,TRUE),exact(Metadata!H489,"Mus musculus"))</f>
        <v>0</v>
      </c>
      <c r="AC489">
        <f>AND(IF(Metadata!I489="",FALSE,TRUE),exact(Metadata!I489,"10090"))</f>
        <v>0</v>
      </c>
      <c r="AD489">
        <f>OR(AND(IF(Metadata!J489="",FALSE,TRUE),OR(exact(Metadata!J489,"not applicable"),exact(Metadata!J489,"missing: not collected"),exact(Metadata!J489,"missing: not provided"),exact(Metadata!J489,"missing: restricted access"))),AND(IF(Metadata!J489="",FALSE,ISNUMBER(VALUE(Metadata!J489))),Metadata!J489&gt;0))</f>
        <v>0</v>
      </c>
      <c r="AE489">
        <f>AND(IF(Metadata!K489="",FALSE,TRUE),exact(Metadata!K489,"g"))</f>
        <v>0</v>
      </c>
    </row>
    <row r="490" spans="1:31">
      <c r="A490" s="5">
        <f>IF(B490=" "," ",HYPERLINK(CONCATENATE("#metadata!",ADDRESS(INDEX($Q$2:$Q$1001,MATCH(ROWS($O$2:O490),$O$2:$O$1001,0),0),1)),INDEX($T$2:$T$1001,MATCH(ROWS($O$2:O490),$O$2:$O$1001,0),0)))</f>
        <v>0</v>
      </c>
      <c r="B490" s="4">
        <f>IF(OR(INDEX($P$2:$P$1001,MATCH(ROWS($O$2:O490),$O$2:$O$1001,0),1)&gt;=100000,INDEX($V$1005:$AE$1005,1,MATCH(COLUMNS($V$1006:V1006),$V$1006:$AE$1006,0))&gt;=100000), " ",IF(INDEX($V$2:$AE$1001,MATCH(ROWS($O$2:O490),$O$2:$O$1001,0),MATCH(COLUMNS($V$1006:V1006),$V$1006:$AE$1006,0)), HYPERLINK("#",""), HYPERLINK(CONCATENATE("#Metadata!", ADDRESS(INDEX($Q$2:$Q$1001,MATCH(ROWS($O$2:O490),$O$2:$O$1001,0),0), INDEX($V$1004:$AE$1004,1,MATCH(COLUMNS($V$1006:V1006),$V$1006:$AE$1006,0)))),"Fix")))</f>
        <v>0</v>
      </c>
      <c r="C490" s="4">
        <f>IF(OR(INDEX($P$2:$P$1001,MATCH(ROWS($O$2:O490),$O$2:$O$1001,0),1)&gt;=100000,INDEX($V$1005:$AE$1005,1,MATCH(COLUMNS($V$1006:W1006),$V$1006:$AE$1006,0))&gt;=100000), " ",IF(INDEX($V$2:$AE$1001,MATCH(ROWS($O$2:O490),$O$2:$O$1001,0),MATCH(COLUMNS($V$1006:W1006),$V$1006:$AE$1006,0)), HYPERLINK("#",""), HYPERLINK(CONCATENATE("#Metadata!", ADDRESS(INDEX($Q$2:$Q$1001,MATCH(ROWS($O$2:O490),$O$2:$O$1001,0),0), INDEX($V$1004:$AE$1004,1,MATCH(COLUMNS($V$1006:W1006),$V$1006:$AE$1006,0)))),"Fix")))</f>
        <v>0</v>
      </c>
      <c r="D490" s="4">
        <f>IF(OR(INDEX($P$2:$P$1001,MATCH(ROWS($O$2:O490),$O$2:$O$1001,0),1)&gt;=100000,INDEX($V$1005:$AE$1005,1,MATCH(COLUMNS($V$1006:X1006),$V$1006:$AE$1006,0))&gt;=100000), " ",IF(INDEX($V$2:$AE$1001,MATCH(ROWS($O$2:O490),$O$2:$O$1001,0),MATCH(COLUMNS($V$1006:X1006),$V$1006:$AE$1006,0)), HYPERLINK("#",""), HYPERLINK(CONCATENATE("#Metadata!", ADDRESS(INDEX($Q$2:$Q$1001,MATCH(ROWS($O$2:O490),$O$2:$O$1001,0),0), INDEX($V$1004:$AE$1004,1,MATCH(COLUMNS($V$1006:X1006),$V$1006:$AE$1006,0)))),"Fix")))</f>
        <v>0</v>
      </c>
      <c r="E490" s="4">
        <f>IF(OR(INDEX($P$2:$P$1001,MATCH(ROWS($O$2:O490),$O$2:$O$1001,0),1)&gt;=100000,INDEX($V$1005:$AE$1005,1,MATCH(COLUMNS($V$1006:Y1006),$V$1006:$AE$1006,0))&gt;=100000), " ",IF(INDEX($V$2:$AE$1001,MATCH(ROWS($O$2:O490),$O$2:$O$1001,0),MATCH(COLUMNS($V$1006:Y1006),$V$1006:$AE$1006,0)), HYPERLINK("#",""), HYPERLINK(CONCATENATE("#Metadata!", ADDRESS(INDEX($Q$2:$Q$1001,MATCH(ROWS($O$2:O490),$O$2:$O$1001,0),0), INDEX($V$1004:$AE$1004,1,MATCH(COLUMNS($V$1006:Y1006),$V$1006:$AE$1006,0)))),"Fix")))</f>
        <v>0</v>
      </c>
      <c r="F490" s="4">
        <f>IF(OR(INDEX($P$2:$P$1001,MATCH(ROWS($O$2:O490),$O$2:$O$1001,0),1)&gt;=100000,INDEX($V$1005:$AE$1005,1,MATCH(COLUMNS($V$1006:Z1006),$V$1006:$AE$1006,0))&gt;=100000), " ",IF(INDEX($V$2:$AE$1001,MATCH(ROWS($O$2:O490),$O$2:$O$1001,0),MATCH(COLUMNS($V$1006:Z1006),$V$1006:$AE$1006,0)), HYPERLINK("#",""), HYPERLINK(CONCATENATE("#Metadata!", ADDRESS(INDEX($Q$2:$Q$1001,MATCH(ROWS($O$2:O490),$O$2:$O$1001,0),0), INDEX($V$1004:$AE$1004,1,MATCH(COLUMNS($V$1006:Z1006),$V$1006:$AE$1006,0)))),"Fix")))</f>
        <v>0</v>
      </c>
      <c r="G490" s="4">
        <f>IF(OR(INDEX($P$2:$P$1001,MATCH(ROWS($O$2:O490),$O$2:$O$1001,0),1)&gt;=100000,INDEX($V$1005:$AE$1005,1,MATCH(COLUMNS($V$1006:AA1006),$V$1006:$AE$1006,0))&gt;=100000), " ",IF(INDEX($V$2:$AE$1001,MATCH(ROWS($O$2:O490),$O$2:$O$1001,0),MATCH(COLUMNS($V$1006:AA1006),$V$1006:$AE$1006,0)), HYPERLINK("#",""), HYPERLINK(CONCATENATE("#Metadata!", ADDRESS(INDEX($Q$2:$Q$1001,MATCH(ROWS($O$2:O490),$O$2:$O$1001,0),0), INDEX($V$1004:$AE$1004,1,MATCH(COLUMNS($V$1006:AA1006),$V$1006:$AE$1006,0)))),"Fix")))</f>
        <v>0</v>
      </c>
      <c r="H490" s="4">
        <f>IF(OR(INDEX($P$2:$P$1001,MATCH(ROWS($O$2:O490),$O$2:$O$1001,0),1)&gt;=100000,INDEX($V$1005:$AE$1005,1,MATCH(COLUMNS($V$1006:AB1006),$V$1006:$AE$1006,0))&gt;=100000), " ",IF(INDEX($V$2:$AE$1001,MATCH(ROWS($O$2:O490),$O$2:$O$1001,0),MATCH(COLUMNS($V$1006:AB1006),$V$1006:$AE$1006,0)), HYPERLINK("#",""), HYPERLINK(CONCATENATE("#Metadata!", ADDRESS(INDEX($Q$2:$Q$1001,MATCH(ROWS($O$2:O490),$O$2:$O$1001,0),0), INDEX($V$1004:$AE$1004,1,MATCH(COLUMNS($V$1006:AB1006),$V$1006:$AE$1006,0)))),"Fix")))</f>
        <v>0</v>
      </c>
      <c r="I490" s="4">
        <f>IF(OR(INDEX($P$2:$P$1001,MATCH(ROWS($O$2:O490),$O$2:$O$1001,0),1)&gt;=100000,INDEX($V$1005:$AE$1005,1,MATCH(COLUMNS($V$1006:AC1006),$V$1006:$AE$1006,0))&gt;=100000), " ",IF(INDEX($V$2:$AE$1001,MATCH(ROWS($O$2:O490),$O$2:$O$1001,0),MATCH(COLUMNS($V$1006:AC1006),$V$1006:$AE$1006,0)), HYPERLINK("#",""), HYPERLINK(CONCATENATE("#Metadata!", ADDRESS(INDEX($Q$2:$Q$1001,MATCH(ROWS($O$2:O490),$O$2:$O$1001,0),0), INDEX($V$1004:$AE$1004,1,MATCH(COLUMNS($V$1006:AC1006),$V$1006:$AE$1006,0)))),"Fix")))</f>
        <v>0</v>
      </c>
      <c r="J490" s="4">
        <f>IF(OR(INDEX($P$2:$P$1001,MATCH(ROWS($O$2:O490),$O$2:$O$1001,0),1)&gt;=100000,INDEX($V$1005:$AE$1005,1,MATCH(COLUMNS($V$1006:AD1006),$V$1006:$AE$1006,0))&gt;=100000), " ",IF(INDEX($V$2:$AE$1001,MATCH(ROWS($O$2:O490),$O$2:$O$1001,0),MATCH(COLUMNS($V$1006:AD1006),$V$1006:$AE$1006,0)), HYPERLINK("#",""), HYPERLINK(CONCATENATE("#Metadata!", ADDRESS(INDEX($Q$2:$Q$1001,MATCH(ROWS($O$2:O490),$O$2:$O$1001,0),0), INDEX($V$1004:$AE$1004,1,MATCH(COLUMNS($V$1006:AD1006),$V$1006:$AE$1006,0)))),"Fix")))</f>
        <v>0</v>
      </c>
      <c r="K490" s="4">
        <f>IF(OR(INDEX($P$2:$P$1001,MATCH(ROWS($O$2:O490),$O$2:$O$1001,0),1)&gt;=100000,INDEX($V$1005:$AE$1005,1,MATCH(COLUMNS($V$1006:AE1006),$V$1006:$AE$1006,0))&gt;=100000), " ",IF(INDEX($V$2:$AE$1001,MATCH(ROWS($O$2:O490),$O$2:$O$1001,0),MATCH(COLUMNS($V$1006:AE1006),$V$1006:$AE$1006,0)), HYPERLINK("#",""), HYPERLINK(CONCATENATE("#Metadata!", ADDRESS(INDEX($Q$2:$Q$1001,MATCH(ROWS($O$2:O490),$O$2:$O$1001,0),0), INDEX($V$1004:$AE$1004,1,MATCH(COLUMNS($V$1006:AE1006),$V$1006:$AE$1006,0)))),"Fix")))</f>
        <v>0</v>
      </c>
      <c r="O490">
        <v>0</v>
      </c>
      <c r="P490">
        <v>0</v>
      </c>
      <c r="Q490">
        <v>0</v>
      </c>
      <c r="R490">
        <f>IF(S490,TRUE,AND(V490:AE490))</f>
        <v>0</v>
      </c>
      <c r="S490">
        <f>COUNTBLANK(Metadata!B490:K490)=COLUMNS(Metadata!B490:K490)</f>
        <v>0</v>
      </c>
      <c r="T490">
        <v>0</v>
      </c>
      <c r="V490">
        <f>AND(IF(Metadata!B490="",FALSE,TRUE),COUNTIF(Metadata!B:B, Metadata!B490) = 1,NOT(ISERROR(SUMPRODUCT(SEARCH(MID(Metadata!B490,ROW(INDIRECT("1:"&amp;LEN(Metadata!B490))), 1),"0123456789abcdefghijklmnopqrstuvwxyzABCDEFGHIJKLMNOPQRSTUVWXYZ.")))))</f>
        <v>0</v>
      </c>
      <c r="W490">
        <f>AND(IF(Metadata!C490="",FALSE,TRUE),exact(Metadata!C490,"urban biome"))</f>
        <v>0</v>
      </c>
      <c r="X490">
        <f>AND(IF(Metadata!D490="",FALSE,TRUE),exact(Metadata!D490,"animal-associated habitat"))</f>
        <v>0</v>
      </c>
      <c r="Y490">
        <f>OR(AND(IF(Metadata!E490="",FALSE,TRUE),OR(exact(Metadata!E490,"not applicable"),exact(Metadata!E490,"missing: not collected"),exact(Metadata!E490,"missing: not provided"),exact(Metadata!E490,"missing: restricted access"))),AND(IF(Metadata!E490="",FALSE,ISNUMBER(VALUE(Metadata!E490))),Metadata!E490&gt;0))</f>
        <v>0</v>
      </c>
      <c r="Z490">
        <f>AND(IF(Metadata!F490="",FALSE,TRUE),exact(Metadata!F490,"weeks"))</f>
        <v>0</v>
      </c>
      <c r="AA490">
        <f>AND(IF(Metadata!G490="",FALSE,TRUE),exact(Metadata!G490,"mouse"))</f>
        <v>0</v>
      </c>
      <c r="AB490">
        <f>AND(IF(Metadata!H490="",FALSE,TRUE),exact(Metadata!H490,"Mus musculus"))</f>
        <v>0</v>
      </c>
      <c r="AC490">
        <f>AND(IF(Metadata!I490="",FALSE,TRUE),exact(Metadata!I490,"10090"))</f>
        <v>0</v>
      </c>
      <c r="AD490">
        <f>OR(AND(IF(Metadata!J490="",FALSE,TRUE),OR(exact(Metadata!J490,"not applicable"),exact(Metadata!J490,"missing: not collected"),exact(Metadata!J490,"missing: not provided"),exact(Metadata!J490,"missing: restricted access"))),AND(IF(Metadata!J490="",FALSE,ISNUMBER(VALUE(Metadata!J490))),Metadata!J490&gt;0))</f>
        <v>0</v>
      </c>
      <c r="AE490">
        <f>AND(IF(Metadata!K490="",FALSE,TRUE),exact(Metadata!K490,"g"))</f>
        <v>0</v>
      </c>
    </row>
    <row r="491" spans="1:31">
      <c r="A491" s="5">
        <f>IF(B491=" "," ",HYPERLINK(CONCATENATE("#metadata!",ADDRESS(INDEX($Q$2:$Q$1001,MATCH(ROWS($O$2:O491),$O$2:$O$1001,0),0),1)),INDEX($T$2:$T$1001,MATCH(ROWS($O$2:O491),$O$2:$O$1001,0),0)))</f>
        <v>0</v>
      </c>
      <c r="B491" s="4">
        <f>IF(OR(INDEX($P$2:$P$1001,MATCH(ROWS($O$2:O491),$O$2:$O$1001,0),1)&gt;=100000,INDEX($V$1005:$AE$1005,1,MATCH(COLUMNS($V$1006:V1006),$V$1006:$AE$1006,0))&gt;=100000), " ",IF(INDEX($V$2:$AE$1001,MATCH(ROWS($O$2:O491),$O$2:$O$1001,0),MATCH(COLUMNS($V$1006:V1006),$V$1006:$AE$1006,0)), HYPERLINK("#",""), HYPERLINK(CONCATENATE("#Metadata!", ADDRESS(INDEX($Q$2:$Q$1001,MATCH(ROWS($O$2:O491),$O$2:$O$1001,0),0), INDEX($V$1004:$AE$1004,1,MATCH(COLUMNS($V$1006:V1006),$V$1006:$AE$1006,0)))),"Fix")))</f>
        <v>0</v>
      </c>
      <c r="C491" s="4">
        <f>IF(OR(INDEX($P$2:$P$1001,MATCH(ROWS($O$2:O491),$O$2:$O$1001,0),1)&gt;=100000,INDEX($V$1005:$AE$1005,1,MATCH(COLUMNS($V$1006:W1006),$V$1006:$AE$1006,0))&gt;=100000), " ",IF(INDEX($V$2:$AE$1001,MATCH(ROWS($O$2:O491),$O$2:$O$1001,0),MATCH(COLUMNS($V$1006:W1006),$V$1006:$AE$1006,0)), HYPERLINK("#",""), HYPERLINK(CONCATENATE("#Metadata!", ADDRESS(INDEX($Q$2:$Q$1001,MATCH(ROWS($O$2:O491),$O$2:$O$1001,0),0), INDEX($V$1004:$AE$1004,1,MATCH(COLUMNS($V$1006:W1006),$V$1006:$AE$1006,0)))),"Fix")))</f>
        <v>0</v>
      </c>
      <c r="D491" s="4">
        <f>IF(OR(INDEX($P$2:$P$1001,MATCH(ROWS($O$2:O491),$O$2:$O$1001,0),1)&gt;=100000,INDEX($V$1005:$AE$1005,1,MATCH(COLUMNS($V$1006:X1006),$V$1006:$AE$1006,0))&gt;=100000), " ",IF(INDEX($V$2:$AE$1001,MATCH(ROWS($O$2:O491),$O$2:$O$1001,0),MATCH(COLUMNS($V$1006:X1006),$V$1006:$AE$1006,0)), HYPERLINK("#",""), HYPERLINK(CONCATENATE("#Metadata!", ADDRESS(INDEX($Q$2:$Q$1001,MATCH(ROWS($O$2:O491),$O$2:$O$1001,0),0), INDEX($V$1004:$AE$1004,1,MATCH(COLUMNS($V$1006:X1006),$V$1006:$AE$1006,0)))),"Fix")))</f>
        <v>0</v>
      </c>
      <c r="E491" s="4">
        <f>IF(OR(INDEX($P$2:$P$1001,MATCH(ROWS($O$2:O491),$O$2:$O$1001,0),1)&gt;=100000,INDEX($V$1005:$AE$1005,1,MATCH(COLUMNS($V$1006:Y1006),$V$1006:$AE$1006,0))&gt;=100000), " ",IF(INDEX($V$2:$AE$1001,MATCH(ROWS($O$2:O491),$O$2:$O$1001,0),MATCH(COLUMNS($V$1006:Y1006),$V$1006:$AE$1006,0)), HYPERLINK("#",""), HYPERLINK(CONCATENATE("#Metadata!", ADDRESS(INDEX($Q$2:$Q$1001,MATCH(ROWS($O$2:O491),$O$2:$O$1001,0),0), INDEX($V$1004:$AE$1004,1,MATCH(COLUMNS($V$1006:Y1006),$V$1006:$AE$1006,0)))),"Fix")))</f>
        <v>0</v>
      </c>
      <c r="F491" s="4">
        <f>IF(OR(INDEX($P$2:$P$1001,MATCH(ROWS($O$2:O491),$O$2:$O$1001,0),1)&gt;=100000,INDEX($V$1005:$AE$1005,1,MATCH(COLUMNS($V$1006:Z1006),$V$1006:$AE$1006,0))&gt;=100000), " ",IF(INDEX($V$2:$AE$1001,MATCH(ROWS($O$2:O491),$O$2:$O$1001,0),MATCH(COLUMNS($V$1006:Z1006),$V$1006:$AE$1006,0)), HYPERLINK("#",""), HYPERLINK(CONCATENATE("#Metadata!", ADDRESS(INDEX($Q$2:$Q$1001,MATCH(ROWS($O$2:O491),$O$2:$O$1001,0),0), INDEX($V$1004:$AE$1004,1,MATCH(COLUMNS($V$1006:Z1006),$V$1006:$AE$1006,0)))),"Fix")))</f>
        <v>0</v>
      </c>
      <c r="G491" s="4">
        <f>IF(OR(INDEX($P$2:$P$1001,MATCH(ROWS($O$2:O491),$O$2:$O$1001,0),1)&gt;=100000,INDEX($V$1005:$AE$1005,1,MATCH(COLUMNS($V$1006:AA1006),$V$1006:$AE$1006,0))&gt;=100000), " ",IF(INDEX($V$2:$AE$1001,MATCH(ROWS($O$2:O491),$O$2:$O$1001,0),MATCH(COLUMNS($V$1006:AA1006),$V$1006:$AE$1006,0)), HYPERLINK("#",""), HYPERLINK(CONCATENATE("#Metadata!", ADDRESS(INDEX($Q$2:$Q$1001,MATCH(ROWS($O$2:O491),$O$2:$O$1001,0),0), INDEX($V$1004:$AE$1004,1,MATCH(COLUMNS($V$1006:AA1006),$V$1006:$AE$1006,0)))),"Fix")))</f>
        <v>0</v>
      </c>
      <c r="H491" s="4">
        <f>IF(OR(INDEX($P$2:$P$1001,MATCH(ROWS($O$2:O491),$O$2:$O$1001,0),1)&gt;=100000,INDEX($V$1005:$AE$1005,1,MATCH(COLUMNS($V$1006:AB1006),$V$1006:$AE$1006,0))&gt;=100000), " ",IF(INDEX($V$2:$AE$1001,MATCH(ROWS($O$2:O491),$O$2:$O$1001,0),MATCH(COLUMNS($V$1006:AB1006),$V$1006:$AE$1006,0)), HYPERLINK("#",""), HYPERLINK(CONCATENATE("#Metadata!", ADDRESS(INDEX($Q$2:$Q$1001,MATCH(ROWS($O$2:O491),$O$2:$O$1001,0),0), INDEX($V$1004:$AE$1004,1,MATCH(COLUMNS($V$1006:AB1006),$V$1006:$AE$1006,0)))),"Fix")))</f>
        <v>0</v>
      </c>
      <c r="I491" s="4">
        <f>IF(OR(INDEX($P$2:$P$1001,MATCH(ROWS($O$2:O491),$O$2:$O$1001,0),1)&gt;=100000,INDEX($V$1005:$AE$1005,1,MATCH(COLUMNS($V$1006:AC1006),$V$1006:$AE$1006,0))&gt;=100000), " ",IF(INDEX($V$2:$AE$1001,MATCH(ROWS($O$2:O491),$O$2:$O$1001,0),MATCH(COLUMNS($V$1006:AC1006),$V$1006:$AE$1006,0)), HYPERLINK("#",""), HYPERLINK(CONCATENATE("#Metadata!", ADDRESS(INDEX($Q$2:$Q$1001,MATCH(ROWS($O$2:O491),$O$2:$O$1001,0),0), INDEX($V$1004:$AE$1004,1,MATCH(COLUMNS($V$1006:AC1006),$V$1006:$AE$1006,0)))),"Fix")))</f>
        <v>0</v>
      </c>
      <c r="J491" s="4">
        <f>IF(OR(INDEX($P$2:$P$1001,MATCH(ROWS($O$2:O491),$O$2:$O$1001,0),1)&gt;=100000,INDEX($V$1005:$AE$1005,1,MATCH(COLUMNS($V$1006:AD1006),$V$1006:$AE$1006,0))&gt;=100000), " ",IF(INDEX($V$2:$AE$1001,MATCH(ROWS($O$2:O491),$O$2:$O$1001,0),MATCH(COLUMNS($V$1006:AD1006),$V$1006:$AE$1006,0)), HYPERLINK("#",""), HYPERLINK(CONCATENATE("#Metadata!", ADDRESS(INDEX($Q$2:$Q$1001,MATCH(ROWS($O$2:O491),$O$2:$O$1001,0),0), INDEX($V$1004:$AE$1004,1,MATCH(COLUMNS($V$1006:AD1006),$V$1006:$AE$1006,0)))),"Fix")))</f>
        <v>0</v>
      </c>
      <c r="K491" s="4">
        <f>IF(OR(INDEX($P$2:$P$1001,MATCH(ROWS($O$2:O491),$O$2:$O$1001,0),1)&gt;=100000,INDEX($V$1005:$AE$1005,1,MATCH(COLUMNS($V$1006:AE1006),$V$1006:$AE$1006,0))&gt;=100000), " ",IF(INDEX($V$2:$AE$1001,MATCH(ROWS($O$2:O491),$O$2:$O$1001,0),MATCH(COLUMNS($V$1006:AE1006),$V$1006:$AE$1006,0)), HYPERLINK("#",""), HYPERLINK(CONCATENATE("#Metadata!", ADDRESS(INDEX($Q$2:$Q$1001,MATCH(ROWS($O$2:O491),$O$2:$O$1001,0),0), INDEX($V$1004:$AE$1004,1,MATCH(COLUMNS($V$1006:AE1006),$V$1006:$AE$1006,0)))),"Fix")))</f>
        <v>0</v>
      </c>
      <c r="O491">
        <v>0</v>
      </c>
      <c r="P491">
        <v>0</v>
      </c>
      <c r="Q491">
        <v>0</v>
      </c>
      <c r="R491">
        <f>IF(S491,TRUE,AND(V491:AE491))</f>
        <v>0</v>
      </c>
      <c r="S491">
        <f>COUNTBLANK(Metadata!B491:K491)=COLUMNS(Metadata!B491:K491)</f>
        <v>0</v>
      </c>
      <c r="T491">
        <v>0</v>
      </c>
      <c r="V491">
        <f>AND(IF(Metadata!B491="",FALSE,TRUE),COUNTIF(Metadata!B:B, Metadata!B491) = 1,NOT(ISERROR(SUMPRODUCT(SEARCH(MID(Metadata!B491,ROW(INDIRECT("1:"&amp;LEN(Metadata!B491))), 1),"0123456789abcdefghijklmnopqrstuvwxyzABCDEFGHIJKLMNOPQRSTUVWXYZ.")))))</f>
        <v>0</v>
      </c>
      <c r="W491">
        <f>AND(IF(Metadata!C491="",FALSE,TRUE),exact(Metadata!C491,"urban biome"))</f>
        <v>0</v>
      </c>
      <c r="X491">
        <f>AND(IF(Metadata!D491="",FALSE,TRUE),exact(Metadata!D491,"animal-associated habitat"))</f>
        <v>0</v>
      </c>
      <c r="Y491">
        <f>OR(AND(IF(Metadata!E491="",FALSE,TRUE),OR(exact(Metadata!E491,"not applicable"),exact(Metadata!E491,"missing: not collected"),exact(Metadata!E491,"missing: not provided"),exact(Metadata!E491,"missing: restricted access"))),AND(IF(Metadata!E491="",FALSE,ISNUMBER(VALUE(Metadata!E491))),Metadata!E491&gt;0))</f>
        <v>0</v>
      </c>
      <c r="Z491">
        <f>AND(IF(Metadata!F491="",FALSE,TRUE),exact(Metadata!F491,"weeks"))</f>
        <v>0</v>
      </c>
      <c r="AA491">
        <f>AND(IF(Metadata!G491="",FALSE,TRUE),exact(Metadata!G491,"mouse"))</f>
        <v>0</v>
      </c>
      <c r="AB491">
        <f>AND(IF(Metadata!H491="",FALSE,TRUE),exact(Metadata!H491,"Mus musculus"))</f>
        <v>0</v>
      </c>
      <c r="AC491">
        <f>AND(IF(Metadata!I491="",FALSE,TRUE),exact(Metadata!I491,"10090"))</f>
        <v>0</v>
      </c>
      <c r="AD491">
        <f>OR(AND(IF(Metadata!J491="",FALSE,TRUE),OR(exact(Metadata!J491,"not applicable"),exact(Metadata!J491,"missing: not collected"),exact(Metadata!J491,"missing: not provided"),exact(Metadata!J491,"missing: restricted access"))),AND(IF(Metadata!J491="",FALSE,ISNUMBER(VALUE(Metadata!J491))),Metadata!J491&gt;0))</f>
        <v>0</v>
      </c>
      <c r="AE491">
        <f>AND(IF(Metadata!K491="",FALSE,TRUE),exact(Metadata!K491,"g"))</f>
        <v>0</v>
      </c>
    </row>
    <row r="492" spans="1:31">
      <c r="A492" s="5">
        <f>IF(B492=" "," ",HYPERLINK(CONCATENATE("#metadata!",ADDRESS(INDEX($Q$2:$Q$1001,MATCH(ROWS($O$2:O492),$O$2:$O$1001,0),0),1)),INDEX($T$2:$T$1001,MATCH(ROWS($O$2:O492),$O$2:$O$1001,0),0)))</f>
        <v>0</v>
      </c>
      <c r="B492" s="4">
        <f>IF(OR(INDEX($P$2:$P$1001,MATCH(ROWS($O$2:O492),$O$2:$O$1001,0),1)&gt;=100000,INDEX($V$1005:$AE$1005,1,MATCH(COLUMNS($V$1006:V1006),$V$1006:$AE$1006,0))&gt;=100000), " ",IF(INDEX($V$2:$AE$1001,MATCH(ROWS($O$2:O492),$O$2:$O$1001,0),MATCH(COLUMNS($V$1006:V1006),$V$1006:$AE$1006,0)), HYPERLINK("#",""), HYPERLINK(CONCATENATE("#Metadata!", ADDRESS(INDEX($Q$2:$Q$1001,MATCH(ROWS($O$2:O492),$O$2:$O$1001,0),0), INDEX($V$1004:$AE$1004,1,MATCH(COLUMNS($V$1006:V1006),$V$1006:$AE$1006,0)))),"Fix")))</f>
        <v>0</v>
      </c>
      <c r="C492" s="4">
        <f>IF(OR(INDEX($P$2:$P$1001,MATCH(ROWS($O$2:O492),$O$2:$O$1001,0),1)&gt;=100000,INDEX($V$1005:$AE$1005,1,MATCH(COLUMNS($V$1006:W1006),$V$1006:$AE$1006,0))&gt;=100000), " ",IF(INDEX($V$2:$AE$1001,MATCH(ROWS($O$2:O492),$O$2:$O$1001,0),MATCH(COLUMNS($V$1006:W1006),$V$1006:$AE$1006,0)), HYPERLINK("#",""), HYPERLINK(CONCATENATE("#Metadata!", ADDRESS(INDEX($Q$2:$Q$1001,MATCH(ROWS($O$2:O492),$O$2:$O$1001,0),0), INDEX($V$1004:$AE$1004,1,MATCH(COLUMNS($V$1006:W1006),$V$1006:$AE$1006,0)))),"Fix")))</f>
        <v>0</v>
      </c>
      <c r="D492" s="4">
        <f>IF(OR(INDEX($P$2:$P$1001,MATCH(ROWS($O$2:O492),$O$2:$O$1001,0),1)&gt;=100000,INDEX($V$1005:$AE$1005,1,MATCH(COLUMNS($V$1006:X1006),$V$1006:$AE$1006,0))&gt;=100000), " ",IF(INDEX($V$2:$AE$1001,MATCH(ROWS($O$2:O492),$O$2:$O$1001,0),MATCH(COLUMNS($V$1006:X1006),$V$1006:$AE$1006,0)), HYPERLINK("#",""), HYPERLINK(CONCATENATE("#Metadata!", ADDRESS(INDEX($Q$2:$Q$1001,MATCH(ROWS($O$2:O492),$O$2:$O$1001,0),0), INDEX($V$1004:$AE$1004,1,MATCH(COLUMNS($V$1006:X1006),$V$1006:$AE$1006,0)))),"Fix")))</f>
        <v>0</v>
      </c>
      <c r="E492" s="4">
        <f>IF(OR(INDEX($P$2:$P$1001,MATCH(ROWS($O$2:O492),$O$2:$O$1001,0),1)&gt;=100000,INDEX($V$1005:$AE$1005,1,MATCH(COLUMNS($V$1006:Y1006),$V$1006:$AE$1006,0))&gt;=100000), " ",IF(INDEX($V$2:$AE$1001,MATCH(ROWS($O$2:O492),$O$2:$O$1001,0),MATCH(COLUMNS($V$1006:Y1006),$V$1006:$AE$1006,0)), HYPERLINK("#",""), HYPERLINK(CONCATENATE("#Metadata!", ADDRESS(INDEX($Q$2:$Q$1001,MATCH(ROWS($O$2:O492),$O$2:$O$1001,0),0), INDEX($V$1004:$AE$1004,1,MATCH(COLUMNS($V$1006:Y1006),$V$1006:$AE$1006,0)))),"Fix")))</f>
        <v>0</v>
      </c>
      <c r="F492" s="4">
        <f>IF(OR(INDEX($P$2:$P$1001,MATCH(ROWS($O$2:O492),$O$2:$O$1001,0),1)&gt;=100000,INDEX($V$1005:$AE$1005,1,MATCH(COLUMNS($V$1006:Z1006),$V$1006:$AE$1006,0))&gt;=100000), " ",IF(INDEX($V$2:$AE$1001,MATCH(ROWS($O$2:O492),$O$2:$O$1001,0),MATCH(COLUMNS($V$1006:Z1006),$V$1006:$AE$1006,0)), HYPERLINK("#",""), HYPERLINK(CONCATENATE("#Metadata!", ADDRESS(INDEX($Q$2:$Q$1001,MATCH(ROWS($O$2:O492),$O$2:$O$1001,0),0), INDEX($V$1004:$AE$1004,1,MATCH(COLUMNS($V$1006:Z1006),$V$1006:$AE$1006,0)))),"Fix")))</f>
        <v>0</v>
      </c>
      <c r="G492" s="4">
        <f>IF(OR(INDEX($P$2:$P$1001,MATCH(ROWS($O$2:O492),$O$2:$O$1001,0),1)&gt;=100000,INDEX($V$1005:$AE$1005,1,MATCH(COLUMNS($V$1006:AA1006),$V$1006:$AE$1006,0))&gt;=100000), " ",IF(INDEX($V$2:$AE$1001,MATCH(ROWS($O$2:O492),$O$2:$O$1001,0),MATCH(COLUMNS($V$1006:AA1006),$V$1006:$AE$1006,0)), HYPERLINK("#",""), HYPERLINK(CONCATENATE("#Metadata!", ADDRESS(INDEX($Q$2:$Q$1001,MATCH(ROWS($O$2:O492),$O$2:$O$1001,0),0), INDEX($V$1004:$AE$1004,1,MATCH(COLUMNS($V$1006:AA1006),$V$1006:$AE$1006,0)))),"Fix")))</f>
        <v>0</v>
      </c>
      <c r="H492" s="4">
        <f>IF(OR(INDEX($P$2:$P$1001,MATCH(ROWS($O$2:O492),$O$2:$O$1001,0),1)&gt;=100000,INDEX($V$1005:$AE$1005,1,MATCH(COLUMNS($V$1006:AB1006),$V$1006:$AE$1006,0))&gt;=100000), " ",IF(INDEX($V$2:$AE$1001,MATCH(ROWS($O$2:O492),$O$2:$O$1001,0),MATCH(COLUMNS($V$1006:AB1006),$V$1006:$AE$1006,0)), HYPERLINK("#",""), HYPERLINK(CONCATENATE("#Metadata!", ADDRESS(INDEX($Q$2:$Q$1001,MATCH(ROWS($O$2:O492),$O$2:$O$1001,0),0), INDEX($V$1004:$AE$1004,1,MATCH(COLUMNS($V$1006:AB1006),$V$1006:$AE$1006,0)))),"Fix")))</f>
        <v>0</v>
      </c>
      <c r="I492" s="4">
        <f>IF(OR(INDEX($P$2:$P$1001,MATCH(ROWS($O$2:O492),$O$2:$O$1001,0),1)&gt;=100000,INDEX($V$1005:$AE$1005,1,MATCH(COLUMNS($V$1006:AC1006),$V$1006:$AE$1006,0))&gt;=100000), " ",IF(INDEX($V$2:$AE$1001,MATCH(ROWS($O$2:O492),$O$2:$O$1001,0),MATCH(COLUMNS($V$1006:AC1006),$V$1006:$AE$1006,0)), HYPERLINK("#",""), HYPERLINK(CONCATENATE("#Metadata!", ADDRESS(INDEX($Q$2:$Q$1001,MATCH(ROWS($O$2:O492),$O$2:$O$1001,0),0), INDEX($V$1004:$AE$1004,1,MATCH(COLUMNS($V$1006:AC1006),$V$1006:$AE$1006,0)))),"Fix")))</f>
        <v>0</v>
      </c>
      <c r="J492" s="4">
        <f>IF(OR(INDEX($P$2:$P$1001,MATCH(ROWS($O$2:O492),$O$2:$O$1001,0),1)&gt;=100000,INDEX($V$1005:$AE$1005,1,MATCH(COLUMNS($V$1006:AD1006),$V$1006:$AE$1006,0))&gt;=100000), " ",IF(INDEX($V$2:$AE$1001,MATCH(ROWS($O$2:O492),$O$2:$O$1001,0),MATCH(COLUMNS($V$1006:AD1006),$V$1006:$AE$1006,0)), HYPERLINK("#",""), HYPERLINK(CONCATENATE("#Metadata!", ADDRESS(INDEX($Q$2:$Q$1001,MATCH(ROWS($O$2:O492),$O$2:$O$1001,0),0), INDEX($V$1004:$AE$1004,1,MATCH(COLUMNS($V$1006:AD1006),$V$1006:$AE$1006,0)))),"Fix")))</f>
        <v>0</v>
      </c>
      <c r="K492" s="4">
        <f>IF(OR(INDEX($P$2:$P$1001,MATCH(ROWS($O$2:O492),$O$2:$O$1001,0),1)&gt;=100000,INDEX($V$1005:$AE$1005,1,MATCH(COLUMNS($V$1006:AE1006),$V$1006:$AE$1006,0))&gt;=100000), " ",IF(INDEX($V$2:$AE$1001,MATCH(ROWS($O$2:O492),$O$2:$O$1001,0),MATCH(COLUMNS($V$1006:AE1006),$V$1006:$AE$1006,0)), HYPERLINK("#",""), HYPERLINK(CONCATENATE("#Metadata!", ADDRESS(INDEX($Q$2:$Q$1001,MATCH(ROWS($O$2:O492),$O$2:$O$1001,0),0), INDEX($V$1004:$AE$1004,1,MATCH(COLUMNS($V$1006:AE1006),$V$1006:$AE$1006,0)))),"Fix")))</f>
        <v>0</v>
      </c>
      <c r="O492">
        <v>0</v>
      </c>
      <c r="P492">
        <v>0</v>
      </c>
      <c r="Q492">
        <v>0</v>
      </c>
      <c r="R492">
        <f>IF(S492,TRUE,AND(V492:AE492))</f>
        <v>0</v>
      </c>
      <c r="S492">
        <f>COUNTBLANK(Metadata!B492:K492)=COLUMNS(Metadata!B492:K492)</f>
        <v>0</v>
      </c>
      <c r="T492">
        <v>0</v>
      </c>
      <c r="V492">
        <f>AND(IF(Metadata!B492="",FALSE,TRUE),COUNTIF(Metadata!B:B, Metadata!B492) = 1,NOT(ISERROR(SUMPRODUCT(SEARCH(MID(Metadata!B492,ROW(INDIRECT("1:"&amp;LEN(Metadata!B492))), 1),"0123456789abcdefghijklmnopqrstuvwxyzABCDEFGHIJKLMNOPQRSTUVWXYZ.")))))</f>
        <v>0</v>
      </c>
      <c r="W492">
        <f>AND(IF(Metadata!C492="",FALSE,TRUE),exact(Metadata!C492,"urban biome"))</f>
        <v>0</v>
      </c>
      <c r="X492">
        <f>AND(IF(Metadata!D492="",FALSE,TRUE),exact(Metadata!D492,"animal-associated habitat"))</f>
        <v>0</v>
      </c>
      <c r="Y492">
        <f>OR(AND(IF(Metadata!E492="",FALSE,TRUE),OR(exact(Metadata!E492,"not applicable"),exact(Metadata!E492,"missing: not collected"),exact(Metadata!E492,"missing: not provided"),exact(Metadata!E492,"missing: restricted access"))),AND(IF(Metadata!E492="",FALSE,ISNUMBER(VALUE(Metadata!E492))),Metadata!E492&gt;0))</f>
        <v>0</v>
      </c>
      <c r="Z492">
        <f>AND(IF(Metadata!F492="",FALSE,TRUE),exact(Metadata!F492,"weeks"))</f>
        <v>0</v>
      </c>
      <c r="AA492">
        <f>AND(IF(Metadata!G492="",FALSE,TRUE),exact(Metadata!G492,"mouse"))</f>
        <v>0</v>
      </c>
      <c r="AB492">
        <f>AND(IF(Metadata!H492="",FALSE,TRUE),exact(Metadata!H492,"Mus musculus"))</f>
        <v>0</v>
      </c>
      <c r="AC492">
        <f>AND(IF(Metadata!I492="",FALSE,TRUE),exact(Metadata!I492,"10090"))</f>
        <v>0</v>
      </c>
      <c r="AD492">
        <f>OR(AND(IF(Metadata!J492="",FALSE,TRUE),OR(exact(Metadata!J492,"not applicable"),exact(Metadata!J492,"missing: not collected"),exact(Metadata!J492,"missing: not provided"),exact(Metadata!J492,"missing: restricted access"))),AND(IF(Metadata!J492="",FALSE,ISNUMBER(VALUE(Metadata!J492))),Metadata!J492&gt;0))</f>
        <v>0</v>
      </c>
      <c r="AE492">
        <f>AND(IF(Metadata!K492="",FALSE,TRUE),exact(Metadata!K492,"g"))</f>
        <v>0</v>
      </c>
    </row>
    <row r="493" spans="1:31">
      <c r="A493" s="5">
        <f>IF(B493=" "," ",HYPERLINK(CONCATENATE("#metadata!",ADDRESS(INDEX($Q$2:$Q$1001,MATCH(ROWS($O$2:O493),$O$2:$O$1001,0),0),1)),INDEX($T$2:$T$1001,MATCH(ROWS($O$2:O493),$O$2:$O$1001,0),0)))</f>
        <v>0</v>
      </c>
      <c r="B493" s="4">
        <f>IF(OR(INDEX($P$2:$P$1001,MATCH(ROWS($O$2:O493),$O$2:$O$1001,0),1)&gt;=100000,INDEX($V$1005:$AE$1005,1,MATCH(COLUMNS($V$1006:V1006),$V$1006:$AE$1006,0))&gt;=100000), " ",IF(INDEX($V$2:$AE$1001,MATCH(ROWS($O$2:O493),$O$2:$O$1001,0),MATCH(COLUMNS($V$1006:V1006),$V$1006:$AE$1006,0)), HYPERLINK("#",""), HYPERLINK(CONCATENATE("#Metadata!", ADDRESS(INDEX($Q$2:$Q$1001,MATCH(ROWS($O$2:O493),$O$2:$O$1001,0),0), INDEX($V$1004:$AE$1004,1,MATCH(COLUMNS($V$1006:V1006),$V$1006:$AE$1006,0)))),"Fix")))</f>
        <v>0</v>
      </c>
      <c r="C493" s="4">
        <f>IF(OR(INDEX($P$2:$P$1001,MATCH(ROWS($O$2:O493),$O$2:$O$1001,0),1)&gt;=100000,INDEX($V$1005:$AE$1005,1,MATCH(COLUMNS($V$1006:W1006),$V$1006:$AE$1006,0))&gt;=100000), " ",IF(INDEX($V$2:$AE$1001,MATCH(ROWS($O$2:O493),$O$2:$O$1001,0),MATCH(COLUMNS($V$1006:W1006),$V$1006:$AE$1006,0)), HYPERLINK("#",""), HYPERLINK(CONCATENATE("#Metadata!", ADDRESS(INDEX($Q$2:$Q$1001,MATCH(ROWS($O$2:O493),$O$2:$O$1001,0),0), INDEX($V$1004:$AE$1004,1,MATCH(COLUMNS($V$1006:W1006),$V$1006:$AE$1006,0)))),"Fix")))</f>
        <v>0</v>
      </c>
      <c r="D493" s="4">
        <f>IF(OR(INDEX($P$2:$P$1001,MATCH(ROWS($O$2:O493),$O$2:$O$1001,0),1)&gt;=100000,INDEX($V$1005:$AE$1005,1,MATCH(COLUMNS($V$1006:X1006),$V$1006:$AE$1006,0))&gt;=100000), " ",IF(INDEX($V$2:$AE$1001,MATCH(ROWS($O$2:O493),$O$2:$O$1001,0),MATCH(COLUMNS($V$1006:X1006),$V$1006:$AE$1006,0)), HYPERLINK("#",""), HYPERLINK(CONCATENATE("#Metadata!", ADDRESS(INDEX($Q$2:$Q$1001,MATCH(ROWS($O$2:O493),$O$2:$O$1001,0),0), INDEX($V$1004:$AE$1004,1,MATCH(COLUMNS($V$1006:X1006),$V$1006:$AE$1006,0)))),"Fix")))</f>
        <v>0</v>
      </c>
      <c r="E493" s="4">
        <f>IF(OR(INDEX($P$2:$P$1001,MATCH(ROWS($O$2:O493),$O$2:$O$1001,0),1)&gt;=100000,INDEX($V$1005:$AE$1005,1,MATCH(COLUMNS($V$1006:Y1006),$V$1006:$AE$1006,0))&gt;=100000), " ",IF(INDEX($V$2:$AE$1001,MATCH(ROWS($O$2:O493),$O$2:$O$1001,0),MATCH(COLUMNS($V$1006:Y1006),$V$1006:$AE$1006,0)), HYPERLINK("#",""), HYPERLINK(CONCATENATE("#Metadata!", ADDRESS(INDEX($Q$2:$Q$1001,MATCH(ROWS($O$2:O493),$O$2:$O$1001,0),0), INDEX($V$1004:$AE$1004,1,MATCH(COLUMNS($V$1006:Y1006),$V$1006:$AE$1006,0)))),"Fix")))</f>
        <v>0</v>
      </c>
      <c r="F493" s="4">
        <f>IF(OR(INDEX($P$2:$P$1001,MATCH(ROWS($O$2:O493),$O$2:$O$1001,0),1)&gt;=100000,INDEX($V$1005:$AE$1005,1,MATCH(COLUMNS($V$1006:Z1006),$V$1006:$AE$1006,0))&gt;=100000), " ",IF(INDEX($V$2:$AE$1001,MATCH(ROWS($O$2:O493),$O$2:$O$1001,0),MATCH(COLUMNS($V$1006:Z1006),$V$1006:$AE$1006,0)), HYPERLINK("#",""), HYPERLINK(CONCATENATE("#Metadata!", ADDRESS(INDEX($Q$2:$Q$1001,MATCH(ROWS($O$2:O493),$O$2:$O$1001,0),0), INDEX($V$1004:$AE$1004,1,MATCH(COLUMNS($V$1006:Z1006),$V$1006:$AE$1006,0)))),"Fix")))</f>
        <v>0</v>
      </c>
      <c r="G493" s="4">
        <f>IF(OR(INDEX($P$2:$P$1001,MATCH(ROWS($O$2:O493),$O$2:$O$1001,0),1)&gt;=100000,INDEX($V$1005:$AE$1005,1,MATCH(COLUMNS($V$1006:AA1006),$V$1006:$AE$1006,0))&gt;=100000), " ",IF(INDEX($V$2:$AE$1001,MATCH(ROWS($O$2:O493),$O$2:$O$1001,0),MATCH(COLUMNS($V$1006:AA1006),$V$1006:$AE$1006,0)), HYPERLINK("#",""), HYPERLINK(CONCATENATE("#Metadata!", ADDRESS(INDEX($Q$2:$Q$1001,MATCH(ROWS($O$2:O493),$O$2:$O$1001,0),0), INDEX($V$1004:$AE$1004,1,MATCH(COLUMNS($V$1006:AA1006),$V$1006:$AE$1006,0)))),"Fix")))</f>
        <v>0</v>
      </c>
      <c r="H493" s="4">
        <f>IF(OR(INDEX($P$2:$P$1001,MATCH(ROWS($O$2:O493),$O$2:$O$1001,0),1)&gt;=100000,INDEX($V$1005:$AE$1005,1,MATCH(COLUMNS($V$1006:AB1006),$V$1006:$AE$1006,0))&gt;=100000), " ",IF(INDEX($V$2:$AE$1001,MATCH(ROWS($O$2:O493),$O$2:$O$1001,0),MATCH(COLUMNS($V$1006:AB1006),$V$1006:$AE$1006,0)), HYPERLINK("#",""), HYPERLINK(CONCATENATE("#Metadata!", ADDRESS(INDEX($Q$2:$Q$1001,MATCH(ROWS($O$2:O493),$O$2:$O$1001,0),0), INDEX($V$1004:$AE$1004,1,MATCH(COLUMNS($V$1006:AB1006),$V$1006:$AE$1006,0)))),"Fix")))</f>
        <v>0</v>
      </c>
      <c r="I493" s="4">
        <f>IF(OR(INDEX($P$2:$P$1001,MATCH(ROWS($O$2:O493),$O$2:$O$1001,0),1)&gt;=100000,INDEX($V$1005:$AE$1005,1,MATCH(COLUMNS($V$1006:AC1006),$V$1006:$AE$1006,0))&gt;=100000), " ",IF(INDEX($V$2:$AE$1001,MATCH(ROWS($O$2:O493),$O$2:$O$1001,0),MATCH(COLUMNS($V$1006:AC1006),$V$1006:$AE$1006,0)), HYPERLINK("#",""), HYPERLINK(CONCATENATE("#Metadata!", ADDRESS(INDEX($Q$2:$Q$1001,MATCH(ROWS($O$2:O493),$O$2:$O$1001,0),0), INDEX($V$1004:$AE$1004,1,MATCH(COLUMNS($V$1006:AC1006),$V$1006:$AE$1006,0)))),"Fix")))</f>
        <v>0</v>
      </c>
      <c r="J493" s="4">
        <f>IF(OR(INDEX($P$2:$P$1001,MATCH(ROWS($O$2:O493),$O$2:$O$1001,0),1)&gt;=100000,INDEX($V$1005:$AE$1005,1,MATCH(COLUMNS($V$1006:AD1006),$V$1006:$AE$1006,0))&gt;=100000), " ",IF(INDEX($V$2:$AE$1001,MATCH(ROWS($O$2:O493),$O$2:$O$1001,0),MATCH(COLUMNS($V$1006:AD1006),$V$1006:$AE$1006,0)), HYPERLINK("#",""), HYPERLINK(CONCATENATE("#Metadata!", ADDRESS(INDEX($Q$2:$Q$1001,MATCH(ROWS($O$2:O493),$O$2:$O$1001,0),0), INDEX($V$1004:$AE$1004,1,MATCH(COLUMNS($V$1006:AD1006),$V$1006:$AE$1006,0)))),"Fix")))</f>
        <v>0</v>
      </c>
      <c r="K493" s="4">
        <f>IF(OR(INDEX($P$2:$P$1001,MATCH(ROWS($O$2:O493),$O$2:$O$1001,0),1)&gt;=100000,INDEX($V$1005:$AE$1005,1,MATCH(COLUMNS($V$1006:AE1006),$V$1006:$AE$1006,0))&gt;=100000), " ",IF(INDEX($V$2:$AE$1001,MATCH(ROWS($O$2:O493),$O$2:$O$1001,0),MATCH(COLUMNS($V$1006:AE1006),$V$1006:$AE$1006,0)), HYPERLINK("#",""), HYPERLINK(CONCATENATE("#Metadata!", ADDRESS(INDEX($Q$2:$Q$1001,MATCH(ROWS($O$2:O493),$O$2:$O$1001,0),0), INDEX($V$1004:$AE$1004,1,MATCH(COLUMNS($V$1006:AE1006),$V$1006:$AE$1006,0)))),"Fix")))</f>
        <v>0</v>
      </c>
      <c r="O493">
        <v>0</v>
      </c>
      <c r="P493">
        <v>0</v>
      </c>
      <c r="Q493">
        <v>0</v>
      </c>
      <c r="R493">
        <f>IF(S493,TRUE,AND(V493:AE493))</f>
        <v>0</v>
      </c>
      <c r="S493">
        <f>COUNTBLANK(Metadata!B493:K493)=COLUMNS(Metadata!B493:K493)</f>
        <v>0</v>
      </c>
      <c r="T493">
        <v>0</v>
      </c>
      <c r="V493">
        <f>AND(IF(Metadata!B493="",FALSE,TRUE),COUNTIF(Metadata!B:B, Metadata!B493) = 1,NOT(ISERROR(SUMPRODUCT(SEARCH(MID(Metadata!B493,ROW(INDIRECT("1:"&amp;LEN(Metadata!B493))), 1),"0123456789abcdefghijklmnopqrstuvwxyzABCDEFGHIJKLMNOPQRSTUVWXYZ.")))))</f>
        <v>0</v>
      </c>
      <c r="W493">
        <f>AND(IF(Metadata!C493="",FALSE,TRUE),exact(Metadata!C493,"urban biome"))</f>
        <v>0</v>
      </c>
      <c r="X493">
        <f>AND(IF(Metadata!D493="",FALSE,TRUE),exact(Metadata!D493,"animal-associated habitat"))</f>
        <v>0</v>
      </c>
      <c r="Y493">
        <f>OR(AND(IF(Metadata!E493="",FALSE,TRUE),OR(exact(Metadata!E493,"not applicable"),exact(Metadata!E493,"missing: not collected"),exact(Metadata!E493,"missing: not provided"),exact(Metadata!E493,"missing: restricted access"))),AND(IF(Metadata!E493="",FALSE,ISNUMBER(VALUE(Metadata!E493))),Metadata!E493&gt;0))</f>
        <v>0</v>
      </c>
      <c r="Z493">
        <f>AND(IF(Metadata!F493="",FALSE,TRUE),exact(Metadata!F493,"weeks"))</f>
        <v>0</v>
      </c>
      <c r="AA493">
        <f>AND(IF(Metadata!G493="",FALSE,TRUE),exact(Metadata!G493,"mouse"))</f>
        <v>0</v>
      </c>
      <c r="AB493">
        <f>AND(IF(Metadata!H493="",FALSE,TRUE),exact(Metadata!H493,"Mus musculus"))</f>
        <v>0</v>
      </c>
      <c r="AC493">
        <f>AND(IF(Metadata!I493="",FALSE,TRUE),exact(Metadata!I493,"10090"))</f>
        <v>0</v>
      </c>
      <c r="AD493">
        <f>OR(AND(IF(Metadata!J493="",FALSE,TRUE),OR(exact(Metadata!J493,"not applicable"),exact(Metadata!J493,"missing: not collected"),exact(Metadata!J493,"missing: not provided"),exact(Metadata!J493,"missing: restricted access"))),AND(IF(Metadata!J493="",FALSE,ISNUMBER(VALUE(Metadata!J493))),Metadata!J493&gt;0))</f>
        <v>0</v>
      </c>
      <c r="AE493">
        <f>AND(IF(Metadata!K493="",FALSE,TRUE),exact(Metadata!K493,"g"))</f>
        <v>0</v>
      </c>
    </row>
    <row r="494" spans="1:31">
      <c r="A494" s="5">
        <f>IF(B494=" "," ",HYPERLINK(CONCATENATE("#metadata!",ADDRESS(INDEX($Q$2:$Q$1001,MATCH(ROWS($O$2:O494),$O$2:$O$1001,0),0),1)),INDEX($T$2:$T$1001,MATCH(ROWS($O$2:O494),$O$2:$O$1001,0),0)))</f>
        <v>0</v>
      </c>
      <c r="B494" s="4">
        <f>IF(OR(INDEX($P$2:$P$1001,MATCH(ROWS($O$2:O494),$O$2:$O$1001,0),1)&gt;=100000,INDEX($V$1005:$AE$1005,1,MATCH(COLUMNS($V$1006:V1006),$V$1006:$AE$1006,0))&gt;=100000), " ",IF(INDEX($V$2:$AE$1001,MATCH(ROWS($O$2:O494),$O$2:$O$1001,0),MATCH(COLUMNS($V$1006:V1006),$V$1006:$AE$1006,0)), HYPERLINK("#",""), HYPERLINK(CONCATENATE("#Metadata!", ADDRESS(INDEX($Q$2:$Q$1001,MATCH(ROWS($O$2:O494),$O$2:$O$1001,0),0), INDEX($V$1004:$AE$1004,1,MATCH(COLUMNS($V$1006:V1006),$V$1006:$AE$1006,0)))),"Fix")))</f>
        <v>0</v>
      </c>
      <c r="C494" s="4">
        <f>IF(OR(INDEX($P$2:$P$1001,MATCH(ROWS($O$2:O494),$O$2:$O$1001,0),1)&gt;=100000,INDEX($V$1005:$AE$1005,1,MATCH(COLUMNS($V$1006:W1006),$V$1006:$AE$1006,0))&gt;=100000), " ",IF(INDEX($V$2:$AE$1001,MATCH(ROWS($O$2:O494),$O$2:$O$1001,0),MATCH(COLUMNS($V$1006:W1006),$V$1006:$AE$1006,0)), HYPERLINK("#",""), HYPERLINK(CONCATENATE("#Metadata!", ADDRESS(INDEX($Q$2:$Q$1001,MATCH(ROWS($O$2:O494),$O$2:$O$1001,0),0), INDEX($V$1004:$AE$1004,1,MATCH(COLUMNS($V$1006:W1006),$V$1006:$AE$1006,0)))),"Fix")))</f>
        <v>0</v>
      </c>
      <c r="D494" s="4">
        <f>IF(OR(INDEX($P$2:$P$1001,MATCH(ROWS($O$2:O494),$O$2:$O$1001,0),1)&gt;=100000,INDEX($V$1005:$AE$1005,1,MATCH(COLUMNS($V$1006:X1006),$V$1006:$AE$1006,0))&gt;=100000), " ",IF(INDEX($V$2:$AE$1001,MATCH(ROWS($O$2:O494),$O$2:$O$1001,0),MATCH(COLUMNS($V$1006:X1006),$V$1006:$AE$1006,0)), HYPERLINK("#",""), HYPERLINK(CONCATENATE("#Metadata!", ADDRESS(INDEX($Q$2:$Q$1001,MATCH(ROWS($O$2:O494),$O$2:$O$1001,0),0), INDEX($V$1004:$AE$1004,1,MATCH(COLUMNS($V$1006:X1006),$V$1006:$AE$1006,0)))),"Fix")))</f>
        <v>0</v>
      </c>
      <c r="E494" s="4">
        <f>IF(OR(INDEX($P$2:$P$1001,MATCH(ROWS($O$2:O494),$O$2:$O$1001,0),1)&gt;=100000,INDEX($V$1005:$AE$1005,1,MATCH(COLUMNS($V$1006:Y1006),$V$1006:$AE$1006,0))&gt;=100000), " ",IF(INDEX($V$2:$AE$1001,MATCH(ROWS($O$2:O494),$O$2:$O$1001,0),MATCH(COLUMNS($V$1006:Y1006),$V$1006:$AE$1006,0)), HYPERLINK("#",""), HYPERLINK(CONCATENATE("#Metadata!", ADDRESS(INDEX($Q$2:$Q$1001,MATCH(ROWS($O$2:O494),$O$2:$O$1001,0),0), INDEX($V$1004:$AE$1004,1,MATCH(COLUMNS($V$1006:Y1006),$V$1006:$AE$1006,0)))),"Fix")))</f>
        <v>0</v>
      </c>
      <c r="F494" s="4">
        <f>IF(OR(INDEX($P$2:$P$1001,MATCH(ROWS($O$2:O494),$O$2:$O$1001,0),1)&gt;=100000,INDEX($V$1005:$AE$1005,1,MATCH(COLUMNS($V$1006:Z1006),$V$1006:$AE$1006,0))&gt;=100000), " ",IF(INDEX($V$2:$AE$1001,MATCH(ROWS($O$2:O494),$O$2:$O$1001,0),MATCH(COLUMNS($V$1006:Z1006),$V$1006:$AE$1006,0)), HYPERLINK("#",""), HYPERLINK(CONCATENATE("#Metadata!", ADDRESS(INDEX($Q$2:$Q$1001,MATCH(ROWS($O$2:O494),$O$2:$O$1001,0),0), INDEX($V$1004:$AE$1004,1,MATCH(COLUMNS($V$1006:Z1006),$V$1006:$AE$1006,0)))),"Fix")))</f>
        <v>0</v>
      </c>
      <c r="G494" s="4">
        <f>IF(OR(INDEX($P$2:$P$1001,MATCH(ROWS($O$2:O494),$O$2:$O$1001,0),1)&gt;=100000,INDEX($V$1005:$AE$1005,1,MATCH(COLUMNS($V$1006:AA1006),$V$1006:$AE$1006,0))&gt;=100000), " ",IF(INDEX($V$2:$AE$1001,MATCH(ROWS($O$2:O494),$O$2:$O$1001,0),MATCH(COLUMNS($V$1006:AA1006),$V$1006:$AE$1006,0)), HYPERLINK("#",""), HYPERLINK(CONCATENATE("#Metadata!", ADDRESS(INDEX($Q$2:$Q$1001,MATCH(ROWS($O$2:O494),$O$2:$O$1001,0),0), INDEX($V$1004:$AE$1004,1,MATCH(COLUMNS($V$1006:AA1006),$V$1006:$AE$1006,0)))),"Fix")))</f>
        <v>0</v>
      </c>
      <c r="H494" s="4">
        <f>IF(OR(INDEX($P$2:$P$1001,MATCH(ROWS($O$2:O494),$O$2:$O$1001,0),1)&gt;=100000,INDEX($V$1005:$AE$1005,1,MATCH(COLUMNS($V$1006:AB1006),$V$1006:$AE$1006,0))&gt;=100000), " ",IF(INDEX($V$2:$AE$1001,MATCH(ROWS($O$2:O494),$O$2:$O$1001,0),MATCH(COLUMNS($V$1006:AB1006),$V$1006:$AE$1006,0)), HYPERLINK("#",""), HYPERLINK(CONCATENATE("#Metadata!", ADDRESS(INDEX($Q$2:$Q$1001,MATCH(ROWS($O$2:O494),$O$2:$O$1001,0),0), INDEX($V$1004:$AE$1004,1,MATCH(COLUMNS($V$1006:AB1006),$V$1006:$AE$1006,0)))),"Fix")))</f>
        <v>0</v>
      </c>
      <c r="I494" s="4">
        <f>IF(OR(INDEX($P$2:$P$1001,MATCH(ROWS($O$2:O494),$O$2:$O$1001,0),1)&gt;=100000,INDEX($V$1005:$AE$1005,1,MATCH(COLUMNS($V$1006:AC1006),$V$1006:$AE$1006,0))&gt;=100000), " ",IF(INDEX($V$2:$AE$1001,MATCH(ROWS($O$2:O494),$O$2:$O$1001,0),MATCH(COLUMNS($V$1006:AC1006),$V$1006:$AE$1006,0)), HYPERLINK("#",""), HYPERLINK(CONCATENATE("#Metadata!", ADDRESS(INDEX($Q$2:$Q$1001,MATCH(ROWS($O$2:O494),$O$2:$O$1001,0),0), INDEX($V$1004:$AE$1004,1,MATCH(COLUMNS($V$1006:AC1006),$V$1006:$AE$1006,0)))),"Fix")))</f>
        <v>0</v>
      </c>
      <c r="J494" s="4">
        <f>IF(OR(INDEX($P$2:$P$1001,MATCH(ROWS($O$2:O494),$O$2:$O$1001,0),1)&gt;=100000,INDEX($V$1005:$AE$1005,1,MATCH(COLUMNS($V$1006:AD1006),$V$1006:$AE$1006,0))&gt;=100000), " ",IF(INDEX($V$2:$AE$1001,MATCH(ROWS($O$2:O494),$O$2:$O$1001,0),MATCH(COLUMNS($V$1006:AD1006),$V$1006:$AE$1006,0)), HYPERLINK("#",""), HYPERLINK(CONCATENATE("#Metadata!", ADDRESS(INDEX($Q$2:$Q$1001,MATCH(ROWS($O$2:O494),$O$2:$O$1001,0),0), INDEX($V$1004:$AE$1004,1,MATCH(COLUMNS($V$1006:AD1006),$V$1006:$AE$1006,0)))),"Fix")))</f>
        <v>0</v>
      </c>
      <c r="K494" s="4">
        <f>IF(OR(INDEX($P$2:$P$1001,MATCH(ROWS($O$2:O494),$O$2:$O$1001,0),1)&gt;=100000,INDEX($V$1005:$AE$1005,1,MATCH(COLUMNS($V$1006:AE1006),$V$1006:$AE$1006,0))&gt;=100000), " ",IF(INDEX($V$2:$AE$1001,MATCH(ROWS($O$2:O494),$O$2:$O$1001,0),MATCH(COLUMNS($V$1006:AE1006),$V$1006:$AE$1006,0)), HYPERLINK("#",""), HYPERLINK(CONCATENATE("#Metadata!", ADDRESS(INDEX($Q$2:$Q$1001,MATCH(ROWS($O$2:O494),$O$2:$O$1001,0),0), INDEX($V$1004:$AE$1004,1,MATCH(COLUMNS($V$1006:AE1006),$V$1006:$AE$1006,0)))),"Fix")))</f>
        <v>0</v>
      </c>
      <c r="O494">
        <v>0</v>
      </c>
      <c r="P494">
        <v>0</v>
      </c>
      <c r="Q494">
        <v>0</v>
      </c>
      <c r="R494">
        <f>IF(S494,TRUE,AND(V494:AE494))</f>
        <v>0</v>
      </c>
      <c r="S494">
        <f>COUNTBLANK(Metadata!B494:K494)=COLUMNS(Metadata!B494:K494)</f>
        <v>0</v>
      </c>
      <c r="T494">
        <v>0</v>
      </c>
      <c r="V494">
        <f>AND(IF(Metadata!B494="",FALSE,TRUE),COUNTIF(Metadata!B:B, Metadata!B494) = 1,NOT(ISERROR(SUMPRODUCT(SEARCH(MID(Metadata!B494,ROW(INDIRECT("1:"&amp;LEN(Metadata!B494))), 1),"0123456789abcdefghijklmnopqrstuvwxyzABCDEFGHIJKLMNOPQRSTUVWXYZ.")))))</f>
        <v>0</v>
      </c>
      <c r="W494">
        <f>AND(IF(Metadata!C494="",FALSE,TRUE),exact(Metadata!C494,"urban biome"))</f>
        <v>0</v>
      </c>
      <c r="X494">
        <f>AND(IF(Metadata!D494="",FALSE,TRUE),exact(Metadata!D494,"animal-associated habitat"))</f>
        <v>0</v>
      </c>
      <c r="Y494">
        <f>OR(AND(IF(Metadata!E494="",FALSE,TRUE),OR(exact(Metadata!E494,"not applicable"),exact(Metadata!E494,"missing: not collected"),exact(Metadata!E494,"missing: not provided"),exact(Metadata!E494,"missing: restricted access"))),AND(IF(Metadata!E494="",FALSE,ISNUMBER(VALUE(Metadata!E494))),Metadata!E494&gt;0))</f>
        <v>0</v>
      </c>
      <c r="Z494">
        <f>AND(IF(Metadata!F494="",FALSE,TRUE),exact(Metadata!F494,"weeks"))</f>
        <v>0</v>
      </c>
      <c r="AA494">
        <f>AND(IF(Metadata!G494="",FALSE,TRUE),exact(Metadata!G494,"mouse"))</f>
        <v>0</v>
      </c>
      <c r="AB494">
        <f>AND(IF(Metadata!H494="",FALSE,TRUE),exact(Metadata!H494,"Mus musculus"))</f>
        <v>0</v>
      </c>
      <c r="AC494">
        <f>AND(IF(Metadata!I494="",FALSE,TRUE),exact(Metadata!I494,"10090"))</f>
        <v>0</v>
      </c>
      <c r="AD494">
        <f>OR(AND(IF(Metadata!J494="",FALSE,TRUE),OR(exact(Metadata!J494,"not applicable"),exact(Metadata!J494,"missing: not collected"),exact(Metadata!J494,"missing: not provided"),exact(Metadata!J494,"missing: restricted access"))),AND(IF(Metadata!J494="",FALSE,ISNUMBER(VALUE(Metadata!J494))),Metadata!J494&gt;0))</f>
        <v>0</v>
      </c>
      <c r="AE494">
        <f>AND(IF(Metadata!K494="",FALSE,TRUE),exact(Metadata!K494,"g"))</f>
        <v>0</v>
      </c>
    </row>
    <row r="495" spans="1:31">
      <c r="A495" s="5">
        <f>IF(B495=" "," ",HYPERLINK(CONCATENATE("#metadata!",ADDRESS(INDEX($Q$2:$Q$1001,MATCH(ROWS($O$2:O495),$O$2:$O$1001,0),0),1)),INDEX($T$2:$T$1001,MATCH(ROWS($O$2:O495),$O$2:$O$1001,0),0)))</f>
        <v>0</v>
      </c>
      <c r="B495" s="4">
        <f>IF(OR(INDEX($P$2:$P$1001,MATCH(ROWS($O$2:O495),$O$2:$O$1001,0),1)&gt;=100000,INDEX($V$1005:$AE$1005,1,MATCH(COLUMNS($V$1006:V1006),$V$1006:$AE$1006,0))&gt;=100000), " ",IF(INDEX($V$2:$AE$1001,MATCH(ROWS($O$2:O495),$O$2:$O$1001,0),MATCH(COLUMNS($V$1006:V1006),$V$1006:$AE$1006,0)), HYPERLINK("#",""), HYPERLINK(CONCATENATE("#Metadata!", ADDRESS(INDEX($Q$2:$Q$1001,MATCH(ROWS($O$2:O495),$O$2:$O$1001,0),0), INDEX($V$1004:$AE$1004,1,MATCH(COLUMNS($V$1006:V1006),$V$1006:$AE$1006,0)))),"Fix")))</f>
        <v>0</v>
      </c>
      <c r="C495" s="4">
        <f>IF(OR(INDEX($P$2:$P$1001,MATCH(ROWS($O$2:O495),$O$2:$O$1001,0),1)&gt;=100000,INDEX($V$1005:$AE$1005,1,MATCH(COLUMNS($V$1006:W1006),$V$1006:$AE$1006,0))&gt;=100000), " ",IF(INDEX($V$2:$AE$1001,MATCH(ROWS($O$2:O495),$O$2:$O$1001,0),MATCH(COLUMNS($V$1006:W1006),$V$1006:$AE$1006,0)), HYPERLINK("#",""), HYPERLINK(CONCATENATE("#Metadata!", ADDRESS(INDEX($Q$2:$Q$1001,MATCH(ROWS($O$2:O495),$O$2:$O$1001,0),0), INDEX($V$1004:$AE$1004,1,MATCH(COLUMNS($V$1006:W1006),$V$1006:$AE$1006,0)))),"Fix")))</f>
        <v>0</v>
      </c>
      <c r="D495" s="4">
        <f>IF(OR(INDEX($P$2:$P$1001,MATCH(ROWS($O$2:O495),$O$2:$O$1001,0),1)&gt;=100000,INDEX($V$1005:$AE$1005,1,MATCH(COLUMNS($V$1006:X1006),$V$1006:$AE$1006,0))&gt;=100000), " ",IF(INDEX($V$2:$AE$1001,MATCH(ROWS($O$2:O495),$O$2:$O$1001,0),MATCH(COLUMNS($V$1006:X1006),$V$1006:$AE$1006,0)), HYPERLINK("#",""), HYPERLINK(CONCATENATE("#Metadata!", ADDRESS(INDEX($Q$2:$Q$1001,MATCH(ROWS($O$2:O495),$O$2:$O$1001,0),0), INDEX($V$1004:$AE$1004,1,MATCH(COLUMNS($V$1006:X1006),$V$1006:$AE$1006,0)))),"Fix")))</f>
        <v>0</v>
      </c>
      <c r="E495" s="4">
        <f>IF(OR(INDEX($P$2:$P$1001,MATCH(ROWS($O$2:O495),$O$2:$O$1001,0),1)&gt;=100000,INDEX($V$1005:$AE$1005,1,MATCH(COLUMNS($V$1006:Y1006),$V$1006:$AE$1006,0))&gt;=100000), " ",IF(INDEX($V$2:$AE$1001,MATCH(ROWS($O$2:O495),$O$2:$O$1001,0),MATCH(COLUMNS($V$1006:Y1006),$V$1006:$AE$1006,0)), HYPERLINK("#",""), HYPERLINK(CONCATENATE("#Metadata!", ADDRESS(INDEX($Q$2:$Q$1001,MATCH(ROWS($O$2:O495),$O$2:$O$1001,0),0), INDEX($V$1004:$AE$1004,1,MATCH(COLUMNS($V$1006:Y1006),$V$1006:$AE$1006,0)))),"Fix")))</f>
        <v>0</v>
      </c>
      <c r="F495" s="4">
        <f>IF(OR(INDEX($P$2:$P$1001,MATCH(ROWS($O$2:O495),$O$2:$O$1001,0),1)&gt;=100000,INDEX($V$1005:$AE$1005,1,MATCH(COLUMNS($V$1006:Z1006),$V$1006:$AE$1006,0))&gt;=100000), " ",IF(INDEX($V$2:$AE$1001,MATCH(ROWS($O$2:O495),$O$2:$O$1001,0),MATCH(COLUMNS($V$1006:Z1006),$V$1006:$AE$1006,0)), HYPERLINK("#",""), HYPERLINK(CONCATENATE("#Metadata!", ADDRESS(INDEX($Q$2:$Q$1001,MATCH(ROWS($O$2:O495),$O$2:$O$1001,0),0), INDEX($V$1004:$AE$1004,1,MATCH(COLUMNS($V$1006:Z1006),$V$1006:$AE$1006,0)))),"Fix")))</f>
        <v>0</v>
      </c>
      <c r="G495" s="4">
        <f>IF(OR(INDEX($P$2:$P$1001,MATCH(ROWS($O$2:O495),$O$2:$O$1001,0),1)&gt;=100000,INDEX($V$1005:$AE$1005,1,MATCH(COLUMNS($V$1006:AA1006),$V$1006:$AE$1006,0))&gt;=100000), " ",IF(INDEX($V$2:$AE$1001,MATCH(ROWS($O$2:O495),$O$2:$O$1001,0),MATCH(COLUMNS($V$1006:AA1006),$V$1006:$AE$1006,0)), HYPERLINK("#",""), HYPERLINK(CONCATENATE("#Metadata!", ADDRESS(INDEX($Q$2:$Q$1001,MATCH(ROWS($O$2:O495),$O$2:$O$1001,0),0), INDEX($V$1004:$AE$1004,1,MATCH(COLUMNS($V$1006:AA1006),$V$1006:$AE$1006,0)))),"Fix")))</f>
        <v>0</v>
      </c>
      <c r="H495" s="4">
        <f>IF(OR(INDEX($P$2:$P$1001,MATCH(ROWS($O$2:O495),$O$2:$O$1001,0),1)&gt;=100000,INDEX($V$1005:$AE$1005,1,MATCH(COLUMNS($V$1006:AB1006),$V$1006:$AE$1006,0))&gt;=100000), " ",IF(INDEX($V$2:$AE$1001,MATCH(ROWS($O$2:O495),$O$2:$O$1001,0),MATCH(COLUMNS($V$1006:AB1006),$V$1006:$AE$1006,0)), HYPERLINK("#",""), HYPERLINK(CONCATENATE("#Metadata!", ADDRESS(INDEX($Q$2:$Q$1001,MATCH(ROWS($O$2:O495),$O$2:$O$1001,0),0), INDEX($V$1004:$AE$1004,1,MATCH(COLUMNS($V$1006:AB1006),$V$1006:$AE$1006,0)))),"Fix")))</f>
        <v>0</v>
      </c>
      <c r="I495" s="4">
        <f>IF(OR(INDEX($P$2:$P$1001,MATCH(ROWS($O$2:O495),$O$2:$O$1001,0),1)&gt;=100000,INDEX($V$1005:$AE$1005,1,MATCH(COLUMNS($V$1006:AC1006),$V$1006:$AE$1006,0))&gt;=100000), " ",IF(INDEX($V$2:$AE$1001,MATCH(ROWS($O$2:O495),$O$2:$O$1001,0),MATCH(COLUMNS($V$1006:AC1006),$V$1006:$AE$1006,0)), HYPERLINK("#",""), HYPERLINK(CONCATENATE("#Metadata!", ADDRESS(INDEX($Q$2:$Q$1001,MATCH(ROWS($O$2:O495),$O$2:$O$1001,0),0), INDEX($V$1004:$AE$1004,1,MATCH(COLUMNS($V$1006:AC1006),$V$1006:$AE$1006,0)))),"Fix")))</f>
        <v>0</v>
      </c>
      <c r="J495" s="4">
        <f>IF(OR(INDEX($P$2:$P$1001,MATCH(ROWS($O$2:O495),$O$2:$O$1001,0),1)&gt;=100000,INDEX($V$1005:$AE$1005,1,MATCH(COLUMNS($V$1006:AD1006),$V$1006:$AE$1006,0))&gt;=100000), " ",IF(INDEX($V$2:$AE$1001,MATCH(ROWS($O$2:O495),$O$2:$O$1001,0),MATCH(COLUMNS($V$1006:AD1006),$V$1006:$AE$1006,0)), HYPERLINK("#",""), HYPERLINK(CONCATENATE("#Metadata!", ADDRESS(INDEX($Q$2:$Q$1001,MATCH(ROWS($O$2:O495),$O$2:$O$1001,0),0), INDEX($V$1004:$AE$1004,1,MATCH(COLUMNS($V$1006:AD1006),$V$1006:$AE$1006,0)))),"Fix")))</f>
        <v>0</v>
      </c>
      <c r="K495" s="4">
        <f>IF(OR(INDEX($P$2:$P$1001,MATCH(ROWS($O$2:O495),$O$2:$O$1001,0),1)&gt;=100000,INDEX($V$1005:$AE$1005,1,MATCH(COLUMNS($V$1006:AE1006),$V$1006:$AE$1006,0))&gt;=100000), " ",IF(INDEX($V$2:$AE$1001,MATCH(ROWS($O$2:O495),$O$2:$O$1001,0),MATCH(COLUMNS($V$1006:AE1006),$V$1006:$AE$1006,0)), HYPERLINK("#",""), HYPERLINK(CONCATENATE("#Metadata!", ADDRESS(INDEX($Q$2:$Q$1001,MATCH(ROWS($O$2:O495),$O$2:$O$1001,0),0), INDEX($V$1004:$AE$1004,1,MATCH(COLUMNS($V$1006:AE1006),$V$1006:$AE$1006,0)))),"Fix")))</f>
        <v>0</v>
      </c>
      <c r="O495">
        <v>0</v>
      </c>
      <c r="P495">
        <v>0</v>
      </c>
      <c r="Q495">
        <v>0</v>
      </c>
      <c r="R495">
        <f>IF(S495,TRUE,AND(V495:AE495))</f>
        <v>0</v>
      </c>
      <c r="S495">
        <f>COUNTBLANK(Metadata!B495:K495)=COLUMNS(Metadata!B495:K495)</f>
        <v>0</v>
      </c>
      <c r="T495">
        <v>0</v>
      </c>
      <c r="V495">
        <f>AND(IF(Metadata!B495="",FALSE,TRUE),COUNTIF(Metadata!B:B, Metadata!B495) = 1,NOT(ISERROR(SUMPRODUCT(SEARCH(MID(Metadata!B495,ROW(INDIRECT("1:"&amp;LEN(Metadata!B495))), 1),"0123456789abcdefghijklmnopqrstuvwxyzABCDEFGHIJKLMNOPQRSTUVWXYZ.")))))</f>
        <v>0</v>
      </c>
      <c r="W495">
        <f>AND(IF(Metadata!C495="",FALSE,TRUE),exact(Metadata!C495,"urban biome"))</f>
        <v>0</v>
      </c>
      <c r="X495">
        <f>AND(IF(Metadata!D495="",FALSE,TRUE),exact(Metadata!D495,"animal-associated habitat"))</f>
        <v>0</v>
      </c>
      <c r="Y495">
        <f>OR(AND(IF(Metadata!E495="",FALSE,TRUE),OR(exact(Metadata!E495,"not applicable"),exact(Metadata!E495,"missing: not collected"),exact(Metadata!E495,"missing: not provided"),exact(Metadata!E495,"missing: restricted access"))),AND(IF(Metadata!E495="",FALSE,ISNUMBER(VALUE(Metadata!E495))),Metadata!E495&gt;0))</f>
        <v>0</v>
      </c>
      <c r="Z495">
        <f>AND(IF(Metadata!F495="",FALSE,TRUE),exact(Metadata!F495,"weeks"))</f>
        <v>0</v>
      </c>
      <c r="AA495">
        <f>AND(IF(Metadata!G495="",FALSE,TRUE),exact(Metadata!G495,"mouse"))</f>
        <v>0</v>
      </c>
      <c r="AB495">
        <f>AND(IF(Metadata!H495="",FALSE,TRUE),exact(Metadata!H495,"Mus musculus"))</f>
        <v>0</v>
      </c>
      <c r="AC495">
        <f>AND(IF(Metadata!I495="",FALSE,TRUE),exact(Metadata!I495,"10090"))</f>
        <v>0</v>
      </c>
      <c r="AD495">
        <f>OR(AND(IF(Metadata!J495="",FALSE,TRUE),OR(exact(Metadata!J495,"not applicable"),exact(Metadata!J495,"missing: not collected"),exact(Metadata!J495,"missing: not provided"),exact(Metadata!J495,"missing: restricted access"))),AND(IF(Metadata!J495="",FALSE,ISNUMBER(VALUE(Metadata!J495))),Metadata!J495&gt;0))</f>
        <v>0</v>
      </c>
      <c r="AE495">
        <f>AND(IF(Metadata!K495="",FALSE,TRUE),exact(Metadata!K495,"g"))</f>
        <v>0</v>
      </c>
    </row>
    <row r="496" spans="1:31">
      <c r="A496" s="5">
        <f>IF(B496=" "," ",HYPERLINK(CONCATENATE("#metadata!",ADDRESS(INDEX($Q$2:$Q$1001,MATCH(ROWS($O$2:O496),$O$2:$O$1001,0),0),1)),INDEX($T$2:$T$1001,MATCH(ROWS($O$2:O496),$O$2:$O$1001,0),0)))</f>
        <v>0</v>
      </c>
      <c r="B496" s="4">
        <f>IF(OR(INDEX($P$2:$P$1001,MATCH(ROWS($O$2:O496),$O$2:$O$1001,0),1)&gt;=100000,INDEX($V$1005:$AE$1005,1,MATCH(COLUMNS($V$1006:V1006),$V$1006:$AE$1006,0))&gt;=100000), " ",IF(INDEX($V$2:$AE$1001,MATCH(ROWS($O$2:O496),$O$2:$O$1001,0),MATCH(COLUMNS($V$1006:V1006),$V$1006:$AE$1006,0)), HYPERLINK("#",""), HYPERLINK(CONCATENATE("#Metadata!", ADDRESS(INDEX($Q$2:$Q$1001,MATCH(ROWS($O$2:O496),$O$2:$O$1001,0),0), INDEX($V$1004:$AE$1004,1,MATCH(COLUMNS($V$1006:V1006),$V$1006:$AE$1006,0)))),"Fix")))</f>
        <v>0</v>
      </c>
      <c r="C496" s="4">
        <f>IF(OR(INDEX($P$2:$P$1001,MATCH(ROWS($O$2:O496),$O$2:$O$1001,0),1)&gt;=100000,INDEX($V$1005:$AE$1005,1,MATCH(COLUMNS($V$1006:W1006),$V$1006:$AE$1006,0))&gt;=100000), " ",IF(INDEX($V$2:$AE$1001,MATCH(ROWS($O$2:O496),$O$2:$O$1001,0),MATCH(COLUMNS($V$1006:W1006),$V$1006:$AE$1006,0)), HYPERLINK("#",""), HYPERLINK(CONCATENATE("#Metadata!", ADDRESS(INDEX($Q$2:$Q$1001,MATCH(ROWS($O$2:O496),$O$2:$O$1001,0),0), INDEX($V$1004:$AE$1004,1,MATCH(COLUMNS($V$1006:W1006),$V$1006:$AE$1006,0)))),"Fix")))</f>
        <v>0</v>
      </c>
      <c r="D496" s="4">
        <f>IF(OR(INDEX($P$2:$P$1001,MATCH(ROWS($O$2:O496),$O$2:$O$1001,0),1)&gt;=100000,INDEX($V$1005:$AE$1005,1,MATCH(COLUMNS($V$1006:X1006),$V$1006:$AE$1006,0))&gt;=100000), " ",IF(INDEX($V$2:$AE$1001,MATCH(ROWS($O$2:O496),$O$2:$O$1001,0),MATCH(COLUMNS($V$1006:X1006),$V$1006:$AE$1006,0)), HYPERLINK("#",""), HYPERLINK(CONCATENATE("#Metadata!", ADDRESS(INDEX($Q$2:$Q$1001,MATCH(ROWS($O$2:O496),$O$2:$O$1001,0),0), INDEX($V$1004:$AE$1004,1,MATCH(COLUMNS($V$1006:X1006),$V$1006:$AE$1006,0)))),"Fix")))</f>
        <v>0</v>
      </c>
      <c r="E496" s="4">
        <f>IF(OR(INDEX($P$2:$P$1001,MATCH(ROWS($O$2:O496),$O$2:$O$1001,0),1)&gt;=100000,INDEX($V$1005:$AE$1005,1,MATCH(COLUMNS($V$1006:Y1006),$V$1006:$AE$1006,0))&gt;=100000), " ",IF(INDEX($V$2:$AE$1001,MATCH(ROWS($O$2:O496),$O$2:$O$1001,0),MATCH(COLUMNS($V$1006:Y1006),$V$1006:$AE$1006,0)), HYPERLINK("#",""), HYPERLINK(CONCATENATE("#Metadata!", ADDRESS(INDEX($Q$2:$Q$1001,MATCH(ROWS($O$2:O496),$O$2:$O$1001,0),0), INDEX($V$1004:$AE$1004,1,MATCH(COLUMNS($V$1006:Y1006),$V$1006:$AE$1006,0)))),"Fix")))</f>
        <v>0</v>
      </c>
      <c r="F496" s="4">
        <f>IF(OR(INDEX($P$2:$P$1001,MATCH(ROWS($O$2:O496),$O$2:$O$1001,0),1)&gt;=100000,INDEX($V$1005:$AE$1005,1,MATCH(COLUMNS($V$1006:Z1006),$V$1006:$AE$1006,0))&gt;=100000), " ",IF(INDEX($V$2:$AE$1001,MATCH(ROWS($O$2:O496),$O$2:$O$1001,0),MATCH(COLUMNS($V$1006:Z1006),$V$1006:$AE$1006,0)), HYPERLINK("#",""), HYPERLINK(CONCATENATE("#Metadata!", ADDRESS(INDEX($Q$2:$Q$1001,MATCH(ROWS($O$2:O496),$O$2:$O$1001,0),0), INDEX($V$1004:$AE$1004,1,MATCH(COLUMNS($V$1006:Z1006),$V$1006:$AE$1006,0)))),"Fix")))</f>
        <v>0</v>
      </c>
      <c r="G496" s="4">
        <f>IF(OR(INDEX($P$2:$P$1001,MATCH(ROWS($O$2:O496),$O$2:$O$1001,0),1)&gt;=100000,INDEX($V$1005:$AE$1005,1,MATCH(COLUMNS($V$1006:AA1006),$V$1006:$AE$1006,0))&gt;=100000), " ",IF(INDEX($V$2:$AE$1001,MATCH(ROWS($O$2:O496),$O$2:$O$1001,0),MATCH(COLUMNS($V$1006:AA1006),$V$1006:$AE$1006,0)), HYPERLINK("#",""), HYPERLINK(CONCATENATE("#Metadata!", ADDRESS(INDEX($Q$2:$Q$1001,MATCH(ROWS($O$2:O496),$O$2:$O$1001,0),0), INDEX($V$1004:$AE$1004,1,MATCH(COLUMNS($V$1006:AA1006),$V$1006:$AE$1006,0)))),"Fix")))</f>
        <v>0</v>
      </c>
      <c r="H496" s="4">
        <f>IF(OR(INDEX($P$2:$P$1001,MATCH(ROWS($O$2:O496),$O$2:$O$1001,0),1)&gt;=100000,INDEX($V$1005:$AE$1005,1,MATCH(COLUMNS($V$1006:AB1006),$V$1006:$AE$1006,0))&gt;=100000), " ",IF(INDEX($V$2:$AE$1001,MATCH(ROWS($O$2:O496),$O$2:$O$1001,0),MATCH(COLUMNS($V$1006:AB1006),$V$1006:$AE$1006,0)), HYPERLINK("#",""), HYPERLINK(CONCATENATE("#Metadata!", ADDRESS(INDEX($Q$2:$Q$1001,MATCH(ROWS($O$2:O496),$O$2:$O$1001,0),0), INDEX($V$1004:$AE$1004,1,MATCH(COLUMNS($V$1006:AB1006),$V$1006:$AE$1006,0)))),"Fix")))</f>
        <v>0</v>
      </c>
      <c r="I496" s="4">
        <f>IF(OR(INDEX($P$2:$P$1001,MATCH(ROWS($O$2:O496),$O$2:$O$1001,0),1)&gt;=100000,INDEX($V$1005:$AE$1005,1,MATCH(COLUMNS($V$1006:AC1006),$V$1006:$AE$1006,0))&gt;=100000), " ",IF(INDEX($V$2:$AE$1001,MATCH(ROWS($O$2:O496),$O$2:$O$1001,0),MATCH(COLUMNS($V$1006:AC1006),$V$1006:$AE$1006,0)), HYPERLINK("#",""), HYPERLINK(CONCATENATE("#Metadata!", ADDRESS(INDEX($Q$2:$Q$1001,MATCH(ROWS($O$2:O496),$O$2:$O$1001,0),0), INDEX($V$1004:$AE$1004,1,MATCH(COLUMNS($V$1006:AC1006),$V$1006:$AE$1006,0)))),"Fix")))</f>
        <v>0</v>
      </c>
      <c r="J496" s="4">
        <f>IF(OR(INDEX($P$2:$P$1001,MATCH(ROWS($O$2:O496),$O$2:$O$1001,0),1)&gt;=100000,INDEX($V$1005:$AE$1005,1,MATCH(COLUMNS($V$1006:AD1006),$V$1006:$AE$1006,0))&gt;=100000), " ",IF(INDEX($V$2:$AE$1001,MATCH(ROWS($O$2:O496),$O$2:$O$1001,0),MATCH(COLUMNS($V$1006:AD1006),$V$1006:$AE$1006,0)), HYPERLINK("#",""), HYPERLINK(CONCATENATE("#Metadata!", ADDRESS(INDEX($Q$2:$Q$1001,MATCH(ROWS($O$2:O496),$O$2:$O$1001,0),0), INDEX($V$1004:$AE$1004,1,MATCH(COLUMNS($V$1006:AD1006),$V$1006:$AE$1006,0)))),"Fix")))</f>
        <v>0</v>
      </c>
      <c r="K496" s="4">
        <f>IF(OR(INDEX($P$2:$P$1001,MATCH(ROWS($O$2:O496),$O$2:$O$1001,0),1)&gt;=100000,INDEX($V$1005:$AE$1005,1,MATCH(COLUMNS($V$1006:AE1006),$V$1006:$AE$1006,0))&gt;=100000), " ",IF(INDEX($V$2:$AE$1001,MATCH(ROWS($O$2:O496),$O$2:$O$1001,0),MATCH(COLUMNS($V$1006:AE1006),$V$1006:$AE$1006,0)), HYPERLINK("#",""), HYPERLINK(CONCATENATE("#Metadata!", ADDRESS(INDEX($Q$2:$Q$1001,MATCH(ROWS($O$2:O496),$O$2:$O$1001,0),0), INDEX($V$1004:$AE$1004,1,MATCH(COLUMNS($V$1006:AE1006),$V$1006:$AE$1006,0)))),"Fix")))</f>
        <v>0</v>
      </c>
      <c r="O496">
        <v>0</v>
      </c>
      <c r="P496">
        <v>0</v>
      </c>
      <c r="Q496">
        <v>0</v>
      </c>
      <c r="R496">
        <f>IF(S496,TRUE,AND(V496:AE496))</f>
        <v>0</v>
      </c>
      <c r="S496">
        <f>COUNTBLANK(Metadata!B496:K496)=COLUMNS(Metadata!B496:K496)</f>
        <v>0</v>
      </c>
      <c r="T496">
        <v>0</v>
      </c>
      <c r="V496">
        <f>AND(IF(Metadata!B496="",FALSE,TRUE),COUNTIF(Metadata!B:B, Metadata!B496) = 1,NOT(ISERROR(SUMPRODUCT(SEARCH(MID(Metadata!B496,ROW(INDIRECT("1:"&amp;LEN(Metadata!B496))), 1),"0123456789abcdefghijklmnopqrstuvwxyzABCDEFGHIJKLMNOPQRSTUVWXYZ.")))))</f>
        <v>0</v>
      </c>
      <c r="W496">
        <f>AND(IF(Metadata!C496="",FALSE,TRUE),exact(Metadata!C496,"urban biome"))</f>
        <v>0</v>
      </c>
      <c r="X496">
        <f>AND(IF(Metadata!D496="",FALSE,TRUE),exact(Metadata!D496,"animal-associated habitat"))</f>
        <v>0</v>
      </c>
      <c r="Y496">
        <f>OR(AND(IF(Metadata!E496="",FALSE,TRUE),OR(exact(Metadata!E496,"not applicable"),exact(Metadata!E496,"missing: not collected"),exact(Metadata!E496,"missing: not provided"),exact(Metadata!E496,"missing: restricted access"))),AND(IF(Metadata!E496="",FALSE,ISNUMBER(VALUE(Metadata!E496))),Metadata!E496&gt;0))</f>
        <v>0</v>
      </c>
      <c r="Z496">
        <f>AND(IF(Metadata!F496="",FALSE,TRUE),exact(Metadata!F496,"weeks"))</f>
        <v>0</v>
      </c>
      <c r="AA496">
        <f>AND(IF(Metadata!G496="",FALSE,TRUE),exact(Metadata!G496,"mouse"))</f>
        <v>0</v>
      </c>
      <c r="AB496">
        <f>AND(IF(Metadata!H496="",FALSE,TRUE),exact(Metadata!H496,"Mus musculus"))</f>
        <v>0</v>
      </c>
      <c r="AC496">
        <f>AND(IF(Metadata!I496="",FALSE,TRUE),exact(Metadata!I496,"10090"))</f>
        <v>0</v>
      </c>
      <c r="AD496">
        <f>OR(AND(IF(Metadata!J496="",FALSE,TRUE),OR(exact(Metadata!J496,"not applicable"),exact(Metadata!J496,"missing: not collected"),exact(Metadata!J496,"missing: not provided"),exact(Metadata!J496,"missing: restricted access"))),AND(IF(Metadata!J496="",FALSE,ISNUMBER(VALUE(Metadata!J496))),Metadata!J496&gt;0))</f>
        <v>0</v>
      </c>
      <c r="AE496">
        <f>AND(IF(Metadata!K496="",FALSE,TRUE),exact(Metadata!K496,"g"))</f>
        <v>0</v>
      </c>
    </row>
    <row r="497" spans="1:31">
      <c r="A497" s="5">
        <f>IF(B497=" "," ",HYPERLINK(CONCATENATE("#metadata!",ADDRESS(INDEX($Q$2:$Q$1001,MATCH(ROWS($O$2:O497),$O$2:$O$1001,0),0),1)),INDEX($T$2:$T$1001,MATCH(ROWS($O$2:O497),$O$2:$O$1001,0),0)))</f>
        <v>0</v>
      </c>
      <c r="B497" s="4">
        <f>IF(OR(INDEX($P$2:$P$1001,MATCH(ROWS($O$2:O497),$O$2:$O$1001,0),1)&gt;=100000,INDEX($V$1005:$AE$1005,1,MATCH(COLUMNS($V$1006:V1006),$V$1006:$AE$1006,0))&gt;=100000), " ",IF(INDEX($V$2:$AE$1001,MATCH(ROWS($O$2:O497),$O$2:$O$1001,0),MATCH(COLUMNS($V$1006:V1006),$V$1006:$AE$1006,0)), HYPERLINK("#",""), HYPERLINK(CONCATENATE("#Metadata!", ADDRESS(INDEX($Q$2:$Q$1001,MATCH(ROWS($O$2:O497),$O$2:$O$1001,0),0), INDEX($V$1004:$AE$1004,1,MATCH(COLUMNS($V$1006:V1006),$V$1006:$AE$1006,0)))),"Fix")))</f>
        <v>0</v>
      </c>
      <c r="C497" s="4">
        <f>IF(OR(INDEX($P$2:$P$1001,MATCH(ROWS($O$2:O497),$O$2:$O$1001,0),1)&gt;=100000,INDEX($V$1005:$AE$1005,1,MATCH(COLUMNS($V$1006:W1006),$V$1006:$AE$1006,0))&gt;=100000), " ",IF(INDEX($V$2:$AE$1001,MATCH(ROWS($O$2:O497),$O$2:$O$1001,0),MATCH(COLUMNS($V$1006:W1006),$V$1006:$AE$1006,0)), HYPERLINK("#",""), HYPERLINK(CONCATENATE("#Metadata!", ADDRESS(INDEX($Q$2:$Q$1001,MATCH(ROWS($O$2:O497),$O$2:$O$1001,0),0), INDEX($V$1004:$AE$1004,1,MATCH(COLUMNS($V$1006:W1006),$V$1006:$AE$1006,0)))),"Fix")))</f>
        <v>0</v>
      </c>
      <c r="D497" s="4">
        <f>IF(OR(INDEX($P$2:$P$1001,MATCH(ROWS($O$2:O497),$O$2:$O$1001,0),1)&gt;=100000,INDEX($V$1005:$AE$1005,1,MATCH(COLUMNS($V$1006:X1006),$V$1006:$AE$1006,0))&gt;=100000), " ",IF(INDEX($V$2:$AE$1001,MATCH(ROWS($O$2:O497),$O$2:$O$1001,0),MATCH(COLUMNS($V$1006:X1006),$V$1006:$AE$1006,0)), HYPERLINK("#",""), HYPERLINK(CONCATENATE("#Metadata!", ADDRESS(INDEX($Q$2:$Q$1001,MATCH(ROWS($O$2:O497),$O$2:$O$1001,0),0), INDEX($V$1004:$AE$1004,1,MATCH(COLUMNS($V$1006:X1006),$V$1006:$AE$1006,0)))),"Fix")))</f>
        <v>0</v>
      </c>
      <c r="E497" s="4">
        <f>IF(OR(INDEX($P$2:$P$1001,MATCH(ROWS($O$2:O497),$O$2:$O$1001,0),1)&gt;=100000,INDEX($V$1005:$AE$1005,1,MATCH(COLUMNS($V$1006:Y1006),$V$1006:$AE$1006,0))&gt;=100000), " ",IF(INDEX($V$2:$AE$1001,MATCH(ROWS($O$2:O497),$O$2:$O$1001,0),MATCH(COLUMNS($V$1006:Y1006),$V$1006:$AE$1006,0)), HYPERLINK("#",""), HYPERLINK(CONCATENATE("#Metadata!", ADDRESS(INDEX($Q$2:$Q$1001,MATCH(ROWS($O$2:O497),$O$2:$O$1001,0),0), INDEX($V$1004:$AE$1004,1,MATCH(COLUMNS($V$1006:Y1006),$V$1006:$AE$1006,0)))),"Fix")))</f>
        <v>0</v>
      </c>
      <c r="F497" s="4">
        <f>IF(OR(INDEX($P$2:$P$1001,MATCH(ROWS($O$2:O497),$O$2:$O$1001,0),1)&gt;=100000,INDEX($V$1005:$AE$1005,1,MATCH(COLUMNS($V$1006:Z1006),$V$1006:$AE$1006,0))&gt;=100000), " ",IF(INDEX($V$2:$AE$1001,MATCH(ROWS($O$2:O497),$O$2:$O$1001,0),MATCH(COLUMNS($V$1006:Z1006),$V$1006:$AE$1006,0)), HYPERLINK("#",""), HYPERLINK(CONCATENATE("#Metadata!", ADDRESS(INDEX($Q$2:$Q$1001,MATCH(ROWS($O$2:O497),$O$2:$O$1001,0),0), INDEX($V$1004:$AE$1004,1,MATCH(COLUMNS($V$1006:Z1006),$V$1006:$AE$1006,0)))),"Fix")))</f>
        <v>0</v>
      </c>
      <c r="G497" s="4">
        <f>IF(OR(INDEX($P$2:$P$1001,MATCH(ROWS($O$2:O497),$O$2:$O$1001,0),1)&gt;=100000,INDEX($V$1005:$AE$1005,1,MATCH(COLUMNS($V$1006:AA1006),$V$1006:$AE$1006,0))&gt;=100000), " ",IF(INDEX($V$2:$AE$1001,MATCH(ROWS($O$2:O497),$O$2:$O$1001,0),MATCH(COLUMNS($V$1006:AA1006),$V$1006:$AE$1006,0)), HYPERLINK("#",""), HYPERLINK(CONCATENATE("#Metadata!", ADDRESS(INDEX($Q$2:$Q$1001,MATCH(ROWS($O$2:O497),$O$2:$O$1001,0),0), INDEX($V$1004:$AE$1004,1,MATCH(COLUMNS($V$1006:AA1006),$V$1006:$AE$1006,0)))),"Fix")))</f>
        <v>0</v>
      </c>
      <c r="H497" s="4">
        <f>IF(OR(INDEX($P$2:$P$1001,MATCH(ROWS($O$2:O497),$O$2:$O$1001,0),1)&gt;=100000,INDEX($V$1005:$AE$1005,1,MATCH(COLUMNS($V$1006:AB1006),$V$1006:$AE$1006,0))&gt;=100000), " ",IF(INDEX($V$2:$AE$1001,MATCH(ROWS($O$2:O497),$O$2:$O$1001,0),MATCH(COLUMNS($V$1006:AB1006),$V$1006:$AE$1006,0)), HYPERLINK("#",""), HYPERLINK(CONCATENATE("#Metadata!", ADDRESS(INDEX($Q$2:$Q$1001,MATCH(ROWS($O$2:O497),$O$2:$O$1001,0),0), INDEX($V$1004:$AE$1004,1,MATCH(COLUMNS($V$1006:AB1006),$V$1006:$AE$1006,0)))),"Fix")))</f>
        <v>0</v>
      </c>
      <c r="I497" s="4">
        <f>IF(OR(INDEX($P$2:$P$1001,MATCH(ROWS($O$2:O497),$O$2:$O$1001,0),1)&gt;=100000,INDEX($V$1005:$AE$1005,1,MATCH(COLUMNS($V$1006:AC1006),$V$1006:$AE$1006,0))&gt;=100000), " ",IF(INDEX($V$2:$AE$1001,MATCH(ROWS($O$2:O497),$O$2:$O$1001,0),MATCH(COLUMNS($V$1006:AC1006),$V$1006:$AE$1006,0)), HYPERLINK("#",""), HYPERLINK(CONCATENATE("#Metadata!", ADDRESS(INDEX($Q$2:$Q$1001,MATCH(ROWS($O$2:O497),$O$2:$O$1001,0),0), INDEX($V$1004:$AE$1004,1,MATCH(COLUMNS($V$1006:AC1006),$V$1006:$AE$1006,0)))),"Fix")))</f>
        <v>0</v>
      </c>
      <c r="J497" s="4">
        <f>IF(OR(INDEX($P$2:$P$1001,MATCH(ROWS($O$2:O497),$O$2:$O$1001,0),1)&gt;=100000,INDEX($V$1005:$AE$1005,1,MATCH(COLUMNS($V$1006:AD1006),$V$1006:$AE$1006,0))&gt;=100000), " ",IF(INDEX($V$2:$AE$1001,MATCH(ROWS($O$2:O497),$O$2:$O$1001,0),MATCH(COLUMNS($V$1006:AD1006),$V$1006:$AE$1006,0)), HYPERLINK("#",""), HYPERLINK(CONCATENATE("#Metadata!", ADDRESS(INDEX($Q$2:$Q$1001,MATCH(ROWS($O$2:O497),$O$2:$O$1001,0),0), INDEX($V$1004:$AE$1004,1,MATCH(COLUMNS($V$1006:AD1006),$V$1006:$AE$1006,0)))),"Fix")))</f>
        <v>0</v>
      </c>
      <c r="K497" s="4">
        <f>IF(OR(INDEX($P$2:$P$1001,MATCH(ROWS($O$2:O497),$O$2:$O$1001,0),1)&gt;=100000,INDEX($V$1005:$AE$1005,1,MATCH(COLUMNS($V$1006:AE1006),$V$1006:$AE$1006,0))&gt;=100000), " ",IF(INDEX($V$2:$AE$1001,MATCH(ROWS($O$2:O497),$O$2:$O$1001,0),MATCH(COLUMNS($V$1006:AE1006),$V$1006:$AE$1006,0)), HYPERLINK("#",""), HYPERLINK(CONCATENATE("#Metadata!", ADDRESS(INDEX($Q$2:$Q$1001,MATCH(ROWS($O$2:O497),$O$2:$O$1001,0),0), INDEX($V$1004:$AE$1004,1,MATCH(COLUMNS($V$1006:AE1006),$V$1006:$AE$1006,0)))),"Fix")))</f>
        <v>0</v>
      </c>
      <c r="O497">
        <v>0</v>
      </c>
      <c r="P497">
        <v>0</v>
      </c>
      <c r="Q497">
        <v>0</v>
      </c>
      <c r="R497">
        <f>IF(S497,TRUE,AND(V497:AE497))</f>
        <v>0</v>
      </c>
      <c r="S497">
        <f>COUNTBLANK(Metadata!B497:K497)=COLUMNS(Metadata!B497:K497)</f>
        <v>0</v>
      </c>
      <c r="T497">
        <v>0</v>
      </c>
      <c r="V497">
        <f>AND(IF(Metadata!B497="",FALSE,TRUE),COUNTIF(Metadata!B:B, Metadata!B497) = 1,NOT(ISERROR(SUMPRODUCT(SEARCH(MID(Metadata!B497,ROW(INDIRECT("1:"&amp;LEN(Metadata!B497))), 1),"0123456789abcdefghijklmnopqrstuvwxyzABCDEFGHIJKLMNOPQRSTUVWXYZ.")))))</f>
        <v>0</v>
      </c>
      <c r="W497">
        <f>AND(IF(Metadata!C497="",FALSE,TRUE),exact(Metadata!C497,"urban biome"))</f>
        <v>0</v>
      </c>
      <c r="X497">
        <f>AND(IF(Metadata!D497="",FALSE,TRUE),exact(Metadata!D497,"animal-associated habitat"))</f>
        <v>0</v>
      </c>
      <c r="Y497">
        <f>OR(AND(IF(Metadata!E497="",FALSE,TRUE),OR(exact(Metadata!E497,"not applicable"),exact(Metadata!E497,"missing: not collected"),exact(Metadata!E497,"missing: not provided"),exact(Metadata!E497,"missing: restricted access"))),AND(IF(Metadata!E497="",FALSE,ISNUMBER(VALUE(Metadata!E497))),Metadata!E497&gt;0))</f>
        <v>0</v>
      </c>
      <c r="Z497">
        <f>AND(IF(Metadata!F497="",FALSE,TRUE),exact(Metadata!F497,"weeks"))</f>
        <v>0</v>
      </c>
      <c r="AA497">
        <f>AND(IF(Metadata!G497="",FALSE,TRUE),exact(Metadata!G497,"mouse"))</f>
        <v>0</v>
      </c>
      <c r="AB497">
        <f>AND(IF(Metadata!H497="",FALSE,TRUE),exact(Metadata!H497,"Mus musculus"))</f>
        <v>0</v>
      </c>
      <c r="AC497">
        <f>AND(IF(Metadata!I497="",FALSE,TRUE),exact(Metadata!I497,"10090"))</f>
        <v>0</v>
      </c>
      <c r="AD497">
        <f>OR(AND(IF(Metadata!J497="",FALSE,TRUE),OR(exact(Metadata!J497,"not applicable"),exact(Metadata!J497,"missing: not collected"),exact(Metadata!J497,"missing: not provided"),exact(Metadata!J497,"missing: restricted access"))),AND(IF(Metadata!J497="",FALSE,ISNUMBER(VALUE(Metadata!J497))),Metadata!J497&gt;0))</f>
        <v>0</v>
      </c>
      <c r="AE497">
        <f>AND(IF(Metadata!K497="",FALSE,TRUE),exact(Metadata!K497,"g"))</f>
        <v>0</v>
      </c>
    </row>
    <row r="498" spans="1:31">
      <c r="A498" s="5">
        <f>IF(B498=" "," ",HYPERLINK(CONCATENATE("#metadata!",ADDRESS(INDEX($Q$2:$Q$1001,MATCH(ROWS($O$2:O498),$O$2:$O$1001,0),0),1)),INDEX($T$2:$T$1001,MATCH(ROWS($O$2:O498),$O$2:$O$1001,0),0)))</f>
        <v>0</v>
      </c>
      <c r="B498" s="4">
        <f>IF(OR(INDEX($P$2:$P$1001,MATCH(ROWS($O$2:O498),$O$2:$O$1001,0),1)&gt;=100000,INDEX($V$1005:$AE$1005,1,MATCH(COLUMNS($V$1006:V1006),$V$1006:$AE$1006,0))&gt;=100000), " ",IF(INDEX($V$2:$AE$1001,MATCH(ROWS($O$2:O498),$O$2:$O$1001,0),MATCH(COLUMNS($V$1006:V1006),$V$1006:$AE$1006,0)), HYPERLINK("#",""), HYPERLINK(CONCATENATE("#Metadata!", ADDRESS(INDEX($Q$2:$Q$1001,MATCH(ROWS($O$2:O498),$O$2:$O$1001,0),0), INDEX($V$1004:$AE$1004,1,MATCH(COLUMNS($V$1006:V1006),$V$1006:$AE$1006,0)))),"Fix")))</f>
        <v>0</v>
      </c>
      <c r="C498" s="4">
        <f>IF(OR(INDEX($P$2:$P$1001,MATCH(ROWS($O$2:O498),$O$2:$O$1001,0),1)&gt;=100000,INDEX($V$1005:$AE$1005,1,MATCH(COLUMNS($V$1006:W1006),$V$1006:$AE$1006,0))&gt;=100000), " ",IF(INDEX($V$2:$AE$1001,MATCH(ROWS($O$2:O498),$O$2:$O$1001,0),MATCH(COLUMNS($V$1006:W1006),$V$1006:$AE$1006,0)), HYPERLINK("#",""), HYPERLINK(CONCATENATE("#Metadata!", ADDRESS(INDEX($Q$2:$Q$1001,MATCH(ROWS($O$2:O498),$O$2:$O$1001,0),0), INDEX($V$1004:$AE$1004,1,MATCH(COLUMNS($V$1006:W1006),$V$1006:$AE$1006,0)))),"Fix")))</f>
        <v>0</v>
      </c>
      <c r="D498" s="4">
        <f>IF(OR(INDEX($P$2:$P$1001,MATCH(ROWS($O$2:O498),$O$2:$O$1001,0),1)&gt;=100000,INDEX($V$1005:$AE$1005,1,MATCH(COLUMNS($V$1006:X1006),$V$1006:$AE$1006,0))&gt;=100000), " ",IF(INDEX($V$2:$AE$1001,MATCH(ROWS($O$2:O498),$O$2:$O$1001,0),MATCH(COLUMNS($V$1006:X1006),$V$1006:$AE$1006,0)), HYPERLINK("#",""), HYPERLINK(CONCATENATE("#Metadata!", ADDRESS(INDEX($Q$2:$Q$1001,MATCH(ROWS($O$2:O498),$O$2:$O$1001,0),0), INDEX($V$1004:$AE$1004,1,MATCH(COLUMNS($V$1006:X1006),$V$1006:$AE$1006,0)))),"Fix")))</f>
        <v>0</v>
      </c>
      <c r="E498" s="4">
        <f>IF(OR(INDEX($P$2:$P$1001,MATCH(ROWS($O$2:O498),$O$2:$O$1001,0),1)&gt;=100000,INDEX($V$1005:$AE$1005,1,MATCH(COLUMNS($V$1006:Y1006),$V$1006:$AE$1006,0))&gt;=100000), " ",IF(INDEX($V$2:$AE$1001,MATCH(ROWS($O$2:O498),$O$2:$O$1001,0),MATCH(COLUMNS($V$1006:Y1006),$V$1006:$AE$1006,0)), HYPERLINK("#",""), HYPERLINK(CONCATENATE("#Metadata!", ADDRESS(INDEX($Q$2:$Q$1001,MATCH(ROWS($O$2:O498),$O$2:$O$1001,0),0), INDEX($V$1004:$AE$1004,1,MATCH(COLUMNS($V$1006:Y1006),$V$1006:$AE$1006,0)))),"Fix")))</f>
        <v>0</v>
      </c>
      <c r="F498" s="4">
        <f>IF(OR(INDEX($P$2:$P$1001,MATCH(ROWS($O$2:O498),$O$2:$O$1001,0),1)&gt;=100000,INDEX($V$1005:$AE$1005,1,MATCH(COLUMNS($V$1006:Z1006),$V$1006:$AE$1006,0))&gt;=100000), " ",IF(INDEX($V$2:$AE$1001,MATCH(ROWS($O$2:O498),$O$2:$O$1001,0),MATCH(COLUMNS($V$1006:Z1006),$V$1006:$AE$1006,0)), HYPERLINK("#",""), HYPERLINK(CONCATENATE("#Metadata!", ADDRESS(INDEX($Q$2:$Q$1001,MATCH(ROWS($O$2:O498),$O$2:$O$1001,0),0), INDEX($V$1004:$AE$1004,1,MATCH(COLUMNS($V$1006:Z1006),$V$1006:$AE$1006,0)))),"Fix")))</f>
        <v>0</v>
      </c>
      <c r="G498" s="4">
        <f>IF(OR(INDEX($P$2:$P$1001,MATCH(ROWS($O$2:O498),$O$2:$O$1001,0),1)&gt;=100000,INDEX($V$1005:$AE$1005,1,MATCH(COLUMNS($V$1006:AA1006),$V$1006:$AE$1006,0))&gt;=100000), " ",IF(INDEX($V$2:$AE$1001,MATCH(ROWS($O$2:O498),$O$2:$O$1001,0),MATCH(COLUMNS($V$1006:AA1006),$V$1006:$AE$1006,0)), HYPERLINK("#",""), HYPERLINK(CONCATENATE("#Metadata!", ADDRESS(INDEX($Q$2:$Q$1001,MATCH(ROWS($O$2:O498),$O$2:$O$1001,0),0), INDEX($V$1004:$AE$1004,1,MATCH(COLUMNS($V$1006:AA1006),$V$1006:$AE$1006,0)))),"Fix")))</f>
        <v>0</v>
      </c>
      <c r="H498" s="4">
        <f>IF(OR(INDEX($P$2:$P$1001,MATCH(ROWS($O$2:O498),$O$2:$O$1001,0),1)&gt;=100000,INDEX($V$1005:$AE$1005,1,MATCH(COLUMNS($V$1006:AB1006),$V$1006:$AE$1006,0))&gt;=100000), " ",IF(INDEX($V$2:$AE$1001,MATCH(ROWS($O$2:O498),$O$2:$O$1001,0),MATCH(COLUMNS($V$1006:AB1006),$V$1006:$AE$1006,0)), HYPERLINK("#",""), HYPERLINK(CONCATENATE("#Metadata!", ADDRESS(INDEX($Q$2:$Q$1001,MATCH(ROWS($O$2:O498),$O$2:$O$1001,0),0), INDEX($V$1004:$AE$1004,1,MATCH(COLUMNS($V$1006:AB1006),$V$1006:$AE$1006,0)))),"Fix")))</f>
        <v>0</v>
      </c>
      <c r="I498" s="4">
        <f>IF(OR(INDEX($P$2:$P$1001,MATCH(ROWS($O$2:O498),$O$2:$O$1001,0),1)&gt;=100000,INDEX($V$1005:$AE$1005,1,MATCH(COLUMNS($V$1006:AC1006),$V$1006:$AE$1006,0))&gt;=100000), " ",IF(INDEX($V$2:$AE$1001,MATCH(ROWS($O$2:O498),$O$2:$O$1001,0),MATCH(COLUMNS($V$1006:AC1006),$V$1006:$AE$1006,0)), HYPERLINK("#",""), HYPERLINK(CONCATENATE("#Metadata!", ADDRESS(INDEX($Q$2:$Q$1001,MATCH(ROWS($O$2:O498),$O$2:$O$1001,0),0), INDEX($V$1004:$AE$1004,1,MATCH(COLUMNS($V$1006:AC1006),$V$1006:$AE$1006,0)))),"Fix")))</f>
        <v>0</v>
      </c>
      <c r="J498" s="4">
        <f>IF(OR(INDEX($P$2:$P$1001,MATCH(ROWS($O$2:O498),$O$2:$O$1001,0),1)&gt;=100000,INDEX($V$1005:$AE$1005,1,MATCH(COLUMNS($V$1006:AD1006),$V$1006:$AE$1006,0))&gt;=100000), " ",IF(INDEX($V$2:$AE$1001,MATCH(ROWS($O$2:O498),$O$2:$O$1001,0),MATCH(COLUMNS($V$1006:AD1006),$V$1006:$AE$1006,0)), HYPERLINK("#",""), HYPERLINK(CONCATENATE("#Metadata!", ADDRESS(INDEX($Q$2:$Q$1001,MATCH(ROWS($O$2:O498),$O$2:$O$1001,0),0), INDEX($V$1004:$AE$1004,1,MATCH(COLUMNS($V$1006:AD1006),$V$1006:$AE$1006,0)))),"Fix")))</f>
        <v>0</v>
      </c>
      <c r="K498" s="4">
        <f>IF(OR(INDEX($P$2:$P$1001,MATCH(ROWS($O$2:O498),$O$2:$O$1001,0),1)&gt;=100000,INDEX($V$1005:$AE$1005,1,MATCH(COLUMNS($V$1006:AE1006),$V$1006:$AE$1006,0))&gt;=100000), " ",IF(INDEX($V$2:$AE$1001,MATCH(ROWS($O$2:O498),$O$2:$O$1001,0),MATCH(COLUMNS($V$1006:AE1006),$V$1006:$AE$1006,0)), HYPERLINK("#",""), HYPERLINK(CONCATENATE("#Metadata!", ADDRESS(INDEX($Q$2:$Q$1001,MATCH(ROWS($O$2:O498),$O$2:$O$1001,0),0), INDEX($V$1004:$AE$1004,1,MATCH(COLUMNS($V$1006:AE1006),$V$1006:$AE$1006,0)))),"Fix")))</f>
        <v>0</v>
      </c>
      <c r="O498">
        <v>0</v>
      </c>
      <c r="P498">
        <v>0</v>
      </c>
      <c r="Q498">
        <v>0</v>
      </c>
      <c r="R498">
        <f>IF(S498,TRUE,AND(V498:AE498))</f>
        <v>0</v>
      </c>
      <c r="S498">
        <f>COUNTBLANK(Metadata!B498:K498)=COLUMNS(Metadata!B498:K498)</f>
        <v>0</v>
      </c>
      <c r="T498">
        <v>0</v>
      </c>
      <c r="V498">
        <f>AND(IF(Metadata!B498="",FALSE,TRUE),COUNTIF(Metadata!B:B, Metadata!B498) = 1,NOT(ISERROR(SUMPRODUCT(SEARCH(MID(Metadata!B498,ROW(INDIRECT("1:"&amp;LEN(Metadata!B498))), 1),"0123456789abcdefghijklmnopqrstuvwxyzABCDEFGHIJKLMNOPQRSTUVWXYZ.")))))</f>
        <v>0</v>
      </c>
      <c r="W498">
        <f>AND(IF(Metadata!C498="",FALSE,TRUE),exact(Metadata!C498,"urban biome"))</f>
        <v>0</v>
      </c>
      <c r="X498">
        <f>AND(IF(Metadata!D498="",FALSE,TRUE),exact(Metadata!D498,"animal-associated habitat"))</f>
        <v>0</v>
      </c>
      <c r="Y498">
        <f>OR(AND(IF(Metadata!E498="",FALSE,TRUE),OR(exact(Metadata!E498,"not applicable"),exact(Metadata!E498,"missing: not collected"),exact(Metadata!E498,"missing: not provided"),exact(Metadata!E498,"missing: restricted access"))),AND(IF(Metadata!E498="",FALSE,ISNUMBER(VALUE(Metadata!E498))),Metadata!E498&gt;0))</f>
        <v>0</v>
      </c>
      <c r="Z498">
        <f>AND(IF(Metadata!F498="",FALSE,TRUE),exact(Metadata!F498,"weeks"))</f>
        <v>0</v>
      </c>
      <c r="AA498">
        <f>AND(IF(Metadata!G498="",FALSE,TRUE),exact(Metadata!G498,"mouse"))</f>
        <v>0</v>
      </c>
      <c r="AB498">
        <f>AND(IF(Metadata!H498="",FALSE,TRUE),exact(Metadata!H498,"Mus musculus"))</f>
        <v>0</v>
      </c>
      <c r="AC498">
        <f>AND(IF(Metadata!I498="",FALSE,TRUE),exact(Metadata!I498,"10090"))</f>
        <v>0</v>
      </c>
      <c r="AD498">
        <f>OR(AND(IF(Metadata!J498="",FALSE,TRUE),OR(exact(Metadata!J498,"not applicable"),exact(Metadata!J498,"missing: not collected"),exact(Metadata!J498,"missing: not provided"),exact(Metadata!J498,"missing: restricted access"))),AND(IF(Metadata!J498="",FALSE,ISNUMBER(VALUE(Metadata!J498))),Metadata!J498&gt;0))</f>
        <v>0</v>
      </c>
      <c r="AE498">
        <f>AND(IF(Metadata!K498="",FALSE,TRUE),exact(Metadata!K498,"g"))</f>
        <v>0</v>
      </c>
    </row>
    <row r="499" spans="1:31">
      <c r="A499" s="5">
        <f>IF(B499=" "," ",HYPERLINK(CONCATENATE("#metadata!",ADDRESS(INDEX($Q$2:$Q$1001,MATCH(ROWS($O$2:O499),$O$2:$O$1001,0),0),1)),INDEX($T$2:$T$1001,MATCH(ROWS($O$2:O499),$O$2:$O$1001,0),0)))</f>
        <v>0</v>
      </c>
      <c r="B499" s="4">
        <f>IF(OR(INDEX($P$2:$P$1001,MATCH(ROWS($O$2:O499),$O$2:$O$1001,0),1)&gt;=100000,INDEX($V$1005:$AE$1005,1,MATCH(COLUMNS($V$1006:V1006),$V$1006:$AE$1006,0))&gt;=100000), " ",IF(INDEX($V$2:$AE$1001,MATCH(ROWS($O$2:O499),$O$2:$O$1001,0),MATCH(COLUMNS($V$1006:V1006),$V$1006:$AE$1006,0)), HYPERLINK("#",""), HYPERLINK(CONCATENATE("#Metadata!", ADDRESS(INDEX($Q$2:$Q$1001,MATCH(ROWS($O$2:O499),$O$2:$O$1001,0),0), INDEX($V$1004:$AE$1004,1,MATCH(COLUMNS($V$1006:V1006),$V$1006:$AE$1006,0)))),"Fix")))</f>
        <v>0</v>
      </c>
      <c r="C499" s="4">
        <f>IF(OR(INDEX($P$2:$P$1001,MATCH(ROWS($O$2:O499),$O$2:$O$1001,0),1)&gt;=100000,INDEX($V$1005:$AE$1005,1,MATCH(COLUMNS($V$1006:W1006),$V$1006:$AE$1006,0))&gt;=100000), " ",IF(INDEX($V$2:$AE$1001,MATCH(ROWS($O$2:O499),$O$2:$O$1001,0),MATCH(COLUMNS($V$1006:W1006),$V$1006:$AE$1006,0)), HYPERLINK("#",""), HYPERLINK(CONCATENATE("#Metadata!", ADDRESS(INDEX($Q$2:$Q$1001,MATCH(ROWS($O$2:O499),$O$2:$O$1001,0),0), INDEX($V$1004:$AE$1004,1,MATCH(COLUMNS($V$1006:W1006),$V$1006:$AE$1006,0)))),"Fix")))</f>
        <v>0</v>
      </c>
      <c r="D499" s="4">
        <f>IF(OR(INDEX($P$2:$P$1001,MATCH(ROWS($O$2:O499),$O$2:$O$1001,0),1)&gt;=100000,INDEX($V$1005:$AE$1005,1,MATCH(COLUMNS($V$1006:X1006),$V$1006:$AE$1006,0))&gt;=100000), " ",IF(INDEX($V$2:$AE$1001,MATCH(ROWS($O$2:O499),$O$2:$O$1001,0),MATCH(COLUMNS($V$1006:X1006),$V$1006:$AE$1006,0)), HYPERLINK("#",""), HYPERLINK(CONCATENATE("#Metadata!", ADDRESS(INDEX($Q$2:$Q$1001,MATCH(ROWS($O$2:O499),$O$2:$O$1001,0),0), INDEX($V$1004:$AE$1004,1,MATCH(COLUMNS($V$1006:X1006),$V$1006:$AE$1006,0)))),"Fix")))</f>
        <v>0</v>
      </c>
      <c r="E499" s="4">
        <f>IF(OR(INDEX($P$2:$P$1001,MATCH(ROWS($O$2:O499),$O$2:$O$1001,0),1)&gt;=100000,INDEX($V$1005:$AE$1005,1,MATCH(COLUMNS($V$1006:Y1006),$V$1006:$AE$1006,0))&gt;=100000), " ",IF(INDEX($V$2:$AE$1001,MATCH(ROWS($O$2:O499),$O$2:$O$1001,0),MATCH(COLUMNS($V$1006:Y1006),$V$1006:$AE$1006,0)), HYPERLINK("#",""), HYPERLINK(CONCATENATE("#Metadata!", ADDRESS(INDEX($Q$2:$Q$1001,MATCH(ROWS($O$2:O499),$O$2:$O$1001,0),0), INDEX($V$1004:$AE$1004,1,MATCH(COLUMNS($V$1006:Y1006),$V$1006:$AE$1006,0)))),"Fix")))</f>
        <v>0</v>
      </c>
      <c r="F499" s="4">
        <f>IF(OR(INDEX($P$2:$P$1001,MATCH(ROWS($O$2:O499),$O$2:$O$1001,0),1)&gt;=100000,INDEX($V$1005:$AE$1005,1,MATCH(COLUMNS($V$1006:Z1006),$V$1006:$AE$1006,0))&gt;=100000), " ",IF(INDEX($V$2:$AE$1001,MATCH(ROWS($O$2:O499),$O$2:$O$1001,0),MATCH(COLUMNS($V$1006:Z1006),$V$1006:$AE$1006,0)), HYPERLINK("#",""), HYPERLINK(CONCATENATE("#Metadata!", ADDRESS(INDEX($Q$2:$Q$1001,MATCH(ROWS($O$2:O499),$O$2:$O$1001,0),0), INDEX($V$1004:$AE$1004,1,MATCH(COLUMNS($V$1006:Z1006),$V$1006:$AE$1006,0)))),"Fix")))</f>
        <v>0</v>
      </c>
      <c r="G499" s="4">
        <f>IF(OR(INDEX($P$2:$P$1001,MATCH(ROWS($O$2:O499),$O$2:$O$1001,0),1)&gt;=100000,INDEX($V$1005:$AE$1005,1,MATCH(COLUMNS($V$1006:AA1006),$V$1006:$AE$1006,0))&gt;=100000), " ",IF(INDEX($V$2:$AE$1001,MATCH(ROWS($O$2:O499),$O$2:$O$1001,0),MATCH(COLUMNS($V$1006:AA1006),$V$1006:$AE$1006,0)), HYPERLINK("#",""), HYPERLINK(CONCATENATE("#Metadata!", ADDRESS(INDEX($Q$2:$Q$1001,MATCH(ROWS($O$2:O499),$O$2:$O$1001,0),0), INDEX($V$1004:$AE$1004,1,MATCH(COLUMNS($V$1006:AA1006),$V$1006:$AE$1006,0)))),"Fix")))</f>
        <v>0</v>
      </c>
      <c r="H499" s="4">
        <f>IF(OR(INDEX($P$2:$P$1001,MATCH(ROWS($O$2:O499),$O$2:$O$1001,0),1)&gt;=100000,INDEX($V$1005:$AE$1005,1,MATCH(COLUMNS($V$1006:AB1006),$V$1006:$AE$1006,0))&gt;=100000), " ",IF(INDEX($V$2:$AE$1001,MATCH(ROWS($O$2:O499),$O$2:$O$1001,0),MATCH(COLUMNS($V$1006:AB1006),$V$1006:$AE$1006,0)), HYPERLINK("#",""), HYPERLINK(CONCATENATE("#Metadata!", ADDRESS(INDEX($Q$2:$Q$1001,MATCH(ROWS($O$2:O499),$O$2:$O$1001,0),0), INDEX($V$1004:$AE$1004,1,MATCH(COLUMNS($V$1006:AB1006),$V$1006:$AE$1006,0)))),"Fix")))</f>
        <v>0</v>
      </c>
      <c r="I499" s="4">
        <f>IF(OR(INDEX($P$2:$P$1001,MATCH(ROWS($O$2:O499),$O$2:$O$1001,0),1)&gt;=100000,INDEX($V$1005:$AE$1005,1,MATCH(COLUMNS($V$1006:AC1006),$V$1006:$AE$1006,0))&gt;=100000), " ",IF(INDEX($V$2:$AE$1001,MATCH(ROWS($O$2:O499),$O$2:$O$1001,0),MATCH(COLUMNS($V$1006:AC1006),$V$1006:$AE$1006,0)), HYPERLINK("#",""), HYPERLINK(CONCATENATE("#Metadata!", ADDRESS(INDEX($Q$2:$Q$1001,MATCH(ROWS($O$2:O499),$O$2:$O$1001,0),0), INDEX($V$1004:$AE$1004,1,MATCH(COLUMNS($V$1006:AC1006),$V$1006:$AE$1006,0)))),"Fix")))</f>
        <v>0</v>
      </c>
      <c r="J499" s="4">
        <f>IF(OR(INDEX($P$2:$P$1001,MATCH(ROWS($O$2:O499),$O$2:$O$1001,0),1)&gt;=100000,INDEX($V$1005:$AE$1005,1,MATCH(COLUMNS($V$1006:AD1006),$V$1006:$AE$1006,0))&gt;=100000), " ",IF(INDEX($V$2:$AE$1001,MATCH(ROWS($O$2:O499),$O$2:$O$1001,0),MATCH(COLUMNS($V$1006:AD1006),$V$1006:$AE$1006,0)), HYPERLINK("#",""), HYPERLINK(CONCATENATE("#Metadata!", ADDRESS(INDEX($Q$2:$Q$1001,MATCH(ROWS($O$2:O499),$O$2:$O$1001,0),0), INDEX($V$1004:$AE$1004,1,MATCH(COLUMNS($V$1006:AD1006),$V$1006:$AE$1006,0)))),"Fix")))</f>
        <v>0</v>
      </c>
      <c r="K499" s="4">
        <f>IF(OR(INDEX($P$2:$P$1001,MATCH(ROWS($O$2:O499),$O$2:$O$1001,0),1)&gt;=100000,INDEX($V$1005:$AE$1005,1,MATCH(COLUMNS($V$1006:AE1006),$V$1006:$AE$1006,0))&gt;=100000), " ",IF(INDEX($V$2:$AE$1001,MATCH(ROWS($O$2:O499),$O$2:$O$1001,0),MATCH(COLUMNS($V$1006:AE1006),$V$1006:$AE$1006,0)), HYPERLINK("#",""), HYPERLINK(CONCATENATE("#Metadata!", ADDRESS(INDEX($Q$2:$Q$1001,MATCH(ROWS($O$2:O499),$O$2:$O$1001,0),0), INDEX($V$1004:$AE$1004,1,MATCH(COLUMNS($V$1006:AE1006),$V$1006:$AE$1006,0)))),"Fix")))</f>
        <v>0</v>
      </c>
      <c r="O499">
        <v>0</v>
      </c>
      <c r="P499">
        <v>0</v>
      </c>
      <c r="Q499">
        <v>0</v>
      </c>
      <c r="R499">
        <f>IF(S499,TRUE,AND(V499:AE499))</f>
        <v>0</v>
      </c>
      <c r="S499">
        <f>COUNTBLANK(Metadata!B499:K499)=COLUMNS(Metadata!B499:K499)</f>
        <v>0</v>
      </c>
      <c r="T499">
        <v>0</v>
      </c>
      <c r="V499">
        <f>AND(IF(Metadata!B499="",FALSE,TRUE),COUNTIF(Metadata!B:B, Metadata!B499) = 1,NOT(ISERROR(SUMPRODUCT(SEARCH(MID(Metadata!B499,ROW(INDIRECT("1:"&amp;LEN(Metadata!B499))), 1),"0123456789abcdefghijklmnopqrstuvwxyzABCDEFGHIJKLMNOPQRSTUVWXYZ.")))))</f>
        <v>0</v>
      </c>
      <c r="W499">
        <f>AND(IF(Metadata!C499="",FALSE,TRUE),exact(Metadata!C499,"urban biome"))</f>
        <v>0</v>
      </c>
      <c r="X499">
        <f>AND(IF(Metadata!D499="",FALSE,TRUE),exact(Metadata!D499,"animal-associated habitat"))</f>
        <v>0</v>
      </c>
      <c r="Y499">
        <f>OR(AND(IF(Metadata!E499="",FALSE,TRUE),OR(exact(Metadata!E499,"not applicable"),exact(Metadata!E499,"missing: not collected"),exact(Metadata!E499,"missing: not provided"),exact(Metadata!E499,"missing: restricted access"))),AND(IF(Metadata!E499="",FALSE,ISNUMBER(VALUE(Metadata!E499))),Metadata!E499&gt;0))</f>
        <v>0</v>
      </c>
      <c r="Z499">
        <f>AND(IF(Metadata!F499="",FALSE,TRUE),exact(Metadata!F499,"weeks"))</f>
        <v>0</v>
      </c>
      <c r="AA499">
        <f>AND(IF(Metadata!G499="",FALSE,TRUE),exact(Metadata!G499,"mouse"))</f>
        <v>0</v>
      </c>
      <c r="AB499">
        <f>AND(IF(Metadata!H499="",FALSE,TRUE),exact(Metadata!H499,"Mus musculus"))</f>
        <v>0</v>
      </c>
      <c r="AC499">
        <f>AND(IF(Metadata!I499="",FALSE,TRUE),exact(Metadata!I499,"10090"))</f>
        <v>0</v>
      </c>
      <c r="AD499">
        <f>OR(AND(IF(Metadata!J499="",FALSE,TRUE),OR(exact(Metadata!J499,"not applicable"),exact(Metadata!J499,"missing: not collected"),exact(Metadata!J499,"missing: not provided"),exact(Metadata!J499,"missing: restricted access"))),AND(IF(Metadata!J499="",FALSE,ISNUMBER(VALUE(Metadata!J499))),Metadata!J499&gt;0))</f>
        <v>0</v>
      </c>
      <c r="AE499">
        <f>AND(IF(Metadata!K499="",FALSE,TRUE),exact(Metadata!K499,"g"))</f>
        <v>0</v>
      </c>
    </row>
    <row r="500" spans="1:31">
      <c r="A500" s="5">
        <f>IF(B500=" "," ",HYPERLINK(CONCATENATE("#metadata!",ADDRESS(INDEX($Q$2:$Q$1001,MATCH(ROWS($O$2:O500),$O$2:$O$1001,0),0),1)),INDEX($T$2:$T$1001,MATCH(ROWS($O$2:O500),$O$2:$O$1001,0),0)))</f>
        <v>0</v>
      </c>
      <c r="B500" s="4">
        <f>IF(OR(INDEX($P$2:$P$1001,MATCH(ROWS($O$2:O500),$O$2:$O$1001,0),1)&gt;=100000,INDEX($V$1005:$AE$1005,1,MATCH(COLUMNS($V$1006:V1006),$V$1006:$AE$1006,0))&gt;=100000), " ",IF(INDEX($V$2:$AE$1001,MATCH(ROWS($O$2:O500),$O$2:$O$1001,0),MATCH(COLUMNS($V$1006:V1006),$V$1006:$AE$1006,0)), HYPERLINK("#",""), HYPERLINK(CONCATENATE("#Metadata!", ADDRESS(INDEX($Q$2:$Q$1001,MATCH(ROWS($O$2:O500),$O$2:$O$1001,0),0), INDEX($V$1004:$AE$1004,1,MATCH(COLUMNS($V$1006:V1006),$V$1006:$AE$1006,0)))),"Fix")))</f>
        <v>0</v>
      </c>
      <c r="C500" s="4">
        <f>IF(OR(INDEX($P$2:$P$1001,MATCH(ROWS($O$2:O500),$O$2:$O$1001,0),1)&gt;=100000,INDEX($V$1005:$AE$1005,1,MATCH(COLUMNS($V$1006:W1006),$V$1006:$AE$1006,0))&gt;=100000), " ",IF(INDEX($V$2:$AE$1001,MATCH(ROWS($O$2:O500),$O$2:$O$1001,0),MATCH(COLUMNS($V$1006:W1006),$V$1006:$AE$1006,0)), HYPERLINK("#",""), HYPERLINK(CONCATENATE("#Metadata!", ADDRESS(INDEX($Q$2:$Q$1001,MATCH(ROWS($O$2:O500),$O$2:$O$1001,0),0), INDEX($V$1004:$AE$1004,1,MATCH(COLUMNS($V$1006:W1006),$V$1006:$AE$1006,0)))),"Fix")))</f>
        <v>0</v>
      </c>
      <c r="D500" s="4">
        <f>IF(OR(INDEX($P$2:$P$1001,MATCH(ROWS($O$2:O500),$O$2:$O$1001,0),1)&gt;=100000,INDEX($V$1005:$AE$1005,1,MATCH(COLUMNS($V$1006:X1006),$V$1006:$AE$1006,0))&gt;=100000), " ",IF(INDEX($V$2:$AE$1001,MATCH(ROWS($O$2:O500),$O$2:$O$1001,0),MATCH(COLUMNS($V$1006:X1006),$V$1006:$AE$1006,0)), HYPERLINK("#",""), HYPERLINK(CONCATENATE("#Metadata!", ADDRESS(INDEX($Q$2:$Q$1001,MATCH(ROWS($O$2:O500),$O$2:$O$1001,0),0), INDEX($V$1004:$AE$1004,1,MATCH(COLUMNS($V$1006:X1006),$V$1006:$AE$1006,0)))),"Fix")))</f>
        <v>0</v>
      </c>
      <c r="E500" s="4">
        <f>IF(OR(INDEX($P$2:$P$1001,MATCH(ROWS($O$2:O500),$O$2:$O$1001,0),1)&gt;=100000,INDEX($V$1005:$AE$1005,1,MATCH(COLUMNS($V$1006:Y1006),$V$1006:$AE$1006,0))&gt;=100000), " ",IF(INDEX($V$2:$AE$1001,MATCH(ROWS($O$2:O500),$O$2:$O$1001,0),MATCH(COLUMNS($V$1006:Y1006),$V$1006:$AE$1006,0)), HYPERLINK("#",""), HYPERLINK(CONCATENATE("#Metadata!", ADDRESS(INDEX($Q$2:$Q$1001,MATCH(ROWS($O$2:O500),$O$2:$O$1001,0),0), INDEX($V$1004:$AE$1004,1,MATCH(COLUMNS($V$1006:Y1006),$V$1006:$AE$1006,0)))),"Fix")))</f>
        <v>0</v>
      </c>
      <c r="F500" s="4">
        <f>IF(OR(INDEX($P$2:$P$1001,MATCH(ROWS($O$2:O500),$O$2:$O$1001,0),1)&gt;=100000,INDEX($V$1005:$AE$1005,1,MATCH(COLUMNS($V$1006:Z1006),$V$1006:$AE$1006,0))&gt;=100000), " ",IF(INDEX($V$2:$AE$1001,MATCH(ROWS($O$2:O500),$O$2:$O$1001,0),MATCH(COLUMNS($V$1006:Z1006),$V$1006:$AE$1006,0)), HYPERLINK("#",""), HYPERLINK(CONCATENATE("#Metadata!", ADDRESS(INDEX($Q$2:$Q$1001,MATCH(ROWS($O$2:O500),$O$2:$O$1001,0),0), INDEX($V$1004:$AE$1004,1,MATCH(COLUMNS($V$1006:Z1006),$V$1006:$AE$1006,0)))),"Fix")))</f>
        <v>0</v>
      </c>
      <c r="G500" s="4">
        <f>IF(OR(INDEX($P$2:$P$1001,MATCH(ROWS($O$2:O500),$O$2:$O$1001,0),1)&gt;=100000,INDEX($V$1005:$AE$1005,1,MATCH(COLUMNS($V$1006:AA1006),$V$1006:$AE$1006,0))&gt;=100000), " ",IF(INDEX($V$2:$AE$1001,MATCH(ROWS($O$2:O500),$O$2:$O$1001,0),MATCH(COLUMNS($V$1006:AA1006),$V$1006:$AE$1006,0)), HYPERLINK("#",""), HYPERLINK(CONCATENATE("#Metadata!", ADDRESS(INDEX($Q$2:$Q$1001,MATCH(ROWS($O$2:O500),$O$2:$O$1001,0),0), INDEX($V$1004:$AE$1004,1,MATCH(COLUMNS($V$1006:AA1006),$V$1006:$AE$1006,0)))),"Fix")))</f>
        <v>0</v>
      </c>
      <c r="H500" s="4">
        <f>IF(OR(INDEX($P$2:$P$1001,MATCH(ROWS($O$2:O500),$O$2:$O$1001,0),1)&gt;=100000,INDEX($V$1005:$AE$1005,1,MATCH(COLUMNS($V$1006:AB1006),$V$1006:$AE$1006,0))&gt;=100000), " ",IF(INDEX($V$2:$AE$1001,MATCH(ROWS($O$2:O500),$O$2:$O$1001,0),MATCH(COLUMNS($V$1006:AB1006),$V$1006:$AE$1006,0)), HYPERLINK("#",""), HYPERLINK(CONCATENATE("#Metadata!", ADDRESS(INDEX($Q$2:$Q$1001,MATCH(ROWS($O$2:O500),$O$2:$O$1001,0),0), INDEX($V$1004:$AE$1004,1,MATCH(COLUMNS($V$1006:AB1006),$V$1006:$AE$1006,0)))),"Fix")))</f>
        <v>0</v>
      </c>
      <c r="I500" s="4">
        <f>IF(OR(INDEX($P$2:$P$1001,MATCH(ROWS($O$2:O500),$O$2:$O$1001,0),1)&gt;=100000,INDEX($V$1005:$AE$1005,1,MATCH(COLUMNS($V$1006:AC1006),$V$1006:$AE$1006,0))&gt;=100000), " ",IF(INDEX($V$2:$AE$1001,MATCH(ROWS($O$2:O500),$O$2:$O$1001,0),MATCH(COLUMNS($V$1006:AC1006),$V$1006:$AE$1006,0)), HYPERLINK("#",""), HYPERLINK(CONCATENATE("#Metadata!", ADDRESS(INDEX($Q$2:$Q$1001,MATCH(ROWS($O$2:O500),$O$2:$O$1001,0),0), INDEX($V$1004:$AE$1004,1,MATCH(COLUMNS($V$1006:AC1006),$V$1006:$AE$1006,0)))),"Fix")))</f>
        <v>0</v>
      </c>
      <c r="J500" s="4">
        <f>IF(OR(INDEX($P$2:$P$1001,MATCH(ROWS($O$2:O500),$O$2:$O$1001,0),1)&gt;=100000,INDEX($V$1005:$AE$1005,1,MATCH(COLUMNS($V$1006:AD1006),$V$1006:$AE$1006,0))&gt;=100000), " ",IF(INDEX($V$2:$AE$1001,MATCH(ROWS($O$2:O500),$O$2:$O$1001,0),MATCH(COLUMNS($V$1006:AD1006),$V$1006:$AE$1006,0)), HYPERLINK("#",""), HYPERLINK(CONCATENATE("#Metadata!", ADDRESS(INDEX($Q$2:$Q$1001,MATCH(ROWS($O$2:O500),$O$2:$O$1001,0),0), INDEX($V$1004:$AE$1004,1,MATCH(COLUMNS($V$1006:AD1006),$V$1006:$AE$1006,0)))),"Fix")))</f>
        <v>0</v>
      </c>
      <c r="K500" s="4">
        <f>IF(OR(INDEX($P$2:$P$1001,MATCH(ROWS($O$2:O500),$O$2:$O$1001,0),1)&gt;=100000,INDEX($V$1005:$AE$1005,1,MATCH(COLUMNS($V$1006:AE1006),$V$1006:$AE$1006,0))&gt;=100000), " ",IF(INDEX($V$2:$AE$1001,MATCH(ROWS($O$2:O500),$O$2:$O$1001,0),MATCH(COLUMNS($V$1006:AE1006),$V$1006:$AE$1006,0)), HYPERLINK("#",""), HYPERLINK(CONCATENATE("#Metadata!", ADDRESS(INDEX($Q$2:$Q$1001,MATCH(ROWS($O$2:O500),$O$2:$O$1001,0),0), INDEX($V$1004:$AE$1004,1,MATCH(COLUMNS($V$1006:AE1006),$V$1006:$AE$1006,0)))),"Fix")))</f>
        <v>0</v>
      </c>
      <c r="O500">
        <v>0</v>
      </c>
      <c r="P500">
        <v>0</v>
      </c>
      <c r="Q500">
        <v>0</v>
      </c>
      <c r="R500">
        <f>IF(S500,TRUE,AND(V500:AE500))</f>
        <v>0</v>
      </c>
      <c r="S500">
        <f>COUNTBLANK(Metadata!B500:K500)=COLUMNS(Metadata!B500:K500)</f>
        <v>0</v>
      </c>
      <c r="T500">
        <v>0</v>
      </c>
      <c r="V500">
        <f>AND(IF(Metadata!B500="",FALSE,TRUE),COUNTIF(Metadata!B:B, Metadata!B500) = 1,NOT(ISERROR(SUMPRODUCT(SEARCH(MID(Metadata!B500,ROW(INDIRECT("1:"&amp;LEN(Metadata!B500))), 1),"0123456789abcdefghijklmnopqrstuvwxyzABCDEFGHIJKLMNOPQRSTUVWXYZ.")))))</f>
        <v>0</v>
      </c>
      <c r="W500">
        <f>AND(IF(Metadata!C500="",FALSE,TRUE),exact(Metadata!C500,"urban biome"))</f>
        <v>0</v>
      </c>
      <c r="X500">
        <f>AND(IF(Metadata!D500="",FALSE,TRUE),exact(Metadata!D500,"animal-associated habitat"))</f>
        <v>0</v>
      </c>
      <c r="Y500">
        <f>OR(AND(IF(Metadata!E500="",FALSE,TRUE),OR(exact(Metadata!E500,"not applicable"),exact(Metadata!E500,"missing: not collected"),exact(Metadata!E500,"missing: not provided"),exact(Metadata!E500,"missing: restricted access"))),AND(IF(Metadata!E500="",FALSE,ISNUMBER(VALUE(Metadata!E500))),Metadata!E500&gt;0))</f>
        <v>0</v>
      </c>
      <c r="Z500">
        <f>AND(IF(Metadata!F500="",FALSE,TRUE),exact(Metadata!F500,"weeks"))</f>
        <v>0</v>
      </c>
      <c r="AA500">
        <f>AND(IF(Metadata!G500="",FALSE,TRUE),exact(Metadata!G500,"mouse"))</f>
        <v>0</v>
      </c>
      <c r="AB500">
        <f>AND(IF(Metadata!H500="",FALSE,TRUE),exact(Metadata!H500,"Mus musculus"))</f>
        <v>0</v>
      </c>
      <c r="AC500">
        <f>AND(IF(Metadata!I500="",FALSE,TRUE),exact(Metadata!I500,"10090"))</f>
        <v>0</v>
      </c>
      <c r="AD500">
        <f>OR(AND(IF(Metadata!J500="",FALSE,TRUE),OR(exact(Metadata!J500,"not applicable"),exact(Metadata!J500,"missing: not collected"),exact(Metadata!J500,"missing: not provided"),exact(Metadata!J500,"missing: restricted access"))),AND(IF(Metadata!J500="",FALSE,ISNUMBER(VALUE(Metadata!J500))),Metadata!J500&gt;0))</f>
        <v>0</v>
      </c>
      <c r="AE500">
        <f>AND(IF(Metadata!K500="",FALSE,TRUE),exact(Metadata!K500,"g"))</f>
        <v>0</v>
      </c>
    </row>
    <row r="501" spans="1:31">
      <c r="A501" s="5">
        <f>IF(B501=" "," ",HYPERLINK(CONCATENATE("#metadata!",ADDRESS(INDEX($Q$2:$Q$1001,MATCH(ROWS($O$2:O501),$O$2:$O$1001,0),0),1)),INDEX($T$2:$T$1001,MATCH(ROWS($O$2:O501),$O$2:$O$1001,0),0)))</f>
        <v>0</v>
      </c>
      <c r="B501" s="4">
        <f>IF(OR(INDEX($P$2:$P$1001,MATCH(ROWS($O$2:O501),$O$2:$O$1001,0),1)&gt;=100000,INDEX($V$1005:$AE$1005,1,MATCH(COLUMNS($V$1006:V1006),$V$1006:$AE$1006,0))&gt;=100000), " ",IF(INDEX($V$2:$AE$1001,MATCH(ROWS($O$2:O501),$O$2:$O$1001,0),MATCH(COLUMNS($V$1006:V1006),$V$1006:$AE$1006,0)), HYPERLINK("#",""), HYPERLINK(CONCATENATE("#Metadata!", ADDRESS(INDEX($Q$2:$Q$1001,MATCH(ROWS($O$2:O501),$O$2:$O$1001,0),0), INDEX($V$1004:$AE$1004,1,MATCH(COLUMNS($V$1006:V1006),$V$1006:$AE$1006,0)))),"Fix")))</f>
        <v>0</v>
      </c>
      <c r="C501" s="4">
        <f>IF(OR(INDEX($P$2:$P$1001,MATCH(ROWS($O$2:O501),$O$2:$O$1001,0),1)&gt;=100000,INDEX($V$1005:$AE$1005,1,MATCH(COLUMNS($V$1006:W1006),$V$1006:$AE$1006,0))&gt;=100000), " ",IF(INDEX($V$2:$AE$1001,MATCH(ROWS($O$2:O501),$O$2:$O$1001,0),MATCH(COLUMNS($V$1006:W1006),$V$1006:$AE$1006,0)), HYPERLINK("#",""), HYPERLINK(CONCATENATE("#Metadata!", ADDRESS(INDEX($Q$2:$Q$1001,MATCH(ROWS($O$2:O501),$O$2:$O$1001,0),0), INDEX($V$1004:$AE$1004,1,MATCH(COLUMNS($V$1006:W1006),$V$1006:$AE$1006,0)))),"Fix")))</f>
        <v>0</v>
      </c>
      <c r="D501" s="4">
        <f>IF(OR(INDEX($P$2:$P$1001,MATCH(ROWS($O$2:O501),$O$2:$O$1001,0),1)&gt;=100000,INDEX($V$1005:$AE$1005,1,MATCH(COLUMNS($V$1006:X1006),$V$1006:$AE$1006,0))&gt;=100000), " ",IF(INDEX($V$2:$AE$1001,MATCH(ROWS($O$2:O501),$O$2:$O$1001,0),MATCH(COLUMNS($V$1006:X1006),$V$1006:$AE$1006,0)), HYPERLINK("#",""), HYPERLINK(CONCATENATE("#Metadata!", ADDRESS(INDEX($Q$2:$Q$1001,MATCH(ROWS($O$2:O501),$O$2:$O$1001,0),0), INDEX($V$1004:$AE$1004,1,MATCH(COLUMNS($V$1006:X1006),$V$1006:$AE$1006,0)))),"Fix")))</f>
        <v>0</v>
      </c>
      <c r="E501" s="4">
        <f>IF(OR(INDEX($P$2:$P$1001,MATCH(ROWS($O$2:O501),$O$2:$O$1001,0),1)&gt;=100000,INDEX($V$1005:$AE$1005,1,MATCH(COLUMNS($V$1006:Y1006),$V$1006:$AE$1006,0))&gt;=100000), " ",IF(INDEX($V$2:$AE$1001,MATCH(ROWS($O$2:O501),$O$2:$O$1001,0),MATCH(COLUMNS($V$1006:Y1006),$V$1006:$AE$1006,0)), HYPERLINK("#",""), HYPERLINK(CONCATENATE("#Metadata!", ADDRESS(INDEX($Q$2:$Q$1001,MATCH(ROWS($O$2:O501),$O$2:$O$1001,0),0), INDEX($V$1004:$AE$1004,1,MATCH(COLUMNS($V$1006:Y1006),$V$1006:$AE$1006,0)))),"Fix")))</f>
        <v>0</v>
      </c>
      <c r="F501" s="4">
        <f>IF(OR(INDEX($P$2:$P$1001,MATCH(ROWS($O$2:O501),$O$2:$O$1001,0),1)&gt;=100000,INDEX($V$1005:$AE$1005,1,MATCH(COLUMNS($V$1006:Z1006),$V$1006:$AE$1006,0))&gt;=100000), " ",IF(INDEX($V$2:$AE$1001,MATCH(ROWS($O$2:O501),$O$2:$O$1001,0),MATCH(COLUMNS($V$1006:Z1006),$V$1006:$AE$1006,0)), HYPERLINK("#",""), HYPERLINK(CONCATENATE("#Metadata!", ADDRESS(INDEX($Q$2:$Q$1001,MATCH(ROWS($O$2:O501),$O$2:$O$1001,0),0), INDEX($V$1004:$AE$1004,1,MATCH(COLUMNS($V$1006:Z1006),$V$1006:$AE$1006,0)))),"Fix")))</f>
        <v>0</v>
      </c>
      <c r="G501" s="4">
        <f>IF(OR(INDEX($P$2:$P$1001,MATCH(ROWS($O$2:O501),$O$2:$O$1001,0),1)&gt;=100000,INDEX($V$1005:$AE$1005,1,MATCH(COLUMNS($V$1006:AA1006),$V$1006:$AE$1006,0))&gt;=100000), " ",IF(INDEX($V$2:$AE$1001,MATCH(ROWS($O$2:O501),$O$2:$O$1001,0),MATCH(COLUMNS($V$1006:AA1006),$V$1006:$AE$1006,0)), HYPERLINK("#",""), HYPERLINK(CONCATENATE("#Metadata!", ADDRESS(INDEX($Q$2:$Q$1001,MATCH(ROWS($O$2:O501),$O$2:$O$1001,0),0), INDEX($V$1004:$AE$1004,1,MATCH(COLUMNS($V$1006:AA1006),$V$1006:$AE$1006,0)))),"Fix")))</f>
        <v>0</v>
      </c>
      <c r="H501" s="4">
        <f>IF(OR(INDEX($P$2:$P$1001,MATCH(ROWS($O$2:O501),$O$2:$O$1001,0),1)&gt;=100000,INDEX($V$1005:$AE$1005,1,MATCH(COLUMNS($V$1006:AB1006),$V$1006:$AE$1006,0))&gt;=100000), " ",IF(INDEX($V$2:$AE$1001,MATCH(ROWS($O$2:O501),$O$2:$O$1001,0),MATCH(COLUMNS($V$1006:AB1006),$V$1006:$AE$1006,0)), HYPERLINK("#",""), HYPERLINK(CONCATENATE("#Metadata!", ADDRESS(INDEX($Q$2:$Q$1001,MATCH(ROWS($O$2:O501),$O$2:$O$1001,0),0), INDEX($V$1004:$AE$1004,1,MATCH(COLUMNS($V$1006:AB1006),$V$1006:$AE$1006,0)))),"Fix")))</f>
        <v>0</v>
      </c>
      <c r="I501" s="4">
        <f>IF(OR(INDEX($P$2:$P$1001,MATCH(ROWS($O$2:O501),$O$2:$O$1001,0),1)&gt;=100000,INDEX($V$1005:$AE$1005,1,MATCH(COLUMNS($V$1006:AC1006),$V$1006:$AE$1006,0))&gt;=100000), " ",IF(INDEX($V$2:$AE$1001,MATCH(ROWS($O$2:O501),$O$2:$O$1001,0),MATCH(COLUMNS($V$1006:AC1006),$V$1006:$AE$1006,0)), HYPERLINK("#",""), HYPERLINK(CONCATENATE("#Metadata!", ADDRESS(INDEX($Q$2:$Q$1001,MATCH(ROWS($O$2:O501),$O$2:$O$1001,0),0), INDEX($V$1004:$AE$1004,1,MATCH(COLUMNS($V$1006:AC1006),$V$1006:$AE$1006,0)))),"Fix")))</f>
        <v>0</v>
      </c>
      <c r="J501" s="4">
        <f>IF(OR(INDEX($P$2:$P$1001,MATCH(ROWS($O$2:O501),$O$2:$O$1001,0),1)&gt;=100000,INDEX($V$1005:$AE$1005,1,MATCH(COLUMNS($V$1006:AD1006),$V$1006:$AE$1006,0))&gt;=100000), " ",IF(INDEX($V$2:$AE$1001,MATCH(ROWS($O$2:O501),$O$2:$O$1001,0),MATCH(COLUMNS($V$1006:AD1006),$V$1006:$AE$1006,0)), HYPERLINK("#",""), HYPERLINK(CONCATENATE("#Metadata!", ADDRESS(INDEX($Q$2:$Q$1001,MATCH(ROWS($O$2:O501),$O$2:$O$1001,0),0), INDEX($V$1004:$AE$1004,1,MATCH(COLUMNS($V$1006:AD1006),$V$1006:$AE$1006,0)))),"Fix")))</f>
        <v>0</v>
      </c>
      <c r="K501" s="4">
        <f>IF(OR(INDEX($P$2:$P$1001,MATCH(ROWS($O$2:O501),$O$2:$O$1001,0),1)&gt;=100000,INDEX($V$1005:$AE$1005,1,MATCH(COLUMNS($V$1006:AE1006),$V$1006:$AE$1006,0))&gt;=100000), " ",IF(INDEX($V$2:$AE$1001,MATCH(ROWS($O$2:O501),$O$2:$O$1001,0),MATCH(COLUMNS($V$1006:AE1006),$V$1006:$AE$1006,0)), HYPERLINK("#",""), HYPERLINK(CONCATENATE("#Metadata!", ADDRESS(INDEX($Q$2:$Q$1001,MATCH(ROWS($O$2:O501),$O$2:$O$1001,0),0), INDEX($V$1004:$AE$1004,1,MATCH(COLUMNS($V$1006:AE1006),$V$1006:$AE$1006,0)))),"Fix")))</f>
        <v>0</v>
      </c>
      <c r="O501">
        <v>0</v>
      </c>
      <c r="P501">
        <v>0</v>
      </c>
      <c r="Q501">
        <v>0</v>
      </c>
      <c r="R501">
        <f>IF(S501,TRUE,AND(V501:AE501))</f>
        <v>0</v>
      </c>
      <c r="S501">
        <f>COUNTBLANK(Metadata!B501:K501)=COLUMNS(Metadata!B501:K501)</f>
        <v>0</v>
      </c>
      <c r="T501">
        <v>0</v>
      </c>
      <c r="V501">
        <f>AND(IF(Metadata!B501="",FALSE,TRUE),COUNTIF(Metadata!B:B, Metadata!B501) = 1,NOT(ISERROR(SUMPRODUCT(SEARCH(MID(Metadata!B501,ROW(INDIRECT("1:"&amp;LEN(Metadata!B501))), 1),"0123456789abcdefghijklmnopqrstuvwxyzABCDEFGHIJKLMNOPQRSTUVWXYZ.")))))</f>
        <v>0</v>
      </c>
      <c r="W501">
        <f>AND(IF(Metadata!C501="",FALSE,TRUE),exact(Metadata!C501,"urban biome"))</f>
        <v>0</v>
      </c>
      <c r="X501">
        <f>AND(IF(Metadata!D501="",FALSE,TRUE),exact(Metadata!D501,"animal-associated habitat"))</f>
        <v>0</v>
      </c>
      <c r="Y501">
        <f>OR(AND(IF(Metadata!E501="",FALSE,TRUE),OR(exact(Metadata!E501,"not applicable"),exact(Metadata!E501,"missing: not collected"),exact(Metadata!E501,"missing: not provided"),exact(Metadata!E501,"missing: restricted access"))),AND(IF(Metadata!E501="",FALSE,ISNUMBER(VALUE(Metadata!E501))),Metadata!E501&gt;0))</f>
        <v>0</v>
      </c>
      <c r="Z501">
        <f>AND(IF(Metadata!F501="",FALSE,TRUE),exact(Metadata!F501,"weeks"))</f>
        <v>0</v>
      </c>
      <c r="AA501">
        <f>AND(IF(Metadata!G501="",FALSE,TRUE),exact(Metadata!G501,"mouse"))</f>
        <v>0</v>
      </c>
      <c r="AB501">
        <f>AND(IF(Metadata!H501="",FALSE,TRUE),exact(Metadata!H501,"Mus musculus"))</f>
        <v>0</v>
      </c>
      <c r="AC501">
        <f>AND(IF(Metadata!I501="",FALSE,TRUE),exact(Metadata!I501,"10090"))</f>
        <v>0</v>
      </c>
      <c r="AD501">
        <f>OR(AND(IF(Metadata!J501="",FALSE,TRUE),OR(exact(Metadata!J501,"not applicable"),exact(Metadata!J501,"missing: not collected"),exact(Metadata!J501,"missing: not provided"),exact(Metadata!J501,"missing: restricted access"))),AND(IF(Metadata!J501="",FALSE,ISNUMBER(VALUE(Metadata!J501))),Metadata!J501&gt;0))</f>
        <v>0</v>
      </c>
      <c r="AE501">
        <f>AND(IF(Metadata!K501="",FALSE,TRUE),exact(Metadata!K501,"g"))</f>
        <v>0</v>
      </c>
    </row>
    <row r="502" spans="1:31">
      <c r="A502" s="5">
        <f>IF(B502=" "," ",HYPERLINK(CONCATENATE("#metadata!",ADDRESS(INDEX($Q$2:$Q$1001,MATCH(ROWS($O$2:O502),$O$2:$O$1001,0),0),1)),INDEX($T$2:$T$1001,MATCH(ROWS($O$2:O502),$O$2:$O$1001,0),0)))</f>
        <v>0</v>
      </c>
      <c r="B502" s="4">
        <f>IF(OR(INDEX($P$2:$P$1001,MATCH(ROWS($O$2:O502),$O$2:$O$1001,0),1)&gt;=100000,INDEX($V$1005:$AE$1005,1,MATCH(COLUMNS($V$1006:V1006),$V$1006:$AE$1006,0))&gt;=100000), " ",IF(INDEX($V$2:$AE$1001,MATCH(ROWS($O$2:O502),$O$2:$O$1001,0),MATCH(COLUMNS($V$1006:V1006),$V$1006:$AE$1006,0)), HYPERLINK("#",""), HYPERLINK(CONCATENATE("#Metadata!", ADDRESS(INDEX($Q$2:$Q$1001,MATCH(ROWS($O$2:O502),$O$2:$O$1001,0),0), INDEX($V$1004:$AE$1004,1,MATCH(COLUMNS($V$1006:V1006),$V$1006:$AE$1006,0)))),"Fix")))</f>
        <v>0</v>
      </c>
      <c r="C502" s="4">
        <f>IF(OR(INDEX($P$2:$P$1001,MATCH(ROWS($O$2:O502),$O$2:$O$1001,0),1)&gt;=100000,INDEX($V$1005:$AE$1005,1,MATCH(COLUMNS($V$1006:W1006),$V$1006:$AE$1006,0))&gt;=100000), " ",IF(INDEX($V$2:$AE$1001,MATCH(ROWS($O$2:O502),$O$2:$O$1001,0),MATCH(COLUMNS($V$1006:W1006),$V$1006:$AE$1006,0)), HYPERLINK("#",""), HYPERLINK(CONCATENATE("#Metadata!", ADDRESS(INDEX($Q$2:$Q$1001,MATCH(ROWS($O$2:O502),$O$2:$O$1001,0),0), INDEX($V$1004:$AE$1004,1,MATCH(COLUMNS($V$1006:W1006),$V$1006:$AE$1006,0)))),"Fix")))</f>
        <v>0</v>
      </c>
      <c r="D502" s="4">
        <f>IF(OR(INDEX($P$2:$P$1001,MATCH(ROWS($O$2:O502),$O$2:$O$1001,0),1)&gt;=100000,INDEX($V$1005:$AE$1005,1,MATCH(COLUMNS($V$1006:X1006),$V$1006:$AE$1006,0))&gt;=100000), " ",IF(INDEX($V$2:$AE$1001,MATCH(ROWS($O$2:O502),$O$2:$O$1001,0),MATCH(COLUMNS($V$1006:X1006),$V$1006:$AE$1006,0)), HYPERLINK("#",""), HYPERLINK(CONCATENATE("#Metadata!", ADDRESS(INDEX($Q$2:$Q$1001,MATCH(ROWS($O$2:O502),$O$2:$O$1001,0),0), INDEX($V$1004:$AE$1004,1,MATCH(COLUMNS($V$1006:X1006),$V$1006:$AE$1006,0)))),"Fix")))</f>
        <v>0</v>
      </c>
      <c r="E502" s="4">
        <f>IF(OR(INDEX($P$2:$P$1001,MATCH(ROWS($O$2:O502),$O$2:$O$1001,0),1)&gt;=100000,INDEX($V$1005:$AE$1005,1,MATCH(COLUMNS($V$1006:Y1006),$V$1006:$AE$1006,0))&gt;=100000), " ",IF(INDEX($V$2:$AE$1001,MATCH(ROWS($O$2:O502),$O$2:$O$1001,0),MATCH(COLUMNS($V$1006:Y1006),$V$1006:$AE$1006,0)), HYPERLINK("#",""), HYPERLINK(CONCATENATE("#Metadata!", ADDRESS(INDEX($Q$2:$Q$1001,MATCH(ROWS($O$2:O502),$O$2:$O$1001,0),0), INDEX($V$1004:$AE$1004,1,MATCH(COLUMNS($V$1006:Y1006),$V$1006:$AE$1006,0)))),"Fix")))</f>
        <v>0</v>
      </c>
      <c r="F502" s="4">
        <f>IF(OR(INDEX($P$2:$P$1001,MATCH(ROWS($O$2:O502),$O$2:$O$1001,0),1)&gt;=100000,INDEX($V$1005:$AE$1005,1,MATCH(COLUMNS($V$1006:Z1006),$V$1006:$AE$1006,0))&gt;=100000), " ",IF(INDEX($V$2:$AE$1001,MATCH(ROWS($O$2:O502),$O$2:$O$1001,0),MATCH(COLUMNS($V$1006:Z1006),$V$1006:$AE$1006,0)), HYPERLINK("#",""), HYPERLINK(CONCATENATE("#Metadata!", ADDRESS(INDEX($Q$2:$Q$1001,MATCH(ROWS($O$2:O502),$O$2:$O$1001,0),0), INDEX($V$1004:$AE$1004,1,MATCH(COLUMNS($V$1006:Z1006),$V$1006:$AE$1006,0)))),"Fix")))</f>
        <v>0</v>
      </c>
      <c r="G502" s="4">
        <f>IF(OR(INDEX($P$2:$P$1001,MATCH(ROWS($O$2:O502),$O$2:$O$1001,0),1)&gt;=100000,INDEX($V$1005:$AE$1005,1,MATCH(COLUMNS($V$1006:AA1006),$V$1006:$AE$1006,0))&gt;=100000), " ",IF(INDEX($V$2:$AE$1001,MATCH(ROWS($O$2:O502),$O$2:$O$1001,0),MATCH(COLUMNS($V$1006:AA1006),$V$1006:$AE$1006,0)), HYPERLINK("#",""), HYPERLINK(CONCATENATE("#Metadata!", ADDRESS(INDEX($Q$2:$Q$1001,MATCH(ROWS($O$2:O502),$O$2:$O$1001,0),0), INDEX($V$1004:$AE$1004,1,MATCH(COLUMNS($V$1006:AA1006),$V$1006:$AE$1006,0)))),"Fix")))</f>
        <v>0</v>
      </c>
      <c r="H502" s="4">
        <f>IF(OR(INDEX($P$2:$P$1001,MATCH(ROWS($O$2:O502),$O$2:$O$1001,0),1)&gt;=100000,INDEX($V$1005:$AE$1005,1,MATCH(COLUMNS($V$1006:AB1006),$V$1006:$AE$1006,0))&gt;=100000), " ",IF(INDEX($V$2:$AE$1001,MATCH(ROWS($O$2:O502),$O$2:$O$1001,0),MATCH(COLUMNS($V$1006:AB1006),$V$1006:$AE$1006,0)), HYPERLINK("#",""), HYPERLINK(CONCATENATE("#Metadata!", ADDRESS(INDEX($Q$2:$Q$1001,MATCH(ROWS($O$2:O502),$O$2:$O$1001,0),0), INDEX($V$1004:$AE$1004,1,MATCH(COLUMNS($V$1006:AB1006),$V$1006:$AE$1006,0)))),"Fix")))</f>
        <v>0</v>
      </c>
      <c r="I502" s="4">
        <f>IF(OR(INDEX($P$2:$P$1001,MATCH(ROWS($O$2:O502),$O$2:$O$1001,0),1)&gt;=100000,INDEX($V$1005:$AE$1005,1,MATCH(COLUMNS($V$1006:AC1006),$V$1006:$AE$1006,0))&gt;=100000), " ",IF(INDEX($V$2:$AE$1001,MATCH(ROWS($O$2:O502),$O$2:$O$1001,0),MATCH(COLUMNS($V$1006:AC1006),$V$1006:$AE$1006,0)), HYPERLINK("#",""), HYPERLINK(CONCATENATE("#Metadata!", ADDRESS(INDEX($Q$2:$Q$1001,MATCH(ROWS($O$2:O502),$O$2:$O$1001,0),0), INDEX($V$1004:$AE$1004,1,MATCH(COLUMNS($V$1006:AC1006),$V$1006:$AE$1006,0)))),"Fix")))</f>
        <v>0</v>
      </c>
      <c r="J502" s="4">
        <f>IF(OR(INDEX($P$2:$P$1001,MATCH(ROWS($O$2:O502),$O$2:$O$1001,0),1)&gt;=100000,INDEX($V$1005:$AE$1005,1,MATCH(COLUMNS($V$1006:AD1006),$V$1006:$AE$1006,0))&gt;=100000), " ",IF(INDEX($V$2:$AE$1001,MATCH(ROWS($O$2:O502),$O$2:$O$1001,0),MATCH(COLUMNS($V$1006:AD1006),$V$1006:$AE$1006,0)), HYPERLINK("#",""), HYPERLINK(CONCATENATE("#Metadata!", ADDRESS(INDEX($Q$2:$Q$1001,MATCH(ROWS($O$2:O502),$O$2:$O$1001,0),0), INDEX($V$1004:$AE$1004,1,MATCH(COLUMNS($V$1006:AD1006),$V$1006:$AE$1006,0)))),"Fix")))</f>
        <v>0</v>
      </c>
      <c r="K502" s="4">
        <f>IF(OR(INDEX($P$2:$P$1001,MATCH(ROWS($O$2:O502),$O$2:$O$1001,0),1)&gt;=100000,INDEX($V$1005:$AE$1005,1,MATCH(COLUMNS($V$1006:AE1006),$V$1006:$AE$1006,0))&gt;=100000), " ",IF(INDEX($V$2:$AE$1001,MATCH(ROWS($O$2:O502),$O$2:$O$1001,0),MATCH(COLUMNS($V$1006:AE1006),$V$1006:$AE$1006,0)), HYPERLINK("#",""), HYPERLINK(CONCATENATE("#Metadata!", ADDRESS(INDEX($Q$2:$Q$1001,MATCH(ROWS($O$2:O502),$O$2:$O$1001,0),0), INDEX($V$1004:$AE$1004,1,MATCH(COLUMNS($V$1006:AE1006),$V$1006:$AE$1006,0)))),"Fix")))</f>
        <v>0</v>
      </c>
      <c r="O502">
        <v>0</v>
      </c>
      <c r="P502">
        <v>0</v>
      </c>
      <c r="Q502">
        <v>0</v>
      </c>
      <c r="R502">
        <f>IF(S502,TRUE,AND(V502:AE502))</f>
        <v>0</v>
      </c>
      <c r="S502">
        <f>COUNTBLANK(Metadata!B502:K502)=COLUMNS(Metadata!B502:K502)</f>
        <v>0</v>
      </c>
      <c r="T502">
        <v>0</v>
      </c>
      <c r="V502">
        <f>AND(IF(Metadata!B502="",FALSE,TRUE),COUNTIF(Metadata!B:B, Metadata!B502) = 1,NOT(ISERROR(SUMPRODUCT(SEARCH(MID(Metadata!B502,ROW(INDIRECT("1:"&amp;LEN(Metadata!B502))), 1),"0123456789abcdefghijklmnopqrstuvwxyzABCDEFGHIJKLMNOPQRSTUVWXYZ.")))))</f>
        <v>0</v>
      </c>
      <c r="W502">
        <f>AND(IF(Metadata!C502="",FALSE,TRUE),exact(Metadata!C502,"urban biome"))</f>
        <v>0</v>
      </c>
      <c r="X502">
        <f>AND(IF(Metadata!D502="",FALSE,TRUE),exact(Metadata!D502,"animal-associated habitat"))</f>
        <v>0</v>
      </c>
      <c r="Y502">
        <f>OR(AND(IF(Metadata!E502="",FALSE,TRUE),OR(exact(Metadata!E502,"not applicable"),exact(Metadata!E502,"missing: not collected"),exact(Metadata!E502,"missing: not provided"),exact(Metadata!E502,"missing: restricted access"))),AND(IF(Metadata!E502="",FALSE,ISNUMBER(VALUE(Metadata!E502))),Metadata!E502&gt;0))</f>
        <v>0</v>
      </c>
      <c r="Z502">
        <f>AND(IF(Metadata!F502="",FALSE,TRUE),exact(Metadata!F502,"weeks"))</f>
        <v>0</v>
      </c>
      <c r="AA502">
        <f>AND(IF(Metadata!G502="",FALSE,TRUE),exact(Metadata!G502,"mouse"))</f>
        <v>0</v>
      </c>
      <c r="AB502">
        <f>AND(IF(Metadata!H502="",FALSE,TRUE),exact(Metadata!H502,"Mus musculus"))</f>
        <v>0</v>
      </c>
      <c r="AC502">
        <f>AND(IF(Metadata!I502="",FALSE,TRUE),exact(Metadata!I502,"10090"))</f>
        <v>0</v>
      </c>
      <c r="AD502">
        <f>OR(AND(IF(Metadata!J502="",FALSE,TRUE),OR(exact(Metadata!J502,"not applicable"),exact(Metadata!J502,"missing: not collected"),exact(Metadata!J502,"missing: not provided"),exact(Metadata!J502,"missing: restricted access"))),AND(IF(Metadata!J502="",FALSE,ISNUMBER(VALUE(Metadata!J502))),Metadata!J502&gt;0))</f>
        <v>0</v>
      </c>
      <c r="AE502">
        <f>AND(IF(Metadata!K502="",FALSE,TRUE),exact(Metadata!K502,"g"))</f>
        <v>0</v>
      </c>
    </row>
    <row r="503" spans="1:31">
      <c r="A503" s="5">
        <f>IF(B503=" "," ",HYPERLINK(CONCATENATE("#metadata!",ADDRESS(INDEX($Q$2:$Q$1001,MATCH(ROWS($O$2:O503),$O$2:$O$1001,0),0),1)),INDEX($T$2:$T$1001,MATCH(ROWS($O$2:O503),$O$2:$O$1001,0),0)))</f>
        <v>0</v>
      </c>
      <c r="B503" s="4">
        <f>IF(OR(INDEX($P$2:$P$1001,MATCH(ROWS($O$2:O503),$O$2:$O$1001,0),1)&gt;=100000,INDEX($V$1005:$AE$1005,1,MATCH(COLUMNS($V$1006:V1006),$V$1006:$AE$1006,0))&gt;=100000), " ",IF(INDEX($V$2:$AE$1001,MATCH(ROWS($O$2:O503),$O$2:$O$1001,0),MATCH(COLUMNS($V$1006:V1006),$V$1006:$AE$1006,0)), HYPERLINK("#",""), HYPERLINK(CONCATENATE("#Metadata!", ADDRESS(INDEX($Q$2:$Q$1001,MATCH(ROWS($O$2:O503),$O$2:$O$1001,0),0), INDEX($V$1004:$AE$1004,1,MATCH(COLUMNS($V$1006:V1006),$V$1006:$AE$1006,0)))),"Fix")))</f>
        <v>0</v>
      </c>
      <c r="C503" s="4">
        <f>IF(OR(INDEX($P$2:$P$1001,MATCH(ROWS($O$2:O503),$O$2:$O$1001,0),1)&gt;=100000,INDEX($V$1005:$AE$1005,1,MATCH(COLUMNS($V$1006:W1006),$V$1006:$AE$1006,0))&gt;=100000), " ",IF(INDEX($V$2:$AE$1001,MATCH(ROWS($O$2:O503),$O$2:$O$1001,0),MATCH(COLUMNS($V$1006:W1006),$V$1006:$AE$1006,0)), HYPERLINK("#",""), HYPERLINK(CONCATENATE("#Metadata!", ADDRESS(INDEX($Q$2:$Q$1001,MATCH(ROWS($O$2:O503),$O$2:$O$1001,0),0), INDEX($V$1004:$AE$1004,1,MATCH(COLUMNS($V$1006:W1006),$V$1006:$AE$1006,0)))),"Fix")))</f>
        <v>0</v>
      </c>
      <c r="D503" s="4">
        <f>IF(OR(INDEX($P$2:$P$1001,MATCH(ROWS($O$2:O503),$O$2:$O$1001,0),1)&gt;=100000,INDEX($V$1005:$AE$1005,1,MATCH(COLUMNS($V$1006:X1006),$V$1006:$AE$1006,0))&gt;=100000), " ",IF(INDEX($V$2:$AE$1001,MATCH(ROWS($O$2:O503),$O$2:$O$1001,0),MATCH(COLUMNS($V$1006:X1006),$V$1006:$AE$1006,0)), HYPERLINK("#",""), HYPERLINK(CONCATENATE("#Metadata!", ADDRESS(INDEX($Q$2:$Q$1001,MATCH(ROWS($O$2:O503),$O$2:$O$1001,0),0), INDEX($V$1004:$AE$1004,1,MATCH(COLUMNS($V$1006:X1006),$V$1006:$AE$1006,0)))),"Fix")))</f>
        <v>0</v>
      </c>
      <c r="E503" s="4">
        <f>IF(OR(INDEX($P$2:$P$1001,MATCH(ROWS($O$2:O503),$O$2:$O$1001,0),1)&gt;=100000,INDEX($V$1005:$AE$1005,1,MATCH(COLUMNS($V$1006:Y1006),$V$1006:$AE$1006,0))&gt;=100000), " ",IF(INDEX($V$2:$AE$1001,MATCH(ROWS($O$2:O503),$O$2:$O$1001,0),MATCH(COLUMNS($V$1006:Y1006),$V$1006:$AE$1006,0)), HYPERLINK("#",""), HYPERLINK(CONCATENATE("#Metadata!", ADDRESS(INDEX($Q$2:$Q$1001,MATCH(ROWS($O$2:O503),$O$2:$O$1001,0),0), INDEX($V$1004:$AE$1004,1,MATCH(COLUMNS($V$1006:Y1006),$V$1006:$AE$1006,0)))),"Fix")))</f>
        <v>0</v>
      </c>
      <c r="F503" s="4">
        <f>IF(OR(INDEX($P$2:$P$1001,MATCH(ROWS($O$2:O503),$O$2:$O$1001,0),1)&gt;=100000,INDEX($V$1005:$AE$1005,1,MATCH(COLUMNS($V$1006:Z1006),$V$1006:$AE$1006,0))&gt;=100000), " ",IF(INDEX($V$2:$AE$1001,MATCH(ROWS($O$2:O503),$O$2:$O$1001,0),MATCH(COLUMNS($V$1006:Z1006),$V$1006:$AE$1006,0)), HYPERLINK("#",""), HYPERLINK(CONCATENATE("#Metadata!", ADDRESS(INDEX($Q$2:$Q$1001,MATCH(ROWS($O$2:O503),$O$2:$O$1001,0),0), INDEX($V$1004:$AE$1004,1,MATCH(COLUMNS($V$1006:Z1006),$V$1006:$AE$1006,0)))),"Fix")))</f>
        <v>0</v>
      </c>
      <c r="G503" s="4">
        <f>IF(OR(INDEX($P$2:$P$1001,MATCH(ROWS($O$2:O503),$O$2:$O$1001,0),1)&gt;=100000,INDEX($V$1005:$AE$1005,1,MATCH(COLUMNS($V$1006:AA1006),$V$1006:$AE$1006,0))&gt;=100000), " ",IF(INDEX($V$2:$AE$1001,MATCH(ROWS($O$2:O503),$O$2:$O$1001,0),MATCH(COLUMNS($V$1006:AA1006),$V$1006:$AE$1006,0)), HYPERLINK("#",""), HYPERLINK(CONCATENATE("#Metadata!", ADDRESS(INDEX($Q$2:$Q$1001,MATCH(ROWS($O$2:O503),$O$2:$O$1001,0),0), INDEX($V$1004:$AE$1004,1,MATCH(COLUMNS($V$1006:AA1006),$V$1006:$AE$1006,0)))),"Fix")))</f>
        <v>0</v>
      </c>
      <c r="H503" s="4">
        <f>IF(OR(INDEX($P$2:$P$1001,MATCH(ROWS($O$2:O503),$O$2:$O$1001,0),1)&gt;=100000,INDEX($V$1005:$AE$1005,1,MATCH(COLUMNS($V$1006:AB1006),$V$1006:$AE$1006,0))&gt;=100000), " ",IF(INDEX($V$2:$AE$1001,MATCH(ROWS($O$2:O503),$O$2:$O$1001,0),MATCH(COLUMNS($V$1006:AB1006),$V$1006:$AE$1006,0)), HYPERLINK("#",""), HYPERLINK(CONCATENATE("#Metadata!", ADDRESS(INDEX($Q$2:$Q$1001,MATCH(ROWS($O$2:O503),$O$2:$O$1001,0),0), INDEX($V$1004:$AE$1004,1,MATCH(COLUMNS($V$1006:AB1006),$V$1006:$AE$1006,0)))),"Fix")))</f>
        <v>0</v>
      </c>
      <c r="I503" s="4">
        <f>IF(OR(INDEX($P$2:$P$1001,MATCH(ROWS($O$2:O503),$O$2:$O$1001,0),1)&gt;=100000,INDEX($V$1005:$AE$1005,1,MATCH(COLUMNS($V$1006:AC1006),$V$1006:$AE$1006,0))&gt;=100000), " ",IF(INDEX($V$2:$AE$1001,MATCH(ROWS($O$2:O503),$O$2:$O$1001,0),MATCH(COLUMNS($V$1006:AC1006),$V$1006:$AE$1006,0)), HYPERLINK("#",""), HYPERLINK(CONCATENATE("#Metadata!", ADDRESS(INDEX($Q$2:$Q$1001,MATCH(ROWS($O$2:O503),$O$2:$O$1001,0),0), INDEX($V$1004:$AE$1004,1,MATCH(COLUMNS($V$1006:AC1006),$V$1006:$AE$1006,0)))),"Fix")))</f>
        <v>0</v>
      </c>
      <c r="J503" s="4">
        <f>IF(OR(INDEX($P$2:$P$1001,MATCH(ROWS($O$2:O503),$O$2:$O$1001,0),1)&gt;=100000,INDEX($V$1005:$AE$1005,1,MATCH(COLUMNS($V$1006:AD1006),$V$1006:$AE$1006,0))&gt;=100000), " ",IF(INDEX($V$2:$AE$1001,MATCH(ROWS($O$2:O503),$O$2:$O$1001,0),MATCH(COLUMNS($V$1006:AD1006),$V$1006:$AE$1006,0)), HYPERLINK("#",""), HYPERLINK(CONCATENATE("#Metadata!", ADDRESS(INDEX($Q$2:$Q$1001,MATCH(ROWS($O$2:O503),$O$2:$O$1001,0),0), INDEX($V$1004:$AE$1004,1,MATCH(COLUMNS($V$1006:AD1006),$V$1006:$AE$1006,0)))),"Fix")))</f>
        <v>0</v>
      </c>
      <c r="K503" s="4">
        <f>IF(OR(INDEX($P$2:$P$1001,MATCH(ROWS($O$2:O503),$O$2:$O$1001,0),1)&gt;=100000,INDEX($V$1005:$AE$1005,1,MATCH(COLUMNS($V$1006:AE1006),$V$1006:$AE$1006,0))&gt;=100000), " ",IF(INDEX($V$2:$AE$1001,MATCH(ROWS($O$2:O503),$O$2:$O$1001,0),MATCH(COLUMNS($V$1006:AE1006),$V$1006:$AE$1006,0)), HYPERLINK("#",""), HYPERLINK(CONCATENATE("#Metadata!", ADDRESS(INDEX($Q$2:$Q$1001,MATCH(ROWS($O$2:O503),$O$2:$O$1001,0),0), INDEX($V$1004:$AE$1004,1,MATCH(COLUMNS($V$1006:AE1006),$V$1006:$AE$1006,0)))),"Fix")))</f>
        <v>0</v>
      </c>
      <c r="O503">
        <v>0</v>
      </c>
      <c r="P503">
        <v>0</v>
      </c>
      <c r="Q503">
        <v>0</v>
      </c>
      <c r="R503">
        <f>IF(S503,TRUE,AND(V503:AE503))</f>
        <v>0</v>
      </c>
      <c r="S503">
        <f>COUNTBLANK(Metadata!B503:K503)=COLUMNS(Metadata!B503:K503)</f>
        <v>0</v>
      </c>
      <c r="T503">
        <v>0</v>
      </c>
      <c r="V503">
        <f>AND(IF(Metadata!B503="",FALSE,TRUE),COUNTIF(Metadata!B:B, Metadata!B503) = 1,NOT(ISERROR(SUMPRODUCT(SEARCH(MID(Metadata!B503,ROW(INDIRECT("1:"&amp;LEN(Metadata!B503))), 1),"0123456789abcdefghijklmnopqrstuvwxyzABCDEFGHIJKLMNOPQRSTUVWXYZ.")))))</f>
        <v>0</v>
      </c>
      <c r="W503">
        <f>AND(IF(Metadata!C503="",FALSE,TRUE),exact(Metadata!C503,"urban biome"))</f>
        <v>0</v>
      </c>
      <c r="X503">
        <f>AND(IF(Metadata!D503="",FALSE,TRUE),exact(Metadata!D503,"animal-associated habitat"))</f>
        <v>0</v>
      </c>
      <c r="Y503">
        <f>OR(AND(IF(Metadata!E503="",FALSE,TRUE),OR(exact(Metadata!E503,"not applicable"),exact(Metadata!E503,"missing: not collected"),exact(Metadata!E503,"missing: not provided"),exact(Metadata!E503,"missing: restricted access"))),AND(IF(Metadata!E503="",FALSE,ISNUMBER(VALUE(Metadata!E503))),Metadata!E503&gt;0))</f>
        <v>0</v>
      </c>
      <c r="Z503">
        <f>AND(IF(Metadata!F503="",FALSE,TRUE),exact(Metadata!F503,"weeks"))</f>
        <v>0</v>
      </c>
      <c r="AA503">
        <f>AND(IF(Metadata!G503="",FALSE,TRUE),exact(Metadata!G503,"mouse"))</f>
        <v>0</v>
      </c>
      <c r="AB503">
        <f>AND(IF(Metadata!H503="",FALSE,TRUE),exact(Metadata!H503,"Mus musculus"))</f>
        <v>0</v>
      </c>
      <c r="AC503">
        <f>AND(IF(Metadata!I503="",FALSE,TRUE),exact(Metadata!I503,"10090"))</f>
        <v>0</v>
      </c>
      <c r="AD503">
        <f>OR(AND(IF(Metadata!J503="",FALSE,TRUE),OR(exact(Metadata!J503,"not applicable"),exact(Metadata!J503,"missing: not collected"),exact(Metadata!J503,"missing: not provided"),exact(Metadata!J503,"missing: restricted access"))),AND(IF(Metadata!J503="",FALSE,ISNUMBER(VALUE(Metadata!J503))),Metadata!J503&gt;0))</f>
        <v>0</v>
      </c>
      <c r="AE503">
        <f>AND(IF(Metadata!K503="",FALSE,TRUE),exact(Metadata!K503,"g"))</f>
        <v>0</v>
      </c>
    </row>
    <row r="504" spans="1:31">
      <c r="A504" s="5">
        <f>IF(B504=" "," ",HYPERLINK(CONCATENATE("#metadata!",ADDRESS(INDEX($Q$2:$Q$1001,MATCH(ROWS($O$2:O504),$O$2:$O$1001,0),0),1)),INDEX($T$2:$T$1001,MATCH(ROWS($O$2:O504),$O$2:$O$1001,0),0)))</f>
        <v>0</v>
      </c>
      <c r="B504" s="4">
        <f>IF(OR(INDEX($P$2:$P$1001,MATCH(ROWS($O$2:O504),$O$2:$O$1001,0),1)&gt;=100000,INDEX($V$1005:$AE$1005,1,MATCH(COLUMNS($V$1006:V1006),$V$1006:$AE$1006,0))&gt;=100000), " ",IF(INDEX($V$2:$AE$1001,MATCH(ROWS($O$2:O504),$O$2:$O$1001,0),MATCH(COLUMNS($V$1006:V1006),$V$1006:$AE$1006,0)), HYPERLINK("#",""), HYPERLINK(CONCATENATE("#Metadata!", ADDRESS(INDEX($Q$2:$Q$1001,MATCH(ROWS($O$2:O504),$O$2:$O$1001,0),0), INDEX($V$1004:$AE$1004,1,MATCH(COLUMNS($V$1006:V1006),$V$1006:$AE$1006,0)))),"Fix")))</f>
        <v>0</v>
      </c>
      <c r="C504" s="4">
        <f>IF(OR(INDEX($P$2:$P$1001,MATCH(ROWS($O$2:O504),$O$2:$O$1001,0),1)&gt;=100000,INDEX($V$1005:$AE$1005,1,MATCH(COLUMNS($V$1006:W1006),$V$1006:$AE$1006,0))&gt;=100000), " ",IF(INDEX($V$2:$AE$1001,MATCH(ROWS($O$2:O504),$O$2:$O$1001,0),MATCH(COLUMNS($V$1006:W1006),$V$1006:$AE$1006,0)), HYPERLINK("#",""), HYPERLINK(CONCATENATE("#Metadata!", ADDRESS(INDEX($Q$2:$Q$1001,MATCH(ROWS($O$2:O504),$O$2:$O$1001,0),0), INDEX($V$1004:$AE$1004,1,MATCH(COLUMNS($V$1006:W1006),$V$1006:$AE$1006,0)))),"Fix")))</f>
        <v>0</v>
      </c>
      <c r="D504" s="4">
        <f>IF(OR(INDEX($P$2:$P$1001,MATCH(ROWS($O$2:O504),$O$2:$O$1001,0),1)&gt;=100000,INDEX($V$1005:$AE$1005,1,MATCH(COLUMNS($V$1006:X1006),$V$1006:$AE$1006,0))&gt;=100000), " ",IF(INDEX($V$2:$AE$1001,MATCH(ROWS($O$2:O504),$O$2:$O$1001,0),MATCH(COLUMNS($V$1006:X1006),$V$1006:$AE$1006,0)), HYPERLINK("#",""), HYPERLINK(CONCATENATE("#Metadata!", ADDRESS(INDEX($Q$2:$Q$1001,MATCH(ROWS($O$2:O504),$O$2:$O$1001,0),0), INDEX($V$1004:$AE$1004,1,MATCH(COLUMNS($V$1006:X1006),$V$1006:$AE$1006,0)))),"Fix")))</f>
        <v>0</v>
      </c>
      <c r="E504" s="4">
        <f>IF(OR(INDEX($P$2:$P$1001,MATCH(ROWS($O$2:O504),$O$2:$O$1001,0),1)&gt;=100000,INDEX($V$1005:$AE$1005,1,MATCH(COLUMNS($V$1006:Y1006),$V$1006:$AE$1006,0))&gt;=100000), " ",IF(INDEX($V$2:$AE$1001,MATCH(ROWS($O$2:O504),$O$2:$O$1001,0),MATCH(COLUMNS($V$1006:Y1006),$V$1006:$AE$1006,0)), HYPERLINK("#",""), HYPERLINK(CONCATENATE("#Metadata!", ADDRESS(INDEX($Q$2:$Q$1001,MATCH(ROWS($O$2:O504),$O$2:$O$1001,0),0), INDEX($V$1004:$AE$1004,1,MATCH(COLUMNS($V$1006:Y1006),$V$1006:$AE$1006,0)))),"Fix")))</f>
        <v>0</v>
      </c>
      <c r="F504" s="4">
        <f>IF(OR(INDEX($P$2:$P$1001,MATCH(ROWS($O$2:O504),$O$2:$O$1001,0),1)&gt;=100000,INDEX($V$1005:$AE$1005,1,MATCH(COLUMNS($V$1006:Z1006),$V$1006:$AE$1006,0))&gt;=100000), " ",IF(INDEX($V$2:$AE$1001,MATCH(ROWS($O$2:O504),$O$2:$O$1001,0),MATCH(COLUMNS($V$1006:Z1006),$V$1006:$AE$1006,0)), HYPERLINK("#",""), HYPERLINK(CONCATENATE("#Metadata!", ADDRESS(INDEX($Q$2:$Q$1001,MATCH(ROWS($O$2:O504),$O$2:$O$1001,0),0), INDEX($V$1004:$AE$1004,1,MATCH(COLUMNS($V$1006:Z1006),$V$1006:$AE$1006,0)))),"Fix")))</f>
        <v>0</v>
      </c>
      <c r="G504" s="4">
        <f>IF(OR(INDEX($P$2:$P$1001,MATCH(ROWS($O$2:O504),$O$2:$O$1001,0),1)&gt;=100000,INDEX($V$1005:$AE$1005,1,MATCH(COLUMNS($V$1006:AA1006),$V$1006:$AE$1006,0))&gt;=100000), " ",IF(INDEX($V$2:$AE$1001,MATCH(ROWS($O$2:O504),$O$2:$O$1001,0),MATCH(COLUMNS($V$1006:AA1006),$V$1006:$AE$1006,0)), HYPERLINK("#",""), HYPERLINK(CONCATENATE("#Metadata!", ADDRESS(INDEX($Q$2:$Q$1001,MATCH(ROWS($O$2:O504),$O$2:$O$1001,0),0), INDEX($V$1004:$AE$1004,1,MATCH(COLUMNS($V$1006:AA1006),$V$1006:$AE$1006,0)))),"Fix")))</f>
        <v>0</v>
      </c>
      <c r="H504" s="4">
        <f>IF(OR(INDEX($P$2:$P$1001,MATCH(ROWS($O$2:O504),$O$2:$O$1001,0),1)&gt;=100000,INDEX($V$1005:$AE$1005,1,MATCH(COLUMNS($V$1006:AB1006),$V$1006:$AE$1006,0))&gt;=100000), " ",IF(INDEX($V$2:$AE$1001,MATCH(ROWS($O$2:O504),$O$2:$O$1001,0),MATCH(COLUMNS($V$1006:AB1006),$V$1006:$AE$1006,0)), HYPERLINK("#",""), HYPERLINK(CONCATENATE("#Metadata!", ADDRESS(INDEX($Q$2:$Q$1001,MATCH(ROWS($O$2:O504),$O$2:$O$1001,0),0), INDEX($V$1004:$AE$1004,1,MATCH(COLUMNS($V$1006:AB1006),$V$1006:$AE$1006,0)))),"Fix")))</f>
        <v>0</v>
      </c>
      <c r="I504" s="4">
        <f>IF(OR(INDEX($P$2:$P$1001,MATCH(ROWS($O$2:O504),$O$2:$O$1001,0),1)&gt;=100000,INDEX($V$1005:$AE$1005,1,MATCH(COLUMNS($V$1006:AC1006),$V$1006:$AE$1006,0))&gt;=100000), " ",IF(INDEX($V$2:$AE$1001,MATCH(ROWS($O$2:O504),$O$2:$O$1001,0),MATCH(COLUMNS($V$1006:AC1006),$V$1006:$AE$1006,0)), HYPERLINK("#",""), HYPERLINK(CONCATENATE("#Metadata!", ADDRESS(INDEX($Q$2:$Q$1001,MATCH(ROWS($O$2:O504),$O$2:$O$1001,0),0), INDEX($V$1004:$AE$1004,1,MATCH(COLUMNS($V$1006:AC1006),$V$1006:$AE$1006,0)))),"Fix")))</f>
        <v>0</v>
      </c>
      <c r="J504" s="4">
        <f>IF(OR(INDEX($P$2:$P$1001,MATCH(ROWS($O$2:O504),$O$2:$O$1001,0),1)&gt;=100000,INDEX($V$1005:$AE$1005,1,MATCH(COLUMNS($V$1006:AD1006),$V$1006:$AE$1006,0))&gt;=100000), " ",IF(INDEX($V$2:$AE$1001,MATCH(ROWS($O$2:O504),$O$2:$O$1001,0),MATCH(COLUMNS($V$1006:AD1006),$V$1006:$AE$1006,0)), HYPERLINK("#",""), HYPERLINK(CONCATENATE("#Metadata!", ADDRESS(INDEX($Q$2:$Q$1001,MATCH(ROWS($O$2:O504),$O$2:$O$1001,0),0), INDEX($V$1004:$AE$1004,1,MATCH(COLUMNS($V$1006:AD1006),$V$1006:$AE$1006,0)))),"Fix")))</f>
        <v>0</v>
      </c>
      <c r="K504" s="4">
        <f>IF(OR(INDEX($P$2:$P$1001,MATCH(ROWS($O$2:O504),$O$2:$O$1001,0),1)&gt;=100000,INDEX($V$1005:$AE$1005,1,MATCH(COLUMNS($V$1006:AE1006),$V$1006:$AE$1006,0))&gt;=100000), " ",IF(INDEX($V$2:$AE$1001,MATCH(ROWS($O$2:O504),$O$2:$O$1001,0),MATCH(COLUMNS($V$1006:AE1006),$V$1006:$AE$1006,0)), HYPERLINK("#",""), HYPERLINK(CONCATENATE("#Metadata!", ADDRESS(INDEX($Q$2:$Q$1001,MATCH(ROWS($O$2:O504),$O$2:$O$1001,0),0), INDEX($V$1004:$AE$1004,1,MATCH(COLUMNS($V$1006:AE1006),$V$1006:$AE$1006,0)))),"Fix")))</f>
        <v>0</v>
      </c>
      <c r="O504">
        <v>0</v>
      </c>
      <c r="P504">
        <v>0</v>
      </c>
      <c r="Q504">
        <v>0</v>
      </c>
      <c r="R504">
        <f>IF(S504,TRUE,AND(V504:AE504))</f>
        <v>0</v>
      </c>
      <c r="S504">
        <f>COUNTBLANK(Metadata!B504:K504)=COLUMNS(Metadata!B504:K504)</f>
        <v>0</v>
      </c>
      <c r="T504">
        <v>0</v>
      </c>
      <c r="V504">
        <f>AND(IF(Metadata!B504="",FALSE,TRUE),COUNTIF(Metadata!B:B, Metadata!B504) = 1,NOT(ISERROR(SUMPRODUCT(SEARCH(MID(Metadata!B504,ROW(INDIRECT("1:"&amp;LEN(Metadata!B504))), 1),"0123456789abcdefghijklmnopqrstuvwxyzABCDEFGHIJKLMNOPQRSTUVWXYZ.")))))</f>
        <v>0</v>
      </c>
      <c r="W504">
        <f>AND(IF(Metadata!C504="",FALSE,TRUE),exact(Metadata!C504,"urban biome"))</f>
        <v>0</v>
      </c>
      <c r="X504">
        <f>AND(IF(Metadata!D504="",FALSE,TRUE),exact(Metadata!D504,"animal-associated habitat"))</f>
        <v>0</v>
      </c>
      <c r="Y504">
        <f>OR(AND(IF(Metadata!E504="",FALSE,TRUE),OR(exact(Metadata!E504,"not applicable"),exact(Metadata!E504,"missing: not collected"),exact(Metadata!E504,"missing: not provided"),exact(Metadata!E504,"missing: restricted access"))),AND(IF(Metadata!E504="",FALSE,ISNUMBER(VALUE(Metadata!E504))),Metadata!E504&gt;0))</f>
        <v>0</v>
      </c>
      <c r="Z504">
        <f>AND(IF(Metadata!F504="",FALSE,TRUE),exact(Metadata!F504,"weeks"))</f>
        <v>0</v>
      </c>
      <c r="AA504">
        <f>AND(IF(Metadata!G504="",FALSE,TRUE),exact(Metadata!G504,"mouse"))</f>
        <v>0</v>
      </c>
      <c r="AB504">
        <f>AND(IF(Metadata!H504="",FALSE,TRUE),exact(Metadata!H504,"Mus musculus"))</f>
        <v>0</v>
      </c>
      <c r="AC504">
        <f>AND(IF(Metadata!I504="",FALSE,TRUE),exact(Metadata!I504,"10090"))</f>
        <v>0</v>
      </c>
      <c r="AD504">
        <f>OR(AND(IF(Metadata!J504="",FALSE,TRUE),OR(exact(Metadata!J504,"not applicable"),exact(Metadata!J504,"missing: not collected"),exact(Metadata!J504,"missing: not provided"),exact(Metadata!J504,"missing: restricted access"))),AND(IF(Metadata!J504="",FALSE,ISNUMBER(VALUE(Metadata!J504))),Metadata!J504&gt;0))</f>
        <v>0</v>
      </c>
      <c r="AE504">
        <f>AND(IF(Metadata!K504="",FALSE,TRUE),exact(Metadata!K504,"g"))</f>
        <v>0</v>
      </c>
    </row>
    <row r="505" spans="1:31">
      <c r="A505" s="5">
        <f>IF(B505=" "," ",HYPERLINK(CONCATENATE("#metadata!",ADDRESS(INDEX($Q$2:$Q$1001,MATCH(ROWS($O$2:O505),$O$2:$O$1001,0),0),1)),INDEX($T$2:$T$1001,MATCH(ROWS($O$2:O505),$O$2:$O$1001,0),0)))</f>
        <v>0</v>
      </c>
      <c r="B505" s="4">
        <f>IF(OR(INDEX($P$2:$P$1001,MATCH(ROWS($O$2:O505),$O$2:$O$1001,0),1)&gt;=100000,INDEX($V$1005:$AE$1005,1,MATCH(COLUMNS($V$1006:V1006),$V$1006:$AE$1006,0))&gt;=100000), " ",IF(INDEX($V$2:$AE$1001,MATCH(ROWS($O$2:O505),$O$2:$O$1001,0),MATCH(COLUMNS($V$1006:V1006),$V$1006:$AE$1006,0)), HYPERLINK("#",""), HYPERLINK(CONCATENATE("#Metadata!", ADDRESS(INDEX($Q$2:$Q$1001,MATCH(ROWS($O$2:O505),$O$2:$O$1001,0),0), INDEX($V$1004:$AE$1004,1,MATCH(COLUMNS($V$1006:V1006),$V$1006:$AE$1006,0)))),"Fix")))</f>
        <v>0</v>
      </c>
      <c r="C505" s="4">
        <f>IF(OR(INDEX($P$2:$P$1001,MATCH(ROWS($O$2:O505),$O$2:$O$1001,0),1)&gt;=100000,INDEX($V$1005:$AE$1005,1,MATCH(COLUMNS($V$1006:W1006),$V$1006:$AE$1006,0))&gt;=100000), " ",IF(INDEX($V$2:$AE$1001,MATCH(ROWS($O$2:O505),$O$2:$O$1001,0),MATCH(COLUMNS($V$1006:W1006),$V$1006:$AE$1006,0)), HYPERLINK("#",""), HYPERLINK(CONCATENATE("#Metadata!", ADDRESS(INDEX($Q$2:$Q$1001,MATCH(ROWS($O$2:O505),$O$2:$O$1001,0),0), INDEX($V$1004:$AE$1004,1,MATCH(COLUMNS($V$1006:W1006),$V$1006:$AE$1006,0)))),"Fix")))</f>
        <v>0</v>
      </c>
      <c r="D505" s="4">
        <f>IF(OR(INDEX($P$2:$P$1001,MATCH(ROWS($O$2:O505),$O$2:$O$1001,0),1)&gt;=100000,INDEX($V$1005:$AE$1005,1,MATCH(COLUMNS($V$1006:X1006),$V$1006:$AE$1006,0))&gt;=100000), " ",IF(INDEX($V$2:$AE$1001,MATCH(ROWS($O$2:O505),$O$2:$O$1001,0),MATCH(COLUMNS($V$1006:X1006),$V$1006:$AE$1006,0)), HYPERLINK("#",""), HYPERLINK(CONCATENATE("#Metadata!", ADDRESS(INDEX($Q$2:$Q$1001,MATCH(ROWS($O$2:O505),$O$2:$O$1001,0),0), INDEX($V$1004:$AE$1004,1,MATCH(COLUMNS($V$1006:X1006),$V$1006:$AE$1006,0)))),"Fix")))</f>
        <v>0</v>
      </c>
      <c r="E505" s="4">
        <f>IF(OR(INDEX($P$2:$P$1001,MATCH(ROWS($O$2:O505),$O$2:$O$1001,0),1)&gt;=100000,INDEX($V$1005:$AE$1005,1,MATCH(COLUMNS($V$1006:Y1006),$V$1006:$AE$1006,0))&gt;=100000), " ",IF(INDEX($V$2:$AE$1001,MATCH(ROWS($O$2:O505),$O$2:$O$1001,0),MATCH(COLUMNS($V$1006:Y1006),$V$1006:$AE$1006,0)), HYPERLINK("#",""), HYPERLINK(CONCATENATE("#Metadata!", ADDRESS(INDEX($Q$2:$Q$1001,MATCH(ROWS($O$2:O505),$O$2:$O$1001,0),0), INDEX($V$1004:$AE$1004,1,MATCH(COLUMNS($V$1006:Y1006),$V$1006:$AE$1006,0)))),"Fix")))</f>
        <v>0</v>
      </c>
      <c r="F505" s="4">
        <f>IF(OR(INDEX($P$2:$P$1001,MATCH(ROWS($O$2:O505),$O$2:$O$1001,0),1)&gt;=100000,INDEX($V$1005:$AE$1005,1,MATCH(COLUMNS($V$1006:Z1006),$V$1006:$AE$1006,0))&gt;=100000), " ",IF(INDEX($V$2:$AE$1001,MATCH(ROWS($O$2:O505),$O$2:$O$1001,0),MATCH(COLUMNS($V$1006:Z1006),$V$1006:$AE$1006,0)), HYPERLINK("#",""), HYPERLINK(CONCATENATE("#Metadata!", ADDRESS(INDEX($Q$2:$Q$1001,MATCH(ROWS($O$2:O505),$O$2:$O$1001,0),0), INDEX($V$1004:$AE$1004,1,MATCH(COLUMNS($V$1006:Z1006),$V$1006:$AE$1006,0)))),"Fix")))</f>
        <v>0</v>
      </c>
      <c r="G505" s="4">
        <f>IF(OR(INDEX($P$2:$P$1001,MATCH(ROWS($O$2:O505),$O$2:$O$1001,0),1)&gt;=100000,INDEX($V$1005:$AE$1005,1,MATCH(COLUMNS($V$1006:AA1006),$V$1006:$AE$1006,0))&gt;=100000), " ",IF(INDEX($V$2:$AE$1001,MATCH(ROWS($O$2:O505),$O$2:$O$1001,0),MATCH(COLUMNS($V$1006:AA1006),$V$1006:$AE$1006,0)), HYPERLINK("#",""), HYPERLINK(CONCATENATE("#Metadata!", ADDRESS(INDEX($Q$2:$Q$1001,MATCH(ROWS($O$2:O505),$O$2:$O$1001,0),0), INDEX($V$1004:$AE$1004,1,MATCH(COLUMNS($V$1006:AA1006),$V$1006:$AE$1006,0)))),"Fix")))</f>
        <v>0</v>
      </c>
      <c r="H505" s="4">
        <f>IF(OR(INDEX($P$2:$P$1001,MATCH(ROWS($O$2:O505),$O$2:$O$1001,0),1)&gt;=100000,INDEX($V$1005:$AE$1005,1,MATCH(COLUMNS($V$1006:AB1006),$V$1006:$AE$1006,0))&gt;=100000), " ",IF(INDEX($V$2:$AE$1001,MATCH(ROWS($O$2:O505),$O$2:$O$1001,0),MATCH(COLUMNS($V$1006:AB1006),$V$1006:$AE$1006,0)), HYPERLINK("#",""), HYPERLINK(CONCATENATE("#Metadata!", ADDRESS(INDEX($Q$2:$Q$1001,MATCH(ROWS($O$2:O505),$O$2:$O$1001,0),0), INDEX($V$1004:$AE$1004,1,MATCH(COLUMNS($V$1006:AB1006),$V$1006:$AE$1006,0)))),"Fix")))</f>
        <v>0</v>
      </c>
      <c r="I505" s="4">
        <f>IF(OR(INDEX($P$2:$P$1001,MATCH(ROWS($O$2:O505),$O$2:$O$1001,0),1)&gt;=100000,INDEX($V$1005:$AE$1005,1,MATCH(COLUMNS($V$1006:AC1006),$V$1006:$AE$1006,0))&gt;=100000), " ",IF(INDEX($V$2:$AE$1001,MATCH(ROWS($O$2:O505),$O$2:$O$1001,0),MATCH(COLUMNS($V$1006:AC1006),$V$1006:$AE$1006,0)), HYPERLINK("#",""), HYPERLINK(CONCATENATE("#Metadata!", ADDRESS(INDEX($Q$2:$Q$1001,MATCH(ROWS($O$2:O505),$O$2:$O$1001,0),0), INDEX($V$1004:$AE$1004,1,MATCH(COLUMNS($V$1006:AC1006),$V$1006:$AE$1006,0)))),"Fix")))</f>
        <v>0</v>
      </c>
      <c r="J505" s="4">
        <f>IF(OR(INDEX($P$2:$P$1001,MATCH(ROWS($O$2:O505),$O$2:$O$1001,0),1)&gt;=100000,INDEX($V$1005:$AE$1005,1,MATCH(COLUMNS($V$1006:AD1006),$V$1006:$AE$1006,0))&gt;=100000), " ",IF(INDEX($V$2:$AE$1001,MATCH(ROWS($O$2:O505),$O$2:$O$1001,0),MATCH(COLUMNS($V$1006:AD1006),$V$1006:$AE$1006,0)), HYPERLINK("#",""), HYPERLINK(CONCATENATE("#Metadata!", ADDRESS(INDEX($Q$2:$Q$1001,MATCH(ROWS($O$2:O505),$O$2:$O$1001,0),0), INDEX($V$1004:$AE$1004,1,MATCH(COLUMNS($V$1006:AD1006),$V$1006:$AE$1006,0)))),"Fix")))</f>
        <v>0</v>
      </c>
      <c r="K505" s="4">
        <f>IF(OR(INDEX($P$2:$P$1001,MATCH(ROWS($O$2:O505),$O$2:$O$1001,0),1)&gt;=100000,INDEX($V$1005:$AE$1005,1,MATCH(COLUMNS($V$1006:AE1006),$V$1006:$AE$1006,0))&gt;=100000), " ",IF(INDEX($V$2:$AE$1001,MATCH(ROWS($O$2:O505),$O$2:$O$1001,0),MATCH(COLUMNS($V$1006:AE1006),$V$1006:$AE$1006,0)), HYPERLINK("#",""), HYPERLINK(CONCATENATE("#Metadata!", ADDRESS(INDEX($Q$2:$Q$1001,MATCH(ROWS($O$2:O505),$O$2:$O$1001,0),0), INDEX($V$1004:$AE$1004,1,MATCH(COLUMNS($V$1006:AE1006),$V$1006:$AE$1006,0)))),"Fix")))</f>
        <v>0</v>
      </c>
      <c r="O505">
        <v>0</v>
      </c>
      <c r="P505">
        <v>0</v>
      </c>
      <c r="Q505">
        <v>0</v>
      </c>
      <c r="R505">
        <f>IF(S505,TRUE,AND(V505:AE505))</f>
        <v>0</v>
      </c>
      <c r="S505">
        <f>COUNTBLANK(Metadata!B505:K505)=COLUMNS(Metadata!B505:K505)</f>
        <v>0</v>
      </c>
      <c r="T505">
        <v>0</v>
      </c>
      <c r="V505">
        <f>AND(IF(Metadata!B505="",FALSE,TRUE),COUNTIF(Metadata!B:B, Metadata!B505) = 1,NOT(ISERROR(SUMPRODUCT(SEARCH(MID(Metadata!B505,ROW(INDIRECT("1:"&amp;LEN(Metadata!B505))), 1),"0123456789abcdefghijklmnopqrstuvwxyzABCDEFGHIJKLMNOPQRSTUVWXYZ.")))))</f>
        <v>0</v>
      </c>
      <c r="W505">
        <f>AND(IF(Metadata!C505="",FALSE,TRUE),exact(Metadata!C505,"urban biome"))</f>
        <v>0</v>
      </c>
      <c r="X505">
        <f>AND(IF(Metadata!D505="",FALSE,TRUE),exact(Metadata!D505,"animal-associated habitat"))</f>
        <v>0</v>
      </c>
      <c r="Y505">
        <f>OR(AND(IF(Metadata!E505="",FALSE,TRUE),OR(exact(Metadata!E505,"not applicable"),exact(Metadata!E505,"missing: not collected"),exact(Metadata!E505,"missing: not provided"),exact(Metadata!E505,"missing: restricted access"))),AND(IF(Metadata!E505="",FALSE,ISNUMBER(VALUE(Metadata!E505))),Metadata!E505&gt;0))</f>
        <v>0</v>
      </c>
      <c r="Z505">
        <f>AND(IF(Metadata!F505="",FALSE,TRUE),exact(Metadata!F505,"weeks"))</f>
        <v>0</v>
      </c>
      <c r="AA505">
        <f>AND(IF(Metadata!G505="",FALSE,TRUE),exact(Metadata!G505,"mouse"))</f>
        <v>0</v>
      </c>
      <c r="AB505">
        <f>AND(IF(Metadata!H505="",FALSE,TRUE),exact(Metadata!H505,"Mus musculus"))</f>
        <v>0</v>
      </c>
      <c r="AC505">
        <f>AND(IF(Metadata!I505="",FALSE,TRUE),exact(Metadata!I505,"10090"))</f>
        <v>0</v>
      </c>
      <c r="AD505">
        <f>OR(AND(IF(Metadata!J505="",FALSE,TRUE),OR(exact(Metadata!J505,"not applicable"),exact(Metadata!J505,"missing: not collected"),exact(Metadata!J505,"missing: not provided"),exact(Metadata!J505,"missing: restricted access"))),AND(IF(Metadata!J505="",FALSE,ISNUMBER(VALUE(Metadata!J505))),Metadata!J505&gt;0))</f>
        <v>0</v>
      </c>
      <c r="AE505">
        <f>AND(IF(Metadata!K505="",FALSE,TRUE),exact(Metadata!K505,"g"))</f>
        <v>0</v>
      </c>
    </row>
    <row r="506" spans="1:31">
      <c r="A506" s="5">
        <f>IF(B506=" "," ",HYPERLINK(CONCATENATE("#metadata!",ADDRESS(INDEX($Q$2:$Q$1001,MATCH(ROWS($O$2:O506),$O$2:$O$1001,0),0),1)),INDEX($T$2:$T$1001,MATCH(ROWS($O$2:O506),$O$2:$O$1001,0),0)))</f>
        <v>0</v>
      </c>
      <c r="B506" s="4">
        <f>IF(OR(INDEX($P$2:$P$1001,MATCH(ROWS($O$2:O506),$O$2:$O$1001,0),1)&gt;=100000,INDEX($V$1005:$AE$1005,1,MATCH(COLUMNS($V$1006:V1006),$V$1006:$AE$1006,0))&gt;=100000), " ",IF(INDEX($V$2:$AE$1001,MATCH(ROWS($O$2:O506),$O$2:$O$1001,0),MATCH(COLUMNS($V$1006:V1006),$V$1006:$AE$1006,0)), HYPERLINK("#",""), HYPERLINK(CONCATENATE("#Metadata!", ADDRESS(INDEX($Q$2:$Q$1001,MATCH(ROWS($O$2:O506),$O$2:$O$1001,0),0), INDEX($V$1004:$AE$1004,1,MATCH(COLUMNS($V$1006:V1006),$V$1006:$AE$1006,0)))),"Fix")))</f>
        <v>0</v>
      </c>
      <c r="C506" s="4">
        <f>IF(OR(INDEX($P$2:$P$1001,MATCH(ROWS($O$2:O506),$O$2:$O$1001,0),1)&gt;=100000,INDEX($V$1005:$AE$1005,1,MATCH(COLUMNS($V$1006:W1006),$V$1006:$AE$1006,0))&gt;=100000), " ",IF(INDEX($V$2:$AE$1001,MATCH(ROWS($O$2:O506),$O$2:$O$1001,0),MATCH(COLUMNS($V$1006:W1006),$V$1006:$AE$1006,0)), HYPERLINK("#",""), HYPERLINK(CONCATENATE("#Metadata!", ADDRESS(INDEX($Q$2:$Q$1001,MATCH(ROWS($O$2:O506),$O$2:$O$1001,0),0), INDEX($V$1004:$AE$1004,1,MATCH(COLUMNS($V$1006:W1006),$V$1006:$AE$1006,0)))),"Fix")))</f>
        <v>0</v>
      </c>
      <c r="D506" s="4">
        <f>IF(OR(INDEX($P$2:$P$1001,MATCH(ROWS($O$2:O506),$O$2:$O$1001,0),1)&gt;=100000,INDEX($V$1005:$AE$1005,1,MATCH(COLUMNS($V$1006:X1006),$V$1006:$AE$1006,0))&gt;=100000), " ",IF(INDEX($V$2:$AE$1001,MATCH(ROWS($O$2:O506),$O$2:$O$1001,0),MATCH(COLUMNS($V$1006:X1006),$V$1006:$AE$1006,0)), HYPERLINK("#",""), HYPERLINK(CONCATENATE("#Metadata!", ADDRESS(INDEX($Q$2:$Q$1001,MATCH(ROWS($O$2:O506),$O$2:$O$1001,0),0), INDEX($V$1004:$AE$1004,1,MATCH(COLUMNS($V$1006:X1006),$V$1006:$AE$1006,0)))),"Fix")))</f>
        <v>0</v>
      </c>
      <c r="E506" s="4">
        <f>IF(OR(INDEX($P$2:$P$1001,MATCH(ROWS($O$2:O506),$O$2:$O$1001,0),1)&gt;=100000,INDEX($V$1005:$AE$1005,1,MATCH(COLUMNS($V$1006:Y1006),$V$1006:$AE$1006,0))&gt;=100000), " ",IF(INDEX($V$2:$AE$1001,MATCH(ROWS($O$2:O506),$O$2:$O$1001,0),MATCH(COLUMNS($V$1006:Y1006),$V$1006:$AE$1006,0)), HYPERLINK("#",""), HYPERLINK(CONCATENATE("#Metadata!", ADDRESS(INDEX($Q$2:$Q$1001,MATCH(ROWS($O$2:O506),$O$2:$O$1001,0),0), INDEX($V$1004:$AE$1004,1,MATCH(COLUMNS($V$1006:Y1006),$V$1006:$AE$1006,0)))),"Fix")))</f>
        <v>0</v>
      </c>
      <c r="F506" s="4">
        <f>IF(OR(INDEX($P$2:$P$1001,MATCH(ROWS($O$2:O506),$O$2:$O$1001,0),1)&gt;=100000,INDEX($V$1005:$AE$1005,1,MATCH(COLUMNS($V$1006:Z1006),$V$1006:$AE$1006,0))&gt;=100000), " ",IF(INDEX($V$2:$AE$1001,MATCH(ROWS($O$2:O506),$O$2:$O$1001,0),MATCH(COLUMNS($V$1006:Z1006),$V$1006:$AE$1006,0)), HYPERLINK("#",""), HYPERLINK(CONCATENATE("#Metadata!", ADDRESS(INDEX($Q$2:$Q$1001,MATCH(ROWS($O$2:O506),$O$2:$O$1001,0),0), INDEX($V$1004:$AE$1004,1,MATCH(COLUMNS($V$1006:Z1006),$V$1006:$AE$1006,0)))),"Fix")))</f>
        <v>0</v>
      </c>
      <c r="G506" s="4">
        <f>IF(OR(INDEX($P$2:$P$1001,MATCH(ROWS($O$2:O506),$O$2:$O$1001,0),1)&gt;=100000,INDEX($V$1005:$AE$1005,1,MATCH(COLUMNS($V$1006:AA1006),$V$1006:$AE$1006,0))&gt;=100000), " ",IF(INDEX($V$2:$AE$1001,MATCH(ROWS($O$2:O506),$O$2:$O$1001,0),MATCH(COLUMNS($V$1006:AA1006),$V$1006:$AE$1006,0)), HYPERLINK("#",""), HYPERLINK(CONCATENATE("#Metadata!", ADDRESS(INDEX($Q$2:$Q$1001,MATCH(ROWS($O$2:O506),$O$2:$O$1001,0),0), INDEX($V$1004:$AE$1004,1,MATCH(COLUMNS($V$1006:AA1006),$V$1006:$AE$1006,0)))),"Fix")))</f>
        <v>0</v>
      </c>
      <c r="H506" s="4">
        <f>IF(OR(INDEX($P$2:$P$1001,MATCH(ROWS($O$2:O506),$O$2:$O$1001,0),1)&gt;=100000,INDEX($V$1005:$AE$1005,1,MATCH(COLUMNS($V$1006:AB1006),$V$1006:$AE$1006,0))&gt;=100000), " ",IF(INDEX($V$2:$AE$1001,MATCH(ROWS($O$2:O506),$O$2:$O$1001,0),MATCH(COLUMNS($V$1006:AB1006),$V$1006:$AE$1006,0)), HYPERLINK("#",""), HYPERLINK(CONCATENATE("#Metadata!", ADDRESS(INDEX($Q$2:$Q$1001,MATCH(ROWS($O$2:O506),$O$2:$O$1001,0),0), INDEX($V$1004:$AE$1004,1,MATCH(COLUMNS($V$1006:AB1006),$V$1006:$AE$1006,0)))),"Fix")))</f>
        <v>0</v>
      </c>
      <c r="I506" s="4">
        <f>IF(OR(INDEX($P$2:$P$1001,MATCH(ROWS($O$2:O506),$O$2:$O$1001,0),1)&gt;=100000,INDEX($V$1005:$AE$1005,1,MATCH(COLUMNS($V$1006:AC1006),$V$1006:$AE$1006,0))&gt;=100000), " ",IF(INDEX($V$2:$AE$1001,MATCH(ROWS($O$2:O506),$O$2:$O$1001,0),MATCH(COLUMNS($V$1006:AC1006),$V$1006:$AE$1006,0)), HYPERLINK("#",""), HYPERLINK(CONCATENATE("#Metadata!", ADDRESS(INDEX($Q$2:$Q$1001,MATCH(ROWS($O$2:O506),$O$2:$O$1001,0),0), INDEX($V$1004:$AE$1004,1,MATCH(COLUMNS($V$1006:AC1006),$V$1006:$AE$1006,0)))),"Fix")))</f>
        <v>0</v>
      </c>
      <c r="J506" s="4">
        <f>IF(OR(INDEX($P$2:$P$1001,MATCH(ROWS($O$2:O506),$O$2:$O$1001,0),1)&gt;=100000,INDEX($V$1005:$AE$1005,1,MATCH(COLUMNS($V$1006:AD1006),$V$1006:$AE$1006,0))&gt;=100000), " ",IF(INDEX($V$2:$AE$1001,MATCH(ROWS($O$2:O506),$O$2:$O$1001,0),MATCH(COLUMNS($V$1006:AD1006),$V$1006:$AE$1006,0)), HYPERLINK("#",""), HYPERLINK(CONCATENATE("#Metadata!", ADDRESS(INDEX($Q$2:$Q$1001,MATCH(ROWS($O$2:O506),$O$2:$O$1001,0),0), INDEX($V$1004:$AE$1004,1,MATCH(COLUMNS($V$1006:AD1006),$V$1006:$AE$1006,0)))),"Fix")))</f>
        <v>0</v>
      </c>
      <c r="K506" s="4">
        <f>IF(OR(INDEX($P$2:$P$1001,MATCH(ROWS($O$2:O506),$O$2:$O$1001,0),1)&gt;=100000,INDEX($V$1005:$AE$1005,1,MATCH(COLUMNS($V$1006:AE1006),$V$1006:$AE$1006,0))&gt;=100000), " ",IF(INDEX($V$2:$AE$1001,MATCH(ROWS($O$2:O506),$O$2:$O$1001,0),MATCH(COLUMNS($V$1006:AE1006),$V$1006:$AE$1006,0)), HYPERLINK("#",""), HYPERLINK(CONCATENATE("#Metadata!", ADDRESS(INDEX($Q$2:$Q$1001,MATCH(ROWS($O$2:O506),$O$2:$O$1001,0),0), INDEX($V$1004:$AE$1004,1,MATCH(COLUMNS($V$1006:AE1006),$V$1006:$AE$1006,0)))),"Fix")))</f>
        <v>0</v>
      </c>
      <c r="O506">
        <v>0</v>
      </c>
      <c r="P506">
        <v>0</v>
      </c>
      <c r="Q506">
        <v>0</v>
      </c>
      <c r="R506">
        <f>IF(S506,TRUE,AND(V506:AE506))</f>
        <v>0</v>
      </c>
      <c r="S506">
        <f>COUNTBLANK(Metadata!B506:K506)=COLUMNS(Metadata!B506:K506)</f>
        <v>0</v>
      </c>
      <c r="T506">
        <v>0</v>
      </c>
      <c r="V506">
        <f>AND(IF(Metadata!B506="",FALSE,TRUE),COUNTIF(Metadata!B:B, Metadata!B506) = 1,NOT(ISERROR(SUMPRODUCT(SEARCH(MID(Metadata!B506,ROW(INDIRECT("1:"&amp;LEN(Metadata!B506))), 1),"0123456789abcdefghijklmnopqrstuvwxyzABCDEFGHIJKLMNOPQRSTUVWXYZ.")))))</f>
        <v>0</v>
      </c>
      <c r="W506">
        <f>AND(IF(Metadata!C506="",FALSE,TRUE),exact(Metadata!C506,"urban biome"))</f>
        <v>0</v>
      </c>
      <c r="X506">
        <f>AND(IF(Metadata!D506="",FALSE,TRUE),exact(Metadata!D506,"animal-associated habitat"))</f>
        <v>0</v>
      </c>
      <c r="Y506">
        <f>OR(AND(IF(Metadata!E506="",FALSE,TRUE),OR(exact(Metadata!E506,"not applicable"),exact(Metadata!E506,"missing: not collected"),exact(Metadata!E506,"missing: not provided"),exact(Metadata!E506,"missing: restricted access"))),AND(IF(Metadata!E506="",FALSE,ISNUMBER(VALUE(Metadata!E506))),Metadata!E506&gt;0))</f>
        <v>0</v>
      </c>
      <c r="Z506">
        <f>AND(IF(Metadata!F506="",FALSE,TRUE),exact(Metadata!F506,"weeks"))</f>
        <v>0</v>
      </c>
      <c r="AA506">
        <f>AND(IF(Metadata!G506="",FALSE,TRUE),exact(Metadata!G506,"mouse"))</f>
        <v>0</v>
      </c>
      <c r="AB506">
        <f>AND(IF(Metadata!H506="",FALSE,TRUE),exact(Metadata!H506,"Mus musculus"))</f>
        <v>0</v>
      </c>
      <c r="AC506">
        <f>AND(IF(Metadata!I506="",FALSE,TRUE),exact(Metadata!I506,"10090"))</f>
        <v>0</v>
      </c>
      <c r="AD506">
        <f>OR(AND(IF(Metadata!J506="",FALSE,TRUE),OR(exact(Metadata!J506,"not applicable"),exact(Metadata!J506,"missing: not collected"),exact(Metadata!J506,"missing: not provided"),exact(Metadata!J506,"missing: restricted access"))),AND(IF(Metadata!J506="",FALSE,ISNUMBER(VALUE(Metadata!J506))),Metadata!J506&gt;0))</f>
        <v>0</v>
      </c>
      <c r="AE506">
        <f>AND(IF(Metadata!K506="",FALSE,TRUE),exact(Metadata!K506,"g"))</f>
        <v>0</v>
      </c>
    </row>
    <row r="507" spans="1:31">
      <c r="A507" s="5">
        <f>IF(B507=" "," ",HYPERLINK(CONCATENATE("#metadata!",ADDRESS(INDEX($Q$2:$Q$1001,MATCH(ROWS($O$2:O507),$O$2:$O$1001,0),0),1)),INDEX($T$2:$T$1001,MATCH(ROWS($O$2:O507),$O$2:$O$1001,0),0)))</f>
        <v>0</v>
      </c>
      <c r="B507" s="4">
        <f>IF(OR(INDEX($P$2:$P$1001,MATCH(ROWS($O$2:O507),$O$2:$O$1001,0),1)&gt;=100000,INDEX($V$1005:$AE$1005,1,MATCH(COLUMNS($V$1006:V1006),$V$1006:$AE$1006,0))&gt;=100000), " ",IF(INDEX($V$2:$AE$1001,MATCH(ROWS($O$2:O507),$O$2:$O$1001,0),MATCH(COLUMNS($V$1006:V1006),$V$1006:$AE$1006,0)), HYPERLINK("#",""), HYPERLINK(CONCATENATE("#Metadata!", ADDRESS(INDEX($Q$2:$Q$1001,MATCH(ROWS($O$2:O507),$O$2:$O$1001,0),0), INDEX($V$1004:$AE$1004,1,MATCH(COLUMNS($V$1006:V1006),$V$1006:$AE$1006,0)))),"Fix")))</f>
        <v>0</v>
      </c>
      <c r="C507" s="4">
        <f>IF(OR(INDEX($P$2:$P$1001,MATCH(ROWS($O$2:O507),$O$2:$O$1001,0),1)&gt;=100000,INDEX($V$1005:$AE$1005,1,MATCH(COLUMNS($V$1006:W1006),$V$1006:$AE$1006,0))&gt;=100000), " ",IF(INDEX($V$2:$AE$1001,MATCH(ROWS($O$2:O507),$O$2:$O$1001,0),MATCH(COLUMNS($V$1006:W1006),$V$1006:$AE$1006,0)), HYPERLINK("#",""), HYPERLINK(CONCATENATE("#Metadata!", ADDRESS(INDEX($Q$2:$Q$1001,MATCH(ROWS($O$2:O507),$O$2:$O$1001,0),0), INDEX($V$1004:$AE$1004,1,MATCH(COLUMNS($V$1006:W1006),$V$1006:$AE$1006,0)))),"Fix")))</f>
        <v>0</v>
      </c>
      <c r="D507" s="4">
        <f>IF(OR(INDEX($P$2:$P$1001,MATCH(ROWS($O$2:O507),$O$2:$O$1001,0),1)&gt;=100000,INDEX($V$1005:$AE$1005,1,MATCH(COLUMNS($V$1006:X1006),$V$1006:$AE$1006,0))&gt;=100000), " ",IF(INDEX($V$2:$AE$1001,MATCH(ROWS($O$2:O507),$O$2:$O$1001,0),MATCH(COLUMNS($V$1006:X1006),$V$1006:$AE$1006,0)), HYPERLINK("#",""), HYPERLINK(CONCATENATE("#Metadata!", ADDRESS(INDEX($Q$2:$Q$1001,MATCH(ROWS($O$2:O507),$O$2:$O$1001,0),0), INDEX($V$1004:$AE$1004,1,MATCH(COLUMNS($V$1006:X1006),$V$1006:$AE$1006,0)))),"Fix")))</f>
        <v>0</v>
      </c>
      <c r="E507" s="4">
        <f>IF(OR(INDEX($P$2:$P$1001,MATCH(ROWS($O$2:O507),$O$2:$O$1001,0),1)&gt;=100000,INDEX($V$1005:$AE$1005,1,MATCH(COLUMNS($V$1006:Y1006),$V$1006:$AE$1006,0))&gt;=100000), " ",IF(INDEX($V$2:$AE$1001,MATCH(ROWS($O$2:O507),$O$2:$O$1001,0),MATCH(COLUMNS($V$1006:Y1006),$V$1006:$AE$1006,0)), HYPERLINK("#",""), HYPERLINK(CONCATENATE("#Metadata!", ADDRESS(INDEX($Q$2:$Q$1001,MATCH(ROWS($O$2:O507),$O$2:$O$1001,0),0), INDEX($V$1004:$AE$1004,1,MATCH(COLUMNS($V$1006:Y1006),$V$1006:$AE$1006,0)))),"Fix")))</f>
        <v>0</v>
      </c>
      <c r="F507" s="4">
        <f>IF(OR(INDEX($P$2:$P$1001,MATCH(ROWS($O$2:O507),$O$2:$O$1001,0),1)&gt;=100000,INDEX($V$1005:$AE$1005,1,MATCH(COLUMNS($V$1006:Z1006),$V$1006:$AE$1006,0))&gt;=100000), " ",IF(INDEX($V$2:$AE$1001,MATCH(ROWS($O$2:O507),$O$2:$O$1001,0),MATCH(COLUMNS($V$1006:Z1006),$V$1006:$AE$1006,0)), HYPERLINK("#",""), HYPERLINK(CONCATENATE("#Metadata!", ADDRESS(INDEX($Q$2:$Q$1001,MATCH(ROWS($O$2:O507),$O$2:$O$1001,0),0), INDEX($V$1004:$AE$1004,1,MATCH(COLUMNS($V$1006:Z1006),$V$1006:$AE$1006,0)))),"Fix")))</f>
        <v>0</v>
      </c>
      <c r="G507" s="4">
        <f>IF(OR(INDEX($P$2:$P$1001,MATCH(ROWS($O$2:O507),$O$2:$O$1001,0),1)&gt;=100000,INDEX($V$1005:$AE$1005,1,MATCH(COLUMNS($V$1006:AA1006),$V$1006:$AE$1006,0))&gt;=100000), " ",IF(INDEX($V$2:$AE$1001,MATCH(ROWS($O$2:O507),$O$2:$O$1001,0),MATCH(COLUMNS($V$1006:AA1006),$V$1006:$AE$1006,0)), HYPERLINK("#",""), HYPERLINK(CONCATENATE("#Metadata!", ADDRESS(INDEX($Q$2:$Q$1001,MATCH(ROWS($O$2:O507),$O$2:$O$1001,0),0), INDEX($V$1004:$AE$1004,1,MATCH(COLUMNS($V$1006:AA1006),$V$1006:$AE$1006,0)))),"Fix")))</f>
        <v>0</v>
      </c>
      <c r="H507" s="4">
        <f>IF(OR(INDEX($P$2:$P$1001,MATCH(ROWS($O$2:O507),$O$2:$O$1001,0),1)&gt;=100000,INDEX($V$1005:$AE$1005,1,MATCH(COLUMNS($V$1006:AB1006),$V$1006:$AE$1006,0))&gt;=100000), " ",IF(INDEX($V$2:$AE$1001,MATCH(ROWS($O$2:O507),$O$2:$O$1001,0),MATCH(COLUMNS($V$1006:AB1006),$V$1006:$AE$1006,0)), HYPERLINK("#",""), HYPERLINK(CONCATENATE("#Metadata!", ADDRESS(INDEX($Q$2:$Q$1001,MATCH(ROWS($O$2:O507),$O$2:$O$1001,0),0), INDEX($V$1004:$AE$1004,1,MATCH(COLUMNS($V$1006:AB1006),$V$1006:$AE$1006,0)))),"Fix")))</f>
        <v>0</v>
      </c>
      <c r="I507" s="4">
        <f>IF(OR(INDEX($P$2:$P$1001,MATCH(ROWS($O$2:O507),$O$2:$O$1001,0),1)&gt;=100000,INDEX($V$1005:$AE$1005,1,MATCH(COLUMNS($V$1006:AC1006),$V$1006:$AE$1006,0))&gt;=100000), " ",IF(INDEX($V$2:$AE$1001,MATCH(ROWS($O$2:O507),$O$2:$O$1001,0),MATCH(COLUMNS($V$1006:AC1006),$V$1006:$AE$1006,0)), HYPERLINK("#",""), HYPERLINK(CONCATENATE("#Metadata!", ADDRESS(INDEX($Q$2:$Q$1001,MATCH(ROWS($O$2:O507),$O$2:$O$1001,0),0), INDEX($V$1004:$AE$1004,1,MATCH(COLUMNS($V$1006:AC1006),$V$1006:$AE$1006,0)))),"Fix")))</f>
        <v>0</v>
      </c>
      <c r="J507" s="4">
        <f>IF(OR(INDEX($P$2:$P$1001,MATCH(ROWS($O$2:O507),$O$2:$O$1001,0),1)&gt;=100000,INDEX($V$1005:$AE$1005,1,MATCH(COLUMNS($V$1006:AD1006),$V$1006:$AE$1006,0))&gt;=100000), " ",IF(INDEX($V$2:$AE$1001,MATCH(ROWS($O$2:O507),$O$2:$O$1001,0),MATCH(COLUMNS($V$1006:AD1006),$V$1006:$AE$1006,0)), HYPERLINK("#",""), HYPERLINK(CONCATENATE("#Metadata!", ADDRESS(INDEX($Q$2:$Q$1001,MATCH(ROWS($O$2:O507),$O$2:$O$1001,0),0), INDEX($V$1004:$AE$1004,1,MATCH(COLUMNS($V$1006:AD1006),$V$1006:$AE$1006,0)))),"Fix")))</f>
        <v>0</v>
      </c>
      <c r="K507" s="4">
        <f>IF(OR(INDEX($P$2:$P$1001,MATCH(ROWS($O$2:O507),$O$2:$O$1001,0),1)&gt;=100000,INDEX($V$1005:$AE$1005,1,MATCH(COLUMNS($V$1006:AE1006),$V$1006:$AE$1006,0))&gt;=100000), " ",IF(INDEX($V$2:$AE$1001,MATCH(ROWS($O$2:O507),$O$2:$O$1001,0),MATCH(COLUMNS($V$1006:AE1006),$V$1006:$AE$1006,0)), HYPERLINK("#",""), HYPERLINK(CONCATENATE("#Metadata!", ADDRESS(INDEX($Q$2:$Q$1001,MATCH(ROWS($O$2:O507),$O$2:$O$1001,0),0), INDEX($V$1004:$AE$1004,1,MATCH(COLUMNS($V$1006:AE1006),$V$1006:$AE$1006,0)))),"Fix")))</f>
        <v>0</v>
      </c>
      <c r="O507">
        <v>0</v>
      </c>
      <c r="P507">
        <v>0</v>
      </c>
      <c r="Q507">
        <v>0</v>
      </c>
      <c r="R507">
        <f>IF(S507,TRUE,AND(V507:AE507))</f>
        <v>0</v>
      </c>
      <c r="S507">
        <f>COUNTBLANK(Metadata!B507:K507)=COLUMNS(Metadata!B507:K507)</f>
        <v>0</v>
      </c>
      <c r="T507">
        <v>0</v>
      </c>
      <c r="V507">
        <f>AND(IF(Metadata!B507="",FALSE,TRUE),COUNTIF(Metadata!B:B, Metadata!B507) = 1,NOT(ISERROR(SUMPRODUCT(SEARCH(MID(Metadata!B507,ROW(INDIRECT("1:"&amp;LEN(Metadata!B507))), 1),"0123456789abcdefghijklmnopqrstuvwxyzABCDEFGHIJKLMNOPQRSTUVWXYZ.")))))</f>
        <v>0</v>
      </c>
      <c r="W507">
        <f>AND(IF(Metadata!C507="",FALSE,TRUE),exact(Metadata!C507,"urban biome"))</f>
        <v>0</v>
      </c>
      <c r="X507">
        <f>AND(IF(Metadata!D507="",FALSE,TRUE),exact(Metadata!D507,"animal-associated habitat"))</f>
        <v>0</v>
      </c>
      <c r="Y507">
        <f>OR(AND(IF(Metadata!E507="",FALSE,TRUE),OR(exact(Metadata!E507,"not applicable"),exact(Metadata!E507,"missing: not collected"),exact(Metadata!E507,"missing: not provided"),exact(Metadata!E507,"missing: restricted access"))),AND(IF(Metadata!E507="",FALSE,ISNUMBER(VALUE(Metadata!E507))),Metadata!E507&gt;0))</f>
        <v>0</v>
      </c>
      <c r="Z507">
        <f>AND(IF(Metadata!F507="",FALSE,TRUE),exact(Metadata!F507,"weeks"))</f>
        <v>0</v>
      </c>
      <c r="AA507">
        <f>AND(IF(Metadata!G507="",FALSE,TRUE),exact(Metadata!G507,"mouse"))</f>
        <v>0</v>
      </c>
      <c r="AB507">
        <f>AND(IF(Metadata!H507="",FALSE,TRUE),exact(Metadata!H507,"Mus musculus"))</f>
        <v>0</v>
      </c>
      <c r="AC507">
        <f>AND(IF(Metadata!I507="",FALSE,TRUE),exact(Metadata!I507,"10090"))</f>
        <v>0</v>
      </c>
      <c r="AD507">
        <f>OR(AND(IF(Metadata!J507="",FALSE,TRUE),OR(exact(Metadata!J507,"not applicable"),exact(Metadata!J507,"missing: not collected"),exact(Metadata!J507,"missing: not provided"),exact(Metadata!J507,"missing: restricted access"))),AND(IF(Metadata!J507="",FALSE,ISNUMBER(VALUE(Metadata!J507))),Metadata!J507&gt;0))</f>
        <v>0</v>
      </c>
      <c r="AE507">
        <f>AND(IF(Metadata!K507="",FALSE,TRUE),exact(Metadata!K507,"g"))</f>
        <v>0</v>
      </c>
    </row>
    <row r="508" spans="1:31">
      <c r="A508" s="5">
        <f>IF(B508=" "," ",HYPERLINK(CONCATENATE("#metadata!",ADDRESS(INDEX($Q$2:$Q$1001,MATCH(ROWS($O$2:O508),$O$2:$O$1001,0),0),1)),INDEX($T$2:$T$1001,MATCH(ROWS($O$2:O508),$O$2:$O$1001,0),0)))</f>
        <v>0</v>
      </c>
      <c r="B508" s="4">
        <f>IF(OR(INDEX($P$2:$P$1001,MATCH(ROWS($O$2:O508),$O$2:$O$1001,0),1)&gt;=100000,INDEX($V$1005:$AE$1005,1,MATCH(COLUMNS($V$1006:V1006),$V$1006:$AE$1006,0))&gt;=100000), " ",IF(INDEX($V$2:$AE$1001,MATCH(ROWS($O$2:O508),$O$2:$O$1001,0),MATCH(COLUMNS($V$1006:V1006),$V$1006:$AE$1006,0)), HYPERLINK("#",""), HYPERLINK(CONCATENATE("#Metadata!", ADDRESS(INDEX($Q$2:$Q$1001,MATCH(ROWS($O$2:O508),$O$2:$O$1001,0),0), INDEX($V$1004:$AE$1004,1,MATCH(COLUMNS($V$1006:V1006),$V$1006:$AE$1006,0)))),"Fix")))</f>
        <v>0</v>
      </c>
      <c r="C508" s="4">
        <f>IF(OR(INDEX($P$2:$P$1001,MATCH(ROWS($O$2:O508),$O$2:$O$1001,0),1)&gt;=100000,INDEX($V$1005:$AE$1005,1,MATCH(COLUMNS($V$1006:W1006),$V$1006:$AE$1006,0))&gt;=100000), " ",IF(INDEX($V$2:$AE$1001,MATCH(ROWS($O$2:O508),$O$2:$O$1001,0),MATCH(COLUMNS($V$1006:W1006),$V$1006:$AE$1006,0)), HYPERLINK("#",""), HYPERLINK(CONCATENATE("#Metadata!", ADDRESS(INDEX($Q$2:$Q$1001,MATCH(ROWS($O$2:O508),$O$2:$O$1001,0),0), INDEX($V$1004:$AE$1004,1,MATCH(COLUMNS($V$1006:W1006),$V$1006:$AE$1006,0)))),"Fix")))</f>
        <v>0</v>
      </c>
      <c r="D508" s="4">
        <f>IF(OR(INDEX($P$2:$P$1001,MATCH(ROWS($O$2:O508),$O$2:$O$1001,0),1)&gt;=100000,INDEX($V$1005:$AE$1005,1,MATCH(COLUMNS($V$1006:X1006),$V$1006:$AE$1006,0))&gt;=100000), " ",IF(INDEX($V$2:$AE$1001,MATCH(ROWS($O$2:O508),$O$2:$O$1001,0),MATCH(COLUMNS($V$1006:X1006),$V$1006:$AE$1006,0)), HYPERLINK("#",""), HYPERLINK(CONCATENATE("#Metadata!", ADDRESS(INDEX($Q$2:$Q$1001,MATCH(ROWS($O$2:O508),$O$2:$O$1001,0),0), INDEX($V$1004:$AE$1004,1,MATCH(COLUMNS($V$1006:X1006),$V$1006:$AE$1006,0)))),"Fix")))</f>
        <v>0</v>
      </c>
      <c r="E508" s="4">
        <f>IF(OR(INDEX($P$2:$P$1001,MATCH(ROWS($O$2:O508),$O$2:$O$1001,0),1)&gt;=100000,INDEX($V$1005:$AE$1005,1,MATCH(COLUMNS($V$1006:Y1006),$V$1006:$AE$1006,0))&gt;=100000), " ",IF(INDEX($V$2:$AE$1001,MATCH(ROWS($O$2:O508),$O$2:$O$1001,0),MATCH(COLUMNS($V$1006:Y1006),$V$1006:$AE$1006,0)), HYPERLINK("#",""), HYPERLINK(CONCATENATE("#Metadata!", ADDRESS(INDEX($Q$2:$Q$1001,MATCH(ROWS($O$2:O508),$O$2:$O$1001,0),0), INDEX($V$1004:$AE$1004,1,MATCH(COLUMNS($V$1006:Y1006),$V$1006:$AE$1006,0)))),"Fix")))</f>
        <v>0</v>
      </c>
      <c r="F508" s="4">
        <f>IF(OR(INDEX($P$2:$P$1001,MATCH(ROWS($O$2:O508),$O$2:$O$1001,0),1)&gt;=100000,INDEX($V$1005:$AE$1005,1,MATCH(COLUMNS($V$1006:Z1006),$V$1006:$AE$1006,0))&gt;=100000), " ",IF(INDEX($V$2:$AE$1001,MATCH(ROWS($O$2:O508),$O$2:$O$1001,0),MATCH(COLUMNS($V$1006:Z1006),$V$1006:$AE$1006,0)), HYPERLINK("#",""), HYPERLINK(CONCATENATE("#Metadata!", ADDRESS(INDEX($Q$2:$Q$1001,MATCH(ROWS($O$2:O508),$O$2:$O$1001,0),0), INDEX($V$1004:$AE$1004,1,MATCH(COLUMNS($V$1006:Z1006),$V$1006:$AE$1006,0)))),"Fix")))</f>
        <v>0</v>
      </c>
      <c r="G508" s="4">
        <f>IF(OR(INDEX($P$2:$P$1001,MATCH(ROWS($O$2:O508),$O$2:$O$1001,0),1)&gt;=100000,INDEX($V$1005:$AE$1005,1,MATCH(COLUMNS($V$1006:AA1006),$V$1006:$AE$1006,0))&gt;=100000), " ",IF(INDEX($V$2:$AE$1001,MATCH(ROWS($O$2:O508),$O$2:$O$1001,0),MATCH(COLUMNS($V$1006:AA1006),$V$1006:$AE$1006,0)), HYPERLINK("#",""), HYPERLINK(CONCATENATE("#Metadata!", ADDRESS(INDEX($Q$2:$Q$1001,MATCH(ROWS($O$2:O508),$O$2:$O$1001,0),0), INDEX($V$1004:$AE$1004,1,MATCH(COLUMNS($V$1006:AA1006),$V$1006:$AE$1006,0)))),"Fix")))</f>
        <v>0</v>
      </c>
      <c r="H508" s="4">
        <f>IF(OR(INDEX($P$2:$P$1001,MATCH(ROWS($O$2:O508),$O$2:$O$1001,0),1)&gt;=100000,INDEX($V$1005:$AE$1005,1,MATCH(COLUMNS($V$1006:AB1006),$V$1006:$AE$1006,0))&gt;=100000), " ",IF(INDEX($V$2:$AE$1001,MATCH(ROWS($O$2:O508),$O$2:$O$1001,0),MATCH(COLUMNS($V$1006:AB1006),$V$1006:$AE$1006,0)), HYPERLINK("#",""), HYPERLINK(CONCATENATE("#Metadata!", ADDRESS(INDEX($Q$2:$Q$1001,MATCH(ROWS($O$2:O508),$O$2:$O$1001,0),0), INDEX($V$1004:$AE$1004,1,MATCH(COLUMNS($V$1006:AB1006),$V$1006:$AE$1006,0)))),"Fix")))</f>
        <v>0</v>
      </c>
      <c r="I508" s="4">
        <f>IF(OR(INDEX($P$2:$P$1001,MATCH(ROWS($O$2:O508),$O$2:$O$1001,0),1)&gt;=100000,INDEX($V$1005:$AE$1005,1,MATCH(COLUMNS($V$1006:AC1006),$V$1006:$AE$1006,0))&gt;=100000), " ",IF(INDEX($V$2:$AE$1001,MATCH(ROWS($O$2:O508),$O$2:$O$1001,0),MATCH(COLUMNS($V$1006:AC1006),$V$1006:$AE$1006,0)), HYPERLINK("#",""), HYPERLINK(CONCATENATE("#Metadata!", ADDRESS(INDEX($Q$2:$Q$1001,MATCH(ROWS($O$2:O508),$O$2:$O$1001,0),0), INDEX($V$1004:$AE$1004,1,MATCH(COLUMNS($V$1006:AC1006),$V$1006:$AE$1006,0)))),"Fix")))</f>
        <v>0</v>
      </c>
      <c r="J508" s="4">
        <f>IF(OR(INDEX($P$2:$P$1001,MATCH(ROWS($O$2:O508),$O$2:$O$1001,0),1)&gt;=100000,INDEX($V$1005:$AE$1005,1,MATCH(COLUMNS($V$1006:AD1006),$V$1006:$AE$1006,0))&gt;=100000), " ",IF(INDEX($V$2:$AE$1001,MATCH(ROWS($O$2:O508),$O$2:$O$1001,0),MATCH(COLUMNS($V$1006:AD1006),$V$1006:$AE$1006,0)), HYPERLINK("#",""), HYPERLINK(CONCATENATE("#Metadata!", ADDRESS(INDEX($Q$2:$Q$1001,MATCH(ROWS($O$2:O508),$O$2:$O$1001,0),0), INDEX($V$1004:$AE$1004,1,MATCH(COLUMNS($V$1006:AD1006),$V$1006:$AE$1006,0)))),"Fix")))</f>
        <v>0</v>
      </c>
      <c r="K508" s="4">
        <f>IF(OR(INDEX($P$2:$P$1001,MATCH(ROWS($O$2:O508),$O$2:$O$1001,0),1)&gt;=100000,INDEX($V$1005:$AE$1005,1,MATCH(COLUMNS($V$1006:AE1006),$V$1006:$AE$1006,0))&gt;=100000), " ",IF(INDEX($V$2:$AE$1001,MATCH(ROWS($O$2:O508),$O$2:$O$1001,0),MATCH(COLUMNS($V$1006:AE1006),$V$1006:$AE$1006,0)), HYPERLINK("#",""), HYPERLINK(CONCATENATE("#Metadata!", ADDRESS(INDEX($Q$2:$Q$1001,MATCH(ROWS($O$2:O508),$O$2:$O$1001,0),0), INDEX($V$1004:$AE$1004,1,MATCH(COLUMNS($V$1006:AE1006),$V$1006:$AE$1006,0)))),"Fix")))</f>
        <v>0</v>
      </c>
      <c r="O508">
        <v>0</v>
      </c>
      <c r="P508">
        <v>0</v>
      </c>
      <c r="Q508">
        <v>0</v>
      </c>
      <c r="R508">
        <f>IF(S508,TRUE,AND(V508:AE508))</f>
        <v>0</v>
      </c>
      <c r="S508">
        <f>COUNTBLANK(Metadata!B508:K508)=COLUMNS(Metadata!B508:K508)</f>
        <v>0</v>
      </c>
      <c r="T508">
        <v>0</v>
      </c>
      <c r="V508">
        <f>AND(IF(Metadata!B508="",FALSE,TRUE),COUNTIF(Metadata!B:B, Metadata!B508) = 1,NOT(ISERROR(SUMPRODUCT(SEARCH(MID(Metadata!B508,ROW(INDIRECT("1:"&amp;LEN(Metadata!B508))), 1),"0123456789abcdefghijklmnopqrstuvwxyzABCDEFGHIJKLMNOPQRSTUVWXYZ.")))))</f>
        <v>0</v>
      </c>
      <c r="W508">
        <f>AND(IF(Metadata!C508="",FALSE,TRUE),exact(Metadata!C508,"urban biome"))</f>
        <v>0</v>
      </c>
      <c r="X508">
        <f>AND(IF(Metadata!D508="",FALSE,TRUE),exact(Metadata!D508,"animal-associated habitat"))</f>
        <v>0</v>
      </c>
      <c r="Y508">
        <f>OR(AND(IF(Metadata!E508="",FALSE,TRUE),OR(exact(Metadata!E508,"not applicable"),exact(Metadata!E508,"missing: not collected"),exact(Metadata!E508,"missing: not provided"),exact(Metadata!E508,"missing: restricted access"))),AND(IF(Metadata!E508="",FALSE,ISNUMBER(VALUE(Metadata!E508))),Metadata!E508&gt;0))</f>
        <v>0</v>
      </c>
      <c r="Z508">
        <f>AND(IF(Metadata!F508="",FALSE,TRUE),exact(Metadata!F508,"weeks"))</f>
        <v>0</v>
      </c>
      <c r="AA508">
        <f>AND(IF(Metadata!G508="",FALSE,TRUE),exact(Metadata!G508,"mouse"))</f>
        <v>0</v>
      </c>
      <c r="AB508">
        <f>AND(IF(Metadata!H508="",FALSE,TRUE),exact(Metadata!H508,"Mus musculus"))</f>
        <v>0</v>
      </c>
      <c r="AC508">
        <f>AND(IF(Metadata!I508="",FALSE,TRUE),exact(Metadata!I508,"10090"))</f>
        <v>0</v>
      </c>
      <c r="AD508">
        <f>OR(AND(IF(Metadata!J508="",FALSE,TRUE),OR(exact(Metadata!J508,"not applicable"),exact(Metadata!J508,"missing: not collected"),exact(Metadata!J508,"missing: not provided"),exact(Metadata!J508,"missing: restricted access"))),AND(IF(Metadata!J508="",FALSE,ISNUMBER(VALUE(Metadata!J508))),Metadata!J508&gt;0))</f>
        <v>0</v>
      </c>
      <c r="AE508">
        <f>AND(IF(Metadata!K508="",FALSE,TRUE),exact(Metadata!K508,"g"))</f>
        <v>0</v>
      </c>
    </row>
    <row r="509" spans="1:31">
      <c r="A509" s="5">
        <f>IF(B509=" "," ",HYPERLINK(CONCATENATE("#metadata!",ADDRESS(INDEX($Q$2:$Q$1001,MATCH(ROWS($O$2:O509),$O$2:$O$1001,0),0),1)),INDEX($T$2:$T$1001,MATCH(ROWS($O$2:O509),$O$2:$O$1001,0),0)))</f>
        <v>0</v>
      </c>
      <c r="B509" s="4">
        <f>IF(OR(INDEX($P$2:$P$1001,MATCH(ROWS($O$2:O509),$O$2:$O$1001,0),1)&gt;=100000,INDEX($V$1005:$AE$1005,1,MATCH(COLUMNS($V$1006:V1006),$V$1006:$AE$1006,0))&gt;=100000), " ",IF(INDEX($V$2:$AE$1001,MATCH(ROWS($O$2:O509),$O$2:$O$1001,0),MATCH(COLUMNS($V$1006:V1006),$V$1006:$AE$1006,0)), HYPERLINK("#",""), HYPERLINK(CONCATENATE("#Metadata!", ADDRESS(INDEX($Q$2:$Q$1001,MATCH(ROWS($O$2:O509),$O$2:$O$1001,0),0), INDEX($V$1004:$AE$1004,1,MATCH(COLUMNS($V$1006:V1006),$V$1006:$AE$1006,0)))),"Fix")))</f>
        <v>0</v>
      </c>
      <c r="C509" s="4">
        <f>IF(OR(INDEX($P$2:$P$1001,MATCH(ROWS($O$2:O509),$O$2:$O$1001,0),1)&gt;=100000,INDEX($V$1005:$AE$1005,1,MATCH(COLUMNS($V$1006:W1006),$V$1006:$AE$1006,0))&gt;=100000), " ",IF(INDEX($V$2:$AE$1001,MATCH(ROWS($O$2:O509),$O$2:$O$1001,0),MATCH(COLUMNS($V$1006:W1006),$V$1006:$AE$1006,0)), HYPERLINK("#",""), HYPERLINK(CONCATENATE("#Metadata!", ADDRESS(INDEX($Q$2:$Q$1001,MATCH(ROWS($O$2:O509),$O$2:$O$1001,0),0), INDEX($V$1004:$AE$1004,1,MATCH(COLUMNS($V$1006:W1006),$V$1006:$AE$1006,0)))),"Fix")))</f>
        <v>0</v>
      </c>
      <c r="D509" s="4">
        <f>IF(OR(INDEX($P$2:$P$1001,MATCH(ROWS($O$2:O509),$O$2:$O$1001,0),1)&gt;=100000,INDEX($V$1005:$AE$1005,1,MATCH(COLUMNS($V$1006:X1006),$V$1006:$AE$1006,0))&gt;=100000), " ",IF(INDEX($V$2:$AE$1001,MATCH(ROWS($O$2:O509),$O$2:$O$1001,0),MATCH(COLUMNS($V$1006:X1006),$V$1006:$AE$1006,0)), HYPERLINK("#",""), HYPERLINK(CONCATENATE("#Metadata!", ADDRESS(INDEX($Q$2:$Q$1001,MATCH(ROWS($O$2:O509),$O$2:$O$1001,0),0), INDEX($V$1004:$AE$1004,1,MATCH(COLUMNS($V$1006:X1006),$V$1006:$AE$1006,0)))),"Fix")))</f>
        <v>0</v>
      </c>
      <c r="E509" s="4">
        <f>IF(OR(INDEX($P$2:$P$1001,MATCH(ROWS($O$2:O509),$O$2:$O$1001,0),1)&gt;=100000,INDEX($V$1005:$AE$1005,1,MATCH(COLUMNS($V$1006:Y1006),$V$1006:$AE$1006,0))&gt;=100000), " ",IF(INDEX($V$2:$AE$1001,MATCH(ROWS($O$2:O509),$O$2:$O$1001,0),MATCH(COLUMNS($V$1006:Y1006),$V$1006:$AE$1006,0)), HYPERLINK("#",""), HYPERLINK(CONCATENATE("#Metadata!", ADDRESS(INDEX($Q$2:$Q$1001,MATCH(ROWS($O$2:O509),$O$2:$O$1001,0),0), INDEX($V$1004:$AE$1004,1,MATCH(COLUMNS($V$1006:Y1006),$V$1006:$AE$1006,0)))),"Fix")))</f>
        <v>0</v>
      </c>
      <c r="F509" s="4">
        <f>IF(OR(INDEX($P$2:$P$1001,MATCH(ROWS($O$2:O509),$O$2:$O$1001,0),1)&gt;=100000,INDEX($V$1005:$AE$1005,1,MATCH(COLUMNS($V$1006:Z1006),$V$1006:$AE$1006,0))&gt;=100000), " ",IF(INDEX($V$2:$AE$1001,MATCH(ROWS($O$2:O509),$O$2:$O$1001,0),MATCH(COLUMNS($V$1006:Z1006),$V$1006:$AE$1006,0)), HYPERLINK("#",""), HYPERLINK(CONCATENATE("#Metadata!", ADDRESS(INDEX($Q$2:$Q$1001,MATCH(ROWS($O$2:O509),$O$2:$O$1001,0),0), INDEX($V$1004:$AE$1004,1,MATCH(COLUMNS($V$1006:Z1006),$V$1006:$AE$1006,0)))),"Fix")))</f>
        <v>0</v>
      </c>
      <c r="G509" s="4">
        <f>IF(OR(INDEX($P$2:$P$1001,MATCH(ROWS($O$2:O509),$O$2:$O$1001,0),1)&gt;=100000,INDEX($V$1005:$AE$1005,1,MATCH(COLUMNS($V$1006:AA1006),$V$1006:$AE$1006,0))&gt;=100000), " ",IF(INDEX($V$2:$AE$1001,MATCH(ROWS($O$2:O509),$O$2:$O$1001,0),MATCH(COLUMNS($V$1006:AA1006),$V$1006:$AE$1006,0)), HYPERLINK("#",""), HYPERLINK(CONCATENATE("#Metadata!", ADDRESS(INDEX($Q$2:$Q$1001,MATCH(ROWS($O$2:O509),$O$2:$O$1001,0),0), INDEX($V$1004:$AE$1004,1,MATCH(COLUMNS($V$1006:AA1006),$V$1006:$AE$1006,0)))),"Fix")))</f>
        <v>0</v>
      </c>
      <c r="H509" s="4">
        <f>IF(OR(INDEX($P$2:$P$1001,MATCH(ROWS($O$2:O509),$O$2:$O$1001,0),1)&gt;=100000,INDEX($V$1005:$AE$1005,1,MATCH(COLUMNS($V$1006:AB1006),$V$1006:$AE$1006,0))&gt;=100000), " ",IF(INDEX($V$2:$AE$1001,MATCH(ROWS($O$2:O509),$O$2:$O$1001,0),MATCH(COLUMNS($V$1006:AB1006),$V$1006:$AE$1006,0)), HYPERLINK("#",""), HYPERLINK(CONCATENATE("#Metadata!", ADDRESS(INDEX($Q$2:$Q$1001,MATCH(ROWS($O$2:O509),$O$2:$O$1001,0),0), INDEX($V$1004:$AE$1004,1,MATCH(COLUMNS($V$1006:AB1006),$V$1006:$AE$1006,0)))),"Fix")))</f>
        <v>0</v>
      </c>
      <c r="I509" s="4">
        <f>IF(OR(INDEX($P$2:$P$1001,MATCH(ROWS($O$2:O509),$O$2:$O$1001,0),1)&gt;=100000,INDEX($V$1005:$AE$1005,1,MATCH(COLUMNS($V$1006:AC1006),$V$1006:$AE$1006,0))&gt;=100000), " ",IF(INDEX($V$2:$AE$1001,MATCH(ROWS($O$2:O509),$O$2:$O$1001,0),MATCH(COLUMNS($V$1006:AC1006),$V$1006:$AE$1006,0)), HYPERLINK("#",""), HYPERLINK(CONCATENATE("#Metadata!", ADDRESS(INDEX($Q$2:$Q$1001,MATCH(ROWS($O$2:O509),$O$2:$O$1001,0),0), INDEX($V$1004:$AE$1004,1,MATCH(COLUMNS($V$1006:AC1006),$V$1006:$AE$1006,0)))),"Fix")))</f>
        <v>0</v>
      </c>
      <c r="J509" s="4">
        <f>IF(OR(INDEX($P$2:$P$1001,MATCH(ROWS($O$2:O509),$O$2:$O$1001,0),1)&gt;=100000,INDEX($V$1005:$AE$1005,1,MATCH(COLUMNS($V$1006:AD1006),$V$1006:$AE$1006,0))&gt;=100000), " ",IF(INDEX($V$2:$AE$1001,MATCH(ROWS($O$2:O509),$O$2:$O$1001,0),MATCH(COLUMNS($V$1006:AD1006),$V$1006:$AE$1006,0)), HYPERLINK("#",""), HYPERLINK(CONCATENATE("#Metadata!", ADDRESS(INDEX($Q$2:$Q$1001,MATCH(ROWS($O$2:O509),$O$2:$O$1001,0),0), INDEX($V$1004:$AE$1004,1,MATCH(COLUMNS($V$1006:AD1006),$V$1006:$AE$1006,0)))),"Fix")))</f>
        <v>0</v>
      </c>
      <c r="K509" s="4">
        <f>IF(OR(INDEX($P$2:$P$1001,MATCH(ROWS($O$2:O509),$O$2:$O$1001,0),1)&gt;=100000,INDEX($V$1005:$AE$1005,1,MATCH(COLUMNS($V$1006:AE1006),$V$1006:$AE$1006,0))&gt;=100000), " ",IF(INDEX($V$2:$AE$1001,MATCH(ROWS($O$2:O509),$O$2:$O$1001,0),MATCH(COLUMNS($V$1006:AE1006),$V$1006:$AE$1006,0)), HYPERLINK("#",""), HYPERLINK(CONCATENATE("#Metadata!", ADDRESS(INDEX($Q$2:$Q$1001,MATCH(ROWS($O$2:O509),$O$2:$O$1001,0),0), INDEX($V$1004:$AE$1004,1,MATCH(COLUMNS($V$1006:AE1006),$V$1006:$AE$1006,0)))),"Fix")))</f>
        <v>0</v>
      </c>
      <c r="O509">
        <v>0</v>
      </c>
      <c r="P509">
        <v>0</v>
      </c>
      <c r="Q509">
        <v>0</v>
      </c>
      <c r="R509">
        <f>IF(S509,TRUE,AND(V509:AE509))</f>
        <v>0</v>
      </c>
      <c r="S509">
        <f>COUNTBLANK(Metadata!B509:K509)=COLUMNS(Metadata!B509:K509)</f>
        <v>0</v>
      </c>
      <c r="T509">
        <v>0</v>
      </c>
      <c r="V509">
        <f>AND(IF(Metadata!B509="",FALSE,TRUE),COUNTIF(Metadata!B:B, Metadata!B509) = 1,NOT(ISERROR(SUMPRODUCT(SEARCH(MID(Metadata!B509,ROW(INDIRECT("1:"&amp;LEN(Metadata!B509))), 1),"0123456789abcdefghijklmnopqrstuvwxyzABCDEFGHIJKLMNOPQRSTUVWXYZ.")))))</f>
        <v>0</v>
      </c>
      <c r="W509">
        <f>AND(IF(Metadata!C509="",FALSE,TRUE),exact(Metadata!C509,"urban biome"))</f>
        <v>0</v>
      </c>
      <c r="X509">
        <f>AND(IF(Metadata!D509="",FALSE,TRUE),exact(Metadata!D509,"animal-associated habitat"))</f>
        <v>0</v>
      </c>
      <c r="Y509">
        <f>OR(AND(IF(Metadata!E509="",FALSE,TRUE),OR(exact(Metadata!E509,"not applicable"),exact(Metadata!E509,"missing: not collected"),exact(Metadata!E509,"missing: not provided"),exact(Metadata!E509,"missing: restricted access"))),AND(IF(Metadata!E509="",FALSE,ISNUMBER(VALUE(Metadata!E509))),Metadata!E509&gt;0))</f>
        <v>0</v>
      </c>
      <c r="Z509">
        <f>AND(IF(Metadata!F509="",FALSE,TRUE),exact(Metadata!F509,"weeks"))</f>
        <v>0</v>
      </c>
      <c r="AA509">
        <f>AND(IF(Metadata!G509="",FALSE,TRUE),exact(Metadata!G509,"mouse"))</f>
        <v>0</v>
      </c>
      <c r="AB509">
        <f>AND(IF(Metadata!H509="",FALSE,TRUE),exact(Metadata!H509,"Mus musculus"))</f>
        <v>0</v>
      </c>
      <c r="AC509">
        <f>AND(IF(Metadata!I509="",FALSE,TRUE),exact(Metadata!I509,"10090"))</f>
        <v>0</v>
      </c>
      <c r="AD509">
        <f>OR(AND(IF(Metadata!J509="",FALSE,TRUE),OR(exact(Metadata!J509,"not applicable"),exact(Metadata!J509,"missing: not collected"),exact(Metadata!J509,"missing: not provided"),exact(Metadata!J509,"missing: restricted access"))),AND(IF(Metadata!J509="",FALSE,ISNUMBER(VALUE(Metadata!J509))),Metadata!J509&gt;0))</f>
        <v>0</v>
      </c>
      <c r="AE509">
        <f>AND(IF(Metadata!K509="",FALSE,TRUE),exact(Metadata!K509,"g"))</f>
        <v>0</v>
      </c>
    </row>
    <row r="510" spans="1:31">
      <c r="A510" s="5">
        <f>IF(B510=" "," ",HYPERLINK(CONCATENATE("#metadata!",ADDRESS(INDEX($Q$2:$Q$1001,MATCH(ROWS($O$2:O510),$O$2:$O$1001,0),0),1)),INDEX($T$2:$T$1001,MATCH(ROWS($O$2:O510),$O$2:$O$1001,0),0)))</f>
        <v>0</v>
      </c>
      <c r="B510" s="4">
        <f>IF(OR(INDEX($P$2:$P$1001,MATCH(ROWS($O$2:O510),$O$2:$O$1001,0),1)&gt;=100000,INDEX($V$1005:$AE$1005,1,MATCH(COLUMNS($V$1006:V1006),$V$1006:$AE$1006,0))&gt;=100000), " ",IF(INDEX($V$2:$AE$1001,MATCH(ROWS($O$2:O510),$O$2:$O$1001,0),MATCH(COLUMNS($V$1006:V1006),$V$1006:$AE$1006,0)), HYPERLINK("#",""), HYPERLINK(CONCATENATE("#Metadata!", ADDRESS(INDEX($Q$2:$Q$1001,MATCH(ROWS($O$2:O510),$O$2:$O$1001,0),0), INDEX($V$1004:$AE$1004,1,MATCH(COLUMNS($V$1006:V1006),$V$1006:$AE$1006,0)))),"Fix")))</f>
        <v>0</v>
      </c>
      <c r="C510" s="4">
        <f>IF(OR(INDEX($P$2:$P$1001,MATCH(ROWS($O$2:O510),$O$2:$O$1001,0),1)&gt;=100000,INDEX($V$1005:$AE$1005,1,MATCH(COLUMNS($V$1006:W1006),$V$1006:$AE$1006,0))&gt;=100000), " ",IF(INDEX($V$2:$AE$1001,MATCH(ROWS($O$2:O510),$O$2:$O$1001,0),MATCH(COLUMNS($V$1006:W1006),$V$1006:$AE$1006,0)), HYPERLINK("#",""), HYPERLINK(CONCATENATE("#Metadata!", ADDRESS(INDEX($Q$2:$Q$1001,MATCH(ROWS($O$2:O510),$O$2:$O$1001,0),0), INDEX($V$1004:$AE$1004,1,MATCH(COLUMNS($V$1006:W1006),$V$1006:$AE$1006,0)))),"Fix")))</f>
        <v>0</v>
      </c>
      <c r="D510" s="4">
        <f>IF(OR(INDEX($P$2:$P$1001,MATCH(ROWS($O$2:O510),$O$2:$O$1001,0),1)&gt;=100000,INDEX($V$1005:$AE$1005,1,MATCH(COLUMNS($V$1006:X1006),$V$1006:$AE$1006,0))&gt;=100000), " ",IF(INDEX($V$2:$AE$1001,MATCH(ROWS($O$2:O510),$O$2:$O$1001,0),MATCH(COLUMNS($V$1006:X1006),$V$1006:$AE$1006,0)), HYPERLINK("#",""), HYPERLINK(CONCATENATE("#Metadata!", ADDRESS(INDEX($Q$2:$Q$1001,MATCH(ROWS($O$2:O510),$O$2:$O$1001,0),0), INDEX($V$1004:$AE$1004,1,MATCH(COLUMNS($V$1006:X1006),$V$1006:$AE$1006,0)))),"Fix")))</f>
        <v>0</v>
      </c>
      <c r="E510" s="4">
        <f>IF(OR(INDEX($P$2:$P$1001,MATCH(ROWS($O$2:O510),$O$2:$O$1001,0),1)&gt;=100000,INDEX($V$1005:$AE$1005,1,MATCH(COLUMNS($V$1006:Y1006),$V$1006:$AE$1006,0))&gt;=100000), " ",IF(INDEX($V$2:$AE$1001,MATCH(ROWS($O$2:O510),$O$2:$O$1001,0),MATCH(COLUMNS($V$1006:Y1006),$V$1006:$AE$1006,0)), HYPERLINK("#",""), HYPERLINK(CONCATENATE("#Metadata!", ADDRESS(INDEX($Q$2:$Q$1001,MATCH(ROWS($O$2:O510),$O$2:$O$1001,0),0), INDEX($V$1004:$AE$1004,1,MATCH(COLUMNS($V$1006:Y1006),$V$1006:$AE$1006,0)))),"Fix")))</f>
        <v>0</v>
      </c>
      <c r="F510" s="4">
        <f>IF(OR(INDEX($P$2:$P$1001,MATCH(ROWS($O$2:O510),$O$2:$O$1001,0),1)&gt;=100000,INDEX($V$1005:$AE$1005,1,MATCH(COLUMNS($V$1006:Z1006),$V$1006:$AE$1006,0))&gt;=100000), " ",IF(INDEX($V$2:$AE$1001,MATCH(ROWS($O$2:O510),$O$2:$O$1001,0),MATCH(COLUMNS($V$1006:Z1006),$V$1006:$AE$1006,0)), HYPERLINK("#",""), HYPERLINK(CONCATENATE("#Metadata!", ADDRESS(INDEX($Q$2:$Q$1001,MATCH(ROWS($O$2:O510),$O$2:$O$1001,0),0), INDEX($V$1004:$AE$1004,1,MATCH(COLUMNS($V$1006:Z1006),$V$1006:$AE$1006,0)))),"Fix")))</f>
        <v>0</v>
      </c>
      <c r="G510" s="4">
        <f>IF(OR(INDEX($P$2:$P$1001,MATCH(ROWS($O$2:O510),$O$2:$O$1001,0),1)&gt;=100000,INDEX($V$1005:$AE$1005,1,MATCH(COLUMNS($V$1006:AA1006),$V$1006:$AE$1006,0))&gt;=100000), " ",IF(INDEX($V$2:$AE$1001,MATCH(ROWS($O$2:O510),$O$2:$O$1001,0),MATCH(COLUMNS($V$1006:AA1006),$V$1006:$AE$1006,0)), HYPERLINK("#",""), HYPERLINK(CONCATENATE("#Metadata!", ADDRESS(INDEX($Q$2:$Q$1001,MATCH(ROWS($O$2:O510),$O$2:$O$1001,0),0), INDEX($V$1004:$AE$1004,1,MATCH(COLUMNS($V$1006:AA1006),$V$1006:$AE$1006,0)))),"Fix")))</f>
        <v>0</v>
      </c>
      <c r="H510" s="4">
        <f>IF(OR(INDEX($P$2:$P$1001,MATCH(ROWS($O$2:O510),$O$2:$O$1001,0),1)&gt;=100000,INDEX($V$1005:$AE$1005,1,MATCH(COLUMNS($V$1006:AB1006),$V$1006:$AE$1006,0))&gt;=100000), " ",IF(INDEX($V$2:$AE$1001,MATCH(ROWS($O$2:O510),$O$2:$O$1001,0),MATCH(COLUMNS($V$1006:AB1006),$V$1006:$AE$1006,0)), HYPERLINK("#",""), HYPERLINK(CONCATENATE("#Metadata!", ADDRESS(INDEX($Q$2:$Q$1001,MATCH(ROWS($O$2:O510),$O$2:$O$1001,0),0), INDEX($V$1004:$AE$1004,1,MATCH(COLUMNS($V$1006:AB1006),$V$1006:$AE$1006,0)))),"Fix")))</f>
        <v>0</v>
      </c>
      <c r="I510" s="4">
        <f>IF(OR(INDEX($P$2:$P$1001,MATCH(ROWS($O$2:O510),$O$2:$O$1001,0),1)&gt;=100000,INDEX($V$1005:$AE$1005,1,MATCH(COLUMNS($V$1006:AC1006),$V$1006:$AE$1006,0))&gt;=100000), " ",IF(INDEX($V$2:$AE$1001,MATCH(ROWS($O$2:O510),$O$2:$O$1001,0),MATCH(COLUMNS($V$1006:AC1006),$V$1006:$AE$1006,0)), HYPERLINK("#",""), HYPERLINK(CONCATENATE("#Metadata!", ADDRESS(INDEX($Q$2:$Q$1001,MATCH(ROWS($O$2:O510),$O$2:$O$1001,0),0), INDEX($V$1004:$AE$1004,1,MATCH(COLUMNS($V$1006:AC1006),$V$1006:$AE$1006,0)))),"Fix")))</f>
        <v>0</v>
      </c>
      <c r="J510" s="4">
        <f>IF(OR(INDEX($P$2:$P$1001,MATCH(ROWS($O$2:O510),$O$2:$O$1001,0),1)&gt;=100000,INDEX($V$1005:$AE$1005,1,MATCH(COLUMNS($V$1006:AD1006),$V$1006:$AE$1006,0))&gt;=100000), " ",IF(INDEX($V$2:$AE$1001,MATCH(ROWS($O$2:O510),$O$2:$O$1001,0),MATCH(COLUMNS($V$1006:AD1006),$V$1006:$AE$1006,0)), HYPERLINK("#",""), HYPERLINK(CONCATENATE("#Metadata!", ADDRESS(INDEX($Q$2:$Q$1001,MATCH(ROWS($O$2:O510),$O$2:$O$1001,0),0), INDEX($V$1004:$AE$1004,1,MATCH(COLUMNS($V$1006:AD1006),$V$1006:$AE$1006,0)))),"Fix")))</f>
        <v>0</v>
      </c>
      <c r="K510" s="4">
        <f>IF(OR(INDEX($P$2:$P$1001,MATCH(ROWS($O$2:O510),$O$2:$O$1001,0),1)&gt;=100000,INDEX($V$1005:$AE$1005,1,MATCH(COLUMNS($V$1006:AE1006),$V$1006:$AE$1006,0))&gt;=100000), " ",IF(INDEX($V$2:$AE$1001,MATCH(ROWS($O$2:O510),$O$2:$O$1001,0),MATCH(COLUMNS($V$1006:AE1006),$V$1006:$AE$1006,0)), HYPERLINK("#",""), HYPERLINK(CONCATENATE("#Metadata!", ADDRESS(INDEX($Q$2:$Q$1001,MATCH(ROWS($O$2:O510),$O$2:$O$1001,0),0), INDEX($V$1004:$AE$1004,1,MATCH(COLUMNS($V$1006:AE1006),$V$1006:$AE$1006,0)))),"Fix")))</f>
        <v>0</v>
      </c>
      <c r="O510">
        <v>0</v>
      </c>
      <c r="P510">
        <v>0</v>
      </c>
      <c r="Q510">
        <v>0</v>
      </c>
      <c r="R510">
        <f>IF(S510,TRUE,AND(V510:AE510))</f>
        <v>0</v>
      </c>
      <c r="S510">
        <f>COUNTBLANK(Metadata!B510:K510)=COLUMNS(Metadata!B510:K510)</f>
        <v>0</v>
      </c>
      <c r="T510">
        <v>0</v>
      </c>
      <c r="V510">
        <f>AND(IF(Metadata!B510="",FALSE,TRUE),COUNTIF(Metadata!B:B, Metadata!B510) = 1,NOT(ISERROR(SUMPRODUCT(SEARCH(MID(Metadata!B510,ROW(INDIRECT("1:"&amp;LEN(Metadata!B510))), 1),"0123456789abcdefghijklmnopqrstuvwxyzABCDEFGHIJKLMNOPQRSTUVWXYZ.")))))</f>
        <v>0</v>
      </c>
      <c r="W510">
        <f>AND(IF(Metadata!C510="",FALSE,TRUE),exact(Metadata!C510,"urban biome"))</f>
        <v>0</v>
      </c>
      <c r="X510">
        <f>AND(IF(Metadata!D510="",FALSE,TRUE),exact(Metadata!D510,"animal-associated habitat"))</f>
        <v>0</v>
      </c>
      <c r="Y510">
        <f>OR(AND(IF(Metadata!E510="",FALSE,TRUE),OR(exact(Metadata!E510,"not applicable"),exact(Metadata!E510,"missing: not collected"),exact(Metadata!E510,"missing: not provided"),exact(Metadata!E510,"missing: restricted access"))),AND(IF(Metadata!E510="",FALSE,ISNUMBER(VALUE(Metadata!E510))),Metadata!E510&gt;0))</f>
        <v>0</v>
      </c>
      <c r="Z510">
        <f>AND(IF(Metadata!F510="",FALSE,TRUE),exact(Metadata!F510,"weeks"))</f>
        <v>0</v>
      </c>
      <c r="AA510">
        <f>AND(IF(Metadata!G510="",FALSE,TRUE),exact(Metadata!G510,"mouse"))</f>
        <v>0</v>
      </c>
      <c r="AB510">
        <f>AND(IF(Metadata!H510="",FALSE,TRUE),exact(Metadata!H510,"Mus musculus"))</f>
        <v>0</v>
      </c>
      <c r="AC510">
        <f>AND(IF(Metadata!I510="",FALSE,TRUE),exact(Metadata!I510,"10090"))</f>
        <v>0</v>
      </c>
      <c r="AD510">
        <f>OR(AND(IF(Metadata!J510="",FALSE,TRUE),OR(exact(Metadata!J510,"not applicable"),exact(Metadata!J510,"missing: not collected"),exact(Metadata!J510,"missing: not provided"),exact(Metadata!J510,"missing: restricted access"))),AND(IF(Metadata!J510="",FALSE,ISNUMBER(VALUE(Metadata!J510))),Metadata!J510&gt;0))</f>
        <v>0</v>
      </c>
      <c r="AE510">
        <f>AND(IF(Metadata!K510="",FALSE,TRUE),exact(Metadata!K510,"g"))</f>
        <v>0</v>
      </c>
    </row>
    <row r="511" spans="1:31">
      <c r="A511" s="5">
        <f>IF(B511=" "," ",HYPERLINK(CONCATENATE("#metadata!",ADDRESS(INDEX($Q$2:$Q$1001,MATCH(ROWS($O$2:O511),$O$2:$O$1001,0),0),1)),INDEX($T$2:$T$1001,MATCH(ROWS($O$2:O511),$O$2:$O$1001,0),0)))</f>
        <v>0</v>
      </c>
      <c r="B511" s="4">
        <f>IF(OR(INDEX($P$2:$P$1001,MATCH(ROWS($O$2:O511),$O$2:$O$1001,0),1)&gt;=100000,INDEX($V$1005:$AE$1005,1,MATCH(COLUMNS($V$1006:V1006),$V$1006:$AE$1006,0))&gt;=100000), " ",IF(INDEX($V$2:$AE$1001,MATCH(ROWS($O$2:O511),$O$2:$O$1001,0),MATCH(COLUMNS($V$1006:V1006),$V$1006:$AE$1006,0)), HYPERLINK("#",""), HYPERLINK(CONCATENATE("#Metadata!", ADDRESS(INDEX($Q$2:$Q$1001,MATCH(ROWS($O$2:O511),$O$2:$O$1001,0),0), INDEX($V$1004:$AE$1004,1,MATCH(COLUMNS($V$1006:V1006),$V$1006:$AE$1006,0)))),"Fix")))</f>
        <v>0</v>
      </c>
      <c r="C511" s="4">
        <f>IF(OR(INDEX($P$2:$P$1001,MATCH(ROWS($O$2:O511),$O$2:$O$1001,0),1)&gt;=100000,INDEX($V$1005:$AE$1005,1,MATCH(COLUMNS($V$1006:W1006),$V$1006:$AE$1006,0))&gt;=100000), " ",IF(INDEX($V$2:$AE$1001,MATCH(ROWS($O$2:O511),$O$2:$O$1001,0),MATCH(COLUMNS($V$1006:W1006),$V$1006:$AE$1006,0)), HYPERLINK("#",""), HYPERLINK(CONCATENATE("#Metadata!", ADDRESS(INDEX($Q$2:$Q$1001,MATCH(ROWS($O$2:O511),$O$2:$O$1001,0),0), INDEX($V$1004:$AE$1004,1,MATCH(COLUMNS($V$1006:W1006),$V$1006:$AE$1006,0)))),"Fix")))</f>
        <v>0</v>
      </c>
      <c r="D511" s="4">
        <f>IF(OR(INDEX($P$2:$P$1001,MATCH(ROWS($O$2:O511),$O$2:$O$1001,0),1)&gt;=100000,INDEX($V$1005:$AE$1005,1,MATCH(COLUMNS($V$1006:X1006),$V$1006:$AE$1006,0))&gt;=100000), " ",IF(INDEX($V$2:$AE$1001,MATCH(ROWS($O$2:O511),$O$2:$O$1001,0),MATCH(COLUMNS($V$1006:X1006),$V$1006:$AE$1006,0)), HYPERLINK("#",""), HYPERLINK(CONCATENATE("#Metadata!", ADDRESS(INDEX($Q$2:$Q$1001,MATCH(ROWS($O$2:O511),$O$2:$O$1001,0),0), INDEX($V$1004:$AE$1004,1,MATCH(COLUMNS($V$1006:X1006),$V$1006:$AE$1006,0)))),"Fix")))</f>
        <v>0</v>
      </c>
      <c r="E511" s="4">
        <f>IF(OR(INDEX($P$2:$P$1001,MATCH(ROWS($O$2:O511),$O$2:$O$1001,0),1)&gt;=100000,INDEX($V$1005:$AE$1005,1,MATCH(COLUMNS($V$1006:Y1006),$V$1006:$AE$1006,0))&gt;=100000), " ",IF(INDEX($V$2:$AE$1001,MATCH(ROWS($O$2:O511),$O$2:$O$1001,0),MATCH(COLUMNS($V$1006:Y1006),$V$1006:$AE$1006,0)), HYPERLINK("#",""), HYPERLINK(CONCATENATE("#Metadata!", ADDRESS(INDEX($Q$2:$Q$1001,MATCH(ROWS($O$2:O511),$O$2:$O$1001,0),0), INDEX($V$1004:$AE$1004,1,MATCH(COLUMNS($V$1006:Y1006),$V$1006:$AE$1006,0)))),"Fix")))</f>
        <v>0</v>
      </c>
      <c r="F511" s="4">
        <f>IF(OR(INDEX($P$2:$P$1001,MATCH(ROWS($O$2:O511),$O$2:$O$1001,0),1)&gt;=100000,INDEX($V$1005:$AE$1005,1,MATCH(COLUMNS($V$1006:Z1006),$V$1006:$AE$1006,0))&gt;=100000), " ",IF(INDEX($V$2:$AE$1001,MATCH(ROWS($O$2:O511),$O$2:$O$1001,0),MATCH(COLUMNS($V$1006:Z1006),$V$1006:$AE$1006,0)), HYPERLINK("#",""), HYPERLINK(CONCATENATE("#Metadata!", ADDRESS(INDEX($Q$2:$Q$1001,MATCH(ROWS($O$2:O511),$O$2:$O$1001,0),0), INDEX($V$1004:$AE$1004,1,MATCH(COLUMNS($V$1006:Z1006),$V$1006:$AE$1006,0)))),"Fix")))</f>
        <v>0</v>
      </c>
      <c r="G511" s="4">
        <f>IF(OR(INDEX($P$2:$P$1001,MATCH(ROWS($O$2:O511),$O$2:$O$1001,0),1)&gt;=100000,INDEX($V$1005:$AE$1005,1,MATCH(COLUMNS($V$1006:AA1006),$V$1006:$AE$1006,0))&gt;=100000), " ",IF(INDEX($V$2:$AE$1001,MATCH(ROWS($O$2:O511),$O$2:$O$1001,0),MATCH(COLUMNS($V$1006:AA1006),$V$1006:$AE$1006,0)), HYPERLINK("#",""), HYPERLINK(CONCATENATE("#Metadata!", ADDRESS(INDEX($Q$2:$Q$1001,MATCH(ROWS($O$2:O511),$O$2:$O$1001,0),0), INDEX($V$1004:$AE$1004,1,MATCH(COLUMNS($V$1006:AA1006),$V$1006:$AE$1006,0)))),"Fix")))</f>
        <v>0</v>
      </c>
      <c r="H511" s="4">
        <f>IF(OR(INDEX($P$2:$P$1001,MATCH(ROWS($O$2:O511),$O$2:$O$1001,0),1)&gt;=100000,INDEX($V$1005:$AE$1005,1,MATCH(COLUMNS($V$1006:AB1006),$V$1006:$AE$1006,0))&gt;=100000), " ",IF(INDEX($V$2:$AE$1001,MATCH(ROWS($O$2:O511),$O$2:$O$1001,0),MATCH(COLUMNS($V$1006:AB1006),$V$1006:$AE$1006,0)), HYPERLINK("#",""), HYPERLINK(CONCATENATE("#Metadata!", ADDRESS(INDEX($Q$2:$Q$1001,MATCH(ROWS($O$2:O511),$O$2:$O$1001,0),0), INDEX($V$1004:$AE$1004,1,MATCH(COLUMNS($V$1006:AB1006),$V$1006:$AE$1006,0)))),"Fix")))</f>
        <v>0</v>
      </c>
      <c r="I511" s="4">
        <f>IF(OR(INDEX($P$2:$P$1001,MATCH(ROWS($O$2:O511),$O$2:$O$1001,0),1)&gt;=100000,INDEX($V$1005:$AE$1005,1,MATCH(COLUMNS($V$1006:AC1006),$V$1006:$AE$1006,0))&gt;=100000), " ",IF(INDEX($V$2:$AE$1001,MATCH(ROWS($O$2:O511),$O$2:$O$1001,0),MATCH(COLUMNS($V$1006:AC1006),$V$1006:$AE$1006,0)), HYPERLINK("#",""), HYPERLINK(CONCATENATE("#Metadata!", ADDRESS(INDEX($Q$2:$Q$1001,MATCH(ROWS($O$2:O511),$O$2:$O$1001,0),0), INDEX($V$1004:$AE$1004,1,MATCH(COLUMNS($V$1006:AC1006),$V$1006:$AE$1006,0)))),"Fix")))</f>
        <v>0</v>
      </c>
      <c r="J511" s="4">
        <f>IF(OR(INDEX($P$2:$P$1001,MATCH(ROWS($O$2:O511),$O$2:$O$1001,0),1)&gt;=100000,INDEX($V$1005:$AE$1005,1,MATCH(COLUMNS($V$1006:AD1006),$V$1006:$AE$1006,0))&gt;=100000), " ",IF(INDEX($V$2:$AE$1001,MATCH(ROWS($O$2:O511),$O$2:$O$1001,0),MATCH(COLUMNS($V$1006:AD1006),$V$1006:$AE$1006,0)), HYPERLINK("#",""), HYPERLINK(CONCATENATE("#Metadata!", ADDRESS(INDEX($Q$2:$Q$1001,MATCH(ROWS($O$2:O511),$O$2:$O$1001,0),0), INDEX($V$1004:$AE$1004,1,MATCH(COLUMNS($V$1006:AD1006),$V$1006:$AE$1006,0)))),"Fix")))</f>
        <v>0</v>
      </c>
      <c r="K511" s="4">
        <f>IF(OR(INDEX($P$2:$P$1001,MATCH(ROWS($O$2:O511),$O$2:$O$1001,0),1)&gt;=100000,INDEX($V$1005:$AE$1005,1,MATCH(COLUMNS($V$1006:AE1006),$V$1006:$AE$1006,0))&gt;=100000), " ",IF(INDEX($V$2:$AE$1001,MATCH(ROWS($O$2:O511),$O$2:$O$1001,0),MATCH(COLUMNS($V$1006:AE1006),$V$1006:$AE$1006,0)), HYPERLINK("#",""), HYPERLINK(CONCATENATE("#Metadata!", ADDRESS(INDEX($Q$2:$Q$1001,MATCH(ROWS($O$2:O511),$O$2:$O$1001,0),0), INDEX($V$1004:$AE$1004,1,MATCH(COLUMNS($V$1006:AE1006),$V$1006:$AE$1006,0)))),"Fix")))</f>
        <v>0</v>
      </c>
      <c r="O511">
        <v>0</v>
      </c>
      <c r="P511">
        <v>0</v>
      </c>
      <c r="Q511">
        <v>0</v>
      </c>
      <c r="R511">
        <f>IF(S511,TRUE,AND(V511:AE511))</f>
        <v>0</v>
      </c>
      <c r="S511">
        <f>COUNTBLANK(Metadata!B511:K511)=COLUMNS(Metadata!B511:K511)</f>
        <v>0</v>
      </c>
      <c r="T511">
        <v>0</v>
      </c>
      <c r="V511">
        <f>AND(IF(Metadata!B511="",FALSE,TRUE),COUNTIF(Metadata!B:B, Metadata!B511) = 1,NOT(ISERROR(SUMPRODUCT(SEARCH(MID(Metadata!B511,ROW(INDIRECT("1:"&amp;LEN(Metadata!B511))), 1),"0123456789abcdefghijklmnopqrstuvwxyzABCDEFGHIJKLMNOPQRSTUVWXYZ.")))))</f>
        <v>0</v>
      </c>
      <c r="W511">
        <f>AND(IF(Metadata!C511="",FALSE,TRUE),exact(Metadata!C511,"urban biome"))</f>
        <v>0</v>
      </c>
      <c r="X511">
        <f>AND(IF(Metadata!D511="",FALSE,TRUE),exact(Metadata!D511,"animal-associated habitat"))</f>
        <v>0</v>
      </c>
      <c r="Y511">
        <f>OR(AND(IF(Metadata!E511="",FALSE,TRUE),OR(exact(Metadata!E511,"not applicable"),exact(Metadata!E511,"missing: not collected"),exact(Metadata!E511,"missing: not provided"),exact(Metadata!E511,"missing: restricted access"))),AND(IF(Metadata!E511="",FALSE,ISNUMBER(VALUE(Metadata!E511))),Metadata!E511&gt;0))</f>
        <v>0</v>
      </c>
      <c r="Z511">
        <f>AND(IF(Metadata!F511="",FALSE,TRUE),exact(Metadata!F511,"weeks"))</f>
        <v>0</v>
      </c>
      <c r="AA511">
        <f>AND(IF(Metadata!G511="",FALSE,TRUE),exact(Metadata!G511,"mouse"))</f>
        <v>0</v>
      </c>
      <c r="AB511">
        <f>AND(IF(Metadata!H511="",FALSE,TRUE),exact(Metadata!H511,"Mus musculus"))</f>
        <v>0</v>
      </c>
      <c r="AC511">
        <f>AND(IF(Metadata!I511="",FALSE,TRUE),exact(Metadata!I511,"10090"))</f>
        <v>0</v>
      </c>
      <c r="AD511">
        <f>OR(AND(IF(Metadata!J511="",FALSE,TRUE),OR(exact(Metadata!J511,"not applicable"),exact(Metadata!J511,"missing: not collected"),exact(Metadata!J511,"missing: not provided"),exact(Metadata!J511,"missing: restricted access"))),AND(IF(Metadata!J511="",FALSE,ISNUMBER(VALUE(Metadata!J511))),Metadata!J511&gt;0))</f>
        <v>0</v>
      </c>
      <c r="AE511">
        <f>AND(IF(Metadata!K511="",FALSE,TRUE),exact(Metadata!K511,"g"))</f>
        <v>0</v>
      </c>
    </row>
    <row r="512" spans="1:31">
      <c r="A512" s="5">
        <f>IF(B512=" "," ",HYPERLINK(CONCATENATE("#metadata!",ADDRESS(INDEX($Q$2:$Q$1001,MATCH(ROWS($O$2:O512),$O$2:$O$1001,0),0),1)),INDEX($T$2:$T$1001,MATCH(ROWS($O$2:O512),$O$2:$O$1001,0),0)))</f>
        <v>0</v>
      </c>
      <c r="B512" s="4">
        <f>IF(OR(INDEX($P$2:$P$1001,MATCH(ROWS($O$2:O512),$O$2:$O$1001,0),1)&gt;=100000,INDEX($V$1005:$AE$1005,1,MATCH(COLUMNS($V$1006:V1006),$V$1006:$AE$1006,0))&gt;=100000), " ",IF(INDEX($V$2:$AE$1001,MATCH(ROWS($O$2:O512),$O$2:$O$1001,0),MATCH(COLUMNS($V$1006:V1006),$V$1006:$AE$1006,0)), HYPERLINK("#",""), HYPERLINK(CONCATENATE("#Metadata!", ADDRESS(INDEX($Q$2:$Q$1001,MATCH(ROWS($O$2:O512),$O$2:$O$1001,0),0), INDEX($V$1004:$AE$1004,1,MATCH(COLUMNS($V$1006:V1006),$V$1006:$AE$1006,0)))),"Fix")))</f>
        <v>0</v>
      </c>
      <c r="C512" s="4">
        <f>IF(OR(INDEX($P$2:$P$1001,MATCH(ROWS($O$2:O512),$O$2:$O$1001,0),1)&gt;=100000,INDEX($V$1005:$AE$1005,1,MATCH(COLUMNS($V$1006:W1006),$V$1006:$AE$1006,0))&gt;=100000), " ",IF(INDEX($V$2:$AE$1001,MATCH(ROWS($O$2:O512),$O$2:$O$1001,0),MATCH(COLUMNS($V$1006:W1006),$V$1006:$AE$1006,0)), HYPERLINK("#",""), HYPERLINK(CONCATENATE("#Metadata!", ADDRESS(INDEX($Q$2:$Q$1001,MATCH(ROWS($O$2:O512),$O$2:$O$1001,0),0), INDEX($V$1004:$AE$1004,1,MATCH(COLUMNS($V$1006:W1006),$V$1006:$AE$1006,0)))),"Fix")))</f>
        <v>0</v>
      </c>
      <c r="D512" s="4">
        <f>IF(OR(INDEX($P$2:$P$1001,MATCH(ROWS($O$2:O512),$O$2:$O$1001,0),1)&gt;=100000,INDEX($V$1005:$AE$1005,1,MATCH(COLUMNS($V$1006:X1006),$V$1006:$AE$1006,0))&gt;=100000), " ",IF(INDEX($V$2:$AE$1001,MATCH(ROWS($O$2:O512),$O$2:$O$1001,0),MATCH(COLUMNS($V$1006:X1006),$V$1006:$AE$1006,0)), HYPERLINK("#",""), HYPERLINK(CONCATENATE("#Metadata!", ADDRESS(INDEX($Q$2:$Q$1001,MATCH(ROWS($O$2:O512),$O$2:$O$1001,0),0), INDEX($V$1004:$AE$1004,1,MATCH(COLUMNS($V$1006:X1006),$V$1006:$AE$1006,0)))),"Fix")))</f>
        <v>0</v>
      </c>
      <c r="E512" s="4">
        <f>IF(OR(INDEX($P$2:$P$1001,MATCH(ROWS($O$2:O512),$O$2:$O$1001,0),1)&gt;=100000,INDEX($V$1005:$AE$1005,1,MATCH(COLUMNS($V$1006:Y1006),$V$1006:$AE$1006,0))&gt;=100000), " ",IF(INDEX($V$2:$AE$1001,MATCH(ROWS($O$2:O512),$O$2:$O$1001,0),MATCH(COLUMNS($V$1006:Y1006),$V$1006:$AE$1006,0)), HYPERLINK("#",""), HYPERLINK(CONCATENATE("#Metadata!", ADDRESS(INDEX($Q$2:$Q$1001,MATCH(ROWS($O$2:O512),$O$2:$O$1001,0),0), INDEX($V$1004:$AE$1004,1,MATCH(COLUMNS($V$1006:Y1006),$V$1006:$AE$1006,0)))),"Fix")))</f>
        <v>0</v>
      </c>
      <c r="F512" s="4">
        <f>IF(OR(INDEX($P$2:$P$1001,MATCH(ROWS($O$2:O512),$O$2:$O$1001,0),1)&gt;=100000,INDEX($V$1005:$AE$1005,1,MATCH(COLUMNS($V$1006:Z1006),$V$1006:$AE$1006,0))&gt;=100000), " ",IF(INDEX($V$2:$AE$1001,MATCH(ROWS($O$2:O512),$O$2:$O$1001,0),MATCH(COLUMNS($V$1006:Z1006),$V$1006:$AE$1006,0)), HYPERLINK("#",""), HYPERLINK(CONCATENATE("#Metadata!", ADDRESS(INDEX($Q$2:$Q$1001,MATCH(ROWS($O$2:O512),$O$2:$O$1001,0),0), INDEX($V$1004:$AE$1004,1,MATCH(COLUMNS($V$1006:Z1006),$V$1006:$AE$1006,0)))),"Fix")))</f>
        <v>0</v>
      </c>
      <c r="G512" s="4">
        <f>IF(OR(INDEX($P$2:$P$1001,MATCH(ROWS($O$2:O512),$O$2:$O$1001,0),1)&gt;=100000,INDEX($V$1005:$AE$1005,1,MATCH(COLUMNS($V$1006:AA1006),$V$1006:$AE$1006,0))&gt;=100000), " ",IF(INDEX($V$2:$AE$1001,MATCH(ROWS($O$2:O512),$O$2:$O$1001,0),MATCH(COLUMNS($V$1006:AA1006),$V$1006:$AE$1006,0)), HYPERLINK("#",""), HYPERLINK(CONCATENATE("#Metadata!", ADDRESS(INDEX($Q$2:$Q$1001,MATCH(ROWS($O$2:O512),$O$2:$O$1001,0),0), INDEX($V$1004:$AE$1004,1,MATCH(COLUMNS($V$1006:AA1006),$V$1006:$AE$1006,0)))),"Fix")))</f>
        <v>0</v>
      </c>
      <c r="H512" s="4">
        <f>IF(OR(INDEX($P$2:$P$1001,MATCH(ROWS($O$2:O512),$O$2:$O$1001,0),1)&gt;=100000,INDEX($V$1005:$AE$1005,1,MATCH(COLUMNS($V$1006:AB1006),$V$1006:$AE$1006,0))&gt;=100000), " ",IF(INDEX($V$2:$AE$1001,MATCH(ROWS($O$2:O512),$O$2:$O$1001,0),MATCH(COLUMNS($V$1006:AB1006),$V$1006:$AE$1006,0)), HYPERLINK("#",""), HYPERLINK(CONCATENATE("#Metadata!", ADDRESS(INDEX($Q$2:$Q$1001,MATCH(ROWS($O$2:O512),$O$2:$O$1001,0),0), INDEX($V$1004:$AE$1004,1,MATCH(COLUMNS($V$1006:AB1006),$V$1006:$AE$1006,0)))),"Fix")))</f>
        <v>0</v>
      </c>
      <c r="I512" s="4">
        <f>IF(OR(INDEX($P$2:$P$1001,MATCH(ROWS($O$2:O512),$O$2:$O$1001,0),1)&gt;=100000,INDEX($V$1005:$AE$1005,1,MATCH(COLUMNS($V$1006:AC1006),$V$1006:$AE$1006,0))&gt;=100000), " ",IF(INDEX($V$2:$AE$1001,MATCH(ROWS($O$2:O512),$O$2:$O$1001,0),MATCH(COLUMNS($V$1006:AC1006),$V$1006:$AE$1006,0)), HYPERLINK("#",""), HYPERLINK(CONCATENATE("#Metadata!", ADDRESS(INDEX($Q$2:$Q$1001,MATCH(ROWS($O$2:O512),$O$2:$O$1001,0),0), INDEX($V$1004:$AE$1004,1,MATCH(COLUMNS($V$1006:AC1006),$V$1006:$AE$1006,0)))),"Fix")))</f>
        <v>0</v>
      </c>
      <c r="J512" s="4">
        <f>IF(OR(INDEX($P$2:$P$1001,MATCH(ROWS($O$2:O512),$O$2:$O$1001,0),1)&gt;=100000,INDEX($V$1005:$AE$1005,1,MATCH(COLUMNS($V$1006:AD1006),$V$1006:$AE$1006,0))&gt;=100000), " ",IF(INDEX($V$2:$AE$1001,MATCH(ROWS($O$2:O512),$O$2:$O$1001,0),MATCH(COLUMNS($V$1006:AD1006),$V$1006:$AE$1006,0)), HYPERLINK("#",""), HYPERLINK(CONCATENATE("#Metadata!", ADDRESS(INDEX($Q$2:$Q$1001,MATCH(ROWS($O$2:O512),$O$2:$O$1001,0),0), INDEX($V$1004:$AE$1004,1,MATCH(COLUMNS($V$1006:AD1006),$V$1006:$AE$1006,0)))),"Fix")))</f>
        <v>0</v>
      </c>
      <c r="K512" s="4">
        <f>IF(OR(INDEX($P$2:$P$1001,MATCH(ROWS($O$2:O512),$O$2:$O$1001,0),1)&gt;=100000,INDEX($V$1005:$AE$1005,1,MATCH(COLUMNS($V$1006:AE1006),$V$1006:$AE$1006,0))&gt;=100000), " ",IF(INDEX($V$2:$AE$1001,MATCH(ROWS($O$2:O512),$O$2:$O$1001,0),MATCH(COLUMNS($V$1006:AE1006),$V$1006:$AE$1006,0)), HYPERLINK("#",""), HYPERLINK(CONCATENATE("#Metadata!", ADDRESS(INDEX($Q$2:$Q$1001,MATCH(ROWS($O$2:O512),$O$2:$O$1001,0),0), INDEX($V$1004:$AE$1004,1,MATCH(COLUMNS($V$1006:AE1006),$V$1006:$AE$1006,0)))),"Fix")))</f>
        <v>0</v>
      </c>
      <c r="O512">
        <v>0</v>
      </c>
      <c r="P512">
        <v>0</v>
      </c>
      <c r="Q512">
        <v>0</v>
      </c>
      <c r="R512">
        <f>IF(S512,TRUE,AND(V512:AE512))</f>
        <v>0</v>
      </c>
      <c r="S512">
        <f>COUNTBLANK(Metadata!B512:K512)=COLUMNS(Metadata!B512:K512)</f>
        <v>0</v>
      </c>
      <c r="T512">
        <v>0</v>
      </c>
      <c r="V512">
        <f>AND(IF(Metadata!B512="",FALSE,TRUE),COUNTIF(Metadata!B:B, Metadata!B512) = 1,NOT(ISERROR(SUMPRODUCT(SEARCH(MID(Metadata!B512,ROW(INDIRECT("1:"&amp;LEN(Metadata!B512))), 1),"0123456789abcdefghijklmnopqrstuvwxyzABCDEFGHIJKLMNOPQRSTUVWXYZ.")))))</f>
        <v>0</v>
      </c>
      <c r="W512">
        <f>AND(IF(Metadata!C512="",FALSE,TRUE),exact(Metadata!C512,"urban biome"))</f>
        <v>0</v>
      </c>
      <c r="X512">
        <f>AND(IF(Metadata!D512="",FALSE,TRUE),exact(Metadata!D512,"animal-associated habitat"))</f>
        <v>0</v>
      </c>
      <c r="Y512">
        <f>OR(AND(IF(Metadata!E512="",FALSE,TRUE),OR(exact(Metadata!E512,"not applicable"),exact(Metadata!E512,"missing: not collected"),exact(Metadata!E512,"missing: not provided"),exact(Metadata!E512,"missing: restricted access"))),AND(IF(Metadata!E512="",FALSE,ISNUMBER(VALUE(Metadata!E512))),Metadata!E512&gt;0))</f>
        <v>0</v>
      </c>
      <c r="Z512">
        <f>AND(IF(Metadata!F512="",FALSE,TRUE),exact(Metadata!F512,"weeks"))</f>
        <v>0</v>
      </c>
      <c r="AA512">
        <f>AND(IF(Metadata!G512="",FALSE,TRUE),exact(Metadata!G512,"mouse"))</f>
        <v>0</v>
      </c>
      <c r="AB512">
        <f>AND(IF(Metadata!H512="",FALSE,TRUE),exact(Metadata!H512,"Mus musculus"))</f>
        <v>0</v>
      </c>
      <c r="AC512">
        <f>AND(IF(Metadata!I512="",FALSE,TRUE),exact(Metadata!I512,"10090"))</f>
        <v>0</v>
      </c>
      <c r="AD512">
        <f>OR(AND(IF(Metadata!J512="",FALSE,TRUE),OR(exact(Metadata!J512,"not applicable"),exact(Metadata!J512,"missing: not collected"),exact(Metadata!J512,"missing: not provided"),exact(Metadata!J512,"missing: restricted access"))),AND(IF(Metadata!J512="",FALSE,ISNUMBER(VALUE(Metadata!J512))),Metadata!J512&gt;0))</f>
        <v>0</v>
      </c>
      <c r="AE512">
        <f>AND(IF(Metadata!K512="",FALSE,TRUE),exact(Metadata!K512,"g"))</f>
        <v>0</v>
      </c>
    </row>
    <row r="513" spans="1:31">
      <c r="A513" s="5">
        <f>IF(B513=" "," ",HYPERLINK(CONCATENATE("#metadata!",ADDRESS(INDEX($Q$2:$Q$1001,MATCH(ROWS($O$2:O513),$O$2:$O$1001,0),0),1)),INDEX($T$2:$T$1001,MATCH(ROWS($O$2:O513),$O$2:$O$1001,0),0)))</f>
        <v>0</v>
      </c>
      <c r="B513" s="4">
        <f>IF(OR(INDEX($P$2:$P$1001,MATCH(ROWS($O$2:O513),$O$2:$O$1001,0),1)&gt;=100000,INDEX($V$1005:$AE$1005,1,MATCH(COLUMNS($V$1006:V1006),$V$1006:$AE$1006,0))&gt;=100000), " ",IF(INDEX($V$2:$AE$1001,MATCH(ROWS($O$2:O513),$O$2:$O$1001,0),MATCH(COLUMNS($V$1006:V1006),$V$1006:$AE$1006,0)), HYPERLINK("#",""), HYPERLINK(CONCATENATE("#Metadata!", ADDRESS(INDEX($Q$2:$Q$1001,MATCH(ROWS($O$2:O513),$O$2:$O$1001,0),0), INDEX($V$1004:$AE$1004,1,MATCH(COLUMNS($V$1006:V1006),$V$1006:$AE$1006,0)))),"Fix")))</f>
        <v>0</v>
      </c>
      <c r="C513" s="4">
        <f>IF(OR(INDEX($P$2:$P$1001,MATCH(ROWS($O$2:O513),$O$2:$O$1001,0),1)&gt;=100000,INDEX($V$1005:$AE$1005,1,MATCH(COLUMNS($V$1006:W1006),$V$1006:$AE$1006,0))&gt;=100000), " ",IF(INDEX($V$2:$AE$1001,MATCH(ROWS($O$2:O513),$O$2:$O$1001,0),MATCH(COLUMNS($V$1006:W1006),$V$1006:$AE$1006,0)), HYPERLINK("#",""), HYPERLINK(CONCATENATE("#Metadata!", ADDRESS(INDEX($Q$2:$Q$1001,MATCH(ROWS($O$2:O513),$O$2:$O$1001,0),0), INDEX($V$1004:$AE$1004,1,MATCH(COLUMNS($V$1006:W1006),$V$1006:$AE$1006,0)))),"Fix")))</f>
        <v>0</v>
      </c>
      <c r="D513" s="4">
        <f>IF(OR(INDEX($P$2:$P$1001,MATCH(ROWS($O$2:O513),$O$2:$O$1001,0),1)&gt;=100000,INDEX($V$1005:$AE$1005,1,MATCH(COLUMNS($V$1006:X1006),$V$1006:$AE$1006,0))&gt;=100000), " ",IF(INDEX($V$2:$AE$1001,MATCH(ROWS($O$2:O513),$O$2:$O$1001,0),MATCH(COLUMNS($V$1006:X1006),$V$1006:$AE$1006,0)), HYPERLINK("#",""), HYPERLINK(CONCATENATE("#Metadata!", ADDRESS(INDEX($Q$2:$Q$1001,MATCH(ROWS($O$2:O513),$O$2:$O$1001,0),0), INDEX($V$1004:$AE$1004,1,MATCH(COLUMNS($V$1006:X1006),$V$1006:$AE$1006,0)))),"Fix")))</f>
        <v>0</v>
      </c>
      <c r="E513" s="4">
        <f>IF(OR(INDEX($P$2:$P$1001,MATCH(ROWS($O$2:O513),$O$2:$O$1001,0),1)&gt;=100000,INDEX($V$1005:$AE$1005,1,MATCH(COLUMNS($V$1006:Y1006),$V$1006:$AE$1006,0))&gt;=100000), " ",IF(INDEX($V$2:$AE$1001,MATCH(ROWS($O$2:O513),$O$2:$O$1001,0),MATCH(COLUMNS($V$1006:Y1006),$V$1006:$AE$1006,0)), HYPERLINK("#",""), HYPERLINK(CONCATENATE("#Metadata!", ADDRESS(INDEX($Q$2:$Q$1001,MATCH(ROWS($O$2:O513),$O$2:$O$1001,0),0), INDEX($V$1004:$AE$1004,1,MATCH(COLUMNS($V$1006:Y1006),$V$1006:$AE$1006,0)))),"Fix")))</f>
        <v>0</v>
      </c>
      <c r="F513" s="4">
        <f>IF(OR(INDEX($P$2:$P$1001,MATCH(ROWS($O$2:O513),$O$2:$O$1001,0),1)&gt;=100000,INDEX($V$1005:$AE$1005,1,MATCH(COLUMNS($V$1006:Z1006),$V$1006:$AE$1006,0))&gt;=100000), " ",IF(INDEX($V$2:$AE$1001,MATCH(ROWS($O$2:O513),$O$2:$O$1001,0),MATCH(COLUMNS($V$1006:Z1006),$V$1006:$AE$1006,0)), HYPERLINK("#",""), HYPERLINK(CONCATENATE("#Metadata!", ADDRESS(INDEX($Q$2:$Q$1001,MATCH(ROWS($O$2:O513),$O$2:$O$1001,0),0), INDEX($V$1004:$AE$1004,1,MATCH(COLUMNS($V$1006:Z1006),$V$1006:$AE$1006,0)))),"Fix")))</f>
        <v>0</v>
      </c>
      <c r="G513" s="4">
        <f>IF(OR(INDEX($P$2:$P$1001,MATCH(ROWS($O$2:O513),$O$2:$O$1001,0),1)&gt;=100000,INDEX($V$1005:$AE$1005,1,MATCH(COLUMNS($V$1006:AA1006),$V$1006:$AE$1006,0))&gt;=100000), " ",IF(INDEX($V$2:$AE$1001,MATCH(ROWS($O$2:O513),$O$2:$O$1001,0),MATCH(COLUMNS($V$1006:AA1006),$V$1006:$AE$1006,0)), HYPERLINK("#",""), HYPERLINK(CONCATENATE("#Metadata!", ADDRESS(INDEX($Q$2:$Q$1001,MATCH(ROWS($O$2:O513),$O$2:$O$1001,0),0), INDEX($V$1004:$AE$1004,1,MATCH(COLUMNS($V$1006:AA1006),$V$1006:$AE$1006,0)))),"Fix")))</f>
        <v>0</v>
      </c>
      <c r="H513" s="4">
        <f>IF(OR(INDEX($P$2:$P$1001,MATCH(ROWS($O$2:O513),$O$2:$O$1001,0),1)&gt;=100000,INDEX($V$1005:$AE$1005,1,MATCH(COLUMNS($V$1006:AB1006),$V$1006:$AE$1006,0))&gt;=100000), " ",IF(INDEX($V$2:$AE$1001,MATCH(ROWS($O$2:O513),$O$2:$O$1001,0),MATCH(COLUMNS($V$1006:AB1006),$V$1006:$AE$1006,0)), HYPERLINK("#",""), HYPERLINK(CONCATENATE("#Metadata!", ADDRESS(INDEX($Q$2:$Q$1001,MATCH(ROWS($O$2:O513),$O$2:$O$1001,0),0), INDEX($V$1004:$AE$1004,1,MATCH(COLUMNS($V$1006:AB1006),$V$1006:$AE$1006,0)))),"Fix")))</f>
        <v>0</v>
      </c>
      <c r="I513" s="4">
        <f>IF(OR(INDEX($P$2:$P$1001,MATCH(ROWS($O$2:O513),$O$2:$O$1001,0),1)&gt;=100000,INDEX($V$1005:$AE$1005,1,MATCH(COLUMNS($V$1006:AC1006),$V$1006:$AE$1006,0))&gt;=100000), " ",IF(INDEX($V$2:$AE$1001,MATCH(ROWS($O$2:O513),$O$2:$O$1001,0),MATCH(COLUMNS($V$1006:AC1006),$V$1006:$AE$1006,0)), HYPERLINK("#",""), HYPERLINK(CONCATENATE("#Metadata!", ADDRESS(INDEX($Q$2:$Q$1001,MATCH(ROWS($O$2:O513),$O$2:$O$1001,0),0), INDEX($V$1004:$AE$1004,1,MATCH(COLUMNS($V$1006:AC1006),$V$1006:$AE$1006,0)))),"Fix")))</f>
        <v>0</v>
      </c>
      <c r="J513" s="4">
        <f>IF(OR(INDEX($P$2:$P$1001,MATCH(ROWS($O$2:O513),$O$2:$O$1001,0),1)&gt;=100000,INDEX($V$1005:$AE$1005,1,MATCH(COLUMNS($V$1006:AD1006),$V$1006:$AE$1006,0))&gt;=100000), " ",IF(INDEX($V$2:$AE$1001,MATCH(ROWS($O$2:O513),$O$2:$O$1001,0),MATCH(COLUMNS($V$1006:AD1006),$V$1006:$AE$1006,0)), HYPERLINK("#",""), HYPERLINK(CONCATENATE("#Metadata!", ADDRESS(INDEX($Q$2:$Q$1001,MATCH(ROWS($O$2:O513),$O$2:$O$1001,0),0), INDEX($V$1004:$AE$1004,1,MATCH(COLUMNS($V$1006:AD1006),$V$1006:$AE$1006,0)))),"Fix")))</f>
        <v>0</v>
      </c>
      <c r="K513" s="4">
        <f>IF(OR(INDEX($P$2:$P$1001,MATCH(ROWS($O$2:O513),$O$2:$O$1001,0),1)&gt;=100000,INDEX($V$1005:$AE$1005,1,MATCH(COLUMNS($V$1006:AE1006),$V$1006:$AE$1006,0))&gt;=100000), " ",IF(INDEX($V$2:$AE$1001,MATCH(ROWS($O$2:O513),$O$2:$O$1001,0),MATCH(COLUMNS($V$1006:AE1006),$V$1006:$AE$1006,0)), HYPERLINK("#",""), HYPERLINK(CONCATENATE("#Metadata!", ADDRESS(INDEX($Q$2:$Q$1001,MATCH(ROWS($O$2:O513),$O$2:$O$1001,0),0), INDEX($V$1004:$AE$1004,1,MATCH(COLUMNS($V$1006:AE1006),$V$1006:$AE$1006,0)))),"Fix")))</f>
        <v>0</v>
      </c>
      <c r="O513">
        <v>0</v>
      </c>
      <c r="P513">
        <v>0</v>
      </c>
      <c r="Q513">
        <v>0</v>
      </c>
      <c r="R513">
        <f>IF(S513,TRUE,AND(V513:AE513))</f>
        <v>0</v>
      </c>
      <c r="S513">
        <f>COUNTBLANK(Metadata!B513:K513)=COLUMNS(Metadata!B513:K513)</f>
        <v>0</v>
      </c>
      <c r="T513">
        <v>0</v>
      </c>
      <c r="V513">
        <f>AND(IF(Metadata!B513="",FALSE,TRUE),COUNTIF(Metadata!B:B, Metadata!B513) = 1,NOT(ISERROR(SUMPRODUCT(SEARCH(MID(Metadata!B513,ROW(INDIRECT("1:"&amp;LEN(Metadata!B513))), 1),"0123456789abcdefghijklmnopqrstuvwxyzABCDEFGHIJKLMNOPQRSTUVWXYZ.")))))</f>
        <v>0</v>
      </c>
      <c r="W513">
        <f>AND(IF(Metadata!C513="",FALSE,TRUE),exact(Metadata!C513,"urban biome"))</f>
        <v>0</v>
      </c>
      <c r="X513">
        <f>AND(IF(Metadata!D513="",FALSE,TRUE),exact(Metadata!D513,"animal-associated habitat"))</f>
        <v>0</v>
      </c>
      <c r="Y513">
        <f>OR(AND(IF(Metadata!E513="",FALSE,TRUE),OR(exact(Metadata!E513,"not applicable"),exact(Metadata!E513,"missing: not collected"),exact(Metadata!E513,"missing: not provided"),exact(Metadata!E513,"missing: restricted access"))),AND(IF(Metadata!E513="",FALSE,ISNUMBER(VALUE(Metadata!E513))),Metadata!E513&gt;0))</f>
        <v>0</v>
      </c>
      <c r="Z513">
        <f>AND(IF(Metadata!F513="",FALSE,TRUE),exact(Metadata!F513,"weeks"))</f>
        <v>0</v>
      </c>
      <c r="AA513">
        <f>AND(IF(Metadata!G513="",FALSE,TRUE),exact(Metadata!G513,"mouse"))</f>
        <v>0</v>
      </c>
      <c r="AB513">
        <f>AND(IF(Metadata!H513="",FALSE,TRUE),exact(Metadata!H513,"Mus musculus"))</f>
        <v>0</v>
      </c>
      <c r="AC513">
        <f>AND(IF(Metadata!I513="",FALSE,TRUE),exact(Metadata!I513,"10090"))</f>
        <v>0</v>
      </c>
      <c r="AD513">
        <f>OR(AND(IF(Metadata!J513="",FALSE,TRUE),OR(exact(Metadata!J513,"not applicable"),exact(Metadata!J513,"missing: not collected"),exact(Metadata!J513,"missing: not provided"),exact(Metadata!J513,"missing: restricted access"))),AND(IF(Metadata!J513="",FALSE,ISNUMBER(VALUE(Metadata!J513))),Metadata!J513&gt;0))</f>
        <v>0</v>
      </c>
      <c r="AE513">
        <f>AND(IF(Metadata!K513="",FALSE,TRUE),exact(Metadata!K513,"g"))</f>
        <v>0</v>
      </c>
    </row>
    <row r="514" spans="1:31">
      <c r="A514" s="5">
        <f>IF(B514=" "," ",HYPERLINK(CONCATENATE("#metadata!",ADDRESS(INDEX($Q$2:$Q$1001,MATCH(ROWS($O$2:O514),$O$2:$O$1001,0),0),1)),INDEX($T$2:$T$1001,MATCH(ROWS($O$2:O514),$O$2:$O$1001,0),0)))</f>
        <v>0</v>
      </c>
      <c r="B514" s="4">
        <f>IF(OR(INDEX($P$2:$P$1001,MATCH(ROWS($O$2:O514),$O$2:$O$1001,0),1)&gt;=100000,INDEX($V$1005:$AE$1005,1,MATCH(COLUMNS($V$1006:V1006),$V$1006:$AE$1006,0))&gt;=100000), " ",IF(INDEX($V$2:$AE$1001,MATCH(ROWS($O$2:O514),$O$2:$O$1001,0),MATCH(COLUMNS($V$1006:V1006),$V$1006:$AE$1006,0)), HYPERLINK("#",""), HYPERLINK(CONCATENATE("#Metadata!", ADDRESS(INDEX($Q$2:$Q$1001,MATCH(ROWS($O$2:O514),$O$2:$O$1001,0),0), INDEX($V$1004:$AE$1004,1,MATCH(COLUMNS($V$1006:V1006),$V$1006:$AE$1006,0)))),"Fix")))</f>
        <v>0</v>
      </c>
      <c r="C514" s="4">
        <f>IF(OR(INDEX($P$2:$P$1001,MATCH(ROWS($O$2:O514),$O$2:$O$1001,0),1)&gt;=100000,INDEX($V$1005:$AE$1005,1,MATCH(COLUMNS($V$1006:W1006),$V$1006:$AE$1006,0))&gt;=100000), " ",IF(INDEX($V$2:$AE$1001,MATCH(ROWS($O$2:O514),$O$2:$O$1001,0),MATCH(COLUMNS($V$1006:W1006),$V$1006:$AE$1006,0)), HYPERLINK("#",""), HYPERLINK(CONCATENATE("#Metadata!", ADDRESS(INDEX($Q$2:$Q$1001,MATCH(ROWS($O$2:O514),$O$2:$O$1001,0),0), INDEX($V$1004:$AE$1004,1,MATCH(COLUMNS($V$1006:W1006),$V$1006:$AE$1006,0)))),"Fix")))</f>
        <v>0</v>
      </c>
      <c r="D514" s="4">
        <f>IF(OR(INDEX($P$2:$P$1001,MATCH(ROWS($O$2:O514),$O$2:$O$1001,0),1)&gt;=100000,INDEX($V$1005:$AE$1005,1,MATCH(COLUMNS($V$1006:X1006),$V$1006:$AE$1006,0))&gt;=100000), " ",IF(INDEX($V$2:$AE$1001,MATCH(ROWS($O$2:O514),$O$2:$O$1001,0),MATCH(COLUMNS($V$1006:X1006),$V$1006:$AE$1006,0)), HYPERLINK("#",""), HYPERLINK(CONCATENATE("#Metadata!", ADDRESS(INDEX($Q$2:$Q$1001,MATCH(ROWS($O$2:O514),$O$2:$O$1001,0),0), INDEX($V$1004:$AE$1004,1,MATCH(COLUMNS($V$1006:X1006),$V$1006:$AE$1006,0)))),"Fix")))</f>
        <v>0</v>
      </c>
      <c r="E514" s="4">
        <f>IF(OR(INDEX($P$2:$P$1001,MATCH(ROWS($O$2:O514),$O$2:$O$1001,0),1)&gt;=100000,INDEX($V$1005:$AE$1005,1,MATCH(COLUMNS($V$1006:Y1006),$V$1006:$AE$1006,0))&gt;=100000), " ",IF(INDEX($V$2:$AE$1001,MATCH(ROWS($O$2:O514),$O$2:$O$1001,0),MATCH(COLUMNS($V$1006:Y1006),$V$1006:$AE$1006,0)), HYPERLINK("#",""), HYPERLINK(CONCATENATE("#Metadata!", ADDRESS(INDEX($Q$2:$Q$1001,MATCH(ROWS($O$2:O514),$O$2:$O$1001,0),0), INDEX($V$1004:$AE$1004,1,MATCH(COLUMNS($V$1006:Y1006),$V$1006:$AE$1006,0)))),"Fix")))</f>
        <v>0</v>
      </c>
      <c r="F514" s="4">
        <f>IF(OR(INDEX($P$2:$P$1001,MATCH(ROWS($O$2:O514),$O$2:$O$1001,0),1)&gt;=100000,INDEX($V$1005:$AE$1005,1,MATCH(COLUMNS($V$1006:Z1006),$V$1006:$AE$1006,0))&gt;=100000), " ",IF(INDEX($V$2:$AE$1001,MATCH(ROWS($O$2:O514),$O$2:$O$1001,0),MATCH(COLUMNS($V$1006:Z1006),$V$1006:$AE$1006,0)), HYPERLINK("#",""), HYPERLINK(CONCATENATE("#Metadata!", ADDRESS(INDEX($Q$2:$Q$1001,MATCH(ROWS($O$2:O514),$O$2:$O$1001,0),0), INDEX($V$1004:$AE$1004,1,MATCH(COLUMNS($V$1006:Z1006),$V$1006:$AE$1006,0)))),"Fix")))</f>
        <v>0</v>
      </c>
      <c r="G514" s="4">
        <f>IF(OR(INDEX($P$2:$P$1001,MATCH(ROWS($O$2:O514),$O$2:$O$1001,0),1)&gt;=100000,INDEX($V$1005:$AE$1005,1,MATCH(COLUMNS($V$1006:AA1006),$V$1006:$AE$1006,0))&gt;=100000), " ",IF(INDEX($V$2:$AE$1001,MATCH(ROWS($O$2:O514),$O$2:$O$1001,0),MATCH(COLUMNS($V$1006:AA1006),$V$1006:$AE$1006,0)), HYPERLINK("#",""), HYPERLINK(CONCATENATE("#Metadata!", ADDRESS(INDEX($Q$2:$Q$1001,MATCH(ROWS($O$2:O514),$O$2:$O$1001,0),0), INDEX($V$1004:$AE$1004,1,MATCH(COLUMNS($V$1006:AA1006),$V$1006:$AE$1006,0)))),"Fix")))</f>
        <v>0</v>
      </c>
      <c r="H514" s="4">
        <f>IF(OR(INDEX($P$2:$P$1001,MATCH(ROWS($O$2:O514),$O$2:$O$1001,0),1)&gt;=100000,INDEX($V$1005:$AE$1005,1,MATCH(COLUMNS($V$1006:AB1006),$V$1006:$AE$1006,0))&gt;=100000), " ",IF(INDEX($V$2:$AE$1001,MATCH(ROWS($O$2:O514),$O$2:$O$1001,0),MATCH(COLUMNS($V$1006:AB1006),$V$1006:$AE$1006,0)), HYPERLINK("#",""), HYPERLINK(CONCATENATE("#Metadata!", ADDRESS(INDEX($Q$2:$Q$1001,MATCH(ROWS($O$2:O514),$O$2:$O$1001,0),0), INDEX($V$1004:$AE$1004,1,MATCH(COLUMNS($V$1006:AB1006),$V$1006:$AE$1006,0)))),"Fix")))</f>
        <v>0</v>
      </c>
      <c r="I514" s="4">
        <f>IF(OR(INDEX($P$2:$P$1001,MATCH(ROWS($O$2:O514),$O$2:$O$1001,0),1)&gt;=100000,INDEX($V$1005:$AE$1005,1,MATCH(COLUMNS($V$1006:AC1006),$V$1006:$AE$1006,0))&gt;=100000), " ",IF(INDEX($V$2:$AE$1001,MATCH(ROWS($O$2:O514),$O$2:$O$1001,0),MATCH(COLUMNS($V$1006:AC1006),$V$1006:$AE$1006,0)), HYPERLINK("#",""), HYPERLINK(CONCATENATE("#Metadata!", ADDRESS(INDEX($Q$2:$Q$1001,MATCH(ROWS($O$2:O514),$O$2:$O$1001,0),0), INDEX($V$1004:$AE$1004,1,MATCH(COLUMNS($V$1006:AC1006),$V$1006:$AE$1006,0)))),"Fix")))</f>
        <v>0</v>
      </c>
      <c r="J514" s="4">
        <f>IF(OR(INDEX($P$2:$P$1001,MATCH(ROWS($O$2:O514),$O$2:$O$1001,0),1)&gt;=100000,INDEX($V$1005:$AE$1005,1,MATCH(COLUMNS($V$1006:AD1006),$V$1006:$AE$1006,0))&gt;=100000), " ",IF(INDEX($V$2:$AE$1001,MATCH(ROWS($O$2:O514),$O$2:$O$1001,0),MATCH(COLUMNS($V$1006:AD1006),$V$1006:$AE$1006,0)), HYPERLINK("#",""), HYPERLINK(CONCATENATE("#Metadata!", ADDRESS(INDEX($Q$2:$Q$1001,MATCH(ROWS($O$2:O514),$O$2:$O$1001,0),0), INDEX($V$1004:$AE$1004,1,MATCH(COLUMNS($V$1006:AD1006),$V$1006:$AE$1006,0)))),"Fix")))</f>
        <v>0</v>
      </c>
      <c r="K514" s="4">
        <f>IF(OR(INDEX($P$2:$P$1001,MATCH(ROWS($O$2:O514),$O$2:$O$1001,0),1)&gt;=100000,INDEX($V$1005:$AE$1005,1,MATCH(COLUMNS($V$1006:AE1006),$V$1006:$AE$1006,0))&gt;=100000), " ",IF(INDEX($V$2:$AE$1001,MATCH(ROWS($O$2:O514),$O$2:$O$1001,0),MATCH(COLUMNS($V$1006:AE1006),$V$1006:$AE$1006,0)), HYPERLINK("#",""), HYPERLINK(CONCATENATE("#Metadata!", ADDRESS(INDEX($Q$2:$Q$1001,MATCH(ROWS($O$2:O514),$O$2:$O$1001,0),0), INDEX($V$1004:$AE$1004,1,MATCH(COLUMNS($V$1006:AE1006),$V$1006:$AE$1006,0)))),"Fix")))</f>
        <v>0</v>
      </c>
      <c r="O514">
        <v>0</v>
      </c>
      <c r="P514">
        <v>0</v>
      </c>
      <c r="Q514">
        <v>0</v>
      </c>
      <c r="R514">
        <f>IF(S514,TRUE,AND(V514:AE514))</f>
        <v>0</v>
      </c>
      <c r="S514">
        <f>COUNTBLANK(Metadata!B514:K514)=COLUMNS(Metadata!B514:K514)</f>
        <v>0</v>
      </c>
      <c r="T514">
        <v>0</v>
      </c>
      <c r="V514">
        <f>AND(IF(Metadata!B514="",FALSE,TRUE),COUNTIF(Metadata!B:B, Metadata!B514) = 1,NOT(ISERROR(SUMPRODUCT(SEARCH(MID(Metadata!B514,ROW(INDIRECT("1:"&amp;LEN(Metadata!B514))), 1),"0123456789abcdefghijklmnopqrstuvwxyzABCDEFGHIJKLMNOPQRSTUVWXYZ.")))))</f>
        <v>0</v>
      </c>
      <c r="W514">
        <f>AND(IF(Metadata!C514="",FALSE,TRUE),exact(Metadata!C514,"urban biome"))</f>
        <v>0</v>
      </c>
      <c r="X514">
        <f>AND(IF(Metadata!D514="",FALSE,TRUE),exact(Metadata!D514,"animal-associated habitat"))</f>
        <v>0</v>
      </c>
      <c r="Y514">
        <f>OR(AND(IF(Metadata!E514="",FALSE,TRUE),OR(exact(Metadata!E514,"not applicable"),exact(Metadata!E514,"missing: not collected"),exact(Metadata!E514,"missing: not provided"),exact(Metadata!E514,"missing: restricted access"))),AND(IF(Metadata!E514="",FALSE,ISNUMBER(VALUE(Metadata!E514))),Metadata!E514&gt;0))</f>
        <v>0</v>
      </c>
      <c r="Z514">
        <f>AND(IF(Metadata!F514="",FALSE,TRUE),exact(Metadata!F514,"weeks"))</f>
        <v>0</v>
      </c>
      <c r="AA514">
        <f>AND(IF(Metadata!G514="",FALSE,TRUE),exact(Metadata!G514,"mouse"))</f>
        <v>0</v>
      </c>
      <c r="AB514">
        <f>AND(IF(Metadata!H514="",FALSE,TRUE),exact(Metadata!H514,"Mus musculus"))</f>
        <v>0</v>
      </c>
      <c r="AC514">
        <f>AND(IF(Metadata!I514="",FALSE,TRUE),exact(Metadata!I514,"10090"))</f>
        <v>0</v>
      </c>
      <c r="AD514">
        <f>OR(AND(IF(Metadata!J514="",FALSE,TRUE),OR(exact(Metadata!J514,"not applicable"),exact(Metadata!J514,"missing: not collected"),exact(Metadata!J514,"missing: not provided"),exact(Metadata!J514,"missing: restricted access"))),AND(IF(Metadata!J514="",FALSE,ISNUMBER(VALUE(Metadata!J514))),Metadata!J514&gt;0))</f>
        <v>0</v>
      </c>
      <c r="AE514">
        <f>AND(IF(Metadata!K514="",FALSE,TRUE),exact(Metadata!K514,"g"))</f>
        <v>0</v>
      </c>
    </row>
    <row r="515" spans="1:31">
      <c r="A515" s="5">
        <f>IF(B515=" "," ",HYPERLINK(CONCATENATE("#metadata!",ADDRESS(INDEX($Q$2:$Q$1001,MATCH(ROWS($O$2:O515),$O$2:$O$1001,0),0),1)),INDEX($T$2:$T$1001,MATCH(ROWS($O$2:O515),$O$2:$O$1001,0),0)))</f>
        <v>0</v>
      </c>
      <c r="B515" s="4">
        <f>IF(OR(INDEX($P$2:$P$1001,MATCH(ROWS($O$2:O515),$O$2:$O$1001,0),1)&gt;=100000,INDEX($V$1005:$AE$1005,1,MATCH(COLUMNS($V$1006:V1006),$V$1006:$AE$1006,0))&gt;=100000), " ",IF(INDEX($V$2:$AE$1001,MATCH(ROWS($O$2:O515),$O$2:$O$1001,0),MATCH(COLUMNS($V$1006:V1006),$V$1006:$AE$1006,0)), HYPERLINK("#",""), HYPERLINK(CONCATENATE("#Metadata!", ADDRESS(INDEX($Q$2:$Q$1001,MATCH(ROWS($O$2:O515),$O$2:$O$1001,0),0), INDEX($V$1004:$AE$1004,1,MATCH(COLUMNS($V$1006:V1006),$V$1006:$AE$1006,0)))),"Fix")))</f>
        <v>0</v>
      </c>
      <c r="C515" s="4">
        <f>IF(OR(INDEX($P$2:$P$1001,MATCH(ROWS($O$2:O515),$O$2:$O$1001,0),1)&gt;=100000,INDEX($V$1005:$AE$1005,1,MATCH(COLUMNS($V$1006:W1006),$V$1006:$AE$1006,0))&gt;=100000), " ",IF(INDEX($V$2:$AE$1001,MATCH(ROWS($O$2:O515),$O$2:$O$1001,0),MATCH(COLUMNS($V$1006:W1006),$V$1006:$AE$1006,0)), HYPERLINK("#",""), HYPERLINK(CONCATENATE("#Metadata!", ADDRESS(INDEX($Q$2:$Q$1001,MATCH(ROWS($O$2:O515),$O$2:$O$1001,0),0), INDEX($V$1004:$AE$1004,1,MATCH(COLUMNS($V$1006:W1006),$V$1006:$AE$1006,0)))),"Fix")))</f>
        <v>0</v>
      </c>
      <c r="D515" s="4">
        <f>IF(OR(INDEX($P$2:$P$1001,MATCH(ROWS($O$2:O515),$O$2:$O$1001,0),1)&gt;=100000,INDEX($V$1005:$AE$1005,1,MATCH(COLUMNS($V$1006:X1006),$V$1006:$AE$1006,0))&gt;=100000), " ",IF(INDEX($V$2:$AE$1001,MATCH(ROWS($O$2:O515),$O$2:$O$1001,0),MATCH(COLUMNS($V$1006:X1006),$V$1006:$AE$1006,0)), HYPERLINK("#",""), HYPERLINK(CONCATENATE("#Metadata!", ADDRESS(INDEX($Q$2:$Q$1001,MATCH(ROWS($O$2:O515),$O$2:$O$1001,0),0), INDEX($V$1004:$AE$1004,1,MATCH(COLUMNS($V$1006:X1006),$V$1006:$AE$1006,0)))),"Fix")))</f>
        <v>0</v>
      </c>
      <c r="E515" s="4">
        <f>IF(OR(INDEX($P$2:$P$1001,MATCH(ROWS($O$2:O515),$O$2:$O$1001,0),1)&gt;=100000,INDEX($V$1005:$AE$1005,1,MATCH(COLUMNS($V$1006:Y1006),$V$1006:$AE$1006,0))&gt;=100000), " ",IF(INDEX($V$2:$AE$1001,MATCH(ROWS($O$2:O515),$O$2:$O$1001,0),MATCH(COLUMNS($V$1006:Y1006),$V$1006:$AE$1006,0)), HYPERLINK("#",""), HYPERLINK(CONCATENATE("#Metadata!", ADDRESS(INDEX($Q$2:$Q$1001,MATCH(ROWS($O$2:O515),$O$2:$O$1001,0),0), INDEX($V$1004:$AE$1004,1,MATCH(COLUMNS($V$1006:Y1006),$V$1006:$AE$1006,0)))),"Fix")))</f>
        <v>0</v>
      </c>
      <c r="F515" s="4">
        <f>IF(OR(INDEX($P$2:$P$1001,MATCH(ROWS($O$2:O515),$O$2:$O$1001,0),1)&gt;=100000,INDEX($V$1005:$AE$1005,1,MATCH(COLUMNS($V$1006:Z1006),$V$1006:$AE$1006,0))&gt;=100000), " ",IF(INDEX($V$2:$AE$1001,MATCH(ROWS($O$2:O515),$O$2:$O$1001,0),MATCH(COLUMNS($V$1006:Z1006),$V$1006:$AE$1006,0)), HYPERLINK("#",""), HYPERLINK(CONCATENATE("#Metadata!", ADDRESS(INDEX($Q$2:$Q$1001,MATCH(ROWS($O$2:O515),$O$2:$O$1001,0),0), INDEX($V$1004:$AE$1004,1,MATCH(COLUMNS($V$1006:Z1006),$V$1006:$AE$1006,0)))),"Fix")))</f>
        <v>0</v>
      </c>
      <c r="G515" s="4">
        <f>IF(OR(INDEX($P$2:$P$1001,MATCH(ROWS($O$2:O515),$O$2:$O$1001,0),1)&gt;=100000,INDEX($V$1005:$AE$1005,1,MATCH(COLUMNS($V$1006:AA1006),$V$1006:$AE$1006,0))&gt;=100000), " ",IF(INDEX($V$2:$AE$1001,MATCH(ROWS($O$2:O515),$O$2:$O$1001,0),MATCH(COLUMNS($V$1006:AA1006),$V$1006:$AE$1006,0)), HYPERLINK("#",""), HYPERLINK(CONCATENATE("#Metadata!", ADDRESS(INDEX($Q$2:$Q$1001,MATCH(ROWS($O$2:O515),$O$2:$O$1001,0),0), INDEX($V$1004:$AE$1004,1,MATCH(COLUMNS($V$1006:AA1006),$V$1006:$AE$1006,0)))),"Fix")))</f>
        <v>0</v>
      </c>
      <c r="H515" s="4">
        <f>IF(OR(INDEX($P$2:$P$1001,MATCH(ROWS($O$2:O515),$O$2:$O$1001,0),1)&gt;=100000,INDEX($V$1005:$AE$1005,1,MATCH(COLUMNS($V$1006:AB1006),$V$1006:$AE$1006,0))&gt;=100000), " ",IF(INDEX($V$2:$AE$1001,MATCH(ROWS($O$2:O515),$O$2:$O$1001,0),MATCH(COLUMNS($V$1006:AB1006),$V$1006:$AE$1006,0)), HYPERLINK("#",""), HYPERLINK(CONCATENATE("#Metadata!", ADDRESS(INDEX($Q$2:$Q$1001,MATCH(ROWS($O$2:O515),$O$2:$O$1001,0),0), INDEX($V$1004:$AE$1004,1,MATCH(COLUMNS($V$1006:AB1006),$V$1006:$AE$1006,0)))),"Fix")))</f>
        <v>0</v>
      </c>
      <c r="I515" s="4">
        <f>IF(OR(INDEX($P$2:$P$1001,MATCH(ROWS($O$2:O515),$O$2:$O$1001,0),1)&gt;=100000,INDEX($V$1005:$AE$1005,1,MATCH(COLUMNS($V$1006:AC1006),$V$1006:$AE$1006,0))&gt;=100000), " ",IF(INDEX($V$2:$AE$1001,MATCH(ROWS($O$2:O515),$O$2:$O$1001,0),MATCH(COLUMNS($V$1006:AC1006),$V$1006:$AE$1006,0)), HYPERLINK("#",""), HYPERLINK(CONCATENATE("#Metadata!", ADDRESS(INDEX($Q$2:$Q$1001,MATCH(ROWS($O$2:O515),$O$2:$O$1001,0),0), INDEX($V$1004:$AE$1004,1,MATCH(COLUMNS($V$1006:AC1006),$V$1006:$AE$1006,0)))),"Fix")))</f>
        <v>0</v>
      </c>
      <c r="J515" s="4">
        <f>IF(OR(INDEX($P$2:$P$1001,MATCH(ROWS($O$2:O515),$O$2:$O$1001,0),1)&gt;=100000,INDEX($V$1005:$AE$1005,1,MATCH(COLUMNS($V$1006:AD1006),$V$1006:$AE$1006,0))&gt;=100000), " ",IF(INDEX($V$2:$AE$1001,MATCH(ROWS($O$2:O515),$O$2:$O$1001,0),MATCH(COLUMNS($V$1006:AD1006),$V$1006:$AE$1006,0)), HYPERLINK("#",""), HYPERLINK(CONCATENATE("#Metadata!", ADDRESS(INDEX($Q$2:$Q$1001,MATCH(ROWS($O$2:O515),$O$2:$O$1001,0),0), INDEX($V$1004:$AE$1004,1,MATCH(COLUMNS($V$1006:AD1006),$V$1006:$AE$1006,0)))),"Fix")))</f>
        <v>0</v>
      </c>
      <c r="K515" s="4">
        <f>IF(OR(INDEX($P$2:$P$1001,MATCH(ROWS($O$2:O515),$O$2:$O$1001,0),1)&gt;=100000,INDEX($V$1005:$AE$1005,1,MATCH(COLUMNS($V$1006:AE1006),$V$1006:$AE$1006,0))&gt;=100000), " ",IF(INDEX($V$2:$AE$1001,MATCH(ROWS($O$2:O515),$O$2:$O$1001,0),MATCH(COLUMNS($V$1006:AE1006),$V$1006:$AE$1006,0)), HYPERLINK("#",""), HYPERLINK(CONCATENATE("#Metadata!", ADDRESS(INDEX($Q$2:$Q$1001,MATCH(ROWS($O$2:O515),$O$2:$O$1001,0),0), INDEX($V$1004:$AE$1004,1,MATCH(COLUMNS($V$1006:AE1006),$V$1006:$AE$1006,0)))),"Fix")))</f>
        <v>0</v>
      </c>
      <c r="O515">
        <v>0</v>
      </c>
      <c r="P515">
        <v>0</v>
      </c>
      <c r="Q515">
        <v>0</v>
      </c>
      <c r="R515">
        <f>IF(S515,TRUE,AND(V515:AE515))</f>
        <v>0</v>
      </c>
      <c r="S515">
        <f>COUNTBLANK(Metadata!B515:K515)=COLUMNS(Metadata!B515:K515)</f>
        <v>0</v>
      </c>
      <c r="T515">
        <v>0</v>
      </c>
      <c r="V515">
        <f>AND(IF(Metadata!B515="",FALSE,TRUE),COUNTIF(Metadata!B:B, Metadata!B515) = 1,NOT(ISERROR(SUMPRODUCT(SEARCH(MID(Metadata!B515,ROW(INDIRECT("1:"&amp;LEN(Metadata!B515))), 1),"0123456789abcdefghijklmnopqrstuvwxyzABCDEFGHIJKLMNOPQRSTUVWXYZ.")))))</f>
        <v>0</v>
      </c>
      <c r="W515">
        <f>AND(IF(Metadata!C515="",FALSE,TRUE),exact(Metadata!C515,"urban biome"))</f>
        <v>0</v>
      </c>
      <c r="X515">
        <f>AND(IF(Metadata!D515="",FALSE,TRUE),exact(Metadata!D515,"animal-associated habitat"))</f>
        <v>0</v>
      </c>
      <c r="Y515">
        <f>OR(AND(IF(Metadata!E515="",FALSE,TRUE),OR(exact(Metadata!E515,"not applicable"),exact(Metadata!E515,"missing: not collected"),exact(Metadata!E515,"missing: not provided"),exact(Metadata!E515,"missing: restricted access"))),AND(IF(Metadata!E515="",FALSE,ISNUMBER(VALUE(Metadata!E515))),Metadata!E515&gt;0))</f>
        <v>0</v>
      </c>
      <c r="Z515">
        <f>AND(IF(Metadata!F515="",FALSE,TRUE),exact(Metadata!F515,"weeks"))</f>
        <v>0</v>
      </c>
      <c r="AA515">
        <f>AND(IF(Metadata!G515="",FALSE,TRUE),exact(Metadata!G515,"mouse"))</f>
        <v>0</v>
      </c>
      <c r="AB515">
        <f>AND(IF(Metadata!H515="",FALSE,TRUE),exact(Metadata!H515,"Mus musculus"))</f>
        <v>0</v>
      </c>
      <c r="AC515">
        <f>AND(IF(Metadata!I515="",FALSE,TRUE),exact(Metadata!I515,"10090"))</f>
        <v>0</v>
      </c>
      <c r="AD515">
        <f>OR(AND(IF(Metadata!J515="",FALSE,TRUE),OR(exact(Metadata!J515,"not applicable"),exact(Metadata!J515,"missing: not collected"),exact(Metadata!J515,"missing: not provided"),exact(Metadata!J515,"missing: restricted access"))),AND(IF(Metadata!J515="",FALSE,ISNUMBER(VALUE(Metadata!J515))),Metadata!J515&gt;0))</f>
        <v>0</v>
      </c>
      <c r="AE515">
        <f>AND(IF(Metadata!K515="",FALSE,TRUE),exact(Metadata!K515,"g"))</f>
        <v>0</v>
      </c>
    </row>
    <row r="516" spans="1:31">
      <c r="A516" s="5">
        <f>IF(B516=" "," ",HYPERLINK(CONCATENATE("#metadata!",ADDRESS(INDEX($Q$2:$Q$1001,MATCH(ROWS($O$2:O516),$O$2:$O$1001,0),0),1)),INDEX($T$2:$T$1001,MATCH(ROWS($O$2:O516),$O$2:$O$1001,0),0)))</f>
        <v>0</v>
      </c>
      <c r="B516" s="4">
        <f>IF(OR(INDEX($P$2:$P$1001,MATCH(ROWS($O$2:O516),$O$2:$O$1001,0),1)&gt;=100000,INDEX($V$1005:$AE$1005,1,MATCH(COLUMNS($V$1006:V1006),$V$1006:$AE$1006,0))&gt;=100000), " ",IF(INDEX($V$2:$AE$1001,MATCH(ROWS($O$2:O516),$O$2:$O$1001,0),MATCH(COLUMNS($V$1006:V1006),$V$1006:$AE$1006,0)), HYPERLINK("#",""), HYPERLINK(CONCATENATE("#Metadata!", ADDRESS(INDEX($Q$2:$Q$1001,MATCH(ROWS($O$2:O516),$O$2:$O$1001,0),0), INDEX($V$1004:$AE$1004,1,MATCH(COLUMNS($V$1006:V1006),$V$1006:$AE$1006,0)))),"Fix")))</f>
        <v>0</v>
      </c>
      <c r="C516" s="4">
        <f>IF(OR(INDEX($P$2:$P$1001,MATCH(ROWS($O$2:O516),$O$2:$O$1001,0),1)&gt;=100000,INDEX($V$1005:$AE$1005,1,MATCH(COLUMNS($V$1006:W1006),$V$1006:$AE$1006,0))&gt;=100000), " ",IF(INDEX($V$2:$AE$1001,MATCH(ROWS($O$2:O516),$O$2:$O$1001,0),MATCH(COLUMNS($V$1006:W1006),$V$1006:$AE$1006,0)), HYPERLINK("#",""), HYPERLINK(CONCATENATE("#Metadata!", ADDRESS(INDEX($Q$2:$Q$1001,MATCH(ROWS($O$2:O516),$O$2:$O$1001,0),0), INDEX($V$1004:$AE$1004,1,MATCH(COLUMNS($V$1006:W1006),$V$1006:$AE$1006,0)))),"Fix")))</f>
        <v>0</v>
      </c>
      <c r="D516" s="4">
        <f>IF(OR(INDEX($P$2:$P$1001,MATCH(ROWS($O$2:O516),$O$2:$O$1001,0),1)&gt;=100000,INDEX($V$1005:$AE$1005,1,MATCH(COLUMNS($V$1006:X1006),$V$1006:$AE$1006,0))&gt;=100000), " ",IF(INDEX($V$2:$AE$1001,MATCH(ROWS($O$2:O516),$O$2:$O$1001,0),MATCH(COLUMNS($V$1006:X1006),$V$1006:$AE$1006,0)), HYPERLINK("#",""), HYPERLINK(CONCATENATE("#Metadata!", ADDRESS(INDEX($Q$2:$Q$1001,MATCH(ROWS($O$2:O516),$O$2:$O$1001,0),0), INDEX($V$1004:$AE$1004,1,MATCH(COLUMNS($V$1006:X1006),$V$1006:$AE$1006,0)))),"Fix")))</f>
        <v>0</v>
      </c>
      <c r="E516" s="4">
        <f>IF(OR(INDEX($P$2:$P$1001,MATCH(ROWS($O$2:O516),$O$2:$O$1001,0),1)&gt;=100000,INDEX($V$1005:$AE$1005,1,MATCH(COLUMNS($V$1006:Y1006),$V$1006:$AE$1006,0))&gt;=100000), " ",IF(INDEX($V$2:$AE$1001,MATCH(ROWS($O$2:O516),$O$2:$O$1001,0),MATCH(COLUMNS($V$1006:Y1006),$V$1006:$AE$1006,0)), HYPERLINK("#",""), HYPERLINK(CONCATENATE("#Metadata!", ADDRESS(INDEX($Q$2:$Q$1001,MATCH(ROWS($O$2:O516),$O$2:$O$1001,0),0), INDEX($V$1004:$AE$1004,1,MATCH(COLUMNS($V$1006:Y1006),$V$1006:$AE$1006,0)))),"Fix")))</f>
        <v>0</v>
      </c>
      <c r="F516" s="4">
        <f>IF(OR(INDEX($P$2:$P$1001,MATCH(ROWS($O$2:O516),$O$2:$O$1001,0),1)&gt;=100000,INDEX($V$1005:$AE$1005,1,MATCH(COLUMNS($V$1006:Z1006),$V$1006:$AE$1006,0))&gt;=100000), " ",IF(INDEX($V$2:$AE$1001,MATCH(ROWS($O$2:O516),$O$2:$O$1001,0),MATCH(COLUMNS($V$1006:Z1006),$V$1006:$AE$1006,0)), HYPERLINK("#",""), HYPERLINK(CONCATENATE("#Metadata!", ADDRESS(INDEX($Q$2:$Q$1001,MATCH(ROWS($O$2:O516),$O$2:$O$1001,0),0), INDEX($V$1004:$AE$1004,1,MATCH(COLUMNS($V$1006:Z1006),$V$1006:$AE$1006,0)))),"Fix")))</f>
        <v>0</v>
      </c>
      <c r="G516" s="4">
        <f>IF(OR(INDEX($P$2:$P$1001,MATCH(ROWS($O$2:O516),$O$2:$O$1001,0),1)&gt;=100000,INDEX($V$1005:$AE$1005,1,MATCH(COLUMNS($V$1006:AA1006),$V$1006:$AE$1006,0))&gt;=100000), " ",IF(INDEX($V$2:$AE$1001,MATCH(ROWS($O$2:O516),$O$2:$O$1001,0),MATCH(COLUMNS($V$1006:AA1006),$V$1006:$AE$1006,0)), HYPERLINK("#",""), HYPERLINK(CONCATENATE("#Metadata!", ADDRESS(INDEX($Q$2:$Q$1001,MATCH(ROWS($O$2:O516),$O$2:$O$1001,0),0), INDEX($V$1004:$AE$1004,1,MATCH(COLUMNS($V$1006:AA1006),$V$1006:$AE$1006,0)))),"Fix")))</f>
        <v>0</v>
      </c>
      <c r="H516" s="4">
        <f>IF(OR(INDEX($P$2:$P$1001,MATCH(ROWS($O$2:O516),$O$2:$O$1001,0),1)&gt;=100000,INDEX($V$1005:$AE$1005,1,MATCH(COLUMNS($V$1006:AB1006),$V$1006:$AE$1006,0))&gt;=100000), " ",IF(INDEX($V$2:$AE$1001,MATCH(ROWS($O$2:O516),$O$2:$O$1001,0),MATCH(COLUMNS($V$1006:AB1006),$V$1006:$AE$1006,0)), HYPERLINK("#",""), HYPERLINK(CONCATENATE("#Metadata!", ADDRESS(INDEX($Q$2:$Q$1001,MATCH(ROWS($O$2:O516),$O$2:$O$1001,0),0), INDEX($V$1004:$AE$1004,1,MATCH(COLUMNS($V$1006:AB1006),$V$1006:$AE$1006,0)))),"Fix")))</f>
        <v>0</v>
      </c>
      <c r="I516" s="4">
        <f>IF(OR(INDEX($P$2:$P$1001,MATCH(ROWS($O$2:O516),$O$2:$O$1001,0),1)&gt;=100000,INDEX($V$1005:$AE$1005,1,MATCH(COLUMNS($V$1006:AC1006),$V$1006:$AE$1006,0))&gt;=100000), " ",IF(INDEX($V$2:$AE$1001,MATCH(ROWS($O$2:O516),$O$2:$O$1001,0),MATCH(COLUMNS($V$1006:AC1006),$V$1006:$AE$1006,0)), HYPERLINK("#",""), HYPERLINK(CONCATENATE("#Metadata!", ADDRESS(INDEX($Q$2:$Q$1001,MATCH(ROWS($O$2:O516),$O$2:$O$1001,0),0), INDEX($V$1004:$AE$1004,1,MATCH(COLUMNS($V$1006:AC1006),$V$1006:$AE$1006,0)))),"Fix")))</f>
        <v>0</v>
      </c>
      <c r="J516" s="4">
        <f>IF(OR(INDEX($P$2:$P$1001,MATCH(ROWS($O$2:O516),$O$2:$O$1001,0),1)&gt;=100000,INDEX($V$1005:$AE$1005,1,MATCH(COLUMNS($V$1006:AD1006),$V$1006:$AE$1006,0))&gt;=100000), " ",IF(INDEX($V$2:$AE$1001,MATCH(ROWS($O$2:O516),$O$2:$O$1001,0),MATCH(COLUMNS($V$1006:AD1006),$V$1006:$AE$1006,0)), HYPERLINK("#",""), HYPERLINK(CONCATENATE("#Metadata!", ADDRESS(INDEX($Q$2:$Q$1001,MATCH(ROWS($O$2:O516),$O$2:$O$1001,0),0), INDEX($V$1004:$AE$1004,1,MATCH(COLUMNS($V$1006:AD1006),$V$1006:$AE$1006,0)))),"Fix")))</f>
        <v>0</v>
      </c>
      <c r="K516" s="4">
        <f>IF(OR(INDEX($P$2:$P$1001,MATCH(ROWS($O$2:O516),$O$2:$O$1001,0),1)&gt;=100000,INDEX($V$1005:$AE$1005,1,MATCH(COLUMNS($V$1006:AE1006),$V$1006:$AE$1006,0))&gt;=100000), " ",IF(INDEX($V$2:$AE$1001,MATCH(ROWS($O$2:O516),$O$2:$O$1001,0),MATCH(COLUMNS($V$1006:AE1006),$V$1006:$AE$1006,0)), HYPERLINK("#",""), HYPERLINK(CONCATENATE("#Metadata!", ADDRESS(INDEX($Q$2:$Q$1001,MATCH(ROWS($O$2:O516),$O$2:$O$1001,0),0), INDEX($V$1004:$AE$1004,1,MATCH(COLUMNS($V$1006:AE1006),$V$1006:$AE$1006,0)))),"Fix")))</f>
        <v>0</v>
      </c>
      <c r="O516">
        <v>0</v>
      </c>
      <c r="P516">
        <v>0</v>
      </c>
      <c r="Q516">
        <v>0</v>
      </c>
      <c r="R516">
        <f>IF(S516,TRUE,AND(V516:AE516))</f>
        <v>0</v>
      </c>
      <c r="S516">
        <f>COUNTBLANK(Metadata!B516:K516)=COLUMNS(Metadata!B516:K516)</f>
        <v>0</v>
      </c>
      <c r="T516">
        <v>0</v>
      </c>
      <c r="V516">
        <f>AND(IF(Metadata!B516="",FALSE,TRUE),COUNTIF(Metadata!B:B, Metadata!B516) = 1,NOT(ISERROR(SUMPRODUCT(SEARCH(MID(Metadata!B516,ROW(INDIRECT("1:"&amp;LEN(Metadata!B516))), 1),"0123456789abcdefghijklmnopqrstuvwxyzABCDEFGHIJKLMNOPQRSTUVWXYZ.")))))</f>
        <v>0</v>
      </c>
      <c r="W516">
        <f>AND(IF(Metadata!C516="",FALSE,TRUE),exact(Metadata!C516,"urban biome"))</f>
        <v>0</v>
      </c>
      <c r="X516">
        <f>AND(IF(Metadata!D516="",FALSE,TRUE),exact(Metadata!D516,"animal-associated habitat"))</f>
        <v>0</v>
      </c>
      <c r="Y516">
        <f>OR(AND(IF(Metadata!E516="",FALSE,TRUE),OR(exact(Metadata!E516,"not applicable"),exact(Metadata!E516,"missing: not collected"),exact(Metadata!E516,"missing: not provided"),exact(Metadata!E516,"missing: restricted access"))),AND(IF(Metadata!E516="",FALSE,ISNUMBER(VALUE(Metadata!E516))),Metadata!E516&gt;0))</f>
        <v>0</v>
      </c>
      <c r="Z516">
        <f>AND(IF(Metadata!F516="",FALSE,TRUE),exact(Metadata!F516,"weeks"))</f>
        <v>0</v>
      </c>
      <c r="AA516">
        <f>AND(IF(Metadata!G516="",FALSE,TRUE),exact(Metadata!G516,"mouse"))</f>
        <v>0</v>
      </c>
      <c r="AB516">
        <f>AND(IF(Metadata!H516="",FALSE,TRUE),exact(Metadata!H516,"Mus musculus"))</f>
        <v>0</v>
      </c>
      <c r="AC516">
        <f>AND(IF(Metadata!I516="",FALSE,TRUE),exact(Metadata!I516,"10090"))</f>
        <v>0</v>
      </c>
      <c r="AD516">
        <f>OR(AND(IF(Metadata!J516="",FALSE,TRUE),OR(exact(Metadata!J516,"not applicable"),exact(Metadata!J516,"missing: not collected"),exact(Metadata!J516,"missing: not provided"),exact(Metadata!J516,"missing: restricted access"))),AND(IF(Metadata!J516="",FALSE,ISNUMBER(VALUE(Metadata!J516))),Metadata!J516&gt;0))</f>
        <v>0</v>
      </c>
      <c r="AE516">
        <f>AND(IF(Metadata!K516="",FALSE,TRUE),exact(Metadata!K516,"g"))</f>
        <v>0</v>
      </c>
    </row>
    <row r="517" spans="1:31">
      <c r="A517" s="5">
        <f>IF(B517=" "," ",HYPERLINK(CONCATENATE("#metadata!",ADDRESS(INDEX($Q$2:$Q$1001,MATCH(ROWS($O$2:O517),$O$2:$O$1001,0),0),1)),INDEX($T$2:$T$1001,MATCH(ROWS($O$2:O517),$O$2:$O$1001,0),0)))</f>
        <v>0</v>
      </c>
      <c r="B517" s="4">
        <f>IF(OR(INDEX($P$2:$P$1001,MATCH(ROWS($O$2:O517),$O$2:$O$1001,0),1)&gt;=100000,INDEX($V$1005:$AE$1005,1,MATCH(COLUMNS($V$1006:V1006),$V$1006:$AE$1006,0))&gt;=100000), " ",IF(INDEX($V$2:$AE$1001,MATCH(ROWS($O$2:O517),$O$2:$O$1001,0),MATCH(COLUMNS($V$1006:V1006),$V$1006:$AE$1006,0)), HYPERLINK("#",""), HYPERLINK(CONCATENATE("#Metadata!", ADDRESS(INDEX($Q$2:$Q$1001,MATCH(ROWS($O$2:O517),$O$2:$O$1001,0),0), INDEX($V$1004:$AE$1004,1,MATCH(COLUMNS($V$1006:V1006),$V$1006:$AE$1006,0)))),"Fix")))</f>
        <v>0</v>
      </c>
      <c r="C517" s="4">
        <f>IF(OR(INDEX($P$2:$P$1001,MATCH(ROWS($O$2:O517),$O$2:$O$1001,0),1)&gt;=100000,INDEX($V$1005:$AE$1005,1,MATCH(COLUMNS($V$1006:W1006),$V$1006:$AE$1006,0))&gt;=100000), " ",IF(INDEX($V$2:$AE$1001,MATCH(ROWS($O$2:O517),$O$2:$O$1001,0),MATCH(COLUMNS($V$1006:W1006),$V$1006:$AE$1006,0)), HYPERLINK("#",""), HYPERLINK(CONCATENATE("#Metadata!", ADDRESS(INDEX($Q$2:$Q$1001,MATCH(ROWS($O$2:O517),$O$2:$O$1001,0),0), INDEX($V$1004:$AE$1004,1,MATCH(COLUMNS($V$1006:W1006),$V$1006:$AE$1006,0)))),"Fix")))</f>
        <v>0</v>
      </c>
      <c r="D517" s="4">
        <f>IF(OR(INDEX($P$2:$P$1001,MATCH(ROWS($O$2:O517),$O$2:$O$1001,0),1)&gt;=100000,INDEX($V$1005:$AE$1005,1,MATCH(COLUMNS($V$1006:X1006),$V$1006:$AE$1006,0))&gt;=100000), " ",IF(INDEX($V$2:$AE$1001,MATCH(ROWS($O$2:O517),$O$2:$O$1001,0),MATCH(COLUMNS($V$1006:X1006),$V$1006:$AE$1006,0)), HYPERLINK("#",""), HYPERLINK(CONCATENATE("#Metadata!", ADDRESS(INDEX($Q$2:$Q$1001,MATCH(ROWS($O$2:O517),$O$2:$O$1001,0),0), INDEX($V$1004:$AE$1004,1,MATCH(COLUMNS($V$1006:X1006),$V$1006:$AE$1006,0)))),"Fix")))</f>
        <v>0</v>
      </c>
      <c r="E517" s="4">
        <f>IF(OR(INDEX($P$2:$P$1001,MATCH(ROWS($O$2:O517),$O$2:$O$1001,0),1)&gt;=100000,INDEX($V$1005:$AE$1005,1,MATCH(COLUMNS($V$1006:Y1006),$V$1006:$AE$1006,0))&gt;=100000), " ",IF(INDEX($V$2:$AE$1001,MATCH(ROWS($O$2:O517),$O$2:$O$1001,0),MATCH(COLUMNS($V$1006:Y1006),$V$1006:$AE$1006,0)), HYPERLINK("#",""), HYPERLINK(CONCATENATE("#Metadata!", ADDRESS(INDEX($Q$2:$Q$1001,MATCH(ROWS($O$2:O517),$O$2:$O$1001,0),0), INDEX($V$1004:$AE$1004,1,MATCH(COLUMNS($V$1006:Y1006),$V$1006:$AE$1006,0)))),"Fix")))</f>
        <v>0</v>
      </c>
      <c r="F517" s="4">
        <f>IF(OR(INDEX($P$2:$P$1001,MATCH(ROWS($O$2:O517),$O$2:$O$1001,0),1)&gt;=100000,INDEX($V$1005:$AE$1005,1,MATCH(COLUMNS($V$1006:Z1006),$V$1006:$AE$1006,0))&gt;=100000), " ",IF(INDEX($V$2:$AE$1001,MATCH(ROWS($O$2:O517),$O$2:$O$1001,0),MATCH(COLUMNS($V$1006:Z1006),$V$1006:$AE$1006,0)), HYPERLINK("#",""), HYPERLINK(CONCATENATE("#Metadata!", ADDRESS(INDEX($Q$2:$Q$1001,MATCH(ROWS($O$2:O517),$O$2:$O$1001,0),0), INDEX($V$1004:$AE$1004,1,MATCH(COLUMNS($V$1006:Z1006),$V$1006:$AE$1006,0)))),"Fix")))</f>
        <v>0</v>
      </c>
      <c r="G517" s="4">
        <f>IF(OR(INDEX($P$2:$P$1001,MATCH(ROWS($O$2:O517),$O$2:$O$1001,0),1)&gt;=100000,INDEX($V$1005:$AE$1005,1,MATCH(COLUMNS($V$1006:AA1006),$V$1006:$AE$1006,0))&gt;=100000), " ",IF(INDEX($V$2:$AE$1001,MATCH(ROWS($O$2:O517),$O$2:$O$1001,0),MATCH(COLUMNS($V$1006:AA1006),$V$1006:$AE$1006,0)), HYPERLINK("#",""), HYPERLINK(CONCATENATE("#Metadata!", ADDRESS(INDEX($Q$2:$Q$1001,MATCH(ROWS($O$2:O517),$O$2:$O$1001,0),0), INDEX($V$1004:$AE$1004,1,MATCH(COLUMNS($V$1006:AA1006),$V$1006:$AE$1006,0)))),"Fix")))</f>
        <v>0</v>
      </c>
      <c r="H517" s="4">
        <f>IF(OR(INDEX($P$2:$P$1001,MATCH(ROWS($O$2:O517),$O$2:$O$1001,0),1)&gt;=100000,INDEX($V$1005:$AE$1005,1,MATCH(COLUMNS($V$1006:AB1006),$V$1006:$AE$1006,0))&gt;=100000), " ",IF(INDEX($V$2:$AE$1001,MATCH(ROWS($O$2:O517),$O$2:$O$1001,0),MATCH(COLUMNS($V$1006:AB1006),$V$1006:$AE$1006,0)), HYPERLINK("#",""), HYPERLINK(CONCATENATE("#Metadata!", ADDRESS(INDEX($Q$2:$Q$1001,MATCH(ROWS($O$2:O517),$O$2:$O$1001,0),0), INDEX($V$1004:$AE$1004,1,MATCH(COLUMNS($V$1006:AB1006),$V$1006:$AE$1006,0)))),"Fix")))</f>
        <v>0</v>
      </c>
      <c r="I517" s="4">
        <f>IF(OR(INDEX($P$2:$P$1001,MATCH(ROWS($O$2:O517),$O$2:$O$1001,0),1)&gt;=100000,INDEX($V$1005:$AE$1005,1,MATCH(COLUMNS($V$1006:AC1006),$V$1006:$AE$1006,0))&gt;=100000), " ",IF(INDEX($V$2:$AE$1001,MATCH(ROWS($O$2:O517),$O$2:$O$1001,0),MATCH(COLUMNS($V$1006:AC1006),$V$1006:$AE$1006,0)), HYPERLINK("#",""), HYPERLINK(CONCATENATE("#Metadata!", ADDRESS(INDEX($Q$2:$Q$1001,MATCH(ROWS($O$2:O517),$O$2:$O$1001,0),0), INDEX($V$1004:$AE$1004,1,MATCH(COLUMNS($V$1006:AC1006),$V$1006:$AE$1006,0)))),"Fix")))</f>
        <v>0</v>
      </c>
      <c r="J517" s="4">
        <f>IF(OR(INDEX($P$2:$P$1001,MATCH(ROWS($O$2:O517),$O$2:$O$1001,0),1)&gt;=100000,INDEX($V$1005:$AE$1005,1,MATCH(COLUMNS($V$1006:AD1006),$V$1006:$AE$1006,0))&gt;=100000), " ",IF(INDEX($V$2:$AE$1001,MATCH(ROWS($O$2:O517),$O$2:$O$1001,0),MATCH(COLUMNS($V$1006:AD1006),$V$1006:$AE$1006,0)), HYPERLINK("#",""), HYPERLINK(CONCATENATE("#Metadata!", ADDRESS(INDEX($Q$2:$Q$1001,MATCH(ROWS($O$2:O517),$O$2:$O$1001,0),0), INDEX($V$1004:$AE$1004,1,MATCH(COLUMNS($V$1006:AD1006),$V$1006:$AE$1006,0)))),"Fix")))</f>
        <v>0</v>
      </c>
      <c r="K517" s="4">
        <f>IF(OR(INDEX($P$2:$P$1001,MATCH(ROWS($O$2:O517),$O$2:$O$1001,0),1)&gt;=100000,INDEX($V$1005:$AE$1005,1,MATCH(COLUMNS($V$1006:AE1006),$V$1006:$AE$1006,0))&gt;=100000), " ",IF(INDEX($V$2:$AE$1001,MATCH(ROWS($O$2:O517),$O$2:$O$1001,0),MATCH(COLUMNS($V$1006:AE1006),$V$1006:$AE$1006,0)), HYPERLINK("#",""), HYPERLINK(CONCATENATE("#Metadata!", ADDRESS(INDEX($Q$2:$Q$1001,MATCH(ROWS($O$2:O517),$O$2:$O$1001,0),0), INDEX($V$1004:$AE$1004,1,MATCH(COLUMNS($V$1006:AE1006),$V$1006:$AE$1006,0)))),"Fix")))</f>
        <v>0</v>
      </c>
      <c r="O517">
        <v>0</v>
      </c>
      <c r="P517">
        <v>0</v>
      </c>
      <c r="Q517">
        <v>0</v>
      </c>
      <c r="R517">
        <f>IF(S517,TRUE,AND(V517:AE517))</f>
        <v>0</v>
      </c>
      <c r="S517">
        <f>COUNTBLANK(Metadata!B517:K517)=COLUMNS(Metadata!B517:K517)</f>
        <v>0</v>
      </c>
      <c r="T517">
        <v>0</v>
      </c>
      <c r="V517">
        <f>AND(IF(Metadata!B517="",FALSE,TRUE),COUNTIF(Metadata!B:B, Metadata!B517) = 1,NOT(ISERROR(SUMPRODUCT(SEARCH(MID(Metadata!B517,ROW(INDIRECT("1:"&amp;LEN(Metadata!B517))), 1),"0123456789abcdefghijklmnopqrstuvwxyzABCDEFGHIJKLMNOPQRSTUVWXYZ.")))))</f>
        <v>0</v>
      </c>
      <c r="W517">
        <f>AND(IF(Metadata!C517="",FALSE,TRUE),exact(Metadata!C517,"urban biome"))</f>
        <v>0</v>
      </c>
      <c r="X517">
        <f>AND(IF(Metadata!D517="",FALSE,TRUE),exact(Metadata!D517,"animal-associated habitat"))</f>
        <v>0</v>
      </c>
      <c r="Y517">
        <f>OR(AND(IF(Metadata!E517="",FALSE,TRUE),OR(exact(Metadata!E517,"not applicable"),exact(Metadata!E517,"missing: not collected"),exact(Metadata!E517,"missing: not provided"),exact(Metadata!E517,"missing: restricted access"))),AND(IF(Metadata!E517="",FALSE,ISNUMBER(VALUE(Metadata!E517))),Metadata!E517&gt;0))</f>
        <v>0</v>
      </c>
      <c r="Z517">
        <f>AND(IF(Metadata!F517="",FALSE,TRUE),exact(Metadata!F517,"weeks"))</f>
        <v>0</v>
      </c>
      <c r="AA517">
        <f>AND(IF(Metadata!G517="",FALSE,TRUE),exact(Metadata!G517,"mouse"))</f>
        <v>0</v>
      </c>
      <c r="AB517">
        <f>AND(IF(Metadata!H517="",FALSE,TRUE),exact(Metadata!H517,"Mus musculus"))</f>
        <v>0</v>
      </c>
      <c r="AC517">
        <f>AND(IF(Metadata!I517="",FALSE,TRUE),exact(Metadata!I517,"10090"))</f>
        <v>0</v>
      </c>
      <c r="AD517">
        <f>OR(AND(IF(Metadata!J517="",FALSE,TRUE),OR(exact(Metadata!J517,"not applicable"),exact(Metadata!J517,"missing: not collected"),exact(Metadata!J517,"missing: not provided"),exact(Metadata!J517,"missing: restricted access"))),AND(IF(Metadata!J517="",FALSE,ISNUMBER(VALUE(Metadata!J517))),Metadata!J517&gt;0))</f>
        <v>0</v>
      </c>
      <c r="AE517">
        <f>AND(IF(Metadata!K517="",FALSE,TRUE),exact(Metadata!K517,"g"))</f>
        <v>0</v>
      </c>
    </row>
    <row r="518" spans="1:31">
      <c r="A518" s="5">
        <f>IF(B518=" "," ",HYPERLINK(CONCATENATE("#metadata!",ADDRESS(INDEX($Q$2:$Q$1001,MATCH(ROWS($O$2:O518),$O$2:$O$1001,0),0),1)),INDEX($T$2:$T$1001,MATCH(ROWS($O$2:O518),$O$2:$O$1001,0),0)))</f>
        <v>0</v>
      </c>
      <c r="B518" s="4">
        <f>IF(OR(INDEX($P$2:$P$1001,MATCH(ROWS($O$2:O518),$O$2:$O$1001,0),1)&gt;=100000,INDEX($V$1005:$AE$1005,1,MATCH(COLUMNS($V$1006:V1006),$V$1006:$AE$1006,0))&gt;=100000), " ",IF(INDEX($V$2:$AE$1001,MATCH(ROWS($O$2:O518),$O$2:$O$1001,0),MATCH(COLUMNS($V$1006:V1006),$V$1006:$AE$1006,0)), HYPERLINK("#",""), HYPERLINK(CONCATENATE("#Metadata!", ADDRESS(INDEX($Q$2:$Q$1001,MATCH(ROWS($O$2:O518),$O$2:$O$1001,0),0), INDEX($V$1004:$AE$1004,1,MATCH(COLUMNS($V$1006:V1006),$V$1006:$AE$1006,0)))),"Fix")))</f>
        <v>0</v>
      </c>
      <c r="C518" s="4">
        <f>IF(OR(INDEX($P$2:$P$1001,MATCH(ROWS($O$2:O518),$O$2:$O$1001,0),1)&gt;=100000,INDEX($V$1005:$AE$1005,1,MATCH(COLUMNS($V$1006:W1006),$V$1006:$AE$1006,0))&gt;=100000), " ",IF(INDEX($V$2:$AE$1001,MATCH(ROWS($O$2:O518),$O$2:$O$1001,0),MATCH(COLUMNS($V$1006:W1006),$V$1006:$AE$1006,0)), HYPERLINK("#",""), HYPERLINK(CONCATENATE("#Metadata!", ADDRESS(INDEX($Q$2:$Q$1001,MATCH(ROWS($O$2:O518),$O$2:$O$1001,0),0), INDEX($V$1004:$AE$1004,1,MATCH(COLUMNS($V$1006:W1006),$V$1006:$AE$1006,0)))),"Fix")))</f>
        <v>0</v>
      </c>
      <c r="D518" s="4">
        <f>IF(OR(INDEX($P$2:$P$1001,MATCH(ROWS($O$2:O518),$O$2:$O$1001,0),1)&gt;=100000,INDEX($V$1005:$AE$1005,1,MATCH(COLUMNS($V$1006:X1006),$V$1006:$AE$1006,0))&gt;=100000), " ",IF(INDEX($V$2:$AE$1001,MATCH(ROWS($O$2:O518),$O$2:$O$1001,0),MATCH(COLUMNS($V$1006:X1006),$V$1006:$AE$1006,0)), HYPERLINK("#",""), HYPERLINK(CONCATENATE("#Metadata!", ADDRESS(INDEX($Q$2:$Q$1001,MATCH(ROWS($O$2:O518),$O$2:$O$1001,0),0), INDEX($V$1004:$AE$1004,1,MATCH(COLUMNS($V$1006:X1006),$V$1006:$AE$1006,0)))),"Fix")))</f>
        <v>0</v>
      </c>
      <c r="E518" s="4">
        <f>IF(OR(INDEX($P$2:$P$1001,MATCH(ROWS($O$2:O518),$O$2:$O$1001,0),1)&gt;=100000,INDEX($V$1005:$AE$1005,1,MATCH(COLUMNS($V$1006:Y1006),$V$1006:$AE$1006,0))&gt;=100000), " ",IF(INDEX($V$2:$AE$1001,MATCH(ROWS($O$2:O518),$O$2:$O$1001,0),MATCH(COLUMNS($V$1006:Y1006),$V$1006:$AE$1006,0)), HYPERLINK("#",""), HYPERLINK(CONCATENATE("#Metadata!", ADDRESS(INDEX($Q$2:$Q$1001,MATCH(ROWS($O$2:O518),$O$2:$O$1001,0),0), INDEX($V$1004:$AE$1004,1,MATCH(COLUMNS($V$1006:Y1006),$V$1006:$AE$1006,0)))),"Fix")))</f>
        <v>0</v>
      </c>
      <c r="F518" s="4">
        <f>IF(OR(INDEX($P$2:$P$1001,MATCH(ROWS($O$2:O518),$O$2:$O$1001,0),1)&gt;=100000,INDEX($V$1005:$AE$1005,1,MATCH(COLUMNS($V$1006:Z1006),$V$1006:$AE$1006,0))&gt;=100000), " ",IF(INDEX($V$2:$AE$1001,MATCH(ROWS($O$2:O518),$O$2:$O$1001,0),MATCH(COLUMNS($V$1006:Z1006),$V$1006:$AE$1006,0)), HYPERLINK("#",""), HYPERLINK(CONCATENATE("#Metadata!", ADDRESS(INDEX($Q$2:$Q$1001,MATCH(ROWS($O$2:O518),$O$2:$O$1001,0),0), INDEX($V$1004:$AE$1004,1,MATCH(COLUMNS($V$1006:Z1006),$V$1006:$AE$1006,0)))),"Fix")))</f>
        <v>0</v>
      </c>
      <c r="G518" s="4">
        <f>IF(OR(INDEX($P$2:$P$1001,MATCH(ROWS($O$2:O518),$O$2:$O$1001,0),1)&gt;=100000,INDEX($V$1005:$AE$1005,1,MATCH(COLUMNS($V$1006:AA1006),$V$1006:$AE$1006,0))&gt;=100000), " ",IF(INDEX($V$2:$AE$1001,MATCH(ROWS($O$2:O518),$O$2:$O$1001,0),MATCH(COLUMNS($V$1006:AA1006),$V$1006:$AE$1006,0)), HYPERLINK("#",""), HYPERLINK(CONCATENATE("#Metadata!", ADDRESS(INDEX($Q$2:$Q$1001,MATCH(ROWS($O$2:O518),$O$2:$O$1001,0),0), INDEX($V$1004:$AE$1004,1,MATCH(COLUMNS($V$1006:AA1006),$V$1006:$AE$1006,0)))),"Fix")))</f>
        <v>0</v>
      </c>
      <c r="H518" s="4">
        <f>IF(OR(INDEX($P$2:$P$1001,MATCH(ROWS($O$2:O518),$O$2:$O$1001,0),1)&gt;=100000,INDEX($V$1005:$AE$1005,1,MATCH(COLUMNS($V$1006:AB1006),$V$1006:$AE$1006,0))&gt;=100000), " ",IF(INDEX($V$2:$AE$1001,MATCH(ROWS($O$2:O518),$O$2:$O$1001,0),MATCH(COLUMNS($V$1006:AB1006),$V$1006:$AE$1006,0)), HYPERLINK("#",""), HYPERLINK(CONCATENATE("#Metadata!", ADDRESS(INDEX($Q$2:$Q$1001,MATCH(ROWS($O$2:O518),$O$2:$O$1001,0),0), INDEX($V$1004:$AE$1004,1,MATCH(COLUMNS($V$1006:AB1006),$V$1006:$AE$1006,0)))),"Fix")))</f>
        <v>0</v>
      </c>
      <c r="I518" s="4">
        <f>IF(OR(INDEX($P$2:$P$1001,MATCH(ROWS($O$2:O518),$O$2:$O$1001,0),1)&gt;=100000,INDEX($V$1005:$AE$1005,1,MATCH(COLUMNS($V$1006:AC1006),$V$1006:$AE$1006,0))&gt;=100000), " ",IF(INDEX($V$2:$AE$1001,MATCH(ROWS($O$2:O518),$O$2:$O$1001,0),MATCH(COLUMNS($V$1006:AC1006),$V$1006:$AE$1006,0)), HYPERLINK("#",""), HYPERLINK(CONCATENATE("#Metadata!", ADDRESS(INDEX($Q$2:$Q$1001,MATCH(ROWS($O$2:O518),$O$2:$O$1001,0),0), INDEX($V$1004:$AE$1004,1,MATCH(COLUMNS($V$1006:AC1006),$V$1006:$AE$1006,0)))),"Fix")))</f>
        <v>0</v>
      </c>
      <c r="J518" s="4">
        <f>IF(OR(INDEX($P$2:$P$1001,MATCH(ROWS($O$2:O518),$O$2:$O$1001,0),1)&gt;=100000,INDEX($V$1005:$AE$1005,1,MATCH(COLUMNS($V$1006:AD1006),$V$1006:$AE$1006,0))&gt;=100000), " ",IF(INDEX($V$2:$AE$1001,MATCH(ROWS($O$2:O518),$O$2:$O$1001,0),MATCH(COLUMNS($V$1006:AD1006),$V$1006:$AE$1006,0)), HYPERLINK("#",""), HYPERLINK(CONCATENATE("#Metadata!", ADDRESS(INDEX($Q$2:$Q$1001,MATCH(ROWS($O$2:O518),$O$2:$O$1001,0),0), INDEX($V$1004:$AE$1004,1,MATCH(COLUMNS($V$1006:AD1006),$V$1006:$AE$1006,0)))),"Fix")))</f>
        <v>0</v>
      </c>
      <c r="K518" s="4">
        <f>IF(OR(INDEX($P$2:$P$1001,MATCH(ROWS($O$2:O518),$O$2:$O$1001,0),1)&gt;=100000,INDEX($V$1005:$AE$1005,1,MATCH(COLUMNS($V$1006:AE1006),$V$1006:$AE$1006,0))&gt;=100000), " ",IF(INDEX($V$2:$AE$1001,MATCH(ROWS($O$2:O518),$O$2:$O$1001,0),MATCH(COLUMNS($V$1006:AE1006),$V$1006:$AE$1006,0)), HYPERLINK("#",""), HYPERLINK(CONCATENATE("#Metadata!", ADDRESS(INDEX($Q$2:$Q$1001,MATCH(ROWS($O$2:O518),$O$2:$O$1001,0),0), INDEX($V$1004:$AE$1004,1,MATCH(COLUMNS($V$1006:AE1006),$V$1006:$AE$1006,0)))),"Fix")))</f>
        <v>0</v>
      </c>
      <c r="O518">
        <v>0</v>
      </c>
      <c r="P518">
        <v>0</v>
      </c>
      <c r="Q518">
        <v>0</v>
      </c>
      <c r="R518">
        <f>IF(S518,TRUE,AND(V518:AE518))</f>
        <v>0</v>
      </c>
      <c r="S518">
        <f>COUNTBLANK(Metadata!B518:K518)=COLUMNS(Metadata!B518:K518)</f>
        <v>0</v>
      </c>
      <c r="T518">
        <v>0</v>
      </c>
      <c r="V518">
        <f>AND(IF(Metadata!B518="",FALSE,TRUE),COUNTIF(Metadata!B:B, Metadata!B518) = 1,NOT(ISERROR(SUMPRODUCT(SEARCH(MID(Metadata!B518,ROW(INDIRECT("1:"&amp;LEN(Metadata!B518))), 1),"0123456789abcdefghijklmnopqrstuvwxyzABCDEFGHIJKLMNOPQRSTUVWXYZ.")))))</f>
        <v>0</v>
      </c>
      <c r="W518">
        <f>AND(IF(Metadata!C518="",FALSE,TRUE),exact(Metadata!C518,"urban biome"))</f>
        <v>0</v>
      </c>
      <c r="X518">
        <f>AND(IF(Metadata!D518="",FALSE,TRUE),exact(Metadata!D518,"animal-associated habitat"))</f>
        <v>0</v>
      </c>
      <c r="Y518">
        <f>OR(AND(IF(Metadata!E518="",FALSE,TRUE),OR(exact(Metadata!E518,"not applicable"),exact(Metadata!E518,"missing: not collected"),exact(Metadata!E518,"missing: not provided"),exact(Metadata!E518,"missing: restricted access"))),AND(IF(Metadata!E518="",FALSE,ISNUMBER(VALUE(Metadata!E518))),Metadata!E518&gt;0))</f>
        <v>0</v>
      </c>
      <c r="Z518">
        <f>AND(IF(Metadata!F518="",FALSE,TRUE),exact(Metadata!F518,"weeks"))</f>
        <v>0</v>
      </c>
      <c r="AA518">
        <f>AND(IF(Metadata!G518="",FALSE,TRUE),exact(Metadata!G518,"mouse"))</f>
        <v>0</v>
      </c>
      <c r="AB518">
        <f>AND(IF(Metadata!H518="",FALSE,TRUE),exact(Metadata!H518,"Mus musculus"))</f>
        <v>0</v>
      </c>
      <c r="AC518">
        <f>AND(IF(Metadata!I518="",FALSE,TRUE),exact(Metadata!I518,"10090"))</f>
        <v>0</v>
      </c>
      <c r="AD518">
        <f>OR(AND(IF(Metadata!J518="",FALSE,TRUE),OR(exact(Metadata!J518,"not applicable"),exact(Metadata!J518,"missing: not collected"),exact(Metadata!J518,"missing: not provided"),exact(Metadata!J518,"missing: restricted access"))),AND(IF(Metadata!J518="",FALSE,ISNUMBER(VALUE(Metadata!J518))),Metadata!J518&gt;0))</f>
        <v>0</v>
      </c>
      <c r="AE518">
        <f>AND(IF(Metadata!K518="",FALSE,TRUE),exact(Metadata!K518,"g"))</f>
        <v>0</v>
      </c>
    </row>
    <row r="519" spans="1:31">
      <c r="A519" s="5">
        <f>IF(B519=" "," ",HYPERLINK(CONCATENATE("#metadata!",ADDRESS(INDEX($Q$2:$Q$1001,MATCH(ROWS($O$2:O519),$O$2:$O$1001,0),0),1)),INDEX($T$2:$T$1001,MATCH(ROWS($O$2:O519),$O$2:$O$1001,0),0)))</f>
        <v>0</v>
      </c>
      <c r="B519" s="4">
        <f>IF(OR(INDEX($P$2:$P$1001,MATCH(ROWS($O$2:O519),$O$2:$O$1001,0),1)&gt;=100000,INDEX($V$1005:$AE$1005,1,MATCH(COLUMNS($V$1006:V1006),$V$1006:$AE$1006,0))&gt;=100000), " ",IF(INDEX($V$2:$AE$1001,MATCH(ROWS($O$2:O519),$O$2:$O$1001,0),MATCH(COLUMNS($V$1006:V1006),$V$1006:$AE$1006,0)), HYPERLINK("#",""), HYPERLINK(CONCATENATE("#Metadata!", ADDRESS(INDEX($Q$2:$Q$1001,MATCH(ROWS($O$2:O519),$O$2:$O$1001,0),0), INDEX($V$1004:$AE$1004,1,MATCH(COLUMNS($V$1006:V1006),$V$1006:$AE$1006,0)))),"Fix")))</f>
        <v>0</v>
      </c>
      <c r="C519" s="4">
        <f>IF(OR(INDEX($P$2:$P$1001,MATCH(ROWS($O$2:O519),$O$2:$O$1001,0),1)&gt;=100000,INDEX($V$1005:$AE$1005,1,MATCH(COLUMNS($V$1006:W1006),$V$1006:$AE$1006,0))&gt;=100000), " ",IF(INDEX($V$2:$AE$1001,MATCH(ROWS($O$2:O519),$O$2:$O$1001,0),MATCH(COLUMNS($V$1006:W1006),$V$1006:$AE$1006,0)), HYPERLINK("#",""), HYPERLINK(CONCATENATE("#Metadata!", ADDRESS(INDEX($Q$2:$Q$1001,MATCH(ROWS($O$2:O519),$O$2:$O$1001,0),0), INDEX($V$1004:$AE$1004,1,MATCH(COLUMNS($V$1006:W1006),$V$1006:$AE$1006,0)))),"Fix")))</f>
        <v>0</v>
      </c>
      <c r="D519" s="4">
        <f>IF(OR(INDEX($P$2:$P$1001,MATCH(ROWS($O$2:O519),$O$2:$O$1001,0),1)&gt;=100000,INDEX($V$1005:$AE$1005,1,MATCH(COLUMNS($V$1006:X1006),$V$1006:$AE$1006,0))&gt;=100000), " ",IF(INDEX($V$2:$AE$1001,MATCH(ROWS($O$2:O519),$O$2:$O$1001,0),MATCH(COLUMNS($V$1006:X1006),$V$1006:$AE$1006,0)), HYPERLINK("#",""), HYPERLINK(CONCATENATE("#Metadata!", ADDRESS(INDEX($Q$2:$Q$1001,MATCH(ROWS($O$2:O519),$O$2:$O$1001,0),0), INDEX($V$1004:$AE$1004,1,MATCH(COLUMNS($V$1006:X1006),$V$1006:$AE$1006,0)))),"Fix")))</f>
        <v>0</v>
      </c>
      <c r="E519" s="4">
        <f>IF(OR(INDEX($P$2:$P$1001,MATCH(ROWS($O$2:O519),$O$2:$O$1001,0),1)&gt;=100000,INDEX($V$1005:$AE$1005,1,MATCH(COLUMNS($V$1006:Y1006),$V$1006:$AE$1006,0))&gt;=100000), " ",IF(INDEX($V$2:$AE$1001,MATCH(ROWS($O$2:O519),$O$2:$O$1001,0),MATCH(COLUMNS($V$1006:Y1006),$V$1006:$AE$1006,0)), HYPERLINK("#",""), HYPERLINK(CONCATENATE("#Metadata!", ADDRESS(INDEX($Q$2:$Q$1001,MATCH(ROWS($O$2:O519),$O$2:$O$1001,0),0), INDEX($V$1004:$AE$1004,1,MATCH(COLUMNS($V$1006:Y1006),$V$1006:$AE$1006,0)))),"Fix")))</f>
        <v>0</v>
      </c>
      <c r="F519" s="4">
        <f>IF(OR(INDEX($P$2:$P$1001,MATCH(ROWS($O$2:O519),$O$2:$O$1001,0),1)&gt;=100000,INDEX($V$1005:$AE$1005,1,MATCH(COLUMNS($V$1006:Z1006),$V$1006:$AE$1006,0))&gt;=100000), " ",IF(INDEX($V$2:$AE$1001,MATCH(ROWS($O$2:O519),$O$2:$O$1001,0),MATCH(COLUMNS($V$1006:Z1006),$V$1006:$AE$1006,0)), HYPERLINK("#",""), HYPERLINK(CONCATENATE("#Metadata!", ADDRESS(INDEX($Q$2:$Q$1001,MATCH(ROWS($O$2:O519),$O$2:$O$1001,0),0), INDEX($V$1004:$AE$1004,1,MATCH(COLUMNS($V$1006:Z1006),$V$1006:$AE$1006,0)))),"Fix")))</f>
        <v>0</v>
      </c>
      <c r="G519" s="4">
        <f>IF(OR(INDEX($P$2:$P$1001,MATCH(ROWS($O$2:O519),$O$2:$O$1001,0),1)&gt;=100000,INDEX($V$1005:$AE$1005,1,MATCH(COLUMNS($V$1006:AA1006),$V$1006:$AE$1006,0))&gt;=100000), " ",IF(INDEX($V$2:$AE$1001,MATCH(ROWS($O$2:O519),$O$2:$O$1001,0),MATCH(COLUMNS($V$1006:AA1006),$V$1006:$AE$1006,0)), HYPERLINK("#",""), HYPERLINK(CONCATENATE("#Metadata!", ADDRESS(INDEX($Q$2:$Q$1001,MATCH(ROWS($O$2:O519),$O$2:$O$1001,0),0), INDEX($V$1004:$AE$1004,1,MATCH(COLUMNS($V$1006:AA1006),$V$1006:$AE$1006,0)))),"Fix")))</f>
        <v>0</v>
      </c>
      <c r="H519" s="4">
        <f>IF(OR(INDEX($P$2:$P$1001,MATCH(ROWS($O$2:O519),$O$2:$O$1001,0),1)&gt;=100000,INDEX($V$1005:$AE$1005,1,MATCH(COLUMNS($V$1006:AB1006),$V$1006:$AE$1006,0))&gt;=100000), " ",IF(INDEX($V$2:$AE$1001,MATCH(ROWS($O$2:O519),$O$2:$O$1001,0),MATCH(COLUMNS($V$1006:AB1006),$V$1006:$AE$1006,0)), HYPERLINK("#",""), HYPERLINK(CONCATENATE("#Metadata!", ADDRESS(INDEX($Q$2:$Q$1001,MATCH(ROWS($O$2:O519),$O$2:$O$1001,0),0), INDEX($V$1004:$AE$1004,1,MATCH(COLUMNS($V$1006:AB1006),$V$1006:$AE$1006,0)))),"Fix")))</f>
        <v>0</v>
      </c>
      <c r="I519" s="4">
        <f>IF(OR(INDEX($P$2:$P$1001,MATCH(ROWS($O$2:O519),$O$2:$O$1001,0),1)&gt;=100000,INDEX($V$1005:$AE$1005,1,MATCH(COLUMNS($V$1006:AC1006),$V$1006:$AE$1006,0))&gt;=100000), " ",IF(INDEX($V$2:$AE$1001,MATCH(ROWS($O$2:O519),$O$2:$O$1001,0),MATCH(COLUMNS($V$1006:AC1006),$V$1006:$AE$1006,0)), HYPERLINK("#",""), HYPERLINK(CONCATENATE("#Metadata!", ADDRESS(INDEX($Q$2:$Q$1001,MATCH(ROWS($O$2:O519),$O$2:$O$1001,0),0), INDEX($V$1004:$AE$1004,1,MATCH(COLUMNS($V$1006:AC1006),$V$1006:$AE$1006,0)))),"Fix")))</f>
        <v>0</v>
      </c>
      <c r="J519" s="4">
        <f>IF(OR(INDEX($P$2:$P$1001,MATCH(ROWS($O$2:O519),$O$2:$O$1001,0),1)&gt;=100000,INDEX($V$1005:$AE$1005,1,MATCH(COLUMNS($V$1006:AD1006),$V$1006:$AE$1006,0))&gt;=100000), " ",IF(INDEX($V$2:$AE$1001,MATCH(ROWS($O$2:O519),$O$2:$O$1001,0),MATCH(COLUMNS($V$1006:AD1006),$V$1006:$AE$1006,0)), HYPERLINK("#",""), HYPERLINK(CONCATENATE("#Metadata!", ADDRESS(INDEX($Q$2:$Q$1001,MATCH(ROWS($O$2:O519),$O$2:$O$1001,0),0), INDEX($V$1004:$AE$1004,1,MATCH(COLUMNS($V$1006:AD1006),$V$1006:$AE$1006,0)))),"Fix")))</f>
        <v>0</v>
      </c>
      <c r="K519" s="4">
        <f>IF(OR(INDEX($P$2:$P$1001,MATCH(ROWS($O$2:O519),$O$2:$O$1001,0),1)&gt;=100000,INDEX($V$1005:$AE$1005,1,MATCH(COLUMNS($V$1006:AE1006),$V$1006:$AE$1006,0))&gt;=100000), " ",IF(INDEX($V$2:$AE$1001,MATCH(ROWS($O$2:O519),$O$2:$O$1001,0),MATCH(COLUMNS($V$1006:AE1006),$V$1006:$AE$1006,0)), HYPERLINK("#",""), HYPERLINK(CONCATENATE("#Metadata!", ADDRESS(INDEX($Q$2:$Q$1001,MATCH(ROWS($O$2:O519),$O$2:$O$1001,0),0), INDEX($V$1004:$AE$1004,1,MATCH(COLUMNS($V$1006:AE1006),$V$1006:$AE$1006,0)))),"Fix")))</f>
        <v>0</v>
      </c>
      <c r="O519">
        <v>0</v>
      </c>
      <c r="P519">
        <v>0</v>
      </c>
      <c r="Q519">
        <v>0</v>
      </c>
      <c r="R519">
        <f>IF(S519,TRUE,AND(V519:AE519))</f>
        <v>0</v>
      </c>
      <c r="S519">
        <f>COUNTBLANK(Metadata!B519:K519)=COLUMNS(Metadata!B519:K519)</f>
        <v>0</v>
      </c>
      <c r="T519">
        <v>0</v>
      </c>
      <c r="V519">
        <f>AND(IF(Metadata!B519="",FALSE,TRUE),COUNTIF(Metadata!B:B, Metadata!B519) = 1,NOT(ISERROR(SUMPRODUCT(SEARCH(MID(Metadata!B519,ROW(INDIRECT("1:"&amp;LEN(Metadata!B519))), 1),"0123456789abcdefghijklmnopqrstuvwxyzABCDEFGHIJKLMNOPQRSTUVWXYZ.")))))</f>
        <v>0</v>
      </c>
      <c r="W519">
        <f>AND(IF(Metadata!C519="",FALSE,TRUE),exact(Metadata!C519,"urban biome"))</f>
        <v>0</v>
      </c>
      <c r="X519">
        <f>AND(IF(Metadata!D519="",FALSE,TRUE),exact(Metadata!D519,"animal-associated habitat"))</f>
        <v>0</v>
      </c>
      <c r="Y519">
        <f>OR(AND(IF(Metadata!E519="",FALSE,TRUE),OR(exact(Metadata!E519,"not applicable"),exact(Metadata!E519,"missing: not collected"),exact(Metadata!E519,"missing: not provided"),exact(Metadata!E519,"missing: restricted access"))),AND(IF(Metadata!E519="",FALSE,ISNUMBER(VALUE(Metadata!E519))),Metadata!E519&gt;0))</f>
        <v>0</v>
      </c>
      <c r="Z519">
        <f>AND(IF(Metadata!F519="",FALSE,TRUE),exact(Metadata!F519,"weeks"))</f>
        <v>0</v>
      </c>
      <c r="AA519">
        <f>AND(IF(Metadata!G519="",FALSE,TRUE),exact(Metadata!G519,"mouse"))</f>
        <v>0</v>
      </c>
      <c r="AB519">
        <f>AND(IF(Metadata!H519="",FALSE,TRUE),exact(Metadata!H519,"Mus musculus"))</f>
        <v>0</v>
      </c>
      <c r="AC519">
        <f>AND(IF(Metadata!I519="",FALSE,TRUE),exact(Metadata!I519,"10090"))</f>
        <v>0</v>
      </c>
      <c r="AD519">
        <f>OR(AND(IF(Metadata!J519="",FALSE,TRUE),OR(exact(Metadata!J519,"not applicable"),exact(Metadata!J519,"missing: not collected"),exact(Metadata!J519,"missing: not provided"),exact(Metadata!J519,"missing: restricted access"))),AND(IF(Metadata!J519="",FALSE,ISNUMBER(VALUE(Metadata!J519))),Metadata!J519&gt;0))</f>
        <v>0</v>
      </c>
      <c r="AE519">
        <f>AND(IF(Metadata!K519="",FALSE,TRUE),exact(Metadata!K519,"g"))</f>
        <v>0</v>
      </c>
    </row>
    <row r="520" spans="1:31">
      <c r="A520" s="5">
        <f>IF(B520=" "," ",HYPERLINK(CONCATENATE("#metadata!",ADDRESS(INDEX($Q$2:$Q$1001,MATCH(ROWS($O$2:O520),$O$2:$O$1001,0),0),1)),INDEX($T$2:$T$1001,MATCH(ROWS($O$2:O520),$O$2:$O$1001,0),0)))</f>
        <v>0</v>
      </c>
      <c r="B520" s="4">
        <f>IF(OR(INDEX($P$2:$P$1001,MATCH(ROWS($O$2:O520),$O$2:$O$1001,0),1)&gt;=100000,INDEX($V$1005:$AE$1005,1,MATCH(COLUMNS($V$1006:V1006),$V$1006:$AE$1006,0))&gt;=100000), " ",IF(INDEX($V$2:$AE$1001,MATCH(ROWS($O$2:O520),$O$2:$O$1001,0),MATCH(COLUMNS($V$1006:V1006),$V$1006:$AE$1006,0)), HYPERLINK("#",""), HYPERLINK(CONCATENATE("#Metadata!", ADDRESS(INDEX($Q$2:$Q$1001,MATCH(ROWS($O$2:O520),$O$2:$O$1001,0),0), INDEX($V$1004:$AE$1004,1,MATCH(COLUMNS($V$1006:V1006),$V$1006:$AE$1006,0)))),"Fix")))</f>
        <v>0</v>
      </c>
      <c r="C520" s="4">
        <f>IF(OR(INDEX($P$2:$P$1001,MATCH(ROWS($O$2:O520),$O$2:$O$1001,0),1)&gt;=100000,INDEX($V$1005:$AE$1005,1,MATCH(COLUMNS($V$1006:W1006),$V$1006:$AE$1006,0))&gt;=100000), " ",IF(INDEX($V$2:$AE$1001,MATCH(ROWS($O$2:O520),$O$2:$O$1001,0),MATCH(COLUMNS($V$1006:W1006),$V$1006:$AE$1006,0)), HYPERLINK("#",""), HYPERLINK(CONCATENATE("#Metadata!", ADDRESS(INDEX($Q$2:$Q$1001,MATCH(ROWS($O$2:O520),$O$2:$O$1001,0),0), INDEX($V$1004:$AE$1004,1,MATCH(COLUMNS($V$1006:W1006),$V$1006:$AE$1006,0)))),"Fix")))</f>
        <v>0</v>
      </c>
      <c r="D520" s="4">
        <f>IF(OR(INDEX($P$2:$P$1001,MATCH(ROWS($O$2:O520),$O$2:$O$1001,0),1)&gt;=100000,INDEX($V$1005:$AE$1005,1,MATCH(COLUMNS($V$1006:X1006),$V$1006:$AE$1006,0))&gt;=100000), " ",IF(INDEX($V$2:$AE$1001,MATCH(ROWS($O$2:O520),$O$2:$O$1001,0),MATCH(COLUMNS($V$1006:X1006),$V$1006:$AE$1006,0)), HYPERLINK("#",""), HYPERLINK(CONCATENATE("#Metadata!", ADDRESS(INDEX($Q$2:$Q$1001,MATCH(ROWS($O$2:O520),$O$2:$O$1001,0),0), INDEX($V$1004:$AE$1004,1,MATCH(COLUMNS($V$1006:X1006),$V$1006:$AE$1006,0)))),"Fix")))</f>
        <v>0</v>
      </c>
      <c r="E520" s="4">
        <f>IF(OR(INDEX($P$2:$P$1001,MATCH(ROWS($O$2:O520),$O$2:$O$1001,0),1)&gt;=100000,INDEX($V$1005:$AE$1005,1,MATCH(COLUMNS($V$1006:Y1006),$V$1006:$AE$1006,0))&gt;=100000), " ",IF(INDEX($V$2:$AE$1001,MATCH(ROWS($O$2:O520),$O$2:$O$1001,0),MATCH(COLUMNS($V$1006:Y1006),$V$1006:$AE$1006,0)), HYPERLINK("#",""), HYPERLINK(CONCATENATE("#Metadata!", ADDRESS(INDEX($Q$2:$Q$1001,MATCH(ROWS($O$2:O520),$O$2:$O$1001,0),0), INDEX($V$1004:$AE$1004,1,MATCH(COLUMNS($V$1006:Y1006),$V$1006:$AE$1006,0)))),"Fix")))</f>
        <v>0</v>
      </c>
      <c r="F520" s="4">
        <f>IF(OR(INDEX($P$2:$P$1001,MATCH(ROWS($O$2:O520),$O$2:$O$1001,0),1)&gt;=100000,INDEX($V$1005:$AE$1005,1,MATCH(COLUMNS($V$1006:Z1006),$V$1006:$AE$1006,0))&gt;=100000), " ",IF(INDEX($V$2:$AE$1001,MATCH(ROWS($O$2:O520),$O$2:$O$1001,0),MATCH(COLUMNS($V$1006:Z1006),$V$1006:$AE$1006,0)), HYPERLINK("#",""), HYPERLINK(CONCATENATE("#Metadata!", ADDRESS(INDEX($Q$2:$Q$1001,MATCH(ROWS($O$2:O520),$O$2:$O$1001,0),0), INDEX($V$1004:$AE$1004,1,MATCH(COLUMNS($V$1006:Z1006),$V$1006:$AE$1006,0)))),"Fix")))</f>
        <v>0</v>
      </c>
      <c r="G520" s="4">
        <f>IF(OR(INDEX($P$2:$P$1001,MATCH(ROWS($O$2:O520),$O$2:$O$1001,0),1)&gt;=100000,INDEX($V$1005:$AE$1005,1,MATCH(COLUMNS($V$1006:AA1006),$V$1006:$AE$1006,0))&gt;=100000), " ",IF(INDEX($V$2:$AE$1001,MATCH(ROWS($O$2:O520),$O$2:$O$1001,0),MATCH(COLUMNS($V$1006:AA1006),$V$1006:$AE$1006,0)), HYPERLINK("#",""), HYPERLINK(CONCATENATE("#Metadata!", ADDRESS(INDEX($Q$2:$Q$1001,MATCH(ROWS($O$2:O520),$O$2:$O$1001,0),0), INDEX($V$1004:$AE$1004,1,MATCH(COLUMNS($V$1006:AA1006),$V$1006:$AE$1006,0)))),"Fix")))</f>
        <v>0</v>
      </c>
      <c r="H520" s="4">
        <f>IF(OR(INDEX($P$2:$P$1001,MATCH(ROWS($O$2:O520),$O$2:$O$1001,0),1)&gt;=100000,INDEX($V$1005:$AE$1005,1,MATCH(COLUMNS($V$1006:AB1006),$V$1006:$AE$1006,0))&gt;=100000), " ",IF(INDEX($V$2:$AE$1001,MATCH(ROWS($O$2:O520),$O$2:$O$1001,0),MATCH(COLUMNS($V$1006:AB1006),$V$1006:$AE$1006,0)), HYPERLINK("#",""), HYPERLINK(CONCATENATE("#Metadata!", ADDRESS(INDEX($Q$2:$Q$1001,MATCH(ROWS($O$2:O520),$O$2:$O$1001,0),0), INDEX($V$1004:$AE$1004,1,MATCH(COLUMNS($V$1006:AB1006),$V$1006:$AE$1006,0)))),"Fix")))</f>
        <v>0</v>
      </c>
      <c r="I520" s="4">
        <f>IF(OR(INDEX($P$2:$P$1001,MATCH(ROWS($O$2:O520),$O$2:$O$1001,0),1)&gt;=100000,INDEX($V$1005:$AE$1005,1,MATCH(COLUMNS($V$1006:AC1006),$V$1006:$AE$1006,0))&gt;=100000), " ",IF(INDEX($V$2:$AE$1001,MATCH(ROWS($O$2:O520),$O$2:$O$1001,0),MATCH(COLUMNS($V$1006:AC1006),$V$1006:$AE$1006,0)), HYPERLINK("#",""), HYPERLINK(CONCATENATE("#Metadata!", ADDRESS(INDEX($Q$2:$Q$1001,MATCH(ROWS($O$2:O520),$O$2:$O$1001,0),0), INDEX($V$1004:$AE$1004,1,MATCH(COLUMNS($V$1006:AC1006),$V$1006:$AE$1006,0)))),"Fix")))</f>
        <v>0</v>
      </c>
      <c r="J520" s="4">
        <f>IF(OR(INDEX($P$2:$P$1001,MATCH(ROWS($O$2:O520),$O$2:$O$1001,0),1)&gt;=100000,INDEX($V$1005:$AE$1005,1,MATCH(COLUMNS($V$1006:AD1006),$V$1006:$AE$1006,0))&gt;=100000), " ",IF(INDEX($V$2:$AE$1001,MATCH(ROWS($O$2:O520),$O$2:$O$1001,0),MATCH(COLUMNS($V$1006:AD1006),$V$1006:$AE$1006,0)), HYPERLINK("#",""), HYPERLINK(CONCATENATE("#Metadata!", ADDRESS(INDEX($Q$2:$Q$1001,MATCH(ROWS($O$2:O520),$O$2:$O$1001,0),0), INDEX($V$1004:$AE$1004,1,MATCH(COLUMNS($V$1006:AD1006),$V$1006:$AE$1006,0)))),"Fix")))</f>
        <v>0</v>
      </c>
      <c r="K520" s="4">
        <f>IF(OR(INDEX($P$2:$P$1001,MATCH(ROWS($O$2:O520),$O$2:$O$1001,0),1)&gt;=100000,INDEX($V$1005:$AE$1005,1,MATCH(COLUMNS($V$1006:AE1006),$V$1006:$AE$1006,0))&gt;=100000), " ",IF(INDEX($V$2:$AE$1001,MATCH(ROWS($O$2:O520),$O$2:$O$1001,0),MATCH(COLUMNS($V$1006:AE1006),$V$1006:$AE$1006,0)), HYPERLINK("#",""), HYPERLINK(CONCATENATE("#Metadata!", ADDRESS(INDEX($Q$2:$Q$1001,MATCH(ROWS($O$2:O520),$O$2:$O$1001,0),0), INDEX($V$1004:$AE$1004,1,MATCH(COLUMNS($V$1006:AE1006),$V$1006:$AE$1006,0)))),"Fix")))</f>
        <v>0</v>
      </c>
      <c r="O520">
        <v>0</v>
      </c>
      <c r="P520">
        <v>0</v>
      </c>
      <c r="Q520">
        <v>0</v>
      </c>
      <c r="R520">
        <f>IF(S520,TRUE,AND(V520:AE520))</f>
        <v>0</v>
      </c>
      <c r="S520">
        <f>COUNTBLANK(Metadata!B520:K520)=COLUMNS(Metadata!B520:K520)</f>
        <v>0</v>
      </c>
      <c r="T520">
        <v>0</v>
      </c>
      <c r="V520">
        <f>AND(IF(Metadata!B520="",FALSE,TRUE),COUNTIF(Metadata!B:B, Metadata!B520) = 1,NOT(ISERROR(SUMPRODUCT(SEARCH(MID(Metadata!B520,ROW(INDIRECT("1:"&amp;LEN(Metadata!B520))), 1),"0123456789abcdefghijklmnopqrstuvwxyzABCDEFGHIJKLMNOPQRSTUVWXYZ.")))))</f>
        <v>0</v>
      </c>
      <c r="W520">
        <f>AND(IF(Metadata!C520="",FALSE,TRUE),exact(Metadata!C520,"urban biome"))</f>
        <v>0</v>
      </c>
      <c r="X520">
        <f>AND(IF(Metadata!D520="",FALSE,TRUE),exact(Metadata!D520,"animal-associated habitat"))</f>
        <v>0</v>
      </c>
      <c r="Y520">
        <f>OR(AND(IF(Metadata!E520="",FALSE,TRUE),OR(exact(Metadata!E520,"not applicable"),exact(Metadata!E520,"missing: not collected"),exact(Metadata!E520,"missing: not provided"),exact(Metadata!E520,"missing: restricted access"))),AND(IF(Metadata!E520="",FALSE,ISNUMBER(VALUE(Metadata!E520))),Metadata!E520&gt;0))</f>
        <v>0</v>
      </c>
      <c r="Z520">
        <f>AND(IF(Metadata!F520="",FALSE,TRUE),exact(Metadata!F520,"weeks"))</f>
        <v>0</v>
      </c>
      <c r="AA520">
        <f>AND(IF(Metadata!G520="",FALSE,TRUE),exact(Metadata!G520,"mouse"))</f>
        <v>0</v>
      </c>
      <c r="AB520">
        <f>AND(IF(Metadata!H520="",FALSE,TRUE),exact(Metadata!H520,"Mus musculus"))</f>
        <v>0</v>
      </c>
      <c r="AC520">
        <f>AND(IF(Metadata!I520="",FALSE,TRUE),exact(Metadata!I520,"10090"))</f>
        <v>0</v>
      </c>
      <c r="AD520">
        <f>OR(AND(IF(Metadata!J520="",FALSE,TRUE),OR(exact(Metadata!J520,"not applicable"),exact(Metadata!J520,"missing: not collected"),exact(Metadata!J520,"missing: not provided"),exact(Metadata!J520,"missing: restricted access"))),AND(IF(Metadata!J520="",FALSE,ISNUMBER(VALUE(Metadata!J520))),Metadata!J520&gt;0))</f>
        <v>0</v>
      </c>
      <c r="AE520">
        <f>AND(IF(Metadata!K520="",FALSE,TRUE),exact(Metadata!K520,"g"))</f>
        <v>0</v>
      </c>
    </row>
    <row r="521" spans="1:31">
      <c r="A521" s="5">
        <f>IF(B521=" "," ",HYPERLINK(CONCATENATE("#metadata!",ADDRESS(INDEX($Q$2:$Q$1001,MATCH(ROWS($O$2:O521),$O$2:$O$1001,0),0),1)),INDEX($T$2:$T$1001,MATCH(ROWS($O$2:O521),$O$2:$O$1001,0),0)))</f>
        <v>0</v>
      </c>
      <c r="B521" s="4">
        <f>IF(OR(INDEX($P$2:$P$1001,MATCH(ROWS($O$2:O521),$O$2:$O$1001,0),1)&gt;=100000,INDEX($V$1005:$AE$1005,1,MATCH(COLUMNS($V$1006:V1006),$V$1006:$AE$1006,0))&gt;=100000), " ",IF(INDEX($V$2:$AE$1001,MATCH(ROWS($O$2:O521),$O$2:$O$1001,0),MATCH(COLUMNS($V$1006:V1006),$V$1006:$AE$1006,0)), HYPERLINK("#",""), HYPERLINK(CONCATENATE("#Metadata!", ADDRESS(INDEX($Q$2:$Q$1001,MATCH(ROWS($O$2:O521),$O$2:$O$1001,0),0), INDEX($V$1004:$AE$1004,1,MATCH(COLUMNS($V$1006:V1006),$V$1006:$AE$1006,0)))),"Fix")))</f>
        <v>0</v>
      </c>
      <c r="C521" s="4">
        <f>IF(OR(INDEX($P$2:$P$1001,MATCH(ROWS($O$2:O521),$O$2:$O$1001,0),1)&gt;=100000,INDEX($V$1005:$AE$1005,1,MATCH(COLUMNS($V$1006:W1006),$V$1006:$AE$1006,0))&gt;=100000), " ",IF(INDEX($V$2:$AE$1001,MATCH(ROWS($O$2:O521),$O$2:$O$1001,0),MATCH(COLUMNS($V$1006:W1006),$V$1006:$AE$1006,0)), HYPERLINK("#",""), HYPERLINK(CONCATENATE("#Metadata!", ADDRESS(INDEX($Q$2:$Q$1001,MATCH(ROWS($O$2:O521),$O$2:$O$1001,0),0), INDEX($V$1004:$AE$1004,1,MATCH(COLUMNS($V$1006:W1006),$V$1006:$AE$1006,0)))),"Fix")))</f>
        <v>0</v>
      </c>
      <c r="D521" s="4">
        <f>IF(OR(INDEX($P$2:$P$1001,MATCH(ROWS($O$2:O521),$O$2:$O$1001,0),1)&gt;=100000,INDEX($V$1005:$AE$1005,1,MATCH(COLUMNS($V$1006:X1006),$V$1006:$AE$1006,0))&gt;=100000), " ",IF(INDEX($V$2:$AE$1001,MATCH(ROWS($O$2:O521),$O$2:$O$1001,0),MATCH(COLUMNS($V$1006:X1006),$V$1006:$AE$1006,0)), HYPERLINK("#",""), HYPERLINK(CONCATENATE("#Metadata!", ADDRESS(INDEX($Q$2:$Q$1001,MATCH(ROWS($O$2:O521),$O$2:$O$1001,0),0), INDEX($V$1004:$AE$1004,1,MATCH(COLUMNS($V$1006:X1006),$V$1006:$AE$1006,0)))),"Fix")))</f>
        <v>0</v>
      </c>
      <c r="E521" s="4">
        <f>IF(OR(INDEX($P$2:$P$1001,MATCH(ROWS($O$2:O521),$O$2:$O$1001,0),1)&gt;=100000,INDEX($V$1005:$AE$1005,1,MATCH(COLUMNS($V$1006:Y1006),$V$1006:$AE$1006,0))&gt;=100000), " ",IF(INDEX($V$2:$AE$1001,MATCH(ROWS($O$2:O521),$O$2:$O$1001,0),MATCH(COLUMNS($V$1006:Y1006),$V$1006:$AE$1006,0)), HYPERLINK("#",""), HYPERLINK(CONCATENATE("#Metadata!", ADDRESS(INDEX($Q$2:$Q$1001,MATCH(ROWS($O$2:O521),$O$2:$O$1001,0),0), INDEX($V$1004:$AE$1004,1,MATCH(COLUMNS($V$1006:Y1006),$V$1006:$AE$1006,0)))),"Fix")))</f>
        <v>0</v>
      </c>
      <c r="F521" s="4">
        <f>IF(OR(INDEX($P$2:$P$1001,MATCH(ROWS($O$2:O521),$O$2:$O$1001,0),1)&gt;=100000,INDEX($V$1005:$AE$1005,1,MATCH(COLUMNS($V$1006:Z1006),$V$1006:$AE$1006,0))&gt;=100000), " ",IF(INDEX($V$2:$AE$1001,MATCH(ROWS($O$2:O521),$O$2:$O$1001,0),MATCH(COLUMNS($V$1006:Z1006),$V$1006:$AE$1006,0)), HYPERLINK("#",""), HYPERLINK(CONCATENATE("#Metadata!", ADDRESS(INDEX($Q$2:$Q$1001,MATCH(ROWS($O$2:O521),$O$2:$O$1001,0),0), INDEX($V$1004:$AE$1004,1,MATCH(COLUMNS($V$1006:Z1006),$V$1006:$AE$1006,0)))),"Fix")))</f>
        <v>0</v>
      </c>
      <c r="G521" s="4">
        <f>IF(OR(INDEX($P$2:$P$1001,MATCH(ROWS($O$2:O521),$O$2:$O$1001,0),1)&gt;=100000,INDEX($V$1005:$AE$1005,1,MATCH(COLUMNS($V$1006:AA1006),$V$1006:$AE$1006,0))&gt;=100000), " ",IF(INDEX($V$2:$AE$1001,MATCH(ROWS($O$2:O521),$O$2:$O$1001,0),MATCH(COLUMNS($V$1006:AA1006),$V$1006:$AE$1006,0)), HYPERLINK("#",""), HYPERLINK(CONCATENATE("#Metadata!", ADDRESS(INDEX($Q$2:$Q$1001,MATCH(ROWS($O$2:O521),$O$2:$O$1001,0),0), INDEX($V$1004:$AE$1004,1,MATCH(COLUMNS($V$1006:AA1006),$V$1006:$AE$1006,0)))),"Fix")))</f>
        <v>0</v>
      </c>
      <c r="H521" s="4">
        <f>IF(OR(INDEX($P$2:$P$1001,MATCH(ROWS($O$2:O521),$O$2:$O$1001,0),1)&gt;=100000,INDEX($V$1005:$AE$1005,1,MATCH(COLUMNS($V$1006:AB1006),$V$1006:$AE$1006,0))&gt;=100000), " ",IF(INDEX($V$2:$AE$1001,MATCH(ROWS($O$2:O521),$O$2:$O$1001,0),MATCH(COLUMNS($V$1006:AB1006),$V$1006:$AE$1006,0)), HYPERLINK("#",""), HYPERLINK(CONCATENATE("#Metadata!", ADDRESS(INDEX($Q$2:$Q$1001,MATCH(ROWS($O$2:O521),$O$2:$O$1001,0),0), INDEX($V$1004:$AE$1004,1,MATCH(COLUMNS($V$1006:AB1006),$V$1006:$AE$1006,0)))),"Fix")))</f>
        <v>0</v>
      </c>
      <c r="I521" s="4">
        <f>IF(OR(INDEX($P$2:$P$1001,MATCH(ROWS($O$2:O521),$O$2:$O$1001,0),1)&gt;=100000,INDEX($V$1005:$AE$1005,1,MATCH(COLUMNS($V$1006:AC1006),$V$1006:$AE$1006,0))&gt;=100000), " ",IF(INDEX($V$2:$AE$1001,MATCH(ROWS($O$2:O521),$O$2:$O$1001,0),MATCH(COLUMNS($V$1006:AC1006),$V$1006:$AE$1006,0)), HYPERLINK("#",""), HYPERLINK(CONCATENATE("#Metadata!", ADDRESS(INDEX($Q$2:$Q$1001,MATCH(ROWS($O$2:O521),$O$2:$O$1001,0),0), INDEX($V$1004:$AE$1004,1,MATCH(COLUMNS($V$1006:AC1006),$V$1006:$AE$1006,0)))),"Fix")))</f>
        <v>0</v>
      </c>
      <c r="J521" s="4">
        <f>IF(OR(INDEX($P$2:$P$1001,MATCH(ROWS($O$2:O521),$O$2:$O$1001,0),1)&gt;=100000,INDEX($V$1005:$AE$1005,1,MATCH(COLUMNS($V$1006:AD1006),$V$1006:$AE$1006,0))&gt;=100000), " ",IF(INDEX($V$2:$AE$1001,MATCH(ROWS($O$2:O521),$O$2:$O$1001,0),MATCH(COLUMNS($V$1006:AD1006),$V$1006:$AE$1006,0)), HYPERLINK("#",""), HYPERLINK(CONCATENATE("#Metadata!", ADDRESS(INDEX($Q$2:$Q$1001,MATCH(ROWS($O$2:O521),$O$2:$O$1001,0),0), INDEX($V$1004:$AE$1004,1,MATCH(COLUMNS($V$1006:AD1006),$V$1006:$AE$1006,0)))),"Fix")))</f>
        <v>0</v>
      </c>
      <c r="K521" s="4">
        <f>IF(OR(INDEX($P$2:$P$1001,MATCH(ROWS($O$2:O521),$O$2:$O$1001,0),1)&gt;=100000,INDEX($V$1005:$AE$1005,1,MATCH(COLUMNS($V$1006:AE1006),$V$1006:$AE$1006,0))&gt;=100000), " ",IF(INDEX($V$2:$AE$1001,MATCH(ROWS($O$2:O521),$O$2:$O$1001,0),MATCH(COLUMNS($V$1006:AE1006),$V$1006:$AE$1006,0)), HYPERLINK("#",""), HYPERLINK(CONCATENATE("#Metadata!", ADDRESS(INDEX($Q$2:$Q$1001,MATCH(ROWS($O$2:O521),$O$2:$O$1001,0),0), INDEX($V$1004:$AE$1004,1,MATCH(COLUMNS($V$1006:AE1006),$V$1006:$AE$1006,0)))),"Fix")))</f>
        <v>0</v>
      </c>
      <c r="O521">
        <v>0</v>
      </c>
      <c r="P521">
        <v>0</v>
      </c>
      <c r="Q521">
        <v>0</v>
      </c>
      <c r="R521">
        <f>IF(S521,TRUE,AND(V521:AE521))</f>
        <v>0</v>
      </c>
      <c r="S521">
        <f>COUNTBLANK(Metadata!B521:K521)=COLUMNS(Metadata!B521:K521)</f>
        <v>0</v>
      </c>
      <c r="T521">
        <v>0</v>
      </c>
      <c r="V521">
        <f>AND(IF(Metadata!B521="",FALSE,TRUE),COUNTIF(Metadata!B:B, Metadata!B521) = 1,NOT(ISERROR(SUMPRODUCT(SEARCH(MID(Metadata!B521,ROW(INDIRECT("1:"&amp;LEN(Metadata!B521))), 1),"0123456789abcdefghijklmnopqrstuvwxyzABCDEFGHIJKLMNOPQRSTUVWXYZ.")))))</f>
        <v>0</v>
      </c>
      <c r="W521">
        <f>AND(IF(Metadata!C521="",FALSE,TRUE),exact(Metadata!C521,"urban biome"))</f>
        <v>0</v>
      </c>
      <c r="X521">
        <f>AND(IF(Metadata!D521="",FALSE,TRUE),exact(Metadata!D521,"animal-associated habitat"))</f>
        <v>0</v>
      </c>
      <c r="Y521">
        <f>OR(AND(IF(Metadata!E521="",FALSE,TRUE),OR(exact(Metadata!E521,"not applicable"),exact(Metadata!E521,"missing: not collected"),exact(Metadata!E521,"missing: not provided"),exact(Metadata!E521,"missing: restricted access"))),AND(IF(Metadata!E521="",FALSE,ISNUMBER(VALUE(Metadata!E521))),Metadata!E521&gt;0))</f>
        <v>0</v>
      </c>
      <c r="Z521">
        <f>AND(IF(Metadata!F521="",FALSE,TRUE),exact(Metadata!F521,"weeks"))</f>
        <v>0</v>
      </c>
      <c r="AA521">
        <f>AND(IF(Metadata!G521="",FALSE,TRUE),exact(Metadata!G521,"mouse"))</f>
        <v>0</v>
      </c>
      <c r="AB521">
        <f>AND(IF(Metadata!H521="",FALSE,TRUE),exact(Metadata!H521,"Mus musculus"))</f>
        <v>0</v>
      </c>
      <c r="AC521">
        <f>AND(IF(Metadata!I521="",FALSE,TRUE),exact(Metadata!I521,"10090"))</f>
        <v>0</v>
      </c>
      <c r="AD521">
        <f>OR(AND(IF(Metadata!J521="",FALSE,TRUE),OR(exact(Metadata!J521,"not applicable"),exact(Metadata!J521,"missing: not collected"),exact(Metadata!J521,"missing: not provided"),exact(Metadata!J521,"missing: restricted access"))),AND(IF(Metadata!J521="",FALSE,ISNUMBER(VALUE(Metadata!J521))),Metadata!J521&gt;0))</f>
        <v>0</v>
      </c>
      <c r="AE521">
        <f>AND(IF(Metadata!K521="",FALSE,TRUE),exact(Metadata!K521,"g"))</f>
        <v>0</v>
      </c>
    </row>
    <row r="522" spans="1:31">
      <c r="A522" s="5">
        <f>IF(B522=" "," ",HYPERLINK(CONCATENATE("#metadata!",ADDRESS(INDEX($Q$2:$Q$1001,MATCH(ROWS($O$2:O522),$O$2:$O$1001,0),0),1)),INDEX($T$2:$T$1001,MATCH(ROWS($O$2:O522),$O$2:$O$1001,0),0)))</f>
        <v>0</v>
      </c>
      <c r="B522" s="4">
        <f>IF(OR(INDEX($P$2:$P$1001,MATCH(ROWS($O$2:O522),$O$2:$O$1001,0),1)&gt;=100000,INDEX($V$1005:$AE$1005,1,MATCH(COLUMNS($V$1006:V1006),$V$1006:$AE$1006,0))&gt;=100000), " ",IF(INDEX($V$2:$AE$1001,MATCH(ROWS($O$2:O522),$O$2:$O$1001,0),MATCH(COLUMNS($V$1006:V1006),$V$1006:$AE$1006,0)), HYPERLINK("#",""), HYPERLINK(CONCATENATE("#Metadata!", ADDRESS(INDEX($Q$2:$Q$1001,MATCH(ROWS($O$2:O522),$O$2:$O$1001,0),0), INDEX($V$1004:$AE$1004,1,MATCH(COLUMNS($V$1006:V1006),$V$1006:$AE$1006,0)))),"Fix")))</f>
        <v>0</v>
      </c>
      <c r="C522" s="4">
        <f>IF(OR(INDEX($P$2:$P$1001,MATCH(ROWS($O$2:O522),$O$2:$O$1001,0),1)&gt;=100000,INDEX($V$1005:$AE$1005,1,MATCH(COLUMNS($V$1006:W1006),$V$1006:$AE$1006,0))&gt;=100000), " ",IF(INDEX($V$2:$AE$1001,MATCH(ROWS($O$2:O522),$O$2:$O$1001,0),MATCH(COLUMNS($V$1006:W1006),$V$1006:$AE$1006,0)), HYPERLINK("#",""), HYPERLINK(CONCATENATE("#Metadata!", ADDRESS(INDEX($Q$2:$Q$1001,MATCH(ROWS($O$2:O522),$O$2:$O$1001,0),0), INDEX($V$1004:$AE$1004,1,MATCH(COLUMNS($V$1006:W1006),$V$1006:$AE$1006,0)))),"Fix")))</f>
        <v>0</v>
      </c>
      <c r="D522" s="4">
        <f>IF(OR(INDEX($P$2:$P$1001,MATCH(ROWS($O$2:O522),$O$2:$O$1001,0),1)&gt;=100000,INDEX($V$1005:$AE$1005,1,MATCH(COLUMNS($V$1006:X1006),$V$1006:$AE$1006,0))&gt;=100000), " ",IF(INDEX($V$2:$AE$1001,MATCH(ROWS($O$2:O522),$O$2:$O$1001,0),MATCH(COLUMNS($V$1006:X1006),$V$1006:$AE$1006,0)), HYPERLINK("#",""), HYPERLINK(CONCATENATE("#Metadata!", ADDRESS(INDEX($Q$2:$Q$1001,MATCH(ROWS($O$2:O522),$O$2:$O$1001,0),0), INDEX($V$1004:$AE$1004,1,MATCH(COLUMNS($V$1006:X1006),$V$1006:$AE$1006,0)))),"Fix")))</f>
        <v>0</v>
      </c>
      <c r="E522" s="4">
        <f>IF(OR(INDEX($P$2:$P$1001,MATCH(ROWS($O$2:O522),$O$2:$O$1001,0),1)&gt;=100000,INDEX($V$1005:$AE$1005,1,MATCH(COLUMNS($V$1006:Y1006),$V$1006:$AE$1006,0))&gt;=100000), " ",IF(INDEX($V$2:$AE$1001,MATCH(ROWS($O$2:O522),$O$2:$O$1001,0),MATCH(COLUMNS($V$1006:Y1006),$V$1006:$AE$1006,0)), HYPERLINK("#",""), HYPERLINK(CONCATENATE("#Metadata!", ADDRESS(INDEX($Q$2:$Q$1001,MATCH(ROWS($O$2:O522),$O$2:$O$1001,0),0), INDEX($V$1004:$AE$1004,1,MATCH(COLUMNS($V$1006:Y1006),$V$1006:$AE$1006,0)))),"Fix")))</f>
        <v>0</v>
      </c>
      <c r="F522" s="4">
        <f>IF(OR(INDEX($P$2:$P$1001,MATCH(ROWS($O$2:O522),$O$2:$O$1001,0),1)&gt;=100000,INDEX($V$1005:$AE$1005,1,MATCH(COLUMNS($V$1006:Z1006),$V$1006:$AE$1006,0))&gt;=100000), " ",IF(INDEX($V$2:$AE$1001,MATCH(ROWS($O$2:O522),$O$2:$O$1001,0),MATCH(COLUMNS($V$1006:Z1006),$V$1006:$AE$1006,0)), HYPERLINK("#",""), HYPERLINK(CONCATENATE("#Metadata!", ADDRESS(INDEX($Q$2:$Q$1001,MATCH(ROWS($O$2:O522),$O$2:$O$1001,0),0), INDEX($V$1004:$AE$1004,1,MATCH(COLUMNS($V$1006:Z1006),$V$1006:$AE$1006,0)))),"Fix")))</f>
        <v>0</v>
      </c>
      <c r="G522" s="4">
        <f>IF(OR(INDEX($P$2:$P$1001,MATCH(ROWS($O$2:O522),$O$2:$O$1001,0),1)&gt;=100000,INDEX($V$1005:$AE$1005,1,MATCH(COLUMNS($V$1006:AA1006),$V$1006:$AE$1006,0))&gt;=100000), " ",IF(INDEX($V$2:$AE$1001,MATCH(ROWS($O$2:O522),$O$2:$O$1001,0),MATCH(COLUMNS($V$1006:AA1006),$V$1006:$AE$1006,0)), HYPERLINK("#",""), HYPERLINK(CONCATENATE("#Metadata!", ADDRESS(INDEX($Q$2:$Q$1001,MATCH(ROWS($O$2:O522),$O$2:$O$1001,0),0), INDEX($V$1004:$AE$1004,1,MATCH(COLUMNS($V$1006:AA1006),$V$1006:$AE$1006,0)))),"Fix")))</f>
        <v>0</v>
      </c>
      <c r="H522" s="4">
        <f>IF(OR(INDEX($P$2:$P$1001,MATCH(ROWS($O$2:O522),$O$2:$O$1001,0),1)&gt;=100000,INDEX($V$1005:$AE$1005,1,MATCH(COLUMNS($V$1006:AB1006),$V$1006:$AE$1006,0))&gt;=100000), " ",IF(INDEX($V$2:$AE$1001,MATCH(ROWS($O$2:O522),$O$2:$O$1001,0),MATCH(COLUMNS($V$1006:AB1006),$V$1006:$AE$1006,0)), HYPERLINK("#",""), HYPERLINK(CONCATENATE("#Metadata!", ADDRESS(INDEX($Q$2:$Q$1001,MATCH(ROWS($O$2:O522),$O$2:$O$1001,0),0), INDEX($V$1004:$AE$1004,1,MATCH(COLUMNS($V$1006:AB1006),$V$1006:$AE$1006,0)))),"Fix")))</f>
        <v>0</v>
      </c>
      <c r="I522" s="4">
        <f>IF(OR(INDEX($P$2:$P$1001,MATCH(ROWS($O$2:O522),$O$2:$O$1001,0),1)&gt;=100000,INDEX($V$1005:$AE$1005,1,MATCH(COLUMNS($V$1006:AC1006),$V$1006:$AE$1006,0))&gt;=100000), " ",IF(INDEX($V$2:$AE$1001,MATCH(ROWS($O$2:O522),$O$2:$O$1001,0),MATCH(COLUMNS($V$1006:AC1006),$V$1006:$AE$1006,0)), HYPERLINK("#",""), HYPERLINK(CONCATENATE("#Metadata!", ADDRESS(INDEX($Q$2:$Q$1001,MATCH(ROWS($O$2:O522),$O$2:$O$1001,0),0), INDEX($V$1004:$AE$1004,1,MATCH(COLUMNS($V$1006:AC1006),$V$1006:$AE$1006,0)))),"Fix")))</f>
        <v>0</v>
      </c>
      <c r="J522" s="4">
        <f>IF(OR(INDEX($P$2:$P$1001,MATCH(ROWS($O$2:O522),$O$2:$O$1001,0),1)&gt;=100000,INDEX($V$1005:$AE$1005,1,MATCH(COLUMNS($V$1006:AD1006),$V$1006:$AE$1006,0))&gt;=100000), " ",IF(INDEX($V$2:$AE$1001,MATCH(ROWS($O$2:O522),$O$2:$O$1001,0),MATCH(COLUMNS($V$1006:AD1006),$V$1006:$AE$1006,0)), HYPERLINK("#",""), HYPERLINK(CONCATENATE("#Metadata!", ADDRESS(INDEX($Q$2:$Q$1001,MATCH(ROWS($O$2:O522),$O$2:$O$1001,0),0), INDEX($V$1004:$AE$1004,1,MATCH(COLUMNS($V$1006:AD1006),$V$1006:$AE$1006,0)))),"Fix")))</f>
        <v>0</v>
      </c>
      <c r="K522" s="4">
        <f>IF(OR(INDEX($P$2:$P$1001,MATCH(ROWS($O$2:O522),$O$2:$O$1001,0),1)&gt;=100000,INDEX($V$1005:$AE$1005,1,MATCH(COLUMNS($V$1006:AE1006),$V$1006:$AE$1006,0))&gt;=100000), " ",IF(INDEX($V$2:$AE$1001,MATCH(ROWS($O$2:O522),$O$2:$O$1001,0),MATCH(COLUMNS($V$1006:AE1006),$V$1006:$AE$1006,0)), HYPERLINK("#",""), HYPERLINK(CONCATENATE("#Metadata!", ADDRESS(INDEX($Q$2:$Q$1001,MATCH(ROWS($O$2:O522),$O$2:$O$1001,0),0), INDEX($V$1004:$AE$1004,1,MATCH(COLUMNS($V$1006:AE1006),$V$1006:$AE$1006,0)))),"Fix")))</f>
        <v>0</v>
      </c>
      <c r="O522">
        <v>0</v>
      </c>
      <c r="P522">
        <v>0</v>
      </c>
      <c r="Q522">
        <v>0</v>
      </c>
      <c r="R522">
        <f>IF(S522,TRUE,AND(V522:AE522))</f>
        <v>0</v>
      </c>
      <c r="S522">
        <f>COUNTBLANK(Metadata!B522:K522)=COLUMNS(Metadata!B522:K522)</f>
        <v>0</v>
      </c>
      <c r="T522">
        <v>0</v>
      </c>
      <c r="V522">
        <f>AND(IF(Metadata!B522="",FALSE,TRUE),COUNTIF(Metadata!B:B, Metadata!B522) = 1,NOT(ISERROR(SUMPRODUCT(SEARCH(MID(Metadata!B522,ROW(INDIRECT("1:"&amp;LEN(Metadata!B522))), 1),"0123456789abcdefghijklmnopqrstuvwxyzABCDEFGHIJKLMNOPQRSTUVWXYZ.")))))</f>
        <v>0</v>
      </c>
      <c r="W522">
        <f>AND(IF(Metadata!C522="",FALSE,TRUE),exact(Metadata!C522,"urban biome"))</f>
        <v>0</v>
      </c>
      <c r="X522">
        <f>AND(IF(Metadata!D522="",FALSE,TRUE),exact(Metadata!D522,"animal-associated habitat"))</f>
        <v>0</v>
      </c>
      <c r="Y522">
        <f>OR(AND(IF(Metadata!E522="",FALSE,TRUE),OR(exact(Metadata!E522,"not applicable"),exact(Metadata!E522,"missing: not collected"),exact(Metadata!E522,"missing: not provided"),exact(Metadata!E522,"missing: restricted access"))),AND(IF(Metadata!E522="",FALSE,ISNUMBER(VALUE(Metadata!E522))),Metadata!E522&gt;0))</f>
        <v>0</v>
      </c>
      <c r="Z522">
        <f>AND(IF(Metadata!F522="",FALSE,TRUE),exact(Metadata!F522,"weeks"))</f>
        <v>0</v>
      </c>
      <c r="AA522">
        <f>AND(IF(Metadata!G522="",FALSE,TRUE),exact(Metadata!G522,"mouse"))</f>
        <v>0</v>
      </c>
      <c r="AB522">
        <f>AND(IF(Metadata!H522="",FALSE,TRUE),exact(Metadata!H522,"Mus musculus"))</f>
        <v>0</v>
      </c>
      <c r="AC522">
        <f>AND(IF(Metadata!I522="",FALSE,TRUE),exact(Metadata!I522,"10090"))</f>
        <v>0</v>
      </c>
      <c r="AD522">
        <f>OR(AND(IF(Metadata!J522="",FALSE,TRUE),OR(exact(Metadata!J522,"not applicable"),exact(Metadata!J522,"missing: not collected"),exact(Metadata!J522,"missing: not provided"),exact(Metadata!J522,"missing: restricted access"))),AND(IF(Metadata!J522="",FALSE,ISNUMBER(VALUE(Metadata!J522))),Metadata!J522&gt;0))</f>
        <v>0</v>
      </c>
      <c r="AE522">
        <f>AND(IF(Metadata!K522="",FALSE,TRUE),exact(Metadata!K522,"g"))</f>
        <v>0</v>
      </c>
    </row>
    <row r="523" spans="1:31">
      <c r="A523" s="5">
        <f>IF(B523=" "," ",HYPERLINK(CONCATENATE("#metadata!",ADDRESS(INDEX($Q$2:$Q$1001,MATCH(ROWS($O$2:O523),$O$2:$O$1001,0),0),1)),INDEX($T$2:$T$1001,MATCH(ROWS($O$2:O523),$O$2:$O$1001,0),0)))</f>
        <v>0</v>
      </c>
      <c r="B523" s="4">
        <f>IF(OR(INDEX($P$2:$P$1001,MATCH(ROWS($O$2:O523),$O$2:$O$1001,0),1)&gt;=100000,INDEX($V$1005:$AE$1005,1,MATCH(COLUMNS($V$1006:V1006),$V$1006:$AE$1006,0))&gt;=100000), " ",IF(INDEX($V$2:$AE$1001,MATCH(ROWS($O$2:O523),$O$2:$O$1001,0),MATCH(COLUMNS($V$1006:V1006),$V$1006:$AE$1006,0)), HYPERLINK("#",""), HYPERLINK(CONCATENATE("#Metadata!", ADDRESS(INDEX($Q$2:$Q$1001,MATCH(ROWS($O$2:O523),$O$2:$O$1001,0),0), INDEX($V$1004:$AE$1004,1,MATCH(COLUMNS($V$1006:V1006),$V$1006:$AE$1006,0)))),"Fix")))</f>
        <v>0</v>
      </c>
      <c r="C523" s="4">
        <f>IF(OR(INDEX($P$2:$P$1001,MATCH(ROWS($O$2:O523),$O$2:$O$1001,0),1)&gt;=100000,INDEX($V$1005:$AE$1005,1,MATCH(COLUMNS($V$1006:W1006),$V$1006:$AE$1006,0))&gt;=100000), " ",IF(INDEX($V$2:$AE$1001,MATCH(ROWS($O$2:O523),$O$2:$O$1001,0),MATCH(COLUMNS($V$1006:W1006),$V$1006:$AE$1006,0)), HYPERLINK("#",""), HYPERLINK(CONCATENATE("#Metadata!", ADDRESS(INDEX($Q$2:$Q$1001,MATCH(ROWS($O$2:O523),$O$2:$O$1001,0),0), INDEX($V$1004:$AE$1004,1,MATCH(COLUMNS($V$1006:W1006),$V$1006:$AE$1006,0)))),"Fix")))</f>
        <v>0</v>
      </c>
      <c r="D523" s="4">
        <f>IF(OR(INDEX($P$2:$P$1001,MATCH(ROWS($O$2:O523),$O$2:$O$1001,0),1)&gt;=100000,INDEX($V$1005:$AE$1005,1,MATCH(COLUMNS($V$1006:X1006),$V$1006:$AE$1006,0))&gt;=100000), " ",IF(INDEX($V$2:$AE$1001,MATCH(ROWS($O$2:O523),$O$2:$O$1001,0),MATCH(COLUMNS($V$1006:X1006),$V$1006:$AE$1006,0)), HYPERLINK("#",""), HYPERLINK(CONCATENATE("#Metadata!", ADDRESS(INDEX($Q$2:$Q$1001,MATCH(ROWS($O$2:O523),$O$2:$O$1001,0),0), INDEX($V$1004:$AE$1004,1,MATCH(COLUMNS($V$1006:X1006),$V$1006:$AE$1006,0)))),"Fix")))</f>
        <v>0</v>
      </c>
      <c r="E523" s="4">
        <f>IF(OR(INDEX($P$2:$P$1001,MATCH(ROWS($O$2:O523),$O$2:$O$1001,0),1)&gt;=100000,INDEX($V$1005:$AE$1005,1,MATCH(COLUMNS($V$1006:Y1006),$V$1006:$AE$1006,0))&gt;=100000), " ",IF(INDEX($V$2:$AE$1001,MATCH(ROWS($O$2:O523),$O$2:$O$1001,0),MATCH(COLUMNS($V$1006:Y1006),$V$1006:$AE$1006,0)), HYPERLINK("#",""), HYPERLINK(CONCATENATE("#Metadata!", ADDRESS(INDEX($Q$2:$Q$1001,MATCH(ROWS($O$2:O523),$O$2:$O$1001,0),0), INDEX($V$1004:$AE$1004,1,MATCH(COLUMNS($V$1006:Y1006),$V$1006:$AE$1006,0)))),"Fix")))</f>
        <v>0</v>
      </c>
      <c r="F523" s="4">
        <f>IF(OR(INDEX($P$2:$P$1001,MATCH(ROWS($O$2:O523),$O$2:$O$1001,0),1)&gt;=100000,INDEX($V$1005:$AE$1005,1,MATCH(COLUMNS($V$1006:Z1006),$V$1006:$AE$1006,0))&gt;=100000), " ",IF(INDEX($V$2:$AE$1001,MATCH(ROWS($O$2:O523),$O$2:$O$1001,0),MATCH(COLUMNS($V$1006:Z1006),$V$1006:$AE$1006,0)), HYPERLINK("#",""), HYPERLINK(CONCATENATE("#Metadata!", ADDRESS(INDEX($Q$2:$Q$1001,MATCH(ROWS($O$2:O523),$O$2:$O$1001,0),0), INDEX($V$1004:$AE$1004,1,MATCH(COLUMNS($V$1006:Z1006),$V$1006:$AE$1006,0)))),"Fix")))</f>
        <v>0</v>
      </c>
      <c r="G523" s="4">
        <f>IF(OR(INDEX($P$2:$P$1001,MATCH(ROWS($O$2:O523),$O$2:$O$1001,0),1)&gt;=100000,INDEX($V$1005:$AE$1005,1,MATCH(COLUMNS($V$1006:AA1006),$V$1006:$AE$1006,0))&gt;=100000), " ",IF(INDEX($V$2:$AE$1001,MATCH(ROWS($O$2:O523),$O$2:$O$1001,0),MATCH(COLUMNS($V$1006:AA1006),$V$1006:$AE$1006,0)), HYPERLINK("#",""), HYPERLINK(CONCATENATE("#Metadata!", ADDRESS(INDEX($Q$2:$Q$1001,MATCH(ROWS($O$2:O523),$O$2:$O$1001,0),0), INDEX($V$1004:$AE$1004,1,MATCH(COLUMNS($V$1006:AA1006),$V$1006:$AE$1006,0)))),"Fix")))</f>
        <v>0</v>
      </c>
      <c r="H523" s="4">
        <f>IF(OR(INDEX($P$2:$P$1001,MATCH(ROWS($O$2:O523),$O$2:$O$1001,0),1)&gt;=100000,INDEX($V$1005:$AE$1005,1,MATCH(COLUMNS($V$1006:AB1006),$V$1006:$AE$1006,0))&gt;=100000), " ",IF(INDEX($V$2:$AE$1001,MATCH(ROWS($O$2:O523),$O$2:$O$1001,0),MATCH(COLUMNS($V$1006:AB1006),$V$1006:$AE$1006,0)), HYPERLINK("#",""), HYPERLINK(CONCATENATE("#Metadata!", ADDRESS(INDEX($Q$2:$Q$1001,MATCH(ROWS($O$2:O523),$O$2:$O$1001,0),0), INDEX($V$1004:$AE$1004,1,MATCH(COLUMNS($V$1006:AB1006),$V$1006:$AE$1006,0)))),"Fix")))</f>
        <v>0</v>
      </c>
      <c r="I523" s="4">
        <f>IF(OR(INDEX($P$2:$P$1001,MATCH(ROWS($O$2:O523),$O$2:$O$1001,0),1)&gt;=100000,INDEX($V$1005:$AE$1005,1,MATCH(COLUMNS($V$1006:AC1006),$V$1006:$AE$1006,0))&gt;=100000), " ",IF(INDEX($V$2:$AE$1001,MATCH(ROWS($O$2:O523),$O$2:$O$1001,0),MATCH(COLUMNS($V$1006:AC1006),$V$1006:$AE$1006,0)), HYPERLINK("#",""), HYPERLINK(CONCATENATE("#Metadata!", ADDRESS(INDEX($Q$2:$Q$1001,MATCH(ROWS($O$2:O523),$O$2:$O$1001,0),0), INDEX($V$1004:$AE$1004,1,MATCH(COLUMNS($V$1006:AC1006),$V$1006:$AE$1006,0)))),"Fix")))</f>
        <v>0</v>
      </c>
      <c r="J523" s="4">
        <f>IF(OR(INDEX($P$2:$P$1001,MATCH(ROWS($O$2:O523),$O$2:$O$1001,0),1)&gt;=100000,INDEX($V$1005:$AE$1005,1,MATCH(COLUMNS($V$1006:AD1006),$V$1006:$AE$1006,0))&gt;=100000), " ",IF(INDEX($V$2:$AE$1001,MATCH(ROWS($O$2:O523),$O$2:$O$1001,0),MATCH(COLUMNS($V$1006:AD1006),$V$1006:$AE$1006,0)), HYPERLINK("#",""), HYPERLINK(CONCATENATE("#Metadata!", ADDRESS(INDEX($Q$2:$Q$1001,MATCH(ROWS($O$2:O523),$O$2:$O$1001,0),0), INDEX($V$1004:$AE$1004,1,MATCH(COLUMNS($V$1006:AD1006),$V$1006:$AE$1006,0)))),"Fix")))</f>
        <v>0</v>
      </c>
      <c r="K523" s="4">
        <f>IF(OR(INDEX($P$2:$P$1001,MATCH(ROWS($O$2:O523),$O$2:$O$1001,0),1)&gt;=100000,INDEX($V$1005:$AE$1005,1,MATCH(COLUMNS($V$1006:AE1006),$V$1006:$AE$1006,0))&gt;=100000), " ",IF(INDEX($V$2:$AE$1001,MATCH(ROWS($O$2:O523),$O$2:$O$1001,0),MATCH(COLUMNS($V$1006:AE1006),$V$1006:$AE$1006,0)), HYPERLINK("#",""), HYPERLINK(CONCATENATE("#Metadata!", ADDRESS(INDEX($Q$2:$Q$1001,MATCH(ROWS($O$2:O523),$O$2:$O$1001,0),0), INDEX($V$1004:$AE$1004,1,MATCH(COLUMNS($V$1006:AE1006),$V$1006:$AE$1006,0)))),"Fix")))</f>
        <v>0</v>
      </c>
      <c r="O523">
        <v>0</v>
      </c>
      <c r="P523">
        <v>0</v>
      </c>
      <c r="Q523">
        <v>0</v>
      </c>
      <c r="R523">
        <f>IF(S523,TRUE,AND(V523:AE523))</f>
        <v>0</v>
      </c>
      <c r="S523">
        <f>COUNTBLANK(Metadata!B523:K523)=COLUMNS(Metadata!B523:K523)</f>
        <v>0</v>
      </c>
      <c r="T523">
        <v>0</v>
      </c>
      <c r="V523">
        <f>AND(IF(Metadata!B523="",FALSE,TRUE),COUNTIF(Metadata!B:B, Metadata!B523) = 1,NOT(ISERROR(SUMPRODUCT(SEARCH(MID(Metadata!B523,ROW(INDIRECT("1:"&amp;LEN(Metadata!B523))), 1),"0123456789abcdefghijklmnopqrstuvwxyzABCDEFGHIJKLMNOPQRSTUVWXYZ.")))))</f>
        <v>0</v>
      </c>
      <c r="W523">
        <f>AND(IF(Metadata!C523="",FALSE,TRUE),exact(Metadata!C523,"urban biome"))</f>
        <v>0</v>
      </c>
      <c r="X523">
        <f>AND(IF(Metadata!D523="",FALSE,TRUE),exact(Metadata!D523,"animal-associated habitat"))</f>
        <v>0</v>
      </c>
      <c r="Y523">
        <f>OR(AND(IF(Metadata!E523="",FALSE,TRUE),OR(exact(Metadata!E523,"not applicable"),exact(Metadata!E523,"missing: not collected"),exact(Metadata!E523,"missing: not provided"),exact(Metadata!E523,"missing: restricted access"))),AND(IF(Metadata!E523="",FALSE,ISNUMBER(VALUE(Metadata!E523))),Metadata!E523&gt;0))</f>
        <v>0</v>
      </c>
      <c r="Z523">
        <f>AND(IF(Metadata!F523="",FALSE,TRUE),exact(Metadata!F523,"weeks"))</f>
        <v>0</v>
      </c>
      <c r="AA523">
        <f>AND(IF(Metadata!G523="",FALSE,TRUE),exact(Metadata!G523,"mouse"))</f>
        <v>0</v>
      </c>
      <c r="AB523">
        <f>AND(IF(Metadata!H523="",FALSE,TRUE),exact(Metadata!H523,"Mus musculus"))</f>
        <v>0</v>
      </c>
      <c r="AC523">
        <f>AND(IF(Metadata!I523="",FALSE,TRUE),exact(Metadata!I523,"10090"))</f>
        <v>0</v>
      </c>
      <c r="AD523">
        <f>OR(AND(IF(Metadata!J523="",FALSE,TRUE),OR(exact(Metadata!J523,"not applicable"),exact(Metadata!J523,"missing: not collected"),exact(Metadata!J523,"missing: not provided"),exact(Metadata!J523,"missing: restricted access"))),AND(IF(Metadata!J523="",FALSE,ISNUMBER(VALUE(Metadata!J523))),Metadata!J523&gt;0))</f>
        <v>0</v>
      </c>
      <c r="AE523">
        <f>AND(IF(Metadata!K523="",FALSE,TRUE),exact(Metadata!K523,"g"))</f>
        <v>0</v>
      </c>
    </row>
    <row r="524" spans="1:31">
      <c r="A524" s="5">
        <f>IF(B524=" "," ",HYPERLINK(CONCATENATE("#metadata!",ADDRESS(INDEX($Q$2:$Q$1001,MATCH(ROWS($O$2:O524),$O$2:$O$1001,0),0),1)),INDEX($T$2:$T$1001,MATCH(ROWS($O$2:O524),$O$2:$O$1001,0),0)))</f>
        <v>0</v>
      </c>
      <c r="B524" s="4">
        <f>IF(OR(INDEX($P$2:$P$1001,MATCH(ROWS($O$2:O524),$O$2:$O$1001,0),1)&gt;=100000,INDEX($V$1005:$AE$1005,1,MATCH(COLUMNS($V$1006:V1006),$V$1006:$AE$1006,0))&gt;=100000), " ",IF(INDEX($V$2:$AE$1001,MATCH(ROWS($O$2:O524),$O$2:$O$1001,0),MATCH(COLUMNS($V$1006:V1006),$V$1006:$AE$1006,0)), HYPERLINK("#",""), HYPERLINK(CONCATENATE("#Metadata!", ADDRESS(INDEX($Q$2:$Q$1001,MATCH(ROWS($O$2:O524),$O$2:$O$1001,0),0), INDEX($V$1004:$AE$1004,1,MATCH(COLUMNS($V$1006:V1006),$V$1006:$AE$1006,0)))),"Fix")))</f>
        <v>0</v>
      </c>
      <c r="C524" s="4">
        <f>IF(OR(INDEX($P$2:$P$1001,MATCH(ROWS($O$2:O524),$O$2:$O$1001,0),1)&gt;=100000,INDEX($V$1005:$AE$1005,1,MATCH(COLUMNS($V$1006:W1006),$V$1006:$AE$1006,0))&gt;=100000), " ",IF(INDEX($V$2:$AE$1001,MATCH(ROWS($O$2:O524),$O$2:$O$1001,0),MATCH(COLUMNS($V$1006:W1006),$V$1006:$AE$1006,0)), HYPERLINK("#",""), HYPERLINK(CONCATENATE("#Metadata!", ADDRESS(INDEX($Q$2:$Q$1001,MATCH(ROWS($O$2:O524),$O$2:$O$1001,0),0), INDEX($V$1004:$AE$1004,1,MATCH(COLUMNS($V$1006:W1006),$V$1006:$AE$1006,0)))),"Fix")))</f>
        <v>0</v>
      </c>
      <c r="D524" s="4">
        <f>IF(OR(INDEX($P$2:$P$1001,MATCH(ROWS($O$2:O524),$O$2:$O$1001,0),1)&gt;=100000,INDEX($V$1005:$AE$1005,1,MATCH(COLUMNS($V$1006:X1006),$V$1006:$AE$1006,0))&gt;=100000), " ",IF(INDEX($V$2:$AE$1001,MATCH(ROWS($O$2:O524),$O$2:$O$1001,0),MATCH(COLUMNS($V$1006:X1006),$V$1006:$AE$1006,0)), HYPERLINK("#",""), HYPERLINK(CONCATENATE("#Metadata!", ADDRESS(INDEX($Q$2:$Q$1001,MATCH(ROWS($O$2:O524),$O$2:$O$1001,0),0), INDEX($V$1004:$AE$1004,1,MATCH(COLUMNS($V$1006:X1006),$V$1006:$AE$1006,0)))),"Fix")))</f>
        <v>0</v>
      </c>
      <c r="E524" s="4">
        <f>IF(OR(INDEX($P$2:$P$1001,MATCH(ROWS($O$2:O524),$O$2:$O$1001,0),1)&gt;=100000,INDEX($V$1005:$AE$1005,1,MATCH(COLUMNS($V$1006:Y1006),$V$1006:$AE$1006,0))&gt;=100000), " ",IF(INDEX($V$2:$AE$1001,MATCH(ROWS($O$2:O524),$O$2:$O$1001,0),MATCH(COLUMNS($V$1006:Y1006),$V$1006:$AE$1006,0)), HYPERLINK("#",""), HYPERLINK(CONCATENATE("#Metadata!", ADDRESS(INDEX($Q$2:$Q$1001,MATCH(ROWS($O$2:O524),$O$2:$O$1001,0),0), INDEX($V$1004:$AE$1004,1,MATCH(COLUMNS($V$1006:Y1006),$V$1006:$AE$1006,0)))),"Fix")))</f>
        <v>0</v>
      </c>
      <c r="F524" s="4">
        <f>IF(OR(INDEX($P$2:$P$1001,MATCH(ROWS($O$2:O524),$O$2:$O$1001,0),1)&gt;=100000,INDEX($V$1005:$AE$1005,1,MATCH(COLUMNS($V$1006:Z1006),$V$1006:$AE$1006,0))&gt;=100000), " ",IF(INDEX($V$2:$AE$1001,MATCH(ROWS($O$2:O524),$O$2:$O$1001,0),MATCH(COLUMNS($V$1006:Z1006),$V$1006:$AE$1006,0)), HYPERLINK("#",""), HYPERLINK(CONCATENATE("#Metadata!", ADDRESS(INDEX($Q$2:$Q$1001,MATCH(ROWS($O$2:O524),$O$2:$O$1001,0),0), INDEX($V$1004:$AE$1004,1,MATCH(COLUMNS($V$1006:Z1006),$V$1006:$AE$1006,0)))),"Fix")))</f>
        <v>0</v>
      </c>
      <c r="G524" s="4">
        <f>IF(OR(INDEX($P$2:$P$1001,MATCH(ROWS($O$2:O524),$O$2:$O$1001,0),1)&gt;=100000,INDEX($V$1005:$AE$1005,1,MATCH(COLUMNS($V$1006:AA1006),$V$1006:$AE$1006,0))&gt;=100000), " ",IF(INDEX($V$2:$AE$1001,MATCH(ROWS($O$2:O524),$O$2:$O$1001,0),MATCH(COLUMNS($V$1006:AA1006),$V$1006:$AE$1006,0)), HYPERLINK("#",""), HYPERLINK(CONCATENATE("#Metadata!", ADDRESS(INDEX($Q$2:$Q$1001,MATCH(ROWS($O$2:O524),$O$2:$O$1001,0),0), INDEX($V$1004:$AE$1004,1,MATCH(COLUMNS($V$1006:AA1006),$V$1006:$AE$1006,0)))),"Fix")))</f>
        <v>0</v>
      </c>
      <c r="H524" s="4">
        <f>IF(OR(INDEX($P$2:$P$1001,MATCH(ROWS($O$2:O524),$O$2:$O$1001,0),1)&gt;=100000,INDEX($V$1005:$AE$1005,1,MATCH(COLUMNS($V$1006:AB1006),$V$1006:$AE$1006,0))&gt;=100000), " ",IF(INDEX($V$2:$AE$1001,MATCH(ROWS($O$2:O524),$O$2:$O$1001,0),MATCH(COLUMNS($V$1006:AB1006),$V$1006:$AE$1006,0)), HYPERLINK("#",""), HYPERLINK(CONCATENATE("#Metadata!", ADDRESS(INDEX($Q$2:$Q$1001,MATCH(ROWS($O$2:O524),$O$2:$O$1001,0),0), INDEX($V$1004:$AE$1004,1,MATCH(COLUMNS($V$1006:AB1006),$V$1006:$AE$1006,0)))),"Fix")))</f>
        <v>0</v>
      </c>
      <c r="I524" s="4">
        <f>IF(OR(INDEX($P$2:$P$1001,MATCH(ROWS($O$2:O524),$O$2:$O$1001,0),1)&gt;=100000,INDEX($V$1005:$AE$1005,1,MATCH(COLUMNS($V$1006:AC1006),$V$1006:$AE$1006,0))&gt;=100000), " ",IF(INDEX($V$2:$AE$1001,MATCH(ROWS($O$2:O524),$O$2:$O$1001,0),MATCH(COLUMNS($V$1006:AC1006),$V$1006:$AE$1006,0)), HYPERLINK("#",""), HYPERLINK(CONCATENATE("#Metadata!", ADDRESS(INDEX($Q$2:$Q$1001,MATCH(ROWS($O$2:O524),$O$2:$O$1001,0),0), INDEX($V$1004:$AE$1004,1,MATCH(COLUMNS($V$1006:AC1006),$V$1006:$AE$1006,0)))),"Fix")))</f>
        <v>0</v>
      </c>
      <c r="J524" s="4">
        <f>IF(OR(INDEX($P$2:$P$1001,MATCH(ROWS($O$2:O524),$O$2:$O$1001,0),1)&gt;=100000,INDEX($V$1005:$AE$1005,1,MATCH(COLUMNS($V$1006:AD1006),$V$1006:$AE$1006,0))&gt;=100000), " ",IF(INDEX($V$2:$AE$1001,MATCH(ROWS($O$2:O524),$O$2:$O$1001,0),MATCH(COLUMNS($V$1006:AD1006),$V$1006:$AE$1006,0)), HYPERLINK("#",""), HYPERLINK(CONCATENATE("#Metadata!", ADDRESS(INDEX($Q$2:$Q$1001,MATCH(ROWS($O$2:O524),$O$2:$O$1001,0),0), INDEX($V$1004:$AE$1004,1,MATCH(COLUMNS($V$1006:AD1006),$V$1006:$AE$1006,0)))),"Fix")))</f>
        <v>0</v>
      </c>
      <c r="K524" s="4">
        <f>IF(OR(INDEX($P$2:$P$1001,MATCH(ROWS($O$2:O524),$O$2:$O$1001,0),1)&gt;=100000,INDEX($V$1005:$AE$1005,1,MATCH(COLUMNS($V$1006:AE1006),$V$1006:$AE$1006,0))&gt;=100000), " ",IF(INDEX($V$2:$AE$1001,MATCH(ROWS($O$2:O524),$O$2:$O$1001,0),MATCH(COLUMNS($V$1006:AE1006),$V$1006:$AE$1006,0)), HYPERLINK("#",""), HYPERLINK(CONCATENATE("#Metadata!", ADDRESS(INDEX($Q$2:$Q$1001,MATCH(ROWS($O$2:O524),$O$2:$O$1001,0),0), INDEX($V$1004:$AE$1004,1,MATCH(COLUMNS($V$1006:AE1006),$V$1006:$AE$1006,0)))),"Fix")))</f>
        <v>0</v>
      </c>
      <c r="O524">
        <v>0</v>
      </c>
      <c r="P524">
        <v>0</v>
      </c>
      <c r="Q524">
        <v>0</v>
      </c>
      <c r="R524">
        <f>IF(S524,TRUE,AND(V524:AE524))</f>
        <v>0</v>
      </c>
      <c r="S524">
        <f>COUNTBLANK(Metadata!B524:K524)=COLUMNS(Metadata!B524:K524)</f>
        <v>0</v>
      </c>
      <c r="T524">
        <v>0</v>
      </c>
      <c r="V524">
        <f>AND(IF(Metadata!B524="",FALSE,TRUE),COUNTIF(Metadata!B:B, Metadata!B524) = 1,NOT(ISERROR(SUMPRODUCT(SEARCH(MID(Metadata!B524,ROW(INDIRECT("1:"&amp;LEN(Metadata!B524))), 1),"0123456789abcdefghijklmnopqrstuvwxyzABCDEFGHIJKLMNOPQRSTUVWXYZ.")))))</f>
        <v>0</v>
      </c>
      <c r="W524">
        <f>AND(IF(Metadata!C524="",FALSE,TRUE),exact(Metadata!C524,"urban biome"))</f>
        <v>0</v>
      </c>
      <c r="X524">
        <f>AND(IF(Metadata!D524="",FALSE,TRUE),exact(Metadata!D524,"animal-associated habitat"))</f>
        <v>0</v>
      </c>
      <c r="Y524">
        <f>OR(AND(IF(Metadata!E524="",FALSE,TRUE),OR(exact(Metadata!E524,"not applicable"),exact(Metadata!E524,"missing: not collected"),exact(Metadata!E524,"missing: not provided"),exact(Metadata!E524,"missing: restricted access"))),AND(IF(Metadata!E524="",FALSE,ISNUMBER(VALUE(Metadata!E524))),Metadata!E524&gt;0))</f>
        <v>0</v>
      </c>
      <c r="Z524">
        <f>AND(IF(Metadata!F524="",FALSE,TRUE),exact(Metadata!F524,"weeks"))</f>
        <v>0</v>
      </c>
      <c r="AA524">
        <f>AND(IF(Metadata!G524="",FALSE,TRUE),exact(Metadata!G524,"mouse"))</f>
        <v>0</v>
      </c>
      <c r="AB524">
        <f>AND(IF(Metadata!H524="",FALSE,TRUE),exact(Metadata!H524,"Mus musculus"))</f>
        <v>0</v>
      </c>
      <c r="AC524">
        <f>AND(IF(Metadata!I524="",FALSE,TRUE),exact(Metadata!I524,"10090"))</f>
        <v>0</v>
      </c>
      <c r="AD524">
        <f>OR(AND(IF(Metadata!J524="",FALSE,TRUE),OR(exact(Metadata!J524,"not applicable"),exact(Metadata!J524,"missing: not collected"),exact(Metadata!J524,"missing: not provided"),exact(Metadata!J524,"missing: restricted access"))),AND(IF(Metadata!J524="",FALSE,ISNUMBER(VALUE(Metadata!J524))),Metadata!J524&gt;0))</f>
        <v>0</v>
      </c>
      <c r="AE524">
        <f>AND(IF(Metadata!K524="",FALSE,TRUE),exact(Metadata!K524,"g"))</f>
        <v>0</v>
      </c>
    </row>
    <row r="525" spans="1:31">
      <c r="A525" s="5">
        <f>IF(B525=" "," ",HYPERLINK(CONCATENATE("#metadata!",ADDRESS(INDEX($Q$2:$Q$1001,MATCH(ROWS($O$2:O525),$O$2:$O$1001,0),0),1)),INDEX($T$2:$T$1001,MATCH(ROWS($O$2:O525),$O$2:$O$1001,0),0)))</f>
        <v>0</v>
      </c>
      <c r="B525" s="4">
        <f>IF(OR(INDEX($P$2:$P$1001,MATCH(ROWS($O$2:O525),$O$2:$O$1001,0),1)&gt;=100000,INDEX($V$1005:$AE$1005,1,MATCH(COLUMNS($V$1006:V1006),$V$1006:$AE$1006,0))&gt;=100000), " ",IF(INDEX($V$2:$AE$1001,MATCH(ROWS($O$2:O525),$O$2:$O$1001,0),MATCH(COLUMNS($V$1006:V1006),$V$1006:$AE$1006,0)), HYPERLINK("#",""), HYPERLINK(CONCATENATE("#Metadata!", ADDRESS(INDEX($Q$2:$Q$1001,MATCH(ROWS($O$2:O525),$O$2:$O$1001,0),0), INDEX($V$1004:$AE$1004,1,MATCH(COLUMNS($V$1006:V1006),$V$1006:$AE$1006,0)))),"Fix")))</f>
        <v>0</v>
      </c>
      <c r="C525" s="4">
        <f>IF(OR(INDEX($P$2:$P$1001,MATCH(ROWS($O$2:O525),$O$2:$O$1001,0),1)&gt;=100000,INDEX($V$1005:$AE$1005,1,MATCH(COLUMNS($V$1006:W1006),$V$1006:$AE$1006,0))&gt;=100000), " ",IF(INDEX($V$2:$AE$1001,MATCH(ROWS($O$2:O525),$O$2:$O$1001,0),MATCH(COLUMNS($V$1006:W1006),$V$1006:$AE$1006,0)), HYPERLINK("#",""), HYPERLINK(CONCATENATE("#Metadata!", ADDRESS(INDEX($Q$2:$Q$1001,MATCH(ROWS($O$2:O525),$O$2:$O$1001,0),0), INDEX($V$1004:$AE$1004,1,MATCH(COLUMNS($V$1006:W1006),$V$1006:$AE$1006,0)))),"Fix")))</f>
        <v>0</v>
      </c>
      <c r="D525" s="4">
        <f>IF(OR(INDEX($P$2:$P$1001,MATCH(ROWS($O$2:O525),$O$2:$O$1001,0),1)&gt;=100000,INDEX($V$1005:$AE$1005,1,MATCH(COLUMNS($V$1006:X1006),$V$1006:$AE$1006,0))&gt;=100000), " ",IF(INDEX($V$2:$AE$1001,MATCH(ROWS($O$2:O525),$O$2:$O$1001,0),MATCH(COLUMNS($V$1006:X1006),$V$1006:$AE$1006,0)), HYPERLINK("#",""), HYPERLINK(CONCATENATE("#Metadata!", ADDRESS(INDEX($Q$2:$Q$1001,MATCH(ROWS($O$2:O525),$O$2:$O$1001,0),0), INDEX($V$1004:$AE$1004,1,MATCH(COLUMNS($V$1006:X1006),$V$1006:$AE$1006,0)))),"Fix")))</f>
        <v>0</v>
      </c>
      <c r="E525" s="4">
        <f>IF(OR(INDEX($P$2:$P$1001,MATCH(ROWS($O$2:O525),$O$2:$O$1001,0),1)&gt;=100000,INDEX($V$1005:$AE$1005,1,MATCH(COLUMNS($V$1006:Y1006),$V$1006:$AE$1006,0))&gt;=100000), " ",IF(INDEX($V$2:$AE$1001,MATCH(ROWS($O$2:O525),$O$2:$O$1001,0),MATCH(COLUMNS($V$1006:Y1006),$V$1006:$AE$1006,0)), HYPERLINK("#",""), HYPERLINK(CONCATENATE("#Metadata!", ADDRESS(INDEX($Q$2:$Q$1001,MATCH(ROWS($O$2:O525),$O$2:$O$1001,0),0), INDEX($V$1004:$AE$1004,1,MATCH(COLUMNS($V$1006:Y1006),$V$1006:$AE$1006,0)))),"Fix")))</f>
        <v>0</v>
      </c>
      <c r="F525" s="4">
        <f>IF(OR(INDEX($P$2:$P$1001,MATCH(ROWS($O$2:O525),$O$2:$O$1001,0),1)&gt;=100000,INDEX($V$1005:$AE$1005,1,MATCH(COLUMNS($V$1006:Z1006),$V$1006:$AE$1006,0))&gt;=100000), " ",IF(INDEX($V$2:$AE$1001,MATCH(ROWS($O$2:O525),$O$2:$O$1001,0),MATCH(COLUMNS($V$1006:Z1006),$V$1006:$AE$1006,0)), HYPERLINK("#",""), HYPERLINK(CONCATENATE("#Metadata!", ADDRESS(INDEX($Q$2:$Q$1001,MATCH(ROWS($O$2:O525),$O$2:$O$1001,0),0), INDEX($V$1004:$AE$1004,1,MATCH(COLUMNS($V$1006:Z1006),$V$1006:$AE$1006,0)))),"Fix")))</f>
        <v>0</v>
      </c>
      <c r="G525" s="4">
        <f>IF(OR(INDEX($P$2:$P$1001,MATCH(ROWS($O$2:O525),$O$2:$O$1001,0),1)&gt;=100000,INDEX($V$1005:$AE$1005,1,MATCH(COLUMNS($V$1006:AA1006),$V$1006:$AE$1006,0))&gt;=100000), " ",IF(INDEX($V$2:$AE$1001,MATCH(ROWS($O$2:O525),$O$2:$O$1001,0),MATCH(COLUMNS($V$1006:AA1006),$V$1006:$AE$1006,0)), HYPERLINK("#",""), HYPERLINK(CONCATENATE("#Metadata!", ADDRESS(INDEX($Q$2:$Q$1001,MATCH(ROWS($O$2:O525),$O$2:$O$1001,0),0), INDEX($V$1004:$AE$1004,1,MATCH(COLUMNS($V$1006:AA1006),$V$1006:$AE$1006,0)))),"Fix")))</f>
        <v>0</v>
      </c>
      <c r="H525" s="4">
        <f>IF(OR(INDEX($P$2:$P$1001,MATCH(ROWS($O$2:O525),$O$2:$O$1001,0),1)&gt;=100000,INDEX($V$1005:$AE$1005,1,MATCH(COLUMNS($V$1006:AB1006),$V$1006:$AE$1006,0))&gt;=100000), " ",IF(INDEX($V$2:$AE$1001,MATCH(ROWS($O$2:O525),$O$2:$O$1001,0),MATCH(COLUMNS($V$1006:AB1006),$V$1006:$AE$1006,0)), HYPERLINK("#",""), HYPERLINK(CONCATENATE("#Metadata!", ADDRESS(INDEX($Q$2:$Q$1001,MATCH(ROWS($O$2:O525),$O$2:$O$1001,0),0), INDEX($V$1004:$AE$1004,1,MATCH(COLUMNS($V$1006:AB1006),$V$1006:$AE$1006,0)))),"Fix")))</f>
        <v>0</v>
      </c>
      <c r="I525" s="4">
        <f>IF(OR(INDEX($P$2:$P$1001,MATCH(ROWS($O$2:O525),$O$2:$O$1001,0),1)&gt;=100000,INDEX($V$1005:$AE$1005,1,MATCH(COLUMNS($V$1006:AC1006),$V$1006:$AE$1006,0))&gt;=100000), " ",IF(INDEX($V$2:$AE$1001,MATCH(ROWS($O$2:O525),$O$2:$O$1001,0),MATCH(COLUMNS($V$1006:AC1006),$V$1006:$AE$1006,0)), HYPERLINK("#",""), HYPERLINK(CONCATENATE("#Metadata!", ADDRESS(INDEX($Q$2:$Q$1001,MATCH(ROWS($O$2:O525),$O$2:$O$1001,0),0), INDEX($V$1004:$AE$1004,1,MATCH(COLUMNS($V$1006:AC1006),$V$1006:$AE$1006,0)))),"Fix")))</f>
        <v>0</v>
      </c>
      <c r="J525" s="4">
        <f>IF(OR(INDEX($P$2:$P$1001,MATCH(ROWS($O$2:O525),$O$2:$O$1001,0),1)&gt;=100000,INDEX($V$1005:$AE$1005,1,MATCH(COLUMNS($V$1006:AD1006),$V$1006:$AE$1006,0))&gt;=100000), " ",IF(INDEX($V$2:$AE$1001,MATCH(ROWS($O$2:O525),$O$2:$O$1001,0),MATCH(COLUMNS($V$1006:AD1006),$V$1006:$AE$1006,0)), HYPERLINK("#",""), HYPERLINK(CONCATENATE("#Metadata!", ADDRESS(INDEX($Q$2:$Q$1001,MATCH(ROWS($O$2:O525),$O$2:$O$1001,0),0), INDEX($V$1004:$AE$1004,1,MATCH(COLUMNS($V$1006:AD1006),$V$1006:$AE$1006,0)))),"Fix")))</f>
        <v>0</v>
      </c>
      <c r="K525" s="4">
        <f>IF(OR(INDEX($P$2:$P$1001,MATCH(ROWS($O$2:O525),$O$2:$O$1001,0),1)&gt;=100000,INDEX($V$1005:$AE$1005,1,MATCH(COLUMNS($V$1006:AE1006),$V$1006:$AE$1006,0))&gt;=100000), " ",IF(INDEX($V$2:$AE$1001,MATCH(ROWS($O$2:O525),$O$2:$O$1001,0),MATCH(COLUMNS($V$1006:AE1006),$V$1006:$AE$1006,0)), HYPERLINK("#",""), HYPERLINK(CONCATENATE("#Metadata!", ADDRESS(INDEX($Q$2:$Q$1001,MATCH(ROWS($O$2:O525),$O$2:$O$1001,0),0), INDEX($V$1004:$AE$1004,1,MATCH(COLUMNS($V$1006:AE1006),$V$1006:$AE$1006,0)))),"Fix")))</f>
        <v>0</v>
      </c>
      <c r="O525">
        <v>0</v>
      </c>
      <c r="P525">
        <v>0</v>
      </c>
      <c r="Q525">
        <v>0</v>
      </c>
      <c r="R525">
        <f>IF(S525,TRUE,AND(V525:AE525))</f>
        <v>0</v>
      </c>
      <c r="S525">
        <f>COUNTBLANK(Metadata!B525:K525)=COLUMNS(Metadata!B525:K525)</f>
        <v>0</v>
      </c>
      <c r="T525">
        <v>0</v>
      </c>
      <c r="V525">
        <f>AND(IF(Metadata!B525="",FALSE,TRUE),COUNTIF(Metadata!B:B, Metadata!B525) = 1,NOT(ISERROR(SUMPRODUCT(SEARCH(MID(Metadata!B525,ROW(INDIRECT("1:"&amp;LEN(Metadata!B525))), 1),"0123456789abcdefghijklmnopqrstuvwxyzABCDEFGHIJKLMNOPQRSTUVWXYZ.")))))</f>
        <v>0</v>
      </c>
      <c r="W525">
        <f>AND(IF(Metadata!C525="",FALSE,TRUE),exact(Metadata!C525,"urban biome"))</f>
        <v>0</v>
      </c>
      <c r="X525">
        <f>AND(IF(Metadata!D525="",FALSE,TRUE),exact(Metadata!D525,"animal-associated habitat"))</f>
        <v>0</v>
      </c>
      <c r="Y525">
        <f>OR(AND(IF(Metadata!E525="",FALSE,TRUE),OR(exact(Metadata!E525,"not applicable"),exact(Metadata!E525,"missing: not collected"),exact(Metadata!E525,"missing: not provided"),exact(Metadata!E525,"missing: restricted access"))),AND(IF(Metadata!E525="",FALSE,ISNUMBER(VALUE(Metadata!E525))),Metadata!E525&gt;0))</f>
        <v>0</v>
      </c>
      <c r="Z525">
        <f>AND(IF(Metadata!F525="",FALSE,TRUE),exact(Metadata!F525,"weeks"))</f>
        <v>0</v>
      </c>
      <c r="AA525">
        <f>AND(IF(Metadata!G525="",FALSE,TRUE),exact(Metadata!G525,"mouse"))</f>
        <v>0</v>
      </c>
      <c r="AB525">
        <f>AND(IF(Metadata!H525="",FALSE,TRUE),exact(Metadata!H525,"Mus musculus"))</f>
        <v>0</v>
      </c>
      <c r="AC525">
        <f>AND(IF(Metadata!I525="",FALSE,TRUE),exact(Metadata!I525,"10090"))</f>
        <v>0</v>
      </c>
      <c r="AD525">
        <f>OR(AND(IF(Metadata!J525="",FALSE,TRUE),OR(exact(Metadata!J525,"not applicable"),exact(Metadata!J525,"missing: not collected"),exact(Metadata!J525,"missing: not provided"),exact(Metadata!J525,"missing: restricted access"))),AND(IF(Metadata!J525="",FALSE,ISNUMBER(VALUE(Metadata!J525))),Metadata!J525&gt;0))</f>
        <v>0</v>
      </c>
      <c r="AE525">
        <f>AND(IF(Metadata!K525="",FALSE,TRUE),exact(Metadata!K525,"g"))</f>
        <v>0</v>
      </c>
    </row>
    <row r="526" spans="1:31">
      <c r="A526" s="5">
        <f>IF(B526=" "," ",HYPERLINK(CONCATENATE("#metadata!",ADDRESS(INDEX($Q$2:$Q$1001,MATCH(ROWS($O$2:O526),$O$2:$O$1001,0),0),1)),INDEX($T$2:$T$1001,MATCH(ROWS($O$2:O526),$O$2:$O$1001,0),0)))</f>
        <v>0</v>
      </c>
      <c r="B526" s="4">
        <f>IF(OR(INDEX($P$2:$P$1001,MATCH(ROWS($O$2:O526),$O$2:$O$1001,0),1)&gt;=100000,INDEX($V$1005:$AE$1005,1,MATCH(COLUMNS($V$1006:V1006),$V$1006:$AE$1006,0))&gt;=100000), " ",IF(INDEX($V$2:$AE$1001,MATCH(ROWS($O$2:O526),$O$2:$O$1001,0),MATCH(COLUMNS($V$1006:V1006),$V$1006:$AE$1006,0)), HYPERLINK("#",""), HYPERLINK(CONCATENATE("#Metadata!", ADDRESS(INDEX($Q$2:$Q$1001,MATCH(ROWS($O$2:O526),$O$2:$O$1001,0),0), INDEX($V$1004:$AE$1004,1,MATCH(COLUMNS($V$1006:V1006),$V$1006:$AE$1006,0)))),"Fix")))</f>
        <v>0</v>
      </c>
      <c r="C526" s="4">
        <f>IF(OR(INDEX($P$2:$P$1001,MATCH(ROWS($O$2:O526),$O$2:$O$1001,0),1)&gt;=100000,INDEX($V$1005:$AE$1005,1,MATCH(COLUMNS($V$1006:W1006),$V$1006:$AE$1006,0))&gt;=100000), " ",IF(INDEX($V$2:$AE$1001,MATCH(ROWS($O$2:O526),$O$2:$O$1001,0),MATCH(COLUMNS($V$1006:W1006),$V$1006:$AE$1006,0)), HYPERLINK("#",""), HYPERLINK(CONCATENATE("#Metadata!", ADDRESS(INDEX($Q$2:$Q$1001,MATCH(ROWS($O$2:O526),$O$2:$O$1001,0),0), INDEX($V$1004:$AE$1004,1,MATCH(COLUMNS($V$1006:W1006),$V$1006:$AE$1006,0)))),"Fix")))</f>
        <v>0</v>
      </c>
      <c r="D526" s="4">
        <f>IF(OR(INDEX($P$2:$P$1001,MATCH(ROWS($O$2:O526),$O$2:$O$1001,0),1)&gt;=100000,INDEX($V$1005:$AE$1005,1,MATCH(COLUMNS($V$1006:X1006),$V$1006:$AE$1006,0))&gt;=100000), " ",IF(INDEX($V$2:$AE$1001,MATCH(ROWS($O$2:O526),$O$2:$O$1001,0),MATCH(COLUMNS($V$1006:X1006),$V$1006:$AE$1006,0)), HYPERLINK("#",""), HYPERLINK(CONCATENATE("#Metadata!", ADDRESS(INDEX($Q$2:$Q$1001,MATCH(ROWS($O$2:O526),$O$2:$O$1001,0),0), INDEX($V$1004:$AE$1004,1,MATCH(COLUMNS($V$1006:X1006),$V$1006:$AE$1006,0)))),"Fix")))</f>
        <v>0</v>
      </c>
      <c r="E526" s="4">
        <f>IF(OR(INDEX($P$2:$P$1001,MATCH(ROWS($O$2:O526),$O$2:$O$1001,0),1)&gt;=100000,INDEX($V$1005:$AE$1005,1,MATCH(COLUMNS($V$1006:Y1006),$V$1006:$AE$1006,0))&gt;=100000), " ",IF(INDEX($V$2:$AE$1001,MATCH(ROWS($O$2:O526),$O$2:$O$1001,0),MATCH(COLUMNS($V$1006:Y1006),$V$1006:$AE$1006,0)), HYPERLINK("#",""), HYPERLINK(CONCATENATE("#Metadata!", ADDRESS(INDEX($Q$2:$Q$1001,MATCH(ROWS($O$2:O526),$O$2:$O$1001,0),0), INDEX($V$1004:$AE$1004,1,MATCH(COLUMNS($V$1006:Y1006),$V$1006:$AE$1006,0)))),"Fix")))</f>
        <v>0</v>
      </c>
      <c r="F526" s="4">
        <f>IF(OR(INDEX($P$2:$P$1001,MATCH(ROWS($O$2:O526),$O$2:$O$1001,0),1)&gt;=100000,INDEX($V$1005:$AE$1005,1,MATCH(COLUMNS($V$1006:Z1006),$V$1006:$AE$1006,0))&gt;=100000), " ",IF(INDEX($V$2:$AE$1001,MATCH(ROWS($O$2:O526),$O$2:$O$1001,0),MATCH(COLUMNS($V$1006:Z1006),$V$1006:$AE$1006,0)), HYPERLINK("#",""), HYPERLINK(CONCATENATE("#Metadata!", ADDRESS(INDEX($Q$2:$Q$1001,MATCH(ROWS($O$2:O526),$O$2:$O$1001,0),0), INDEX($V$1004:$AE$1004,1,MATCH(COLUMNS($V$1006:Z1006),$V$1006:$AE$1006,0)))),"Fix")))</f>
        <v>0</v>
      </c>
      <c r="G526" s="4">
        <f>IF(OR(INDEX($P$2:$P$1001,MATCH(ROWS($O$2:O526),$O$2:$O$1001,0),1)&gt;=100000,INDEX($V$1005:$AE$1005,1,MATCH(COLUMNS($V$1006:AA1006),$V$1006:$AE$1006,0))&gt;=100000), " ",IF(INDEX($V$2:$AE$1001,MATCH(ROWS($O$2:O526),$O$2:$O$1001,0),MATCH(COLUMNS($V$1006:AA1006),$V$1006:$AE$1006,0)), HYPERLINK("#",""), HYPERLINK(CONCATENATE("#Metadata!", ADDRESS(INDEX($Q$2:$Q$1001,MATCH(ROWS($O$2:O526),$O$2:$O$1001,0),0), INDEX($V$1004:$AE$1004,1,MATCH(COLUMNS($V$1006:AA1006),$V$1006:$AE$1006,0)))),"Fix")))</f>
        <v>0</v>
      </c>
      <c r="H526" s="4">
        <f>IF(OR(INDEX($P$2:$P$1001,MATCH(ROWS($O$2:O526),$O$2:$O$1001,0),1)&gt;=100000,INDEX($V$1005:$AE$1005,1,MATCH(COLUMNS($V$1006:AB1006),$V$1006:$AE$1006,0))&gt;=100000), " ",IF(INDEX($V$2:$AE$1001,MATCH(ROWS($O$2:O526),$O$2:$O$1001,0),MATCH(COLUMNS($V$1006:AB1006),$V$1006:$AE$1006,0)), HYPERLINK("#",""), HYPERLINK(CONCATENATE("#Metadata!", ADDRESS(INDEX($Q$2:$Q$1001,MATCH(ROWS($O$2:O526),$O$2:$O$1001,0),0), INDEX($V$1004:$AE$1004,1,MATCH(COLUMNS($V$1006:AB1006),$V$1006:$AE$1006,0)))),"Fix")))</f>
        <v>0</v>
      </c>
      <c r="I526" s="4">
        <f>IF(OR(INDEX($P$2:$P$1001,MATCH(ROWS($O$2:O526),$O$2:$O$1001,0),1)&gt;=100000,INDEX($V$1005:$AE$1005,1,MATCH(COLUMNS($V$1006:AC1006),$V$1006:$AE$1006,0))&gt;=100000), " ",IF(INDEX($V$2:$AE$1001,MATCH(ROWS($O$2:O526),$O$2:$O$1001,0),MATCH(COLUMNS($V$1006:AC1006),$V$1006:$AE$1006,0)), HYPERLINK("#",""), HYPERLINK(CONCATENATE("#Metadata!", ADDRESS(INDEX($Q$2:$Q$1001,MATCH(ROWS($O$2:O526),$O$2:$O$1001,0),0), INDEX($V$1004:$AE$1004,1,MATCH(COLUMNS($V$1006:AC1006),$V$1006:$AE$1006,0)))),"Fix")))</f>
        <v>0</v>
      </c>
      <c r="J526" s="4">
        <f>IF(OR(INDEX($P$2:$P$1001,MATCH(ROWS($O$2:O526),$O$2:$O$1001,0),1)&gt;=100000,INDEX($V$1005:$AE$1005,1,MATCH(COLUMNS($V$1006:AD1006),$V$1006:$AE$1006,0))&gt;=100000), " ",IF(INDEX($V$2:$AE$1001,MATCH(ROWS($O$2:O526),$O$2:$O$1001,0),MATCH(COLUMNS($V$1006:AD1006),$V$1006:$AE$1006,0)), HYPERLINK("#",""), HYPERLINK(CONCATENATE("#Metadata!", ADDRESS(INDEX($Q$2:$Q$1001,MATCH(ROWS($O$2:O526),$O$2:$O$1001,0),0), INDEX($V$1004:$AE$1004,1,MATCH(COLUMNS($V$1006:AD1006),$V$1006:$AE$1006,0)))),"Fix")))</f>
        <v>0</v>
      </c>
      <c r="K526" s="4">
        <f>IF(OR(INDEX($P$2:$P$1001,MATCH(ROWS($O$2:O526),$O$2:$O$1001,0),1)&gt;=100000,INDEX($V$1005:$AE$1005,1,MATCH(COLUMNS($V$1006:AE1006),$V$1006:$AE$1006,0))&gt;=100000), " ",IF(INDEX($V$2:$AE$1001,MATCH(ROWS($O$2:O526),$O$2:$O$1001,0),MATCH(COLUMNS($V$1006:AE1006),$V$1006:$AE$1006,0)), HYPERLINK("#",""), HYPERLINK(CONCATENATE("#Metadata!", ADDRESS(INDEX($Q$2:$Q$1001,MATCH(ROWS($O$2:O526),$O$2:$O$1001,0),0), INDEX($V$1004:$AE$1004,1,MATCH(COLUMNS($V$1006:AE1006),$V$1006:$AE$1006,0)))),"Fix")))</f>
        <v>0</v>
      </c>
      <c r="O526">
        <v>0</v>
      </c>
      <c r="P526">
        <v>0</v>
      </c>
      <c r="Q526">
        <v>0</v>
      </c>
      <c r="R526">
        <f>IF(S526,TRUE,AND(V526:AE526))</f>
        <v>0</v>
      </c>
      <c r="S526">
        <f>COUNTBLANK(Metadata!B526:K526)=COLUMNS(Metadata!B526:K526)</f>
        <v>0</v>
      </c>
      <c r="T526">
        <v>0</v>
      </c>
      <c r="V526">
        <f>AND(IF(Metadata!B526="",FALSE,TRUE),COUNTIF(Metadata!B:B, Metadata!B526) = 1,NOT(ISERROR(SUMPRODUCT(SEARCH(MID(Metadata!B526,ROW(INDIRECT("1:"&amp;LEN(Metadata!B526))), 1),"0123456789abcdefghijklmnopqrstuvwxyzABCDEFGHIJKLMNOPQRSTUVWXYZ.")))))</f>
        <v>0</v>
      </c>
      <c r="W526">
        <f>AND(IF(Metadata!C526="",FALSE,TRUE),exact(Metadata!C526,"urban biome"))</f>
        <v>0</v>
      </c>
      <c r="X526">
        <f>AND(IF(Metadata!D526="",FALSE,TRUE),exact(Metadata!D526,"animal-associated habitat"))</f>
        <v>0</v>
      </c>
      <c r="Y526">
        <f>OR(AND(IF(Metadata!E526="",FALSE,TRUE),OR(exact(Metadata!E526,"not applicable"),exact(Metadata!E526,"missing: not collected"),exact(Metadata!E526,"missing: not provided"),exact(Metadata!E526,"missing: restricted access"))),AND(IF(Metadata!E526="",FALSE,ISNUMBER(VALUE(Metadata!E526))),Metadata!E526&gt;0))</f>
        <v>0</v>
      </c>
      <c r="Z526">
        <f>AND(IF(Metadata!F526="",FALSE,TRUE),exact(Metadata!F526,"weeks"))</f>
        <v>0</v>
      </c>
      <c r="AA526">
        <f>AND(IF(Metadata!G526="",FALSE,TRUE),exact(Metadata!G526,"mouse"))</f>
        <v>0</v>
      </c>
      <c r="AB526">
        <f>AND(IF(Metadata!H526="",FALSE,TRUE),exact(Metadata!H526,"Mus musculus"))</f>
        <v>0</v>
      </c>
      <c r="AC526">
        <f>AND(IF(Metadata!I526="",FALSE,TRUE),exact(Metadata!I526,"10090"))</f>
        <v>0</v>
      </c>
      <c r="AD526">
        <f>OR(AND(IF(Metadata!J526="",FALSE,TRUE),OR(exact(Metadata!J526,"not applicable"),exact(Metadata!J526,"missing: not collected"),exact(Metadata!J526,"missing: not provided"),exact(Metadata!J526,"missing: restricted access"))),AND(IF(Metadata!J526="",FALSE,ISNUMBER(VALUE(Metadata!J526))),Metadata!J526&gt;0))</f>
        <v>0</v>
      </c>
      <c r="AE526">
        <f>AND(IF(Metadata!K526="",FALSE,TRUE),exact(Metadata!K526,"g"))</f>
        <v>0</v>
      </c>
    </row>
    <row r="527" spans="1:31">
      <c r="A527" s="5">
        <f>IF(B527=" "," ",HYPERLINK(CONCATENATE("#metadata!",ADDRESS(INDEX($Q$2:$Q$1001,MATCH(ROWS($O$2:O527),$O$2:$O$1001,0),0),1)),INDEX($T$2:$T$1001,MATCH(ROWS($O$2:O527),$O$2:$O$1001,0),0)))</f>
        <v>0</v>
      </c>
      <c r="B527" s="4">
        <f>IF(OR(INDEX($P$2:$P$1001,MATCH(ROWS($O$2:O527),$O$2:$O$1001,0),1)&gt;=100000,INDEX($V$1005:$AE$1005,1,MATCH(COLUMNS($V$1006:V1006),$V$1006:$AE$1006,0))&gt;=100000), " ",IF(INDEX($V$2:$AE$1001,MATCH(ROWS($O$2:O527),$O$2:$O$1001,0),MATCH(COLUMNS($V$1006:V1006),$V$1006:$AE$1006,0)), HYPERLINK("#",""), HYPERLINK(CONCATENATE("#Metadata!", ADDRESS(INDEX($Q$2:$Q$1001,MATCH(ROWS($O$2:O527),$O$2:$O$1001,0),0), INDEX($V$1004:$AE$1004,1,MATCH(COLUMNS($V$1006:V1006),$V$1006:$AE$1006,0)))),"Fix")))</f>
        <v>0</v>
      </c>
      <c r="C527" s="4">
        <f>IF(OR(INDEX($P$2:$P$1001,MATCH(ROWS($O$2:O527),$O$2:$O$1001,0),1)&gt;=100000,INDEX($V$1005:$AE$1005,1,MATCH(COLUMNS($V$1006:W1006),$V$1006:$AE$1006,0))&gt;=100000), " ",IF(INDEX($V$2:$AE$1001,MATCH(ROWS($O$2:O527),$O$2:$O$1001,0),MATCH(COLUMNS($V$1006:W1006),$V$1006:$AE$1006,0)), HYPERLINK("#",""), HYPERLINK(CONCATENATE("#Metadata!", ADDRESS(INDEX($Q$2:$Q$1001,MATCH(ROWS($O$2:O527),$O$2:$O$1001,0),0), INDEX($V$1004:$AE$1004,1,MATCH(COLUMNS($V$1006:W1006),$V$1006:$AE$1006,0)))),"Fix")))</f>
        <v>0</v>
      </c>
      <c r="D527" s="4">
        <f>IF(OR(INDEX($P$2:$P$1001,MATCH(ROWS($O$2:O527),$O$2:$O$1001,0),1)&gt;=100000,INDEX($V$1005:$AE$1005,1,MATCH(COLUMNS($V$1006:X1006),$V$1006:$AE$1006,0))&gt;=100000), " ",IF(INDEX($V$2:$AE$1001,MATCH(ROWS($O$2:O527),$O$2:$O$1001,0),MATCH(COLUMNS($V$1006:X1006),$V$1006:$AE$1006,0)), HYPERLINK("#",""), HYPERLINK(CONCATENATE("#Metadata!", ADDRESS(INDEX($Q$2:$Q$1001,MATCH(ROWS($O$2:O527),$O$2:$O$1001,0),0), INDEX($V$1004:$AE$1004,1,MATCH(COLUMNS($V$1006:X1006),$V$1006:$AE$1006,0)))),"Fix")))</f>
        <v>0</v>
      </c>
      <c r="E527" s="4">
        <f>IF(OR(INDEX($P$2:$P$1001,MATCH(ROWS($O$2:O527),$O$2:$O$1001,0),1)&gt;=100000,INDEX($V$1005:$AE$1005,1,MATCH(COLUMNS($V$1006:Y1006),$V$1006:$AE$1006,0))&gt;=100000), " ",IF(INDEX($V$2:$AE$1001,MATCH(ROWS($O$2:O527),$O$2:$O$1001,0),MATCH(COLUMNS($V$1006:Y1006),$V$1006:$AE$1006,0)), HYPERLINK("#",""), HYPERLINK(CONCATENATE("#Metadata!", ADDRESS(INDEX($Q$2:$Q$1001,MATCH(ROWS($O$2:O527),$O$2:$O$1001,0),0), INDEX($V$1004:$AE$1004,1,MATCH(COLUMNS($V$1006:Y1006),$V$1006:$AE$1006,0)))),"Fix")))</f>
        <v>0</v>
      </c>
      <c r="F527" s="4">
        <f>IF(OR(INDEX($P$2:$P$1001,MATCH(ROWS($O$2:O527),$O$2:$O$1001,0),1)&gt;=100000,INDEX($V$1005:$AE$1005,1,MATCH(COLUMNS($V$1006:Z1006),$V$1006:$AE$1006,0))&gt;=100000), " ",IF(INDEX($V$2:$AE$1001,MATCH(ROWS($O$2:O527),$O$2:$O$1001,0),MATCH(COLUMNS($V$1006:Z1006),$V$1006:$AE$1006,0)), HYPERLINK("#",""), HYPERLINK(CONCATENATE("#Metadata!", ADDRESS(INDEX($Q$2:$Q$1001,MATCH(ROWS($O$2:O527),$O$2:$O$1001,0),0), INDEX($V$1004:$AE$1004,1,MATCH(COLUMNS($V$1006:Z1006),$V$1006:$AE$1006,0)))),"Fix")))</f>
        <v>0</v>
      </c>
      <c r="G527" s="4">
        <f>IF(OR(INDEX($P$2:$P$1001,MATCH(ROWS($O$2:O527),$O$2:$O$1001,0),1)&gt;=100000,INDEX($V$1005:$AE$1005,1,MATCH(COLUMNS($V$1006:AA1006),$V$1006:$AE$1006,0))&gt;=100000), " ",IF(INDEX($V$2:$AE$1001,MATCH(ROWS($O$2:O527),$O$2:$O$1001,0),MATCH(COLUMNS($V$1006:AA1006),$V$1006:$AE$1006,0)), HYPERLINK("#",""), HYPERLINK(CONCATENATE("#Metadata!", ADDRESS(INDEX($Q$2:$Q$1001,MATCH(ROWS($O$2:O527),$O$2:$O$1001,0),0), INDEX($V$1004:$AE$1004,1,MATCH(COLUMNS($V$1006:AA1006),$V$1006:$AE$1006,0)))),"Fix")))</f>
        <v>0</v>
      </c>
      <c r="H527" s="4">
        <f>IF(OR(INDEX($P$2:$P$1001,MATCH(ROWS($O$2:O527),$O$2:$O$1001,0),1)&gt;=100000,INDEX($V$1005:$AE$1005,1,MATCH(COLUMNS($V$1006:AB1006),$V$1006:$AE$1006,0))&gt;=100000), " ",IF(INDEX($V$2:$AE$1001,MATCH(ROWS($O$2:O527),$O$2:$O$1001,0),MATCH(COLUMNS($V$1006:AB1006),$V$1006:$AE$1006,0)), HYPERLINK("#",""), HYPERLINK(CONCATENATE("#Metadata!", ADDRESS(INDEX($Q$2:$Q$1001,MATCH(ROWS($O$2:O527),$O$2:$O$1001,0),0), INDEX($V$1004:$AE$1004,1,MATCH(COLUMNS($V$1006:AB1006),$V$1006:$AE$1006,0)))),"Fix")))</f>
        <v>0</v>
      </c>
      <c r="I527" s="4">
        <f>IF(OR(INDEX($P$2:$P$1001,MATCH(ROWS($O$2:O527),$O$2:$O$1001,0),1)&gt;=100000,INDEX($V$1005:$AE$1005,1,MATCH(COLUMNS($V$1006:AC1006),$V$1006:$AE$1006,0))&gt;=100000), " ",IF(INDEX($V$2:$AE$1001,MATCH(ROWS($O$2:O527),$O$2:$O$1001,0),MATCH(COLUMNS($V$1006:AC1006),$V$1006:$AE$1006,0)), HYPERLINK("#",""), HYPERLINK(CONCATENATE("#Metadata!", ADDRESS(INDEX($Q$2:$Q$1001,MATCH(ROWS($O$2:O527),$O$2:$O$1001,0),0), INDEX($V$1004:$AE$1004,1,MATCH(COLUMNS($V$1006:AC1006),$V$1006:$AE$1006,0)))),"Fix")))</f>
        <v>0</v>
      </c>
      <c r="J527" s="4">
        <f>IF(OR(INDEX($P$2:$P$1001,MATCH(ROWS($O$2:O527),$O$2:$O$1001,0),1)&gt;=100000,INDEX($V$1005:$AE$1005,1,MATCH(COLUMNS($V$1006:AD1006),$V$1006:$AE$1006,0))&gt;=100000), " ",IF(INDEX($V$2:$AE$1001,MATCH(ROWS($O$2:O527),$O$2:$O$1001,0),MATCH(COLUMNS($V$1006:AD1006),$V$1006:$AE$1006,0)), HYPERLINK("#",""), HYPERLINK(CONCATENATE("#Metadata!", ADDRESS(INDEX($Q$2:$Q$1001,MATCH(ROWS($O$2:O527),$O$2:$O$1001,0),0), INDEX($V$1004:$AE$1004,1,MATCH(COLUMNS($V$1006:AD1006),$V$1006:$AE$1006,0)))),"Fix")))</f>
        <v>0</v>
      </c>
      <c r="K527" s="4">
        <f>IF(OR(INDEX($P$2:$P$1001,MATCH(ROWS($O$2:O527),$O$2:$O$1001,0),1)&gt;=100000,INDEX($V$1005:$AE$1005,1,MATCH(COLUMNS($V$1006:AE1006),$V$1006:$AE$1006,0))&gt;=100000), " ",IF(INDEX($V$2:$AE$1001,MATCH(ROWS($O$2:O527),$O$2:$O$1001,0),MATCH(COLUMNS($V$1006:AE1006),$V$1006:$AE$1006,0)), HYPERLINK("#",""), HYPERLINK(CONCATENATE("#Metadata!", ADDRESS(INDEX($Q$2:$Q$1001,MATCH(ROWS($O$2:O527),$O$2:$O$1001,0),0), INDEX($V$1004:$AE$1004,1,MATCH(COLUMNS($V$1006:AE1006),$V$1006:$AE$1006,0)))),"Fix")))</f>
        <v>0</v>
      </c>
      <c r="O527">
        <v>0</v>
      </c>
      <c r="P527">
        <v>0</v>
      </c>
      <c r="Q527">
        <v>0</v>
      </c>
      <c r="R527">
        <f>IF(S527,TRUE,AND(V527:AE527))</f>
        <v>0</v>
      </c>
      <c r="S527">
        <f>COUNTBLANK(Metadata!B527:K527)=COLUMNS(Metadata!B527:K527)</f>
        <v>0</v>
      </c>
      <c r="T527">
        <v>0</v>
      </c>
      <c r="V527">
        <f>AND(IF(Metadata!B527="",FALSE,TRUE),COUNTIF(Metadata!B:B, Metadata!B527) = 1,NOT(ISERROR(SUMPRODUCT(SEARCH(MID(Metadata!B527,ROW(INDIRECT("1:"&amp;LEN(Metadata!B527))), 1),"0123456789abcdefghijklmnopqrstuvwxyzABCDEFGHIJKLMNOPQRSTUVWXYZ.")))))</f>
        <v>0</v>
      </c>
      <c r="W527">
        <f>AND(IF(Metadata!C527="",FALSE,TRUE),exact(Metadata!C527,"urban biome"))</f>
        <v>0</v>
      </c>
      <c r="X527">
        <f>AND(IF(Metadata!D527="",FALSE,TRUE),exact(Metadata!D527,"animal-associated habitat"))</f>
        <v>0</v>
      </c>
      <c r="Y527">
        <f>OR(AND(IF(Metadata!E527="",FALSE,TRUE),OR(exact(Metadata!E527,"not applicable"),exact(Metadata!E527,"missing: not collected"),exact(Metadata!E527,"missing: not provided"),exact(Metadata!E527,"missing: restricted access"))),AND(IF(Metadata!E527="",FALSE,ISNUMBER(VALUE(Metadata!E527))),Metadata!E527&gt;0))</f>
        <v>0</v>
      </c>
      <c r="Z527">
        <f>AND(IF(Metadata!F527="",FALSE,TRUE),exact(Metadata!F527,"weeks"))</f>
        <v>0</v>
      </c>
      <c r="AA527">
        <f>AND(IF(Metadata!G527="",FALSE,TRUE),exact(Metadata!G527,"mouse"))</f>
        <v>0</v>
      </c>
      <c r="AB527">
        <f>AND(IF(Metadata!H527="",FALSE,TRUE),exact(Metadata!H527,"Mus musculus"))</f>
        <v>0</v>
      </c>
      <c r="AC527">
        <f>AND(IF(Metadata!I527="",FALSE,TRUE),exact(Metadata!I527,"10090"))</f>
        <v>0</v>
      </c>
      <c r="AD527">
        <f>OR(AND(IF(Metadata!J527="",FALSE,TRUE),OR(exact(Metadata!J527,"not applicable"),exact(Metadata!J527,"missing: not collected"),exact(Metadata!J527,"missing: not provided"),exact(Metadata!J527,"missing: restricted access"))),AND(IF(Metadata!J527="",FALSE,ISNUMBER(VALUE(Metadata!J527))),Metadata!J527&gt;0))</f>
        <v>0</v>
      </c>
      <c r="AE527">
        <f>AND(IF(Metadata!K527="",FALSE,TRUE),exact(Metadata!K527,"g"))</f>
        <v>0</v>
      </c>
    </row>
    <row r="528" spans="1:31">
      <c r="A528" s="5">
        <f>IF(B528=" "," ",HYPERLINK(CONCATENATE("#metadata!",ADDRESS(INDEX($Q$2:$Q$1001,MATCH(ROWS($O$2:O528),$O$2:$O$1001,0),0),1)),INDEX($T$2:$T$1001,MATCH(ROWS($O$2:O528),$O$2:$O$1001,0),0)))</f>
        <v>0</v>
      </c>
      <c r="B528" s="4">
        <f>IF(OR(INDEX($P$2:$P$1001,MATCH(ROWS($O$2:O528),$O$2:$O$1001,0),1)&gt;=100000,INDEX($V$1005:$AE$1005,1,MATCH(COLUMNS($V$1006:V1006),$V$1006:$AE$1006,0))&gt;=100000), " ",IF(INDEX($V$2:$AE$1001,MATCH(ROWS($O$2:O528),$O$2:$O$1001,0),MATCH(COLUMNS($V$1006:V1006),$V$1006:$AE$1006,0)), HYPERLINK("#",""), HYPERLINK(CONCATENATE("#Metadata!", ADDRESS(INDEX($Q$2:$Q$1001,MATCH(ROWS($O$2:O528),$O$2:$O$1001,0),0), INDEX($V$1004:$AE$1004,1,MATCH(COLUMNS($V$1006:V1006),$V$1006:$AE$1006,0)))),"Fix")))</f>
        <v>0</v>
      </c>
      <c r="C528" s="4">
        <f>IF(OR(INDEX($P$2:$P$1001,MATCH(ROWS($O$2:O528),$O$2:$O$1001,0),1)&gt;=100000,INDEX($V$1005:$AE$1005,1,MATCH(COLUMNS($V$1006:W1006),$V$1006:$AE$1006,0))&gt;=100000), " ",IF(INDEX($V$2:$AE$1001,MATCH(ROWS($O$2:O528),$O$2:$O$1001,0),MATCH(COLUMNS($V$1006:W1006),$V$1006:$AE$1006,0)), HYPERLINK("#",""), HYPERLINK(CONCATENATE("#Metadata!", ADDRESS(INDEX($Q$2:$Q$1001,MATCH(ROWS($O$2:O528),$O$2:$O$1001,0),0), INDEX($V$1004:$AE$1004,1,MATCH(COLUMNS($V$1006:W1006),$V$1006:$AE$1006,0)))),"Fix")))</f>
        <v>0</v>
      </c>
      <c r="D528" s="4">
        <f>IF(OR(INDEX($P$2:$P$1001,MATCH(ROWS($O$2:O528),$O$2:$O$1001,0),1)&gt;=100000,INDEX($V$1005:$AE$1005,1,MATCH(COLUMNS($V$1006:X1006),$V$1006:$AE$1006,0))&gt;=100000), " ",IF(INDEX($V$2:$AE$1001,MATCH(ROWS($O$2:O528),$O$2:$O$1001,0),MATCH(COLUMNS($V$1006:X1006),$V$1006:$AE$1006,0)), HYPERLINK("#",""), HYPERLINK(CONCATENATE("#Metadata!", ADDRESS(INDEX($Q$2:$Q$1001,MATCH(ROWS($O$2:O528),$O$2:$O$1001,0),0), INDEX($V$1004:$AE$1004,1,MATCH(COLUMNS($V$1006:X1006),$V$1006:$AE$1006,0)))),"Fix")))</f>
        <v>0</v>
      </c>
      <c r="E528" s="4">
        <f>IF(OR(INDEX($P$2:$P$1001,MATCH(ROWS($O$2:O528),$O$2:$O$1001,0),1)&gt;=100000,INDEX($V$1005:$AE$1005,1,MATCH(COLUMNS($V$1006:Y1006),$V$1006:$AE$1006,0))&gt;=100000), " ",IF(INDEX($V$2:$AE$1001,MATCH(ROWS($O$2:O528),$O$2:$O$1001,0),MATCH(COLUMNS($V$1006:Y1006),$V$1006:$AE$1006,0)), HYPERLINK("#",""), HYPERLINK(CONCATENATE("#Metadata!", ADDRESS(INDEX($Q$2:$Q$1001,MATCH(ROWS($O$2:O528),$O$2:$O$1001,0),0), INDEX($V$1004:$AE$1004,1,MATCH(COLUMNS($V$1006:Y1006),$V$1006:$AE$1006,0)))),"Fix")))</f>
        <v>0</v>
      </c>
      <c r="F528" s="4">
        <f>IF(OR(INDEX($P$2:$P$1001,MATCH(ROWS($O$2:O528),$O$2:$O$1001,0),1)&gt;=100000,INDEX($V$1005:$AE$1005,1,MATCH(COLUMNS($V$1006:Z1006),$V$1006:$AE$1006,0))&gt;=100000), " ",IF(INDEX($V$2:$AE$1001,MATCH(ROWS($O$2:O528),$O$2:$O$1001,0),MATCH(COLUMNS($V$1006:Z1006),$V$1006:$AE$1006,0)), HYPERLINK("#",""), HYPERLINK(CONCATENATE("#Metadata!", ADDRESS(INDEX($Q$2:$Q$1001,MATCH(ROWS($O$2:O528),$O$2:$O$1001,0),0), INDEX($V$1004:$AE$1004,1,MATCH(COLUMNS($V$1006:Z1006),$V$1006:$AE$1006,0)))),"Fix")))</f>
        <v>0</v>
      </c>
      <c r="G528" s="4">
        <f>IF(OR(INDEX($P$2:$P$1001,MATCH(ROWS($O$2:O528),$O$2:$O$1001,0),1)&gt;=100000,INDEX($V$1005:$AE$1005,1,MATCH(COLUMNS($V$1006:AA1006),$V$1006:$AE$1006,0))&gt;=100000), " ",IF(INDEX($V$2:$AE$1001,MATCH(ROWS($O$2:O528),$O$2:$O$1001,0),MATCH(COLUMNS($V$1006:AA1006),$V$1006:$AE$1006,0)), HYPERLINK("#",""), HYPERLINK(CONCATENATE("#Metadata!", ADDRESS(INDEX($Q$2:$Q$1001,MATCH(ROWS($O$2:O528),$O$2:$O$1001,0),0), INDEX($V$1004:$AE$1004,1,MATCH(COLUMNS($V$1006:AA1006),$V$1006:$AE$1006,0)))),"Fix")))</f>
        <v>0</v>
      </c>
      <c r="H528" s="4">
        <f>IF(OR(INDEX($P$2:$P$1001,MATCH(ROWS($O$2:O528),$O$2:$O$1001,0),1)&gt;=100000,INDEX($V$1005:$AE$1005,1,MATCH(COLUMNS($V$1006:AB1006),$V$1006:$AE$1006,0))&gt;=100000), " ",IF(INDEX($V$2:$AE$1001,MATCH(ROWS($O$2:O528),$O$2:$O$1001,0),MATCH(COLUMNS($V$1006:AB1006),$V$1006:$AE$1006,0)), HYPERLINK("#",""), HYPERLINK(CONCATENATE("#Metadata!", ADDRESS(INDEX($Q$2:$Q$1001,MATCH(ROWS($O$2:O528),$O$2:$O$1001,0),0), INDEX($V$1004:$AE$1004,1,MATCH(COLUMNS($V$1006:AB1006),$V$1006:$AE$1006,0)))),"Fix")))</f>
        <v>0</v>
      </c>
      <c r="I528" s="4">
        <f>IF(OR(INDEX($P$2:$P$1001,MATCH(ROWS($O$2:O528),$O$2:$O$1001,0),1)&gt;=100000,INDEX($V$1005:$AE$1005,1,MATCH(COLUMNS($V$1006:AC1006),$V$1006:$AE$1006,0))&gt;=100000), " ",IF(INDEX($V$2:$AE$1001,MATCH(ROWS($O$2:O528),$O$2:$O$1001,0),MATCH(COLUMNS($V$1006:AC1006),$V$1006:$AE$1006,0)), HYPERLINK("#",""), HYPERLINK(CONCATENATE("#Metadata!", ADDRESS(INDEX($Q$2:$Q$1001,MATCH(ROWS($O$2:O528),$O$2:$O$1001,0),0), INDEX($V$1004:$AE$1004,1,MATCH(COLUMNS($V$1006:AC1006),$V$1006:$AE$1006,0)))),"Fix")))</f>
        <v>0</v>
      </c>
      <c r="J528" s="4">
        <f>IF(OR(INDEX($P$2:$P$1001,MATCH(ROWS($O$2:O528),$O$2:$O$1001,0),1)&gt;=100000,INDEX($V$1005:$AE$1005,1,MATCH(COLUMNS($V$1006:AD1006),$V$1006:$AE$1006,0))&gt;=100000), " ",IF(INDEX($V$2:$AE$1001,MATCH(ROWS($O$2:O528),$O$2:$O$1001,0),MATCH(COLUMNS($V$1006:AD1006),$V$1006:$AE$1006,0)), HYPERLINK("#",""), HYPERLINK(CONCATENATE("#Metadata!", ADDRESS(INDEX($Q$2:$Q$1001,MATCH(ROWS($O$2:O528),$O$2:$O$1001,0),0), INDEX($V$1004:$AE$1004,1,MATCH(COLUMNS($V$1006:AD1006),$V$1006:$AE$1006,0)))),"Fix")))</f>
        <v>0</v>
      </c>
      <c r="K528" s="4">
        <f>IF(OR(INDEX($P$2:$P$1001,MATCH(ROWS($O$2:O528),$O$2:$O$1001,0),1)&gt;=100000,INDEX($V$1005:$AE$1005,1,MATCH(COLUMNS($V$1006:AE1006),$V$1006:$AE$1006,0))&gt;=100000), " ",IF(INDEX($V$2:$AE$1001,MATCH(ROWS($O$2:O528),$O$2:$O$1001,0),MATCH(COLUMNS($V$1006:AE1006),$V$1006:$AE$1006,0)), HYPERLINK("#",""), HYPERLINK(CONCATENATE("#Metadata!", ADDRESS(INDEX($Q$2:$Q$1001,MATCH(ROWS($O$2:O528),$O$2:$O$1001,0),0), INDEX($V$1004:$AE$1004,1,MATCH(COLUMNS($V$1006:AE1006),$V$1006:$AE$1006,0)))),"Fix")))</f>
        <v>0</v>
      </c>
      <c r="O528">
        <v>0</v>
      </c>
      <c r="P528">
        <v>0</v>
      </c>
      <c r="Q528">
        <v>0</v>
      </c>
      <c r="R528">
        <f>IF(S528,TRUE,AND(V528:AE528))</f>
        <v>0</v>
      </c>
      <c r="S528">
        <f>COUNTBLANK(Metadata!B528:K528)=COLUMNS(Metadata!B528:K528)</f>
        <v>0</v>
      </c>
      <c r="T528">
        <v>0</v>
      </c>
      <c r="V528">
        <f>AND(IF(Metadata!B528="",FALSE,TRUE),COUNTIF(Metadata!B:B, Metadata!B528) = 1,NOT(ISERROR(SUMPRODUCT(SEARCH(MID(Metadata!B528,ROW(INDIRECT("1:"&amp;LEN(Metadata!B528))), 1),"0123456789abcdefghijklmnopqrstuvwxyzABCDEFGHIJKLMNOPQRSTUVWXYZ.")))))</f>
        <v>0</v>
      </c>
      <c r="W528">
        <f>AND(IF(Metadata!C528="",FALSE,TRUE),exact(Metadata!C528,"urban biome"))</f>
        <v>0</v>
      </c>
      <c r="X528">
        <f>AND(IF(Metadata!D528="",FALSE,TRUE),exact(Metadata!D528,"animal-associated habitat"))</f>
        <v>0</v>
      </c>
      <c r="Y528">
        <f>OR(AND(IF(Metadata!E528="",FALSE,TRUE),OR(exact(Metadata!E528,"not applicable"),exact(Metadata!E528,"missing: not collected"),exact(Metadata!E528,"missing: not provided"),exact(Metadata!E528,"missing: restricted access"))),AND(IF(Metadata!E528="",FALSE,ISNUMBER(VALUE(Metadata!E528))),Metadata!E528&gt;0))</f>
        <v>0</v>
      </c>
      <c r="Z528">
        <f>AND(IF(Metadata!F528="",FALSE,TRUE),exact(Metadata!F528,"weeks"))</f>
        <v>0</v>
      </c>
      <c r="AA528">
        <f>AND(IF(Metadata!G528="",FALSE,TRUE),exact(Metadata!G528,"mouse"))</f>
        <v>0</v>
      </c>
      <c r="AB528">
        <f>AND(IF(Metadata!H528="",FALSE,TRUE),exact(Metadata!H528,"Mus musculus"))</f>
        <v>0</v>
      </c>
      <c r="AC528">
        <f>AND(IF(Metadata!I528="",FALSE,TRUE),exact(Metadata!I528,"10090"))</f>
        <v>0</v>
      </c>
      <c r="AD528">
        <f>OR(AND(IF(Metadata!J528="",FALSE,TRUE),OR(exact(Metadata!J528,"not applicable"),exact(Metadata!J528,"missing: not collected"),exact(Metadata!J528,"missing: not provided"),exact(Metadata!J528,"missing: restricted access"))),AND(IF(Metadata!J528="",FALSE,ISNUMBER(VALUE(Metadata!J528))),Metadata!J528&gt;0))</f>
        <v>0</v>
      </c>
      <c r="AE528">
        <f>AND(IF(Metadata!K528="",FALSE,TRUE),exact(Metadata!K528,"g"))</f>
        <v>0</v>
      </c>
    </row>
    <row r="529" spans="1:31">
      <c r="A529" s="5">
        <f>IF(B529=" "," ",HYPERLINK(CONCATENATE("#metadata!",ADDRESS(INDEX($Q$2:$Q$1001,MATCH(ROWS($O$2:O529),$O$2:$O$1001,0),0),1)),INDEX($T$2:$T$1001,MATCH(ROWS($O$2:O529),$O$2:$O$1001,0),0)))</f>
        <v>0</v>
      </c>
      <c r="B529" s="4">
        <f>IF(OR(INDEX($P$2:$P$1001,MATCH(ROWS($O$2:O529),$O$2:$O$1001,0),1)&gt;=100000,INDEX($V$1005:$AE$1005,1,MATCH(COLUMNS($V$1006:V1006),$V$1006:$AE$1006,0))&gt;=100000), " ",IF(INDEX($V$2:$AE$1001,MATCH(ROWS($O$2:O529),$O$2:$O$1001,0),MATCH(COLUMNS($V$1006:V1006),$V$1006:$AE$1006,0)), HYPERLINK("#",""), HYPERLINK(CONCATENATE("#Metadata!", ADDRESS(INDEX($Q$2:$Q$1001,MATCH(ROWS($O$2:O529),$O$2:$O$1001,0),0), INDEX($V$1004:$AE$1004,1,MATCH(COLUMNS($V$1006:V1006),$V$1006:$AE$1006,0)))),"Fix")))</f>
        <v>0</v>
      </c>
      <c r="C529" s="4">
        <f>IF(OR(INDEX($P$2:$P$1001,MATCH(ROWS($O$2:O529),$O$2:$O$1001,0),1)&gt;=100000,INDEX($V$1005:$AE$1005,1,MATCH(COLUMNS($V$1006:W1006),$V$1006:$AE$1006,0))&gt;=100000), " ",IF(INDEX($V$2:$AE$1001,MATCH(ROWS($O$2:O529),$O$2:$O$1001,0),MATCH(COLUMNS($V$1006:W1006),$V$1006:$AE$1006,0)), HYPERLINK("#",""), HYPERLINK(CONCATENATE("#Metadata!", ADDRESS(INDEX($Q$2:$Q$1001,MATCH(ROWS($O$2:O529),$O$2:$O$1001,0),0), INDEX($V$1004:$AE$1004,1,MATCH(COLUMNS($V$1006:W1006),$V$1006:$AE$1006,0)))),"Fix")))</f>
        <v>0</v>
      </c>
      <c r="D529" s="4">
        <f>IF(OR(INDEX($P$2:$P$1001,MATCH(ROWS($O$2:O529),$O$2:$O$1001,0),1)&gt;=100000,INDEX($V$1005:$AE$1005,1,MATCH(COLUMNS($V$1006:X1006),$V$1006:$AE$1006,0))&gt;=100000), " ",IF(INDEX($V$2:$AE$1001,MATCH(ROWS($O$2:O529),$O$2:$O$1001,0),MATCH(COLUMNS($V$1006:X1006),$V$1006:$AE$1006,0)), HYPERLINK("#",""), HYPERLINK(CONCATENATE("#Metadata!", ADDRESS(INDEX($Q$2:$Q$1001,MATCH(ROWS($O$2:O529),$O$2:$O$1001,0),0), INDEX($V$1004:$AE$1004,1,MATCH(COLUMNS($V$1006:X1006),$V$1006:$AE$1006,0)))),"Fix")))</f>
        <v>0</v>
      </c>
      <c r="E529" s="4">
        <f>IF(OR(INDEX($P$2:$P$1001,MATCH(ROWS($O$2:O529),$O$2:$O$1001,0),1)&gt;=100000,INDEX($V$1005:$AE$1005,1,MATCH(COLUMNS($V$1006:Y1006),$V$1006:$AE$1006,0))&gt;=100000), " ",IF(INDEX($V$2:$AE$1001,MATCH(ROWS($O$2:O529),$O$2:$O$1001,0),MATCH(COLUMNS($V$1006:Y1006),$V$1006:$AE$1006,0)), HYPERLINK("#",""), HYPERLINK(CONCATENATE("#Metadata!", ADDRESS(INDEX($Q$2:$Q$1001,MATCH(ROWS($O$2:O529),$O$2:$O$1001,0),0), INDEX($V$1004:$AE$1004,1,MATCH(COLUMNS($V$1006:Y1006),$V$1006:$AE$1006,0)))),"Fix")))</f>
        <v>0</v>
      </c>
      <c r="F529" s="4">
        <f>IF(OR(INDEX($P$2:$P$1001,MATCH(ROWS($O$2:O529),$O$2:$O$1001,0),1)&gt;=100000,INDEX($V$1005:$AE$1005,1,MATCH(COLUMNS($V$1006:Z1006),$V$1006:$AE$1006,0))&gt;=100000), " ",IF(INDEX($V$2:$AE$1001,MATCH(ROWS($O$2:O529),$O$2:$O$1001,0),MATCH(COLUMNS($V$1006:Z1006),$V$1006:$AE$1006,0)), HYPERLINK("#",""), HYPERLINK(CONCATENATE("#Metadata!", ADDRESS(INDEX($Q$2:$Q$1001,MATCH(ROWS($O$2:O529),$O$2:$O$1001,0),0), INDEX($V$1004:$AE$1004,1,MATCH(COLUMNS($V$1006:Z1006),$V$1006:$AE$1006,0)))),"Fix")))</f>
        <v>0</v>
      </c>
      <c r="G529" s="4">
        <f>IF(OR(INDEX($P$2:$P$1001,MATCH(ROWS($O$2:O529),$O$2:$O$1001,0),1)&gt;=100000,INDEX($V$1005:$AE$1005,1,MATCH(COLUMNS($V$1006:AA1006),$V$1006:$AE$1006,0))&gt;=100000), " ",IF(INDEX($V$2:$AE$1001,MATCH(ROWS($O$2:O529),$O$2:$O$1001,0),MATCH(COLUMNS($V$1006:AA1006),$V$1006:$AE$1006,0)), HYPERLINK("#",""), HYPERLINK(CONCATENATE("#Metadata!", ADDRESS(INDEX($Q$2:$Q$1001,MATCH(ROWS($O$2:O529),$O$2:$O$1001,0),0), INDEX($V$1004:$AE$1004,1,MATCH(COLUMNS($V$1006:AA1006),$V$1006:$AE$1006,0)))),"Fix")))</f>
        <v>0</v>
      </c>
      <c r="H529" s="4">
        <f>IF(OR(INDEX($P$2:$P$1001,MATCH(ROWS($O$2:O529),$O$2:$O$1001,0),1)&gt;=100000,INDEX($V$1005:$AE$1005,1,MATCH(COLUMNS($V$1006:AB1006),$V$1006:$AE$1006,0))&gt;=100000), " ",IF(INDEX($V$2:$AE$1001,MATCH(ROWS($O$2:O529),$O$2:$O$1001,0),MATCH(COLUMNS($V$1006:AB1006),$V$1006:$AE$1006,0)), HYPERLINK("#",""), HYPERLINK(CONCATENATE("#Metadata!", ADDRESS(INDEX($Q$2:$Q$1001,MATCH(ROWS($O$2:O529),$O$2:$O$1001,0),0), INDEX($V$1004:$AE$1004,1,MATCH(COLUMNS($V$1006:AB1006),$V$1006:$AE$1006,0)))),"Fix")))</f>
        <v>0</v>
      </c>
      <c r="I529" s="4">
        <f>IF(OR(INDEX($P$2:$P$1001,MATCH(ROWS($O$2:O529),$O$2:$O$1001,0),1)&gt;=100000,INDEX($V$1005:$AE$1005,1,MATCH(COLUMNS($V$1006:AC1006),$V$1006:$AE$1006,0))&gt;=100000), " ",IF(INDEX($V$2:$AE$1001,MATCH(ROWS($O$2:O529),$O$2:$O$1001,0),MATCH(COLUMNS($V$1006:AC1006),$V$1006:$AE$1006,0)), HYPERLINK("#",""), HYPERLINK(CONCATENATE("#Metadata!", ADDRESS(INDEX($Q$2:$Q$1001,MATCH(ROWS($O$2:O529),$O$2:$O$1001,0),0), INDEX($V$1004:$AE$1004,1,MATCH(COLUMNS($V$1006:AC1006),$V$1006:$AE$1006,0)))),"Fix")))</f>
        <v>0</v>
      </c>
      <c r="J529" s="4">
        <f>IF(OR(INDEX($P$2:$P$1001,MATCH(ROWS($O$2:O529),$O$2:$O$1001,0),1)&gt;=100000,INDEX($V$1005:$AE$1005,1,MATCH(COLUMNS($V$1006:AD1006),$V$1006:$AE$1006,0))&gt;=100000), " ",IF(INDEX($V$2:$AE$1001,MATCH(ROWS($O$2:O529),$O$2:$O$1001,0),MATCH(COLUMNS($V$1006:AD1006),$V$1006:$AE$1006,0)), HYPERLINK("#",""), HYPERLINK(CONCATENATE("#Metadata!", ADDRESS(INDEX($Q$2:$Q$1001,MATCH(ROWS($O$2:O529),$O$2:$O$1001,0),0), INDEX($V$1004:$AE$1004,1,MATCH(COLUMNS($V$1006:AD1006),$V$1006:$AE$1006,0)))),"Fix")))</f>
        <v>0</v>
      </c>
      <c r="K529" s="4">
        <f>IF(OR(INDEX($P$2:$P$1001,MATCH(ROWS($O$2:O529),$O$2:$O$1001,0),1)&gt;=100000,INDEX($V$1005:$AE$1005,1,MATCH(COLUMNS($V$1006:AE1006),$V$1006:$AE$1006,0))&gt;=100000), " ",IF(INDEX($V$2:$AE$1001,MATCH(ROWS($O$2:O529),$O$2:$O$1001,0),MATCH(COLUMNS($V$1006:AE1006),$V$1006:$AE$1006,0)), HYPERLINK("#",""), HYPERLINK(CONCATENATE("#Metadata!", ADDRESS(INDEX($Q$2:$Q$1001,MATCH(ROWS($O$2:O529),$O$2:$O$1001,0),0), INDEX($V$1004:$AE$1004,1,MATCH(COLUMNS($V$1006:AE1006),$V$1006:$AE$1006,0)))),"Fix")))</f>
        <v>0</v>
      </c>
      <c r="O529">
        <v>0</v>
      </c>
      <c r="P529">
        <v>0</v>
      </c>
      <c r="Q529">
        <v>0</v>
      </c>
      <c r="R529">
        <f>IF(S529,TRUE,AND(V529:AE529))</f>
        <v>0</v>
      </c>
      <c r="S529">
        <f>COUNTBLANK(Metadata!B529:K529)=COLUMNS(Metadata!B529:K529)</f>
        <v>0</v>
      </c>
      <c r="T529">
        <v>0</v>
      </c>
      <c r="V529">
        <f>AND(IF(Metadata!B529="",FALSE,TRUE),COUNTIF(Metadata!B:B, Metadata!B529) = 1,NOT(ISERROR(SUMPRODUCT(SEARCH(MID(Metadata!B529,ROW(INDIRECT("1:"&amp;LEN(Metadata!B529))), 1),"0123456789abcdefghijklmnopqrstuvwxyzABCDEFGHIJKLMNOPQRSTUVWXYZ.")))))</f>
        <v>0</v>
      </c>
      <c r="W529">
        <f>AND(IF(Metadata!C529="",FALSE,TRUE),exact(Metadata!C529,"urban biome"))</f>
        <v>0</v>
      </c>
      <c r="X529">
        <f>AND(IF(Metadata!D529="",FALSE,TRUE),exact(Metadata!D529,"animal-associated habitat"))</f>
        <v>0</v>
      </c>
      <c r="Y529">
        <f>OR(AND(IF(Metadata!E529="",FALSE,TRUE),OR(exact(Metadata!E529,"not applicable"),exact(Metadata!E529,"missing: not collected"),exact(Metadata!E529,"missing: not provided"),exact(Metadata!E529,"missing: restricted access"))),AND(IF(Metadata!E529="",FALSE,ISNUMBER(VALUE(Metadata!E529))),Metadata!E529&gt;0))</f>
        <v>0</v>
      </c>
      <c r="Z529">
        <f>AND(IF(Metadata!F529="",FALSE,TRUE),exact(Metadata!F529,"weeks"))</f>
        <v>0</v>
      </c>
      <c r="AA529">
        <f>AND(IF(Metadata!G529="",FALSE,TRUE),exact(Metadata!G529,"mouse"))</f>
        <v>0</v>
      </c>
      <c r="AB529">
        <f>AND(IF(Metadata!H529="",FALSE,TRUE),exact(Metadata!H529,"Mus musculus"))</f>
        <v>0</v>
      </c>
      <c r="AC529">
        <f>AND(IF(Metadata!I529="",FALSE,TRUE),exact(Metadata!I529,"10090"))</f>
        <v>0</v>
      </c>
      <c r="AD529">
        <f>OR(AND(IF(Metadata!J529="",FALSE,TRUE),OR(exact(Metadata!J529,"not applicable"),exact(Metadata!J529,"missing: not collected"),exact(Metadata!J529,"missing: not provided"),exact(Metadata!J529,"missing: restricted access"))),AND(IF(Metadata!J529="",FALSE,ISNUMBER(VALUE(Metadata!J529))),Metadata!J529&gt;0))</f>
        <v>0</v>
      </c>
      <c r="AE529">
        <f>AND(IF(Metadata!K529="",FALSE,TRUE),exact(Metadata!K529,"g"))</f>
        <v>0</v>
      </c>
    </row>
    <row r="530" spans="1:31">
      <c r="A530" s="5">
        <f>IF(B530=" "," ",HYPERLINK(CONCATENATE("#metadata!",ADDRESS(INDEX($Q$2:$Q$1001,MATCH(ROWS($O$2:O530),$O$2:$O$1001,0),0),1)),INDEX($T$2:$T$1001,MATCH(ROWS($O$2:O530),$O$2:$O$1001,0),0)))</f>
        <v>0</v>
      </c>
      <c r="B530" s="4">
        <f>IF(OR(INDEX($P$2:$P$1001,MATCH(ROWS($O$2:O530),$O$2:$O$1001,0),1)&gt;=100000,INDEX($V$1005:$AE$1005,1,MATCH(COLUMNS($V$1006:V1006),$V$1006:$AE$1006,0))&gt;=100000), " ",IF(INDEX($V$2:$AE$1001,MATCH(ROWS($O$2:O530),$O$2:$O$1001,0),MATCH(COLUMNS($V$1006:V1006),$V$1006:$AE$1006,0)), HYPERLINK("#",""), HYPERLINK(CONCATENATE("#Metadata!", ADDRESS(INDEX($Q$2:$Q$1001,MATCH(ROWS($O$2:O530),$O$2:$O$1001,0),0), INDEX($V$1004:$AE$1004,1,MATCH(COLUMNS($V$1006:V1006),$V$1006:$AE$1006,0)))),"Fix")))</f>
        <v>0</v>
      </c>
      <c r="C530" s="4">
        <f>IF(OR(INDEX($P$2:$P$1001,MATCH(ROWS($O$2:O530),$O$2:$O$1001,0),1)&gt;=100000,INDEX($V$1005:$AE$1005,1,MATCH(COLUMNS($V$1006:W1006),$V$1006:$AE$1006,0))&gt;=100000), " ",IF(INDEX($V$2:$AE$1001,MATCH(ROWS($O$2:O530),$O$2:$O$1001,0),MATCH(COLUMNS($V$1006:W1006),$V$1006:$AE$1006,0)), HYPERLINK("#",""), HYPERLINK(CONCATENATE("#Metadata!", ADDRESS(INDEX($Q$2:$Q$1001,MATCH(ROWS($O$2:O530),$O$2:$O$1001,0),0), INDEX($V$1004:$AE$1004,1,MATCH(COLUMNS($V$1006:W1006),$V$1006:$AE$1006,0)))),"Fix")))</f>
        <v>0</v>
      </c>
      <c r="D530" s="4">
        <f>IF(OR(INDEX($P$2:$P$1001,MATCH(ROWS($O$2:O530),$O$2:$O$1001,0),1)&gt;=100000,INDEX($V$1005:$AE$1005,1,MATCH(COLUMNS($V$1006:X1006),$V$1006:$AE$1006,0))&gt;=100000), " ",IF(INDEX($V$2:$AE$1001,MATCH(ROWS($O$2:O530),$O$2:$O$1001,0),MATCH(COLUMNS($V$1006:X1006),$V$1006:$AE$1006,0)), HYPERLINK("#",""), HYPERLINK(CONCATENATE("#Metadata!", ADDRESS(INDEX($Q$2:$Q$1001,MATCH(ROWS($O$2:O530),$O$2:$O$1001,0),0), INDEX($V$1004:$AE$1004,1,MATCH(COLUMNS($V$1006:X1006),$V$1006:$AE$1006,0)))),"Fix")))</f>
        <v>0</v>
      </c>
      <c r="E530" s="4">
        <f>IF(OR(INDEX($P$2:$P$1001,MATCH(ROWS($O$2:O530),$O$2:$O$1001,0),1)&gt;=100000,INDEX($V$1005:$AE$1005,1,MATCH(COLUMNS($V$1006:Y1006),$V$1006:$AE$1006,0))&gt;=100000), " ",IF(INDEX($V$2:$AE$1001,MATCH(ROWS($O$2:O530),$O$2:$O$1001,0),MATCH(COLUMNS($V$1006:Y1006),$V$1006:$AE$1006,0)), HYPERLINK("#",""), HYPERLINK(CONCATENATE("#Metadata!", ADDRESS(INDEX($Q$2:$Q$1001,MATCH(ROWS($O$2:O530),$O$2:$O$1001,0),0), INDEX($V$1004:$AE$1004,1,MATCH(COLUMNS($V$1006:Y1006),$V$1006:$AE$1006,0)))),"Fix")))</f>
        <v>0</v>
      </c>
      <c r="F530" s="4">
        <f>IF(OR(INDEX($P$2:$P$1001,MATCH(ROWS($O$2:O530),$O$2:$O$1001,0),1)&gt;=100000,INDEX($V$1005:$AE$1005,1,MATCH(COLUMNS($V$1006:Z1006),$V$1006:$AE$1006,0))&gt;=100000), " ",IF(INDEX($V$2:$AE$1001,MATCH(ROWS($O$2:O530),$O$2:$O$1001,0),MATCH(COLUMNS($V$1006:Z1006),$V$1006:$AE$1006,0)), HYPERLINK("#",""), HYPERLINK(CONCATENATE("#Metadata!", ADDRESS(INDEX($Q$2:$Q$1001,MATCH(ROWS($O$2:O530),$O$2:$O$1001,0),0), INDEX($V$1004:$AE$1004,1,MATCH(COLUMNS($V$1006:Z1006),$V$1006:$AE$1006,0)))),"Fix")))</f>
        <v>0</v>
      </c>
      <c r="G530" s="4">
        <f>IF(OR(INDEX($P$2:$P$1001,MATCH(ROWS($O$2:O530),$O$2:$O$1001,0),1)&gt;=100000,INDEX($V$1005:$AE$1005,1,MATCH(COLUMNS($V$1006:AA1006),$V$1006:$AE$1006,0))&gt;=100000), " ",IF(INDEX($V$2:$AE$1001,MATCH(ROWS($O$2:O530),$O$2:$O$1001,0),MATCH(COLUMNS($V$1006:AA1006),$V$1006:$AE$1006,0)), HYPERLINK("#",""), HYPERLINK(CONCATENATE("#Metadata!", ADDRESS(INDEX($Q$2:$Q$1001,MATCH(ROWS($O$2:O530),$O$2:$O$1001,0),0), INDEX($V$1004:$AE$1004,1,MATCH(COLUMNS($V$1006:AA1006),$V$1006:$AE$1006,0)))),"Fix")))</f>
        <v>0</v>
      </c>
      <c r="H530" s="4">
        <f>IF(OR(INDEX($P$2:$P$1001,MATCH(ROWS($O$2:O530),$O$2:$O$1001,0),1)&gt;=100000,INDEX($V$1005:$AE$1005,1,MATCH(COLUMNS($V$1006:AB1006),$V$1006:$AE$1006,0))&gt;=100000), " ",IF(INDEX($V$2:$AE$1001,MATCH(ROWS($O$2:O530),$O$2:$O$1001,0),MATCH(COLUMNS($V$1006:AB1006),$V$1006:$AE$1006,0)), HYPERLINK("#",""), HYPERLINK(CONCATENATE("#Metadata!", ADDRESS(INDEX($Q$2:$Q$1001,MATCH(ROWS($O$2:O530),$O$2:$O$1001,0),0), INDEX($V$1004:$AE$1004,1,MATCH(COLUMNS($V$1006:AB1006),$V$1006:$AE$1006,0)))),"Fix")))</f>
        <v>0</v>
      </c>
      <c r="I530" s="4">
        <f>IF(OR(INDEX($P$2:$P$1001,MATCH(ROWS($O$2:O530),$O$2:$O$1001,0),1)&gt;=100000,INDEX($V$1005:$AE$1005,1,MATCH(COLUMNS($V$1006:AC1006),$V$1006:$AE$1006,0))&gt;=100000), " ",IF(INDEX($V$2:$AE$1001,MATCH(ROWS($O$2:O530),$O$2:$O$1001,0),MATCH(COLUMNS($V$1006:AC1006),$V$1006:$AE$1006,0)), HYPERLINK("#",""), HYPERLINK(CONCATENATE("#Metadata!", ADDRESS(INDEX($Q$2:$Q$1001,MATCH(ROWS($O$2:O530),$O$2:$O$1001,0),0), INDEX($V$1004:$AE$1004,1,MATCH(COLUMNS($V$1006:AC1006),$V$1006:$AE$1006,0)))),"Fix")))</f>
        <v>0</v>
      </c>
      <c r="J530" s="4">
        <f>IF(OR(INDEX($P$2:$P$1001,MATCH(ROWS($O$2:O530),$O$2:$O$1001,0),1)&gt;=100000,INDEX($V$1005:$AE$1005,1,MATCH(COLUMNS($V$1006:AD1006),$V$1006:$AE$1006,0))&gt;=100000), " ",IF(INDEX($V$2:$AE$1001,MATCH(ROWS($O$2:O530),$O$2:$O$1001,0),MATCH(COLUMNS($V$1006:AD1006),$V$1006:$AE$1006,0)), HYPERLINK("#",""), HYPERLINK(CONCATENATE("#Metadata!", ADDRESS(INDEX($Q$2:$Q$1001,MATCH(ROWS($O$2:O530),$O$2:$O$1001,0),0), INDEX($V$1004:$AE$1004,1,MATCH(COLUMNS($V$1006:AD1006),$V$1006:$AE$1006,0)))),"Fix")))</f>
        <v>0</v>
      </c>
      <c r="K530" s="4">
        <f>IF(OR(INDEX($P$2:$P$1001,MATCH(ROWS($O$2:O530),$O$2:$O$1001,0),1)&gt;=100000,INDEX($V$1005:$AE$1005,1,MATCH(COLUMNS($V$1006:AE1006),$V$1006:$AE$1006,0))&gt;=100000), " ",IF(INDEX($V$2:$AE$1001,MATCH(ROWS($O$2:O530),$O$2:$O$1001,0),MATCH(COLUMNS($V$1006:AE1006),$V$1006:$AE$1006,0)), HYPERLINK("#",""), HYPERLINK(CONCATENATE("#Metadata!", ADDRESS(INDEX($Q$2:$Q$1001,MATCH(ROWS($O$2:O530),$O$2:$O$1001,0),0), INDEX($V$1004:$AE$1004,1,MATCH(COLUMNS($V$1006:AE1006),$V$1006:$AE$1006,0)))),"Fix")))</f>
        <v>0</v>
      </c>
      <c r="O530">
        <v>0</v>
      </c>
      <c r="P530">
        <v>0</v>
      </c>
      <c r="Q530">
        <v>0</v>
      </c>
      <c r="R530">
        <f>IF(S530,TRUE,AND(V530:AE530))</f>
        <v>0</v>
      </c>
      <c r="S530">
        <f>COUNTBLANK(Metadata!B530:K530)=COLUMNS(Metadata!B530:K530)</f>
        <v>0</v>
      </c>
      <c r="T530">
        <v>0</v>
      </c>
      <c r="V530">
        <f>AND(IF(Metadata!B530="",FALSE,TRUE),COUNTIF(Metadata!B:B, Metadata!B530) = 1,NOT(ISERROR(SUMPRODUCT(SEARCH(MID(Metadata!B530,ROW(INDIRECT("1:"&amp;LEN(Metadata!B530))), 1),"0123456789abcdefghijklmnopqrstuvwxyzABCDEFGHIJKLMNOPQRSTUVWXYZ.")))))</f>
        <v>0</v>
      </c>
      <c r="W530">
        <f>AND(IF(Metadata!C530="",FALSE,TRUE),exact(Metadata!C530,"urban biome"))</f>
        <v>0</v>
      </c>
      <c r="X530">
        <f>AND(IF(Metadata!D530="",FALSE,TRUE),exact(Metadata!D530,"animal-associated habitat"))</f>
        <v>0</v>
      </c>
      <c r="Y530">
        <f>OR(AND(IF(Metadata!E530="",FALSE,TRUE),OR(exact(Metadata!E530,"not applicable"),exact(Metadata!E530,"missing: not collected"),exact(Metadata!E530,"missing: not provided"),exact(Metadata!E530,"missing: restricted access"))),AND(IF(Metadata!E530="",FALSE,ISNUMBER(VALUE(Metadata!E530))),Metadata!E530&gt;0))</f>
        <v>0</v>
      </c>
      <c r="Z530">
        <f>AND(IF(Metadata!F530="",FALSE,TRUE),exact(Metadata!F530,"weeks"))</f>
        <v>0</v>
      </c>
      <c r="AA530">
        <f>AND(IF(Metadata!G530="",FALSE,TRUE),exact(Metadata!G530,"mouse"))</f>
        <v>0</v>
      </c>
      <c r="AB530">
        <f>AND(IF(Metadata!H530="",FALSE,TRUE),exact(Metadata!H530,"Mus musculus"))</f>
        <v>0</v>
      </c>
      <c r="AC530">
        <f>AND(IF(Metadata!I530="",FALSE,TRUE),exact(Metadata!I530,"10090"))</f>
        <v>0</v>
      </c>
      <c r="AD530">
        <f>OR(AND(IF(Metadata!J530="",FALSE,TRUE),OR(exact(Metadata!J530,"not applicable"),exact(Metadata!J530,"missing: not collected"),exact(Metadata!J530,"missing: not provided"),exact(Metadata!J530,"missing: restricted access"))),AND(IF(Metadata!J530="",FALSE,ISNUMBER(VALUE(Metadata!J530))),Metadata!J530&gt;0))</f>
        <v>0</v>
      </c>
      <c r="AE530">
        <f>AND(IF(Metadata!K530="",FALSE,TRUE),exact(Metadata!K530,"g"))</f>
        <v>0</v>
      </c>
    </row>
    <row r="531" spans="1:31">
      <c r="A531" s="5">
        <f>IF(B531=" "," ",HYPERLINK(CONCATENATE("#metadata!",ADDRESS(INDEX($Q$2:$Q$1001,MATCH(ROWS($O$2:O531),$O$2:$O$1001,0),0),1)),INDEX($T$2:$T$1001,MATCH(ROWS($O$2:O531),$O$2:$O$1001,0),0)))</f>
        <v>0</v>
      </c>
      <c r="B531" s="4">
        <f>IF(OR(INDEX($P$2:$P$1001,MATCH(ROWS($O$2:O531),$O$2:$O$1001,0),1)&gt;=100000,INDEX($V$1005:$AE$1005,1,MATCH(COLUMNS($V$1006:V1006),$V$1006:$AE$1006,0))&gt;=100000), " ",IF(INDEX($V$2:$AE$1001,MATCH(ROWS($O$2:O531),$O$2:$O$1001,0),MATCH(COLUMNS($V$1006:V1006),$V$1006:$AE$1006,0)), HYPERLINK("#",""), HYPERLINK(CONCATENATE("#Metadata!", ADDRESS(INDEX($Q$2:$Q$1001,MATCH(ROWS($O$2:O531),$O$2:$O$1001,0),0), INDEX($V$1004:$AE$1004,1,MATCH(COLUMNS($V$1006:V1006),$V$1006:$AE$1006,0)))),"Fix")))</f>
        <v>0</v>
      </c>
      <c r="C531" s="4">
        <f>IF(OR(INDEX($P$2:$P$1001,MATCH(ROWS($O$2:O531),$O$2:$O$1001,0),1)&gt;=100000,INDEX($V$1005:$AE$1005,1,MATCH(COLUMNS($V$1006:W1006),$V$1006:$AE$1006,0))&gt;=100000), " ",IF(INDEX($V$2:$AE$1001,MATCH(ROWS($O$2:O531),$O$2:$O$1001,0),MATCH(COLUMNS($V$1006:W1006),$V$1006:$AE$1006,0)), HYPERLINK("#",""), HYPERLINK(CONCATENATE("#Metadata!", ADDRESS(INDEX($Q$2:$Q$1001,MATCH(ROWS($O$2:O531),$O$2:$O$1001,0),0), INDEX($V$1004:$AE$1004,1,MATCH(COLUMNS($V$1006:W1006),$V$1006:$AE$1006,0)))),"Fix")))</f>
        <v>0</v>
      </c>
      <c r="D531" s="4">
        <f>IF(OR(INDEX($P$2:$P$1001,MATCH(ROWS($O$2:O531),$O$2:$O$1001,0),1)&gt;=100000,INDEX($V$1005:$AE$1005,1,MATCH(COLUMNS($V$1006:X1006),$V$1006:$AE$1006,0))&gt;=100000), " ",IF(INDEX($V$2:$AE$1001,MATCH(ROWS($O$2:O531),$O$2:$O$1001,0),MATCH(COLUMNS($V$1006:X1006),$V$1006:$AE$1006,0)), HYPERLINK("#",""), HYPERLINK(CONCATENATE("#Metadata!", ADDRESS(INDEX($Q$2:$Q$1001,MATCH(ROWS($O$2:O531),$O$2:$O$1001,0),0), INDEX($V$1004:$AE$1004,1,MATCH(COLUMNS($V$1006:X1006),$V$1006:$AE$1006,0)))),"Fix")))</f>
        <v>0</v>
      </c>
      <c r="E531" s="4">
        <f>IF(OR(INDEX($P$2:$P$1001,MATCH(ROWS($O$2:O531),$O$2:$O$1001,0),1)&gt;=100000,INDEX($V$1005:$AE$1005,1,MATCH(COLUMNS($V$1006:Y1006),$V$1006:$AE$1006,0))&gt;=100000), " ",IF(INDEX($V$2:$AE$1001,MATCH(ROWS($O$2:O531),$O$2:$O$1001,0),MATCH(COLUMNS($V$1006:Y1006),$V$1006:$AE$1006,0)), HYPERLINK("#",""), HYPERLINK(CONCATENATE("#Metadata!", ADDRESS(INDEX($Q$2:$Q$1001,MATCH(ROWS($O$2:O531),$O$2:$O$1001,0),0), INDEX($V$1004:$AE$1004,1,MATCH(COLUMNS($V$1006:Y1006),$V$1006:$AE$1006,0)))),"Fix")))</f>
        <v>0</v>
      </c>
      <c r="F531" s="4">
        <f>IF(OR(INDEX($P$2:$P$1001,MATCH(ROWS($O$2:O531),$O$2:$O$1001,0),1)&gt;=100000,INDEX($V$1005:$AE$1005,1,MATCH(COLUMNS($V$1006:Z1006),$V$1006:$AE$1006,0))&gt;=100000), " ",IF(INDEX($V$2:$AE$1001,MATCH(ROWS($O$2:O531),$O$2:$O$1001,0),MATCH(COLUMNS($V$1006:Z1006),$V$1006:$AE$1006,0)), HYPERLINK("#",""), HYPERLINK(CONCATENATE("#Metadata!", ADDRESS(INDEX($Q$2:$Q$1001,MATCH(ROWS($O$2:O531),$O$2:$O$1001,0),0), INDEX($V$1004:$AE$1004,1,MATCH(COLUMNS($V$1006:Z1006),$V$1006:$AE$1006,0)))),"Fix")))</f>
        <v>0</v>
      </c>
      <c r="G531" s="4">
        <f>IF(OR(INDEX($P$2:$P$1001,MATCH(ROWS($O$2:O531),$O$2:$O$1001,0),1)&gt;=100000,INDEX($V$1005:$AE$1005,1,MATCH(COLUMNS($V$1006:AA1006),$V$1006:$AE$1006,0))&gt;=100000), " ",IF(INDEX($V$2:$AE$1001,MATCH(ROWS($O$2:O531),$O$2:$O$1001,0),MATCH(COLUMNS($V$1006:AA1006),$V$1006:$AE$1006,0)), HYPERLINK("#",""), HYPERLINK(CONCATENATE("#Metadata!", ADDRESS(INDEX($Q$2:$Q$1001,MATCH(ROWS($O$2:O531),$O$2:$O$1001,0),0), INDEX($V$1004:$AE$1004,1,MATCH(COLUMNS($V$1006:AA1006),$V$1006:$AE$1006,0)))),"Fix")))</f>
        <v>0</v>
      </c>
      <c r="H531" s="4">
        <f>IF(OR(INDEX($P$2:$P$1001,MATCH(ROWS($O$2:O531),$O$2:$O$1001,0),1)&gt;=100000,INDEX($V$1005:$AE$1005,1,MATCH(COLUMNS($V$1006:AB1006),$V$1006:$AE$1006,0))&gt;=100000), " ",IF(INDEX($V$2:$AE$1001,MATCH(ROWS($O$2:O531),$O$2:$O$1001,0),MATCH(COLUMNS($V$1006:AB1006),$V$1006:$AE$1006,0)), HYPERLINK("#",""), HYPERLINK(CONCATENATE("#Metadata!", ADDRESS(INDEX($Q$2:$Q$1001,MATCH(ROWS($O$2:O531),$O$2:$O$1001,0),0), INDEX($V$1004:$AE$1004,1,MATCH(COLUMNS($V$1006:AB1006),$V$1006:$AE$1006,0)))),"Fix")))</f>
        <v>0</v>
      </c>
      <c r="I531" s="4">
        <f>IF(OR(INDEX($P$2:$P$1001,MATCH(ROWS($O$2:O531),$O$2:$O$1001,0),1)&gt;=100000,INDEX($V$1005:$AE$1005,1,MATCH(COLUMNS($V$1006:AC1006),$V$1006:$AE$1006,0))&gt;=100000), " ",IF(INDEX($V$2:$AE$1001,MATCH(ROWS($O$2:O531),$O$2:$O$1001,0),MATCH(COLUMNS($V$1006:AC1006),$V$1006:$AE$1006,0)), HYPERLINK("#",""), HYPERLINK(CONCATENATE("#Metadata!", ADDRESS(INDEX($Q$2:$Q$1001,MATCH(ROWS($O$2:O531),$O$2:$O$1001,0),0), INDEX($V$1004:$AE$1004,1,MATCH(COLUMNS($V$1006:AC1006),$V$1006:$AE$1006,0)))),"Fix")))</f>
        <v>0</v>
      </c>
      <c r="J531" s="4">
        <f>IF(OR(INDEX($P$2:$P$1001,MATCH(ROWS($O$2:O531),$O$2:$O$1001,0),1)&gt;=100000,INDEX($V$1005:$AE$1005,1,MATCH(COLUMNS($V$1006:AD1006),$V$1006:$AE$1006,0))&gt;=100000), " ",IF(INDEX($V$2:$AE$1001,MATCH(ROWS($O$2:O531),$O$2:$O$1001,0),MATCH(COLUMNS($V$1006:AD1006),$V$1006:$AE$1006,0)), HYPERLINK("#",""), HYPERLINK(CONCATENATE("#Metadata!", ADDRESS(INDEX($Q$2:$Q$1001,MATCH(ROWS($O$2:O531),$O$2:$O$1001,0),0), INDEX($V$1004:$AE$1004,1,MATCH(COLUMNS($V$1006:AD1006),$V$1006:$AE$1006,0)))),"Fix")))</f>
        <v>0</v>
      </c>
      <c r="K531" s="4">
        <f>IF(OR(INDEX($P$2:$P$1001,MATCH(ROWS($O$2:O531),$O$2:$O$1001,0),1)&gt;=100000,INDEX($V$1005:$AE$1005,1,MATCH(COLUMNS($V$1006:AE1006),$V$1006:$AE$1006,0))&gt;=100000), " ",IF(INDEX($V$2:$AE$1001,MATCH(ROWS($O$2:O531),$O$2:$O$1001,0),MATCH(COLUMNS($V$1006:AE1006),$V$1006:$AE$1006,0)), HYPERLINK("#",""), HYPERLINK(CONCATENATE("#Metadata!", ADDRESS(INDEX($Q$2:$Q$1001,MATCH(ROWS($O$2:O531),$O$2:$O$1001,0),0), INDEX($V$1004:$AE$1004,1,MATCH(COLUMNS($V$1006:AE1006),$V$1006:$AE$1006,0)))),"Fix")))</f>
        <v>0</v>
      </c>
      <c r="O531">
        <v>0</v>
      </c>
      <c r="P531">
        <v>0</v>
      </c>
      <c r="Q531">
        <v>0</v>
      </c>
      <c r="R531">
        <f>IF(S531,TRUE,AND(V531:AE531))</f>
        <v>0</v>
      </c>
      <c r="S531">
        <f>COUNTBLANK(Metadata!B531:K531)=COLUMNS(Metadata!B531:K531)</f>
        <v>0</v>
      </c>
      <c r="T531">
        <v>0</v>
      </c>
      <c r="V531">
        <f>AND(IF(Metadata!B531="",FALSE,TRUE),COUNTIF(Metadata!B:B, Metadata!B531) = 1,NOT(ISERROR(SUMPRODUCT(SEARCH(MID(Metadata!B531,ROW(INDIRECT("1:"&amp;LEN(Metadata!B531))), 1),"0123456789abcdefghijklmnopqrstuvwxyzABCDEFGHIJKLMNOPQRSTUVWXYZ.")))))</f>
        <v>0</v>
      </c>
      <c r="W531">
        <f>AND(IF(Metadata!C531="",FALSE,TRUE),exact(Metadata!C531,"urban biome"))</f>
        <v>0</v>
      </c>
      <c r="X531">
        <f>AND(IF(Metadata!D531="",FALSE,TRUE),exact(Metadata!D531,"animal-associated habitat"))</f>
        <v>0</v>
      </c>
      <c r="Y531">
        <f>OR(AND(IF(Metadata!E531="",FALSE,TRUE),OR(exact(Metadata!E531,"not applicable"),exact(Metadata!E531,"missing: not collected"),exact(Metadata!E531,"missing: not provided"),exact(Metadata!E531,"missing: restricted access"))),AND(IF(Metadata!E531="",FALSE,ISNUMBER(VALUE(Metadata!E531))),Metadata!E531&gt;0))</f>
        <v>0</v>
      </c>
      <c r="Z531">
        <f>AND(IF(Metadata!F531="",FALSE,TRUE),exact(Metadata!F531,"weeks"))</f>
        <v>0</v>
      </c>
      <c r="AA531">
        <f>AND(IF(Metadata!G531="",FALSE,TRUE),exact(Metadata!G531,"mouse"))</f>
        <v>0</v>
      </c>
      <c r="AB531">
        <f>AND(IF(Metadata!H531="",FALSE,TRUE),exact(Metadata!H531,"Mus musculus"))</f>
        <v>0</v>
      </c>
      <c r="AC531">
        <f>AND(IF(Metadata!I531="",FALSE,TRUE),exact(Metadata!I531,"10090"))</f>
        <v>0</v>
      </c>
      <c r="AD531">
        <f>OR(AND(IF(Metadata!J531="",FALSE,TRUE),OR(exact(Metadata!J531,"not applicable"),exact(Metadata!J531,"missing: not collected"),exact(Metadata!J531,"missing: not provided"),exact(Metadata!J531,"missing: restricted access"))),AND(IF(Metadata!J531="",FALSE,ISNUMBER(VALUE(Metadata!J531))),Metadata!J531&gt;0))</f>
        <v>0</v>
      </c>
      <c r="AE531">
        <f>AND(IF(Metadata!K531="",FALSE,TRUE),exact(Metadata!K531,"g"))</f>
        <v>0</v>
      </c>
    </row>
    <row r="532" spans="1:31">
      <c r="A532" s="5">
        <f>IF(B532=" "," ",HYPERLINK(CONCATENATE("#metadata!",ADDRESS(INDEX($Q$2:$Q$1001,MATCH(ROWS($O$2:O532),$O$2:$O$1001,0),0),1)),INDEX($T$2:$T$1001,MATCH(ROWS($O$2:O532),$O$2:$O$1001,0),0)))</f>
        <v>0</v>
      </c>
      <c r="B532" s="4">
        <f>IF(OR(INDEX($P$2:$P$1001,MATCH(ROWS($O$2:O532),$O$2:$O$1001,0),1)&gt;=100000,INDEX($V$1005:$AE$1005,1,MATCH(COLUMNS($V$1006:V1006),$V$1006:$AE$1006,0))&gt;=100000), " ",IF(INDEX($V$2:$AE$1001,MATCH(ROWS($O$2:O532),$O$2:$O$1001,0),MATCH(COLUMNS($V$1006:V1006),$V$1006:$AE$1006,0)), HYPERLINK("#",""), HYPERLINK(CONCATENATE("#Metadata!", ADDRESS(INDEX($Q$2:$Q$1001,MATCH(ROWS($O$2:O532),$O$2:$O$1001,0),0), INDEX($V$1004:$AE$1004,1,MATCH(COLUMNS($V$1006:V1006),$V$1006:$AE$1006,0)))),"Fix")))</f>
        <v>0</v>
      </c>
      <c r="C532" s="4">
        <f>IF(OR(INDEX($P$2:$P$1001,MATCH(ROWS($O$2:O532),$O$2:$O$1001,0),1)&gt;=100000,INDEX($V$1005:$AE$1005,1,MATCH(COLUMNS($V$1006:W1006),$V$1006:$AE$1006,0))&gt;=100000), " ",IF(INDEX($V$2:$AE$1001,MATCH(ROWS($O$2:O532),$O$2:$O$1001,0),MATCH(COLUMNS($V$1006:W1006),$V$1006:$AE$1006,0)), HYPERLINK("#",""), HYPERLINK(CONCATENATE("#Metadata!", ADDRESS(INDEX($Q$2:$Q$1001,MATCH(ROWS($O$2:O532),$O$2:$O$1001,0),0), INDEX($V$1004:$AE$1004,1,MATCH(COLUMNS($V$1006:W1006),$V$1006:$AE$1006,0)))),"Fix")))</f>
        <v>0</v>
      </c>
      <c r="D532" s="4">
        <f>IF(OR(INDEX($P$2:$P$1001,MATCH(ROWS($O$2:O532),$O$2:$O$1001,0),1)&gt;=100000,INDEX($V$1005:$AE$1005,1,MATCH(COLUMNS($V$1006:X1006),$V$1006:$AE$1006,0))&gt;=100000), " ",IF(INDEX($V$2:$AE$1001,MATCH(ROWS($O$2:O532),$O$2:$O$1001,0),MATCH(COLUMNS($V$1006:X1006),$V$1006:$AE$1006,0)), HYPERLINK("#",""), HYPERLINK(CONCATENATE("#Metadata!", ADDRESS(INDEX($Q$2:$Q$1001,MATCH(ROWS($O$2:O532),$O$2:$O$1001,0),0), INDEX($V$1004:$AE$1004,1,MATCH(COLUMNS($V$1006:X1006),$V$1006:$AE$1006,0)))),"Fix")))</f>
        <v>0</v>
      </c>
      <c r="E532" s="4">
        <f>IF(OR(INDEX($P$2:$P$1001,MATCH(ROWS($O$2:O532),$O$2:$O$1001,0),1)&gt;=100000,INDEX($V$1005:$AE$1005,1,MATCH(COLUMNS($V$1006:Y1006),$V$1006:$AE$1006,0))&gt;=100000), " ",IF(INDEX($V$2:$AE$1001,MATCH(ROWS($O$2:O532),$O$2:$O$1001,0),MATCH(COLUMNS($V$1006:Y1006),$V$1006:$AE$1006,0)), HYPERLINK("#",""), HYPERLINK(CONCATENATE("#Metadata!", ADDRESS(INDEX($Q$2:$Q$1001,MATCH(ROWS($O$2:O532),$O$2:$O$1001,0),0), INDEX($V$1004:$AE$1004,1,MATCH(COLUMNS($V$1006:Y1006),$V$1006:$AE$1006,0)))),"Fix")))</f>
        <v>0</v>
      </c>
      <c r="F532" s="4">
        <f>IF(OR(INDEX($P$2:$P$1001,MATCH(ROWS($O$2:O532),$O$2:$O$1001,0),1)&gt;=100000,INDEX($V$1005:$AE$1005,1,MATCH(COLUMNS($V$1006:Z1006),$V$1006:$AE$1006,0))&gt;=100000), " ",IF(INDEX($V$2:$AE$1001,MATCH(ROWS($O$2:O532),$O$2:$O$1001,0),MATCH(COLUMNS($V$1006:Z1006),$V$1006:$AE$1006,0)), HYPERLINK("#",""), HYPERLINK(CONCATENATE("#Metadata!", ADDRESS(INDEX($Q$2:$Q$1001,MATCH(ROWS($O$2:O532),$O$2:$O$1001,0),0), INDEX($V$1004:$AE$1004,1,MATCH(COLUMNS($V$1006:Z1006),$V$1006:$AE$1006,0)))),"Fix")))</f>
        <v>0</v>
      </c>
      <c r="G532" s="4">
        <f>IF(OR(INDEX($P$2:$P$1001,MATCH(ROWS($O$2:O532),$O$2:$O$1001,0),1)&gt;=100000,INDEX($V$1005:$AE$1005,1,MATCH(COLUMNS($V$1006:AA1006),$V$1006:$AE$1006,0))&gt;=100000), " ",IF(INDEX($V$2:$AE$1001,MATCH(ROWS($O$2:O532),$O$2:$O$1001,0),MATCH(COLUMNS($V$1006:AA1006),$V$1006:$AE$1006,0)), HYPERLINK("#",""), HYPERLINK(CONCATENATE("#Metadata!", ADDRESS(INDEX($Q$2:$Q$1001,MATCH(ROWS($O$2:O532),$O$2:$O$1001,0),0), INDEX($V$1004:$AE$1004,1,MATCH(COLUMNS($V$1006:AA1006),$V$1006:$AE$1006,0)))),"Fix")))</f>
        <v>0</v>
      </c>
      <c r="H532" s="4">
        <f>IF(OR(INDEX($P$2:$P$1001,MATCH(ROWS($O$2:O532),$O$2:$O$1001,0),1)&gt;=100000,INDEX($V$1005:$AE$1005,1,MATCH(COLUMNS($V$1006:AB1006),$V$1006:$AE$1006,0))&gt;=100000), " ",IF(INDEX($V$2:$AE$1001,MATCH(ROWS($O$2:O532),$O$2:$O$1001,0),MATCH(COLUMNS($V$1006:AB1006),$V$1006:$AE$1006,0)), HYPERLINK("#",""), HYPERLINK(CONCATENATE("#Metadata!", ADDRESS(INDEX($Q$2:$Q$1001,MATCH(ROWS($O$2:O532),$O$2:$O$1001,0),0), INDEX($V$1004:$AE$1004,1,MATCH(COLUMNS($V$1006:AB1006),$V$1006:$AE$1006,0)))),"Fix")))</f>
        <v>0</v>
      </c>
      <c r="I532" s="4">
        <f>IF(OR(INDEX($P$2:$P$1001,MATCH(ROWS($O$2:O532),$O$2:$O$1001,0),1)&gt;=100000,INDEX($V$1005:$AE$1005,1,MATCH(COLUMNS($V$1006:AC1006),$V$1006:$AE$1006,0))&gt;=100000), " ",IF(INDEX($V$2:$AE$1001,MATCH(ROWS($O$2:O532),$O$2:$O$1001,0),MATCH(COLUMNS($V$1006:AC1006),$V$1006:$AE$1006,0)), HYPERLINK("#",""), HYPERLINK(CONCATENATE("#Metadata!", ADDRESS(INDEX($Q$2:$Q$1001,MATCH(ROWS($O$2:O532),$O$2:$O$1001,0),0), INDEX($V$1004:$AE$1004,1,MATCH(COLUMNS($V$1006:AC1006),$V$1006:$AE$1006,0)))),"Fix")))</f>
        <v>0</v>
      </c>
      <c r="J532" s="4">
        <f>IF(OR(INDEX($P$2:$P$1001,MATCH(ROWS($O$2:O532),$O$2:$O$1001,0),1)&gt;=100000,INDEX($V$1005:$AE$1005,1,MATCH(COLUMNS($V$1006:AD1006),$V$1006:$AE$1006,0))&gt;=100000), " ",IF(INDEX($V$2:$AE$1001,MATCH(ROWS($O$2:O532),$O$2:$O$1001,0),MATCH(COLUMNS($V$1006:AD1006),$V$1006:$AE$1006,0)), HYPERLINK("#",""), HYPERLINK(CONCATENATE("#Metadata!", ADDRESS(INDEX($Q$2:$Q$1001,MATCH(ROWS($O$2:O532),$O$2:$O$1001,0),0), INDEX($V$1004:$AE$1004,1,MATCH(COLUMNS($V$1006:AD1006),$V$1006:$AE$1006,0)))),"Fix")))</f>
        <v>0</v>
      </c>
      <c r="K532" s="4">
        <f>IF(OR(INDEX($P$2:$P$1001,MATCH(ROWS($O$2:O532),$O$2:$O$1001,0),1)&gt;=100000,INDEX($V$1005:$AE$1005,1,MATCH(COLUMNS($V$1006:AE1006),$V$1006:$AE$1006,0))&gt;=100000), " ",IF(INDEX($V$2:$AE$1001,MATCH(ROWS($O$2:O532),$O$2:$O$1001,0),MATCH(COLUMNS($V$1006:AE1006),$V$1006:$AE$1006,0)), HYPERLINK("#",""), HYPERLINK(CONCATENATE("#Metadata!", ADDRESS(INDEX($Q$2:$Q$1001,MATCH(ROWS($O$2:O532),$O$2:$O$1001,0),0), INDEX($V$1004:$AE$1004,1,MATCH(COLUMNS($V$1006:AE1006),$V$1006:$AE$1006,0)))),"Fix")))</f>
        <v>0</v>
      </c>
      <c r="O532">
        <v>0</v>
      </c>
      <c r="P532">
        <v>0</v>
      </c>
      <c r="Q532">
        <v>0</v>
      </c>
      <c r="R532">
        <f>IF(S532,TRUE,AND(V532:AE532))</f>
        <v>0</v>
      </c>
      <c r="S532">
        <f>COUNTBLANK(Metadata!B532:K532)=COLUMNS(Metadata!B532:K532)</f>
        <v>0</v>
      </c>
      <c r="T532">
        <v>0</v>
      </c>
      <c r="V532">
        <f>AND(IF(Metadata!B532="",FALSE,TRUE),COUNTIF(Metadata!B:B, Metadata!B532) = 1,NOT(ISERROR(SUMPRODUCT(SEARCH(MID(Metadata!B532,ROW(INDIRECT("1:"&amp;LEN(Metadata!B532))), 1),"0123456789abcdefghijklmnopqrstuvwxyzABCDEFGHIJKLMNOPQRSTUVWXYZ.")))))</f>
        <v>0</v>
      </c>
      <c r="W532">
        <f>AND(IF(Metadata!C532="",FALSE,TRUE),exact(Metadata!C532,"urban biome"))</f>
        <v>0</v>
      </c>
      <c r="X532">
        <f>AND(IF(Metadata!D532="",FALSE,TRUE),exact(Metadata!D532,"animal-associated habitat"))</f>
        <v>0</v>
      </c>
      <c r="Y532">
        <f>OR(AND(IF(Metadata!E532="",FALSE,TRUE),OR(exact(Metadata!E532,"not applicable"),exact(Metadata!E532,"missing: not collected"),exact(Metadata!E532,"missing: not provided"),exact(Metadata!E532,"missing: restricted access"))),AND(IF(Metadata!E532="",FALSE,ISNUMBER(VALUE(Metadata!E532))),Metadata!E532&gt;0))</f>
        <v>0</v>
      </c>
      <c r="Z532">
        <f>AND(IF(Metadata!F532="",FALSE,TRUE),exact(Metadata!F532,"weeks"))</f>
        <v>0</v>
      </c>
      <c r="AA532">
        <f>AND(IF(Metadata!G532="",FALSE,TRUE),exact(Metadata!G532,"mouse"))</f>
        <v>0</v>
      </c>
      <c r="AB532">
        <f>AND(IF(Metadata!H532="",FALSE,TRUE),exact(Metadata!H532,"Mus musculus"))</f>
        <v>0</v>
      </c>
      <c r="AC532">
        <f>AND(IF(Metadata!I532="",FALSE,TRUE),exact(Metadata!I532,"10090"))</f>
        <v>0</v>
      </c>
      <c r="AD532">
        <f>OR(AND(IF(Metadata!J532="",FALSE,TRUE),OR(exact(Metadata!J532,"not applicable"),exact(Metadata!J532,"missing: not collected"),exact(Metadata!J532,"missing: not provided"),exact(Metadata!J532,"missing: restricted access"))),AND(IF(Metadata!J532="",FALSE,ISNUMBER(VALUE(Metadata!J532))),Metadata!J532&gt;0))</f>
        <v>0</v>
      </c>
      <c r="AE532">
        <f>AND(IF(Metadata!K532="",FALSE,TRUE),exact(Metadata!K532,"g"))</f>
        <v>0</v>
      </c>
    </row>
    <row r="533" spans="1:31">
      <c r="A533" s="5">
        <f>IF(B533=" "," ",HYPERLINK(CONCATENATE("#metadata!",ADDRESS(INDEX($Q$2:$Q$1001,MATCH(ROWS($O$2:O533),$O$2:$O$1001,0),0),1)),INDEX($T$2:$T$1001,MATCH(ROWS($O$2:O533),$O$2:$O$1001,0),0)))</f>
        <v>0</v>
      </c>
      <c r="B533" s="4">
        <f>IF(OR(INDEX($P$2:$P$1001,MATCH(ROWS($O$2:O533),$O$2:$O$1001,0),1)&gt;=100000,INDEX($V$1005:$AE$1005,1,MATCH(COLUMNS($V$1006:V1006),$V$1006:$AE$1006,0))&gt;=100000), " ",IF(INDEX($V$2:$AE$1001,MATCH(ROWS($O$2:O533),$O$2:$O$1001,0),MATCH(COLUMNS($V$1006:V1006),$V$1006:$AE$1006,0)), HYPERLINK("#",""), HYPERLINK(CONCATENATE("#Metadata!", ADDRESS(INDEX($Q$2:$Q$1001,MATCH(ROWS($O$2:O533),$O$2:$O$1001,0),0), INDEX($V$1004:$AE$1004,1,MATCH(COLUMNS($V$1006:V1006),$V$1006:$AE$1006,0)))),"Fix")))</f>
        <v>0</v>
      </c>
      <c r="C533" s="4">
        <f>IF(OR(INDEX($P$2:$P$1001,MATCH(ROWS($O$2:O533),$O$2:$O$1001,0),1)&gt;=100000,INDEX($V$1005:$AE$1005,1,MATCH(COLUMNS($V$1006:W1006),$V$1006:$AE$1006,0))&gt;=100000), " ",IF(INDEX($V$2:$AE$1001,MATCH(ROWS($O$2:O533),$O$2:$O$1001,0),MATCH(COLUMNS($V$1006:W1006),$V$1006:$AE$1006,0)), HYPERLINK("#",""), HYPERLINK(CONCATENATE("#Metadata!", ADDRESS(INDEX($Q$2:$Q$1001,MATCH(ROWS($O$2:O533),$O$2:$O$1001,0),0), INDEX($V$1004:$AE$1004,1,MATCH(COLUMNS($V$1006:W1006),$V$1006:$AE$1006,0)))),"Fix")))</f>
        <v>0</v>
      </c>
      <c r="D533" s="4">
        <f>IF(OR(INDEX($P$2:$P$1001,MATCH(ROWS($O$2:O533),$O$2:$O$1001,0),1)&gt;=100000,INDEX($V$1005:$AE$1005,1,MATCH(COLUMNS($V$1006:X1006),$V$1006:$AE$1006,0))&gt;=100000), " ",IF(INDEX($V$2:$AE$1001,MATCH(ROWS($O$2:O533),$O$2:$O$1001,0),MATCH(COLUMNS($V$1006:X1006),$V$1006:$AE$1006,0)), HYPERLINK("#",""), HYPERLINK(CONCATENATE("#Metadata!", ADDRESS(INDEX($Q$2:$Q$1001,MATCH(ROWS($O$2:O533),$O$2:$O$1001,0),0), INDEX($V$1004:$AE$1004,1,MATCH(COLUMNS($V$1006:X1006),$V$1006:$AE$1006,0)))),"Fix")))</f>
        <v>0</v>
      </c>
      <c r="E533" s="4">
        <f>IF(OR(INDEX($P$2:$P$1001,MATCH(ROWS($O$2:O533),$O$2:$O$1001,0),1)&gt;=100000,INDEX($V$1005:$AE$1005,1,MATCH(COLUMNS($V$1006:Y1006),$V$1006:$AE$1006,0))&gt;=100000), " ",IF(INDEX($V$2:$AE$1001,MATCH(ROWS($O$2:O533),$O$2:$O$1001,0),MATCH(COLUMNS($V$1006:Y1006),$V$1006:$AE$1006,0)), HYPERLINK("#",""), HYPERLINK(CONCATENATE("#Metadata!", ADDRESS(INDEX($Q$2:$Q$1001,MATCH(ROWS($O$2:O533),$O$2:$O$1001,0),0), INDEX($V$1004:$AE$1004,1,MATCH(COLUMNS($V$1006:Y1006),$V$1006:$AE$1006,0)))),"Fix")))</f>
        <v>0</v>
      </c>
      <c r="F533" s="4">
        <f>IF(OR(INDEX($P$2:$P$1001,MATCH(ROWS($O$2:O533),$O$2:$O$1001,0),1)&gt;=100000,INDEX($V$1005:$AE$1005,1,MATCH(COLUMNS($V$1006:Z1006),$V$1006:$AE$1006,0))&gt;=100000), " ",IF(INDEX($V$2:$AE$1001,MATCH(ROWS($O$2:O533),$O$2:$O$1001,0),MATCH(COLUMNS($V$1006:Z1006),$V$1006:$AE$1006,0)), HYPERLINK("#",""), HYPERLINK(CONCATENATE("#Metadata!", ADDRESS(INDEX($Q$2:$Q$1001,MATCH(ROWS($O$2:O533),$O$2:$O$1001,0),0), INDEX($V$1004:$AE$1004,1,MATCH(COLUMNS($V$1006:Z1006),$V$1006:$AE$1006,0)))),"Fix")))</f>
        <v>0</v>
      </c>
      <c r="G533" s="4">
        <f>IF(OR(INDEX($P$2:$P$1001,MATCH(ROWS($O$2:O533),$O$2:$O$1001,0),1)&gt;=100000,INDEX($V$1005:$AE$1005,1,MATCH(COLUMNS($V$1006:AA1006),$V$1006:$AE$1006,0))&gt;=100000), " ",IF(INDEX($V$2:$AE$1001,MATCH(ROWS($O$2:O533),$O$2:$O$1001,0),MATCH(COLUMNS($V$1006:AA1006),$V$1006:$AE$1006,0)), HYPERLINK("#",""), HYPERLINK(CONCATENATE("#Metadata!", ADDRESS(INDEX($Q$2:$Q$1001,MATCH(ROWS($O$2:O533),$O$2:$O$1001,0),0), INDEX($V$1004:$AE$1004,1,MATCH(COLUMNS($V$1006:AA1006),$V$1006:$AE$1006,0)))),"Fix")))</f>
        <v>0</v>
      </c>
      <c r="H533" s="4">
        <f>IF(OR(INDEX($P$2:$P$1001,MATCH(ROWS($O$2:O533),$O$2:$O$1001,0),1)&gt;=100000,INDEX($V$1005:$AE$1005,1,MATCH(COLUMNS($V$1006:AB1006),$V$1006:$AE$1006,0))&gt;=100000), " ",IF(INDEX($V$2:$AE$1001,MATCH(ROWS($O$2:O533),$O$2:$O$1001,0),MATCH(COLUMNS($V$1006:AB1006),$V$1006:$AE$1006,0)), HYPERLINK("#",""), HYPERLINK(CONCATENATE("#Metadata!", ADDRESS(INDEX($Q$2:$Q$1001,MATCH(ROWS($O$2:O533),$O$2:$O$1001,0),0), INDEX($V$1004:$AE$1004,1,MATCH(COLUMNS($V$1006:AB1006),$V$1006:$AE$1006,0)))),"Fix")))</f>
        <v>0</v>
      </c>
      <c r="I533" s="4">
        <f>IF(OR(INDEX($P$2:$P$1001,MATCH(ROWS($O$2:O533),$O$2:$O$1001,0),1)&gt;=100000,INDEX($V$1005:$AE$1005,1,MATCH(COLUMNS($V$1006:AC1006),$V$1006:$AE$1006,0))&gt;=100000), " ",IF(INDEX($V$2:$AE$1001,MATCH(ROWS($O$2:O533),$O$2:$O$1001,0),MATCH(COLUMNS($V$1006:AC1006),$V$1006:$AE$1006,0)), HYPERLINK("#",""), HYPERLINK(CONCATENATE("#Metadata!", ADDRESS(INDEX($Q$2:$Q$1001,MATCH(ROWS($O$2:O533),$O$2:$O$1001,0),0), INDEX($V$1004:$AE$1004,1,MATCH(COLUMNS($V$1006:AC1006),$V$1006:$AE$1006,0)))),"Fix")))</f>
        <v>0</v>
      </c>
      <c r="J533" s="4">
        <f>IF(OR(INDEX($P$2:$P$1001,MATCH(ROWS($O$2:O533),$O$2:$O$1001,0),1)&gt;=100000,INDEX($V$1005:$AE$1005,1,MATCH(COLUMNS($V$1006:AD1006),$V$1006:$AE$1006,0))&gt;=100000), " ",IF(INDEX($V$2:$AE$1001,MATCH(ROWS($O$2:O533),$O$2:$O$1001,0),MATCH(COLUMNS($V$1006:AD1006),$V$1006:$AE$1006,0)), HYPERLINK("#",""), HYPERLINK(CONCATENATE("#Metadata!", ADDRESS(INDEX($Q$2:$Q$1001,MATCH(ROWS($O$2:O533),$O$2:$O$1001,0),0), INDEX($V$1004:$AE$1004,1,MATCH(COLUMNS($V$1006:AD1006),$V$1006:$AE$1006,0)))),"Fix")))</f>
        <v>0</v>
      </c>
      <c r="K533" s="4">
        <f>IF(OR(INDEX($P$2:$P$1001,MATCH(ROWS($O$2:O533),$O$2:$O$1001,0),1)&gt;=100000,INDEX($V$1005:$AE$1005,1,MATCH(COLUMNS($V$1006:AE1006),$V$1006:$AE$1006,0))&gt;=100000), " ",IF(INDEX($V$2:$AE$1001,MATCH(ROWS($O$2:O533),$O$2:$O$1001,0),MATCH(COLUMNS($V$1006:AE1006),$V$1006:$AE$1006,0)), HYPERLINK("#",""), HYPERLINK(CONCATENATE("#Metadata!", ADDRESS(INDEX($Q$2:$Q$1001,MATCH(ROWS($O$2:O533),$O$2:$O$1001,0),0), INDEX($V$1004:$AE$1004,1,MATCH(COLUMNS($V$1006:AE1006),$V$1006:$AE$1006,0)))),"Fix")))</f>
        <v>0</v>
      </c>
      <c r="O533">
        <v>0</v>
      </c>
      <c r="P533">
        <v>0</v>
      </c>
      <c r="Q533">
        <v>0</v>
      </c>
      <c r="R533">
        <f>IF(S533,TRUE,AND(V533:AE533))</f>
        <v>0</v>
      </c>
      <c r="S533">
        <f>COUNTBLANK(Metadata!B533:K533)=COLUMNS(Metadata!B533:K533)</f>
        <v>0</v>
      </c>
      <c r="T533">
        <v>0</v>
      </c>
      <c r="V533">
        <f>AND(IF(Metadata!B533="",FALSE,TRUE),COUNTIF(Metadata!B:B, Metadata!B533) = 1,NOT(ISERROR(SUMPRODUCT(SEARCH(MID(Metadata!B533,ROW(INDIRECT("1:"&amp;LEN(Metadata!B533))), 1),"0123456789abcdefghijklmnopqrstuvwxyzABCDEFGHIJKLMNOPQRSTUVWXYZ.")))))</f>
        <v>0</v>
      </c>
      <c r="W533">
        <f>AND(IF(Metadata!C533="",FALSE,TRUE),exact(Metadata!C533,"urban biome"))</f>
        <v>0</v>
      </c>
      <c r="X533">
        <f>AND(IF(Metadata!D533="",FALSE,TRUE),exact(Metadata!D533,"animal-associated habitat"))</f>
        <v>0</v>
      </c>
      <c r="Y533">
        <f>OR(AND(IF(Metadata!E533="",FALSE,TRUE),OR(exact(Metadata!E533,"not applicable"),exact(Metadata!E533,"missing: not collected"),exact(Metadata!E533,"missing: not provided"),exact(Metadata!E533,"missing: restricted access"))),AND(IF(Metadata!E533="",FALSE,ISNUMBER(VALUE(Metadata!E533))),Metadata!E533&gt;0))</f>
        <v>0</v>
      </c>
      <c r="Z533">
        <f>AND(IF(Metadata!F533="",FALSE,TRUE),exact(Metadata!F533,"weeks"))</f>
        <v>0</v>
      </c>
      <c r="AA533">
        <f>AND(IF(Metadata!G533="",FALSE,TRUE),exact(Metadata!G533,"mouse"))</f>
        <v>0</v>
      </c>
      <c r="AB533">
        <f>AND(IF(Metadata!H533="",FALSE,TRUE),exact(Metadata!H533,"Mus musculus"))</f>
        <v>0</v>
      </c>
      <c r="AC533">
        <f>AND(IF(Metadata!I533="",FALSE,TRUE),exact(Metadata!I533,"10090"))</f>
        <v>0</v>
      </c>
      <c r="AD533">
        <f>OR(AND(IF(Metadata!J533="",FALSE,TRUE),OR(exact(Metadata!J533,"not applicable"),exact(Metadata!J533,"missing: not collected"),exact(Metadata!J533,"missing: not provided"),exact(Metadata!J533,"missing: restricted access"))),AND(IF(Metadata!J533="",FALSE,ISNUMBER(VALUE(Metadata!J533))),Metadata!J533&gt;0))</f>
        <v>0</v>
      </c>
      <c r="AE533">
        <f>AND(IF(Metadata!K533="",FALSE,TRUE),exact(Metadata!K533,"g"))</f>
        <v>0</v>
      </c>
    </row>
    <row r="534" spans="1:31">
      <c r="A534" s="5">
        <f>IF(B534=" "," ",HYPERLINK(CONCATENATE("#metadata!",ADDRESS(INDEX($Q$2:$Q$1001,MATCH(ROWS($O$2:O534),$O$2:$O$1001,0),0),1)),INDEX($T$2:$T$1001,MATCH(ROWS($O$2:O534),$O$2:$O$1001,0),0)))</f>
        <v>0</v>
      </c>
      <c r="B534" s="4">
        <f>IF(OR(INDEX($P$2:$P$1001,MATCH(ROWS($O$2:O534),$O$2:$O$1001,0),1)&gt;=100000,INDEX($V$1005:$AE$1005,1,MATCH(COLUMNS($V$1006:V1006),$V$1006:$AE$1006,0))&gt;=100000), " ",IF(INDEX($V$2:$AE$1001,MATCH(ROWS($O$2:O534),$O$2:$O$1001,0),MATCH(COLUMNS($V$1006:V1006),$V$1006:$AE$1006,0)), HYPERLINK("#",""), HYPERLINK(CONCATENATE("#Metadata!", ADDRESS(INDEX($Q$2:$Q$1001,MATCH(ROWS($O$2:O534),$O$2:$O$1001,0),0), INDEX($V$1004:$AE$1004,1,MATCH(COLUMNS($V$1006:V1006),$V$1006:$AE$1006,0)))),"Fix")))</f>
        <v>0</v>
      </c>
      <c r="C534" s="4">
        <f>IF(OR(INDEX($P$2:$P$1001,MATCH(ROWS($O$2:O534),$O$2:$O$1001,0),1)&gt;=100000,INDEX($V$1005:$AE$1005,1,MATCH(COLUMNS($V$1006:W1006),$V$1006:$AE$1006,0))&gt;=100000), " ",IF(INDEX($V$2:$AE$1001,MATCH(ROWS($O$2:O534),$O$2:$O$1001,0),MATCH(COLUMNS($V$1006:W1006),$V$1006:$AE$1006,0)), HYPERLINK("#",""), HYPERLINK(CONCATENATE("#Metadata!", ADDRESS(INDEX($Q$2:$Q$1001,MATCH(ROWS($O$2:O534),$O$2:$O$1001,0),0), INDEX($V$1004:$AE$1004,1,MATCH(COLUMNS($V$1006:W1006),$V$1006:$AE$1006,0)))),"Fix")))</f>
        <v>0</v>
      </c>
      <c r="D534" s="4">
        <f>IF(OR(INDEX($P$2:$P$1001,MATCH(ROWS($O$2:O534),$O$2:$O$1001,0),1)&gt;=100000,INDEX($V$1005:$AE$1005,1,MATCH(COLUMNS($V$1006:X1006),$V$1006:$AE$1006,0))&gt;=100000), " ",IF(INDEX($V$2:$AE$1001,MATCH(ROWS($O$2:O534),$O$2:$O$1001,0),MATCH(COLUMNS($V$1006:X1006),$V$1006:$AE$1006,0)), HYPERLINK("#",""), HYPERLINK(CONCATENATE("#Metadata!", ADDRESS(INDEX($Q$2:$Q$1001,MATCH(ROWS($O$2:O534),$O$2:$O$1001,0),0), INDEX($V$1004:$AE$1004,1,MATCH(COLUMNS($V$1006:X1006),$V$1006:$AE$1006,0)))),"Fix")))</f>
        <v>0</v>
      </c>
      <c r="E534" s="4">
        <f>IF(OR(INDEX($P$2:$P$1001,MATCH(ROWS($O$2:O534),$O$2:$O$1001,0),1)&gt;=100000,INDEX($V$1005:$AE$1005,1,MATCH(COLUMNS($V$1006:Y1006),$V$1006:$AE$1006,0))&gt;=100000), " ",IF(INDEX($V$2:$AE$1001,MATCH(ROWS($O$2:O534),$O$2:$O$1001,0),MATCH(COLUMNS($V$1006:Y1006),$V$1006:$AE$1006,0)), HYPERLINK("#",""), HYPERLINK(CONCATENATE("#Metadata!", ADDRESS(INDEX($Q$2:$Q$1001,MATCH(ROWS($O$2:O534),$O$2:$O$1001,0),0), INDEX($V$1004:$AE$1004,1,MATCH(COLUMNS($V$1006:Y1006),$V$1006:$AE$1006,0)))),"Fix")))</f>
        <v>0</v>
      </c>
      <c r="F534" s="4">
        <f>IF(OR(INDEX($P$2:$P$1001,MATCH(ROWS($O$2:O534),$O$2:$O$1001,0),1)&gt;=100000,INDEX($V$1005:$AE$1005,1,MATCH(COLUMNS($V$1006:Z1006),$V$1006:$AE$1006,0))&gt;=100000), " ",IF(INDEX($V$2:$AE$1001,MATCH(ROWS($O$2:O534),$O$2:$O$1001,0),MATCH(COLUMNS($V$1006:Z1006),$V$1006:$AE$1006,0)), HYPERLINK("#",""), HYPERLINK(CONCATENATE("#Metadata!", ADDRESS(INDEX($Q$2:$Q$1001,MATCH(ROWS($O$2:O534),$O$2:$O$1001,0),0), INDEX($V$1004:$AE$1004,1,MATCH(COLUMNS($V$1006:Z1006),$V$1006:$AE$1006,0)))),"Fix")))</f>
        <v>0</v>
      </c>
      <c r="G534" s="4">
        <f>IF(OR(INDEX($P$2:$P$1001,MATCH(ROWS($O$2:O534),$O$2:$O$1001,0),1)&gt;=100000,INDEX($V$1005:$AE$1005,1,MATCH(COLUMNS($V$1006:AA1006),$V$1006:$AE$1006,0))&gt;=100000), " ",IF(INDEX($V$2:$AE$1001,MATCH(ROWS($O$2:O534),$O$2:$O$1001,0),MATCH(COLUMNS($V$1006:AA1006),$V$1006:$AE$1006,0)), HYPERLINK("#",""), HYPERLINK(CONCATENATE("#Metadata!", ADDRESS(INDEX($Q$2:$Q$1001,MATCH(ROWS($O$2:O534),$O$2:$O$1001,0),0), INDEX($V$1004:$AE$1004,1,MATCH(COLUMNS($V$1006:AA1006),$V$1006:$AE$1006,0)))),"Fix")))</f>
        <v>0</v>
      </c>
      <c r="H534" s="4">
        <f>IF(OR(INDEX($P$2:$P$1001,MATCH(ROWS($O$2:O534),$O$2:$O$1001,0),1)&gt;=100000,INDEX($V$1005:$AE$1005,1,MATCH(COLUMNS($V$1006:AB1006),$V$1006:$AE$1006,0))&gt;=100000), " ",IF(INDEX($V$2:$AE$1001,MATCH(ROWS($O$2:O534),$O$2:$O$1001,0),MATCH(COLUMNS($V$1006:AB1006),$V$1006:$AE$1006,0)), HYPERLINK("#",""), HYPERLINK(CONCATENATE("#Metadata!", ADDRESS(INDEX($Q$2:$Q$1001,MATCH(ROWS($O$2:O534),$O$2:$O$1001,0),0), INDEX($V$1004:$AE$1004,1,MATCH(COLUMNS($V$1006:AB1006),$V$1006:$AE$1006,0)))),"Fix")))</f>
        <v>0</v>
      </c>
      <c r="I534" s="4">
        <f>IF(OR(INDEX($P$2:$P$1001,MATCH(ROWS($O$2:O534),$O$2:$O$1001,0),1)&gt;=100000,INDEX($V$1005:$AE$1005,1,MATCH(COLUMNS($V$1006:AC1006),$V$1006:$AE$1006,0))&gt;=100000), " ",IF(INDEX($V$2:$AE$1001,MATCH(ROWS($O$2:O534),$O$2:$O$1001,0),MATCH(COLUMNS($V$1006:AC1006),$V$1006:$AE$1006,0)), HYPERLINK("#",""), HYPERLINK(CONCATENATE("#Metadata!", ADDRESS(INDEX($Q$2:$Q$1001,MATCH(ROWS($O$2:O534),$O$2:$O$1001,0),0), INDEX($V$1004:$AE$1004,1,MATCH(COLUMNS($V$1006:AC1006),$V$1006:$AE$1006,0)))),"Fix")))</f>
        <v>0</v>
      </c>
      <c r="J534" s="4">
        <f>IF(OR(INDEX($P$2:$P$1001,MATCH(ROWS($O$2:O534),$O$2:$O$1001,0),1)&gt;=100000,INDEX($V$1005:$AE$1005,1,MATCH(COLUMNS($V$1006:AD1006),$V$1006:$AE$1006,0))&gt;=100000), " ",IF(INDEX($V$2:$AE$1001,MATCH(ROWS($O$2:O534),$O$2:$O$1001,0),MATCH(COLUMNS($V$1006:AD1006),$V$1006:$AE$1006,0)), HYPERLINK("#",""), HYPERLINK(CONCATENATE("#Metadata!", ADDRESS(INDEX($Q$2:$Q$1001,MATCH(ROWS($O$2:O534),$O$2:$O$1001,0),0), INDEX($V$1004:$AE$1004,1,MATCH(COLUMNS($V$1006:AD1006),$V$1006:$AE$1006,0)))),"Fix")))</f>
        <v>0</v>
      </c>
      <c r="K534" s="4">
        <f>IF(OR(INDEX($P$2:$P$1001,MATCH(ROWS($O$2:O534),$O$2:$O$1001,0),1)&gt;=100000,INDEX($V$1005:$AE$1005,1,MATCH(COLUMNS($V$1006:AE1006),$V$1006:$AE$1006,0))&gt;=100000), " ",IF(INDEX($V$2:$AE$1001,MATCH(ROWS($O$2:O534),$O$2:$O$1001,0),MATCH(COLUMNS($V$1006:AE1006),$V$1006:$AE$1006,0)), HYPERLINK("#",""), HYPERLINK(CONCATENATE("#Metadata!", ADDRESS(INDEX($Q$2:$Q$1001,MATCH(ROWS($O$2:O534),$O$2:$O$1001,0),0), INDEX($V$1004:$AE$1004,1,MATCH(COLUMNS($V$1006:AE1006),$V$1006:$AE$1006,0)))),"Fix")))</f>
        <v>0</v>
      </c>
      <c r="O534">
        <v>0</v>
      </c>
      <c r="P534">
        <v>0</v>
      </c>
      <c r="Q534">
        <v>0</v>
      </c>
      <c r="R534">
        <f>IF(S534,TRUE,AND(V534:AE534))</f>
        <v>0</v>
      </c>
      <c r="S534">
        <f>COUNTBLANK(Metadata!B534:K534)=COLUMNS(Metadata!B534:K534)</f>
        <v>0</v>
      </c>
      <c r="T534">
        <v>0</v>
      </c>
      <c r="V534">
        <f>AND(IF(Metadata!B534="",FALSE,TRUE),COUNTIF(Metadata!B:B, Metadata!B534) = 1,NOT(ISERROR(SUMPRODUCT(SEARCH(MID(Metadata!B534,ROW(INDIRECT("1:"&amp;LEN(Metadata!B534))), 1),"0123456789abcdefghijklmnopqrstuvwxyzABCDEFGHIJKLMNOPQRSTUVWXYZ.")))))</f>
        <v>0</v>
      </c>
      <c r="W534">
        <f>AND(IF(Metadata!C534="",FALSE,TRUE),exact(Metadata!C534,"urban biome"))</f>
        <v>0</v>
      </c>
      <c r="X534">
        <f>AND(IF(Metadata!D534="",FALSE,TRUE),exact(Metadata!D534,"animal-associated habitat"))</f>
        <v>0</v>
      </c>
      <c r="Y534">
        <f>OR(AND(IF(Metadata!E534="",FALSE,TRUE),OR(exact(Metadata!E534,"not applicable"),exact(Metadata!E534,"missing: not collected"),exact(Metadata!E534,"missing: not provided"),exact(Metadata!E534,"missing: restricted access"))),AND(IF(Metadata!E534="",FALSE,ISNUMBER(VALUE(Metadata!E534))),Metadata!E534&gt;0))</f>
        <v>0</v>
      </c>
      <c r="Z534">
        <f>AND(IF(Metadata!F534="",FALSE,TRUE),exact(Metadata!F534,"weeks"))</f>
        <v>0</v>
      </c>
      <c r="AA534">
        <f>AND(IF(Metadata!G534="",FALSE,TRUE),exact(Metadata!G534,"mouse"))</f>
        <v>0</v>
      </c>
      <c r="AB534">
        <f>AND(IF(Metadata!H534="",FALSE,TRUE),exact(Metadata!H534,"Mus musculus"))</f>
        <v>0</v>
      </c>
      <c r="AC534">
        <f>AND(IF(Metadata!I534="",FALSE,TRUE),exact(Metadata!I534,"10090"))</f>
        <v>0</v>
      </c>
      <c r="AD534">
        <f>OR(AND(IF(Metadata!J534="",FALSE,TRUE),OR(exact(Metadata!J534,"not applicable"),exact(Metadata!J534,"missing: not collected"),exact(Metadata!J534,"missing: not provided"),exact(Metadata!J534,"missing: restricted access"))),AND(IF(Metadata!J534="",FALSE,ISNUMBER(VALUE(Metadata!J534))),Metadata!J534&gt;0))</f>
        <v>0</v>
      </c>
      <c r="AE534">
        <f>AND(IF(Metadata!K534="",FALSE,TRUE),exact(Metadata!K534,"g"))</f>
        <v>0</v>
      </c>
    </row>
    <row r="535" spans="1:31">
      <c r="A535" s="5">
        <f>IF(B535=" "," ",HYPERLINK(CONCATENATE("#metadata!",ADDRESS(INDEX($Q$2:$Q$1001,MATCH(ROWS($O$2:O535),$O$2:$O$1001,0),0),1)),INDEX($T$2:$T$1001,MATCH(ROWS($O$2:O535),$O$2:$O$1001,0),0)))</f>
        <v>0</v>
      </c>
      <c r="B535" s="4">
        <f>IF(OR(INDEX($P$2:$P$1001,MATCH(ROWS($O$2:O535),$O$2:$O$1001,0),1)&gt;=100000,INDEX($V$1005:$AE$1005,1,MATCH(COLUMNS($V$1006:V1006),$V$1006:$AE$1006,0))&gt;=100000), " ",IF(INDEX($V$2:$AE$1001,MATCH(ROWS($O$2:O535),$O$2:$O$1001,0),MATCH(COLUMNS($V$1006:V1006),$V$1006:$AE$1006,0)), HYPERLINK("#",""), HYPERLINK(CONCATENATE("#Metadata!", ADDRESS(INDEX($Q$2:$Q$1001,MATCH(ROWS($O$2:O535),$O$2:$O$1001,0),0), INDEX($V$1004:$AE$1004,1,MATCH(COLUMNS($V$1006:V1006),$V$1006:$AE$1006,0)))),"Fix")))</f>
        <v>0</v>
      </c>
      <c r="C535" s="4">
        <f>IF(OR(INDEX($P$2:$P$1001,MATCH(ROWS($O$2:O535),$O$2:$O$1001,0),1)&gt;=100000,INDEX($V$1005:$AE$1005,1,MATCH(COLUMNS($V$1006:W1006),$V$1006:$AE$1006,0))&gt;=100000), " ",IF(INDEX($V$2:$AE$1001,MATCH(ROWS($O$2:O535),$O$2:$O$1001,0),MATCH(COLUMNS($V$1006:W1006),$V$1006:$AE$1006,0)), HYPERLINK("#",""), HYPERLINK(CONCATENATE("#Metadata!", ADDRESS(INDEX($Q$2:$Q$1001,MATCH(ROWS($O$2:O535),$O$2:$O$1001,0),0), INDEX($V$1004:$AE$1004,1,MATCH(COLUMNS($V$1006:W1006),$V$1006:$AE$1006,0)))),"Fix")))</f>
        <v>0</v>
      </c>
      <c r="D535" s="4">
        <f>IF(OR(INDEX($P$2:$P$1001,MATCH(ROWS($O$2:O535),$O$2:$O$1001,0),1)&gt;=100000,INDEX($V$1005:$AE$1005,1,MATCH(COLUMNS($V$1006:X1006),$V$1006:$AE$1006,0))&gt;=100000), " ",IF(INDEX($V$2:$AE$1001,MATCH(ROWS($O$2:O535),$O$2:$O$1001,0),MATCH(COLUMNS($V$1006:X1006),$V$1006:$AE$1006,0)), HYPERLINK("#",""), HYPERLINK(CONCATENATE("#Metadata!", ADDRESS(INDEX($Q$2:$Q$1001,MATCH(ROWS($O$2:O535),$O$2:$O$1001,0),0), INDEX($V$1004:$AE$1004,1,MATCH(COLUMNS($V$1006:X1006),$V$1006:$AE$1006,0)))),"Fix")))</f>
        <v>0</v>
      </c>
      <c r="E535" s="4">
        <f>IF(OR(INDEX($P$2:$P$1001,MATCH(ROWS($O$2:O535),$O$2:$O$1001,0),1)&gt;=100000,INDEX($V$1005:$AE$1005,1,MATCH(COLUMNS($V$1006:Y1006),$V$1006:$AE$1006,0))&gt;=100000), " ",IF(INDEX($V$2:$AE$1001,MATCH(ROWS($O$2:O535),$O$2:$O$1001,0),MATCH(COLUMNS($V$1006:Y1006),$V$1006:$AE$1006,0)), HYPERLINK("#",""), HYPERLINK(CONCATENATE("#Metadata!", ADDRESS(INDEX($Q$2:$Q$1001,MATCH(ROWS($O$2:O535),$O$2:$O$1001,0),0), INDEX($V$1004:$AE$1004,1,MATCH(COLUMNS($V$1006:Y1006),$V$1006:$AE$1006,0)))),"Fix")))</f>
        <v>0</v>
      </c>
      <c r="F535" s="4">
        <f>IF(OR(INDEX($P$2:$P$1001,MATCH(ROWS($O$2:O535),$O$2:$O$1001,0),1)&gt;=100000,INDEX($V$1005:$AE$1005,1,MATCH(COLUMNS($V$1006:Z1006),$V$1006:$AE$1006,0))&gt;=100000), " ",IF(INDEX($V$2:$AE$1001,MATCH(ROWS($O$2:O535),$O$2:$O$1001,0),MATCH(COLUMNS($V$1006:Z1006),$V$1006:$AE$1006,0)), HYPERLINK("#",""), HYPERLINK(CONCATENATE("#Metadata!", ADDRESS(INDEX($Q$2:$Q$1001,MATCH(ROWS($O$2:O535),$O$2:$O$1001,0),0), INDEX($V$1004:$AE$1004,1,MATCH(COLUMNS($V$1006:Z1006),$V$1006:$AE$1006,0)))),"Fix")))</f>
        <v>0</v>
      </c>
      <c r="G535" s="4">
        <f>IF(OR(INDEX($P$2:$P$1001,MATCH(ROWS($O$2:O535),$O$2:$O$1001,0),1)&gt;=100000,INDEX($V$1005:$AE$1005,1,MATCH(COLUMNS($V$1006:AA1006),$V$1006:$AE$1006,0))&gt;=100000), " ",IF(INDEX($V$2:$AE$1001,MATCH(ROWS($O$2:O535),$O$2:$O$1001,0),MATCH(COLUMNS($V$1006:AA1006),$V$1006:$AE$1006,0)), HYPERLINK("#",""), HYPERLINK(CONCATENATE("#Metadata!", ADDRESS(INDEX($Q$2:$Q$1001,MATCH(ROWS($O$2:O535),$O$2:$O$1001,0),0), INDEX($V$1004:$AE$1004,1,MATCH(COLUMNS($V$1006:AA1006),$V$1006:$AE$1006,0)))),"Fix")))</f>
        <v>0</v>
      </c>
      <c r="H535" s="4">
        <f>IF(OR(INDEX($P$2:$P$1001,MATCH(ROWS($O$2:O535),$O$2:$O$1001,0),1)&gt;=100000,INDEX($V$1005:$AE$1005,1,MATCH(COLUMNS($V$1006:AB1006),$V$1006:$AE$1006,0))&gt;=100000), " ",IF(INDEX($V$2:$AE$1001,MATCH(ROWS($O$2:O535),$O$2:$O$1001,0),MATCH(COLUMNS($V$1006:AB1006),$V$1006:$AE$1006,0)), HYPERLINK("#",""), HYPERLINK(CONCATENATE("#Metadata!", ADDRESS(INDEX($Q$2:$Q$1001,MATCH(ROWS($O$2:O535),$O$2:$O$1001,0),0), INDEX($V$1004:$AE$1004,1,MATCH(COLUMNS($V$1006:AB1006),$V$1006:$AE$1006,0)))),"Fix")))</f>
        <v>0</v>
      </c>
      <c r="I535" s="4">
        <f>IF(OR(INDEX($P$2:$P$1001,MATCH(ROWS($O$2:O535),$O$2:$O$1001,0),1)&gt;=100000,INDEX($V$1005:$AE$1005,1,MATCH(COLUMNS($V$1006:AC1006),$V$1006:$AE$1006,0))&gt;=100000), " ",IF(INDEX($V$2:$AE$1001,MATCH(ROWS($O$2:O535),$O$2:$O$1001,0),MATCH(COLUMNS($V$1006:AC1006),$V$1006:$AE$1006,0)), HYPERLINK("#",""), HYPERLINK(CONCATENATE("#Metadata!", ADDRESS(INDEX($Q$2:$Q$1001,MATCH(ROWS($O$2:O535),$O$2:$O$1001,0),0), INDEX($V$1004:$AE$1004,1,MATCH(COLUMNS($V$1006:AC1006),$V$1006:$AE$1006,0)))),"Fix")))</f>
        <v>0</v>
      </c>
      <c r="J535" s="4">
        <f>IF(OR(INDEX($P$2:$P$1001,MATCH(ROWS($O$2:O535),$O$2:$O$1001,0),1)&gt;=100000,INDEX($V$1005:$AE$1005,1,MATCH(COLUMNS($V$1006:AD1006),$V$1006:$AE$1006,0))&gt;=100000), " ",IF(INDEX($V$2:$AE$1001,MATCH(ROWS($O$2:O535),$O$2:$O$1001,0),MATCH(COLUMNS($V$1006:AD1006),$V$1006:$AE$1006,0)), HYPERLINK("#",""), HYPERLINK(CONCATENATE("#Metadata!", ADDRESS(INDEX($Q$2:$Q$1001,MATCH(ROWS($O$2:O535),$O$2:$O$1001,0),0), INDEX($V$1004:$AE$1004,1,MATCH(COLUMNS($V$1006:AD1006),$V$1006:$AE$1006,0)))),"Fix")))</f>
        <v>0</v>
      </c>
      <c r="K535" s="4">
        <f>IF(OR(INDEX($P$2:$P$1001,MATCH(ROWS($O$2:O535),$O$2:$O$1001,0),1)&gt;=100000,INDEX($V$1005:$AE$1005,1,MATCH(COLUMNS($V$1006:AE1006),$V$1006:$AE$1006,0))&gt;=100000), " ",IF(INDEX($V$2:$AE$1001,MATCH(ROWS($O$2:O535),$O$2:$O$1001,0),MATCH(COLUMNS($V$1006:AE1006),$V$1006:$AE$1006,0)), HYPERLINK("#",""), HYPERLINK(CONCATENATE("#Metadata!", ADDRESS(INDEX($Q$2:$Q$1001,MATCH(ROWS($O$2:O535),$O$2:$O$1001,0),0), INDEX($V$1004:$AE$1004,1,MATCH(COLUMNS($V$1006:AE1006),$V$1006:$AE$1006,0)))),"Fix")))</f>
        <v>0</v>
      </c>
      <c r="O535">
        <v>0</v>
      </c>
      <c r="P535">
        <v>0</v>
      </c>
      <c r="Q535">
        <v>0</v>
      </c>
      <c r="R535">
        <f>IF(S535,TRUE,AND(V535:AE535))</f>
        <v>0</v>
      </c>
      <c r="S535">
        <f>COUNTBLANK(Metadata!B535:K535)=COLUMNS(Metadata!B535:K535)</f>
        <v>0</v>
      </c>
      <c r="T535">
        <v>0</v>
      </c>
      <c r="V535">
        <f>AND(IF(Metadata!B535="",FALSE,TRUE),COUNTIF(Metadata!B:B, Metadata!B535) = 1,NOT(ISERROR(SUMPRODUCT(SEARCH(MID(Metadata!B535,ROW(INDIRECT("1:"&amp;LEN(Metadata!B535))), 1),"0123456789abcdefghijklmnopqrstuvwxyzABCDEFGHIJKLMNOPQRSTUVWXYZ.")))))</f>
        <v>0</v>
      </c>
      <c r="W535">
        <f>AND(IF(Metadata!C535="",FALSE,TRUE),exact(Metadata!C535,"urban biome"))</f>
        <v>0</v>
      </c>
      <c r="X535">
        <f>AND(IF(Metadata!D535="",FALSE,TRUE),exact(Metadata!D535,"animal-associated habitat"))</f>
        <v>0</v>
      </c>
      <c r="Y535">
        <f>OR(AND(IF(Metadata!E535="",FALSE,TRUE),OR(exact(Metadata!E535,"not applicable"),exact(Metadata!E535,"missing: not collected"),exact(Metadata!E535,"missing: not provided"),exact(Metadata!E535,"missing: restricted access"))),AND(IF(Metadata!E535="",FALSE,ISNUMBER(VALUE(Metadata!E535))),Metadata!E535&gt;0))</f>
        <v>0</v>
      </c>
      <c r="Z535">
        <f>AND(IF(Metadata!F535="",FALSE,TRUE),exact(Metadata!F535,"weeks"))</f>
        <v>0</v>
      </c>
      <c r="AA535">
        <f>AND(IF(Metadata!G535="",FALSE,TRUE),exact(Metadata!G535,"mouse"))</f>
        <v>0</v>
      </c>
      <c r="AB535">
        <f>AND(IF(Metadata!H535="",FALSE,TRUE),exact(Metadata!H535,"Mus musculus"))</f>
        <v>0</v>
      </c>
      <c r="AC535">
        <f>AND(IF(Metadata!I535="",FALSE,TRUE),exact(Metadata!I535,"10090"))</f>
        <v>0</v>
      </c>
      <c r="AD535">
        <f>OR(AND(IF(Metadata!J535="",FALSE,TRUE),OR(exact(Metadata!J535,"not applicable"),exact(Metadata!J535,"missing: not collected"),exact(Metadata!J535,"missing: not provided"),exact(Metadata!J535,"missing: restricted access"))),AND(IF(Metadata!J535="",FALSE,ISNUMBER(VALUE(Metadata!J535))),Metadata!J535&gt;0))</f>
        <v>0</v>
      </c>
      <c r="AE535">
        <f>AND(IF(Metadata!K535="",FALSE,TRUE),exact(Metadata!K535,"g"))</f>
        <v>0</v>
      </c>
    </row>
    <row r="536" spans="1:31">
      <c r="A536" s="5">
        <f>IF(B536=" "," ",HYPERLINK(CONCATENATE("#metadata!",ADDRESS(INDEX($Q$2:$Q$1001,MATCH(ROWS($O$2:O536),$O$2:$O$1001,0),0),1)),INDEX($T$2:$T$1001,MATCH(ROWS($O$2:O536),$O$2:$O$1001,0),0)))</f>
        <v>0</v>
      </c>
      <c r="B536" s="4">
        <f>IF(OR(INDEX($P$2:$P$1001,MATCH(ROWS($O$2:O536),$O$2:$O$1001,0),1)&gt;=100000,INDEX($V$1005:$AE$1005,1,MATCH(COLUMNS($V$1006:V1006),$V$1006:$AE$1006,0))&gt;=100000), " ",IF(INDEX($V$2:$AE$1001,MATCH(ROWS($O$2:O536),$O$2:$O$1001,0),MATCH(COLUMNS($V$1006:V1006),$V$1006:$AE$1006,0)), HYPERLINK("#",""), HYPERLINK(CONCATENATE("#Metadata!", ADDRESS(INDEX($Q$2:$Q$1001,MATCH(ROWS($O$2:O536),$O$2:$O$1001,0),0), INDEX($V$1004:$AE$1004,1,MATCH(COLUMNS($V$1006:V1006),$V$1006:$AE$1006,0)))),"Fix")))</f>
        <v>0</v>
      </c>
      <c r="C536" s="4">
        <f>IF(OR(INDEX($P$2:$P$1001,MATCH(ROWS($O$2:O536),$O$2:$O$1001,0),1)&gt;=100000,INDEX($V$1005:$AE$1005,1,MATCH(COLUMNS($V$1006:W1006),$V$1006:$AE$1006,0))&gt;=100000), " ",IF(INDEX($V$2:$AE$1001,MATCH(ROWS($O$2:O536),$O$2:$O$1001,0),MATCH(COLUMNS($V$1006:W1006),$V$1006:$AE$1006,0)), HYPERLINK("#",""), HYPERLINK(CONCATENATE("#Metadata!", ADDRESS(INDEX($Q$2:$Q$1001,MATCH(ROWS($O$2:O536),$O$2:$O$1001,0),0), INDEX($V$1004:$AE$1004,1,MATCH(COLUMNS($V$1006:W1006),$V$1006:$AE$1006,0)))),"Fix")))</f>
        <v>0</v>
      </c>
      <c r="D536" s="4">
        <f>IF(OR(INDEX($P$2:$P$1001,MATCH(ROWS($O$2:O536),$O$2:$O$1001,0),1)&gt;=100000,INDEX($V$1005:$AE$1005,1,MATCH(COLUMNS($V$1006:X1006),$V$1006:$AE$1006,0))&gt;=100000), " ",IF(INDEX($V$2:$AE$1001,MATCH(ROWS($O$2:O536),$O$2:$O$1001,0),MATCH(COLUMNS($V$1006:X1006),$V$1006:$AE$1006,0)), HYPERLINK("#",""), HYPERLINK(CONCATENATE("#Metadata!", ADDRESS(INDEX($Q$2:$Q$1001,MATCH(ROWS($O$2:O536),$O$2:$O$1001,0),0), INDEX($V$1004:$AE$1004,1,MATCH(COLUMNS($V$1006:X1006),$V$1006:$AE$1006,0)))),"Fix")))</f>
        <v>0</v>
      </c>
      <c r="E536" s="4">
        <f>IF(OR(INDEX($P$2:$P$1001,MATCH(ROWS($O$2:O536),$O$2:$O$1001,0),1)&gt;=100000,INDEX($V$1005:$AE$1005,1,MATCH(COLUMNS($V$1006:Y1006),$V$1006:$AE$1006,0))&gt;=100000), " ",IF(INDEX($V$2:$AE$1001,MATCH(ROWS($O$2:O536),$O$2:$O$1001,0),MATCH(COLUMNS($V$1006:Y1006),$V$1006:$AE$1006,0)), HYPERLINK("#",""), HYPERLINK(CONCATENATE("#Metadata!", ADDRESS(INDEX($Q$2:$Q$1001,MATCH(ROWS($O$2:O536),$O$2:$O$1001,0),0), INDEX($V$1004:$AE$1004,1,MATCH(COLUMNS($V$1006:Y1006),$V$1006:$AE$1006,0)))),"Fix")))</f>
        <v>0</v>
      </c>
      <c r="F536" s="4">
        <f>IF(OR(INDEX($P$2:$P$1001,MATCH(ROWS($O$2:O536),$O$2:$O$1001,0),1)&gt;=100000,INDEX($V$1005:$AE$1005,1,MATCH(COLUMNS($V$1006:Z1006),$V$1006:$AE$1006,0))&gt;=100000), " ",IF(INDEX($V$2:$AE$1001,MATCH(ROWS($O$2:O536),$O$2:$O$1001,0),MATCH(COLUMNS($V$1006:Z1006),$V$1006:$AE$1006,0)), HYPERLINK("#",""), HYPERLINK(CONCATENATE("#Metadata!", ADDRESS(INDEX($Q$2:$Q$1001,MATCH(ROWS($O$2:O536),$O$2:$O$1001,0),0), INDEX($V$1004:$AE$1004,1,MATCH(COLUMNS($V$1006:Z1006),$V$1006:$AE$1006,0)))),"Fix")))</f>
        <v>0</v>
      </c>
      <c r="G536" s="4">
        <f>IF(OR(INDEX($P$2:$P$1001,MATCH(ROWS($O$2:O536),$O$2:$O$1001,0),1)&gt;=100000,INDEX($V$1005:$AE$1005,1,MATCH(COLUMNS($V$1006:AA1006),$V$1006:$AE$1006,0))&gt;=100000), " ",IF(INDEX($V$2:$AE$1001,MATCH(ROWS($O$2:O536),$O$2:$O$1001,0),MATCH(COLUMNS($V$1006:AA1006),$V$1006:$AE$1006,0)), HYPERLINK("#",""), HYPERLINK(CONCATENATE("#Metadata!", ADDRESS(INDEX($Q$2:$Q$1001,MATCH(ROWS($O$2:O536),$O$2:$O$1001,0),0), INDEX($V$1004:$AE$1004,1,MATCH(COLUMNS($V$1006:AA1006),$V$1006:$AE$1006,0)))),"Fix")))</f>
        <v>0</v>
      </c>
      <c r="H536" s="4">
        <f>IF(OR(INDEX($P$2:$P$1001,MATCH(ROWS($O$2:O536),$O$2:$O$1001,0),1)&gt;=100000,INDEX($V$1005:$AE$1005,1,MATCH(COLUMNS($V$1006:AB1006),$V$1006:$AE$1006,0))&gt;=100000), " ",IF(INDEX($V$2:$AE$1001,MATCH(ROWS($O$2:O536),$O$2:$O$1001,0),MATCH(COLUMNS($V$1006:AB1006),$V$1006:$AE$1006,0)), HYPERLINK("#",""), HYPERLINK(CONCATENATE("#Metadata!", ADDRESS(INDEX($Q$2:$Q$1001,MATCH(ROWS($O$2:O536),$O$2:$O$1001,0),0), INDEX($V$1004:$AE$1004,1,MATCH(COLUMNS($V$1006:AB1006),$V$1006:$AE$1006,0)))),"Fix")))</f>
        <v>0</v>
      </c>
      <c r="I536" s="4">
        <f>IF(OR(INDEX($P$2:$P$1001,MATCH(ROWS($O$2:O536),$O$2:$O$1001,0),1)&gt;=100000,INDEX($V$1005:$AE$1005,1,MATCH(COLUMNS($V$1006:AC1006),$V$1006:$AE$1006,0))&gt;=100000), " ",IF(INDEX($V$2:$AE$1001,MATCH(ROWS($O$2:O536),$O$2:$O$1001,0),MATCH(COLUMNS($V$1006:AC1006),$V$1006:$AE$1006,0)), HYPERLINK("#",""), HYPERLINK(CONCATENATE("#Metadata!", ADDRESS(INDEX($Q$2:$Q$1001,MATCH(ROWS($O$2:O536),$O$2:$O$1001,0),0), INDEX($V$1004:$AE$1004,1,MATCH(COLUMNS($V$1006:AC1006),$V$1006:$AE$1006,0)))),"Fix")))</f>
        <v>0</v>
      </c>
      <c r="J536" s="4">
        <f>IF(OR(INDEX($P$2:$P$1001,MATCH(ROWS($O$2:O536),$O$2:$O$1001,0),1)&gt;=100000,INDEX($V$1005:$AE$1005,1,MATCH(COLUMNS($V$1006:AD1006),$V$1006:$AE$1006,0))&gt;=100000), " ",IF(INDEX($V$2:$AE$1001,MATCH(ROWS($O$2:O536),$O$2:$O$1001,0),MATCH(COLUMNS($V$1006:AD1006),$V$1006:$AE$1006,0)), HYPERLINK("#",""), HYPERLINK(CONCATENATE("#Metadata!", ADDRESS(INDEX($Q$2:$Q$1001,MATCH(ROWS($O$2:O536),$O$2:$O$1001,0),0), INDEX($V$1004:$AE$1004,1,MATCH(COLUMNS($V$1006:AD1006),$V$1006:$AE$1006,0)))),"Fix")))</f>
        <v>0</v>
      </c>
      <c r="K536" s="4">
        <f>IF(OR(INDEX($P$2:$P$1001,MATCH(ROWS($O$2:O536),$O$2:$O$1001,0),1)&gt;=100000,INDEX($V$1005:$AE$1005,1,MATCH(COLUMNS($V$1006:AE1006),$V$1006:$AE$1006,0))&gt;=100000), " ",IF(INDEX($V$2:$AE$1001,MATCH(ROWS($O$2:O536),$O$2:$O$1001,0),MATCH(COLUMNS($V$1006:AE1006),$V$1006:$AE$1006,0)), HYPERLINK("#",""), HYPERLINK(CONCATENATE("#Metadata!", ADDRESS(INDEX($Q$2:$Q$1001,MATCH(ROWS($O$2:O536),$O$2:$O$1001,0),0), INDEX($V$1004:$AE$1004,1,MATCH(COLUMNS($V$1006:AE1006),$V$1006:$AE$1006,0)))),"Fix")))</f>
        <v>0</v>
      </c>
      <c r="O536">
        <v>0</v>
      </c>
      <c r="P536">
        <v>0</v>
      </c>
      <c r="Q536">
        <v>0</v>
      </c>
      <c r="R536">
        <f>IF(S536,TRUE,AND(V536:AE536))</f>
        <v>0</v>
      </c>
      <c r="S536">
        <f>COUNTBLANK(Metadata!B536:K536)=COLUMNS(Metadata!B536:K536)</f>
        <v>0</v>
      </c>
      <c r="T536">
        <v>0</v>
      </c>
      <c r="V536">
        <f>AND(IF(Metadata!B536="",FALSE,TRUE),COUNTIF(Metadata!B:B, Metadata!B536) = 1,NOT(ISERROR(SUMPRODUCT(SEARCH(MID(Metadata!B536,ROW(INDIRECT("1:"&amp;LEN(Metadata!B536))), 1),"0123456789abcdefghijklmnopqrstuvwxyzABCDEFGHIJKLMNOPQRSTUVWXYZ.")))))</f>
        <v>0</v>
      </c>
      <c r="W536">
        <f>AND(IF(Metadata!C536="",FALSE,TRUE),exact(Metadata!C536,"urban biome"))</f>
        <v>0</v>
      </c>
      <c r="X536">
        <f>AND(IF(Metadata!D536="",FALSE,TRUE),exact(Metadata!D536,"animal-associated habitat"))</f>
        <v>0</v>
      </c>
      <c r="Y536">
        <f>OR(AND(IF(Metadata!E536="",FALSE,TRUE),OR(exact(Metadata!E536,"not applicable"),exact(Metadata!E536,"missing: not collected"),exact(Metadata!E536,"missing: not provided"),exact(Metadata!E536,"missing: restricted access"))),AND(IF(Metadata!E536="",FALSE,ISNUMBER(VALUE(Metadata!E536))),Metadata!E536&gt;0))</f>
        <v>0</v>
      </c>
      <c r="Z536">
        <f>AND(IF(Metadata!F536="",FALSE,TRUE),exact(Metadata!F536,"weeks"))</f>
        <v>0</v>
      </c>
      <c r="AA536">
        <f>AND(IF(Metadata!G536="",FALSE,TRUE),exact(Metadata!G536,"mouse"))</f>
        <v>0</v>
      </c>
      <c r="AB536">
        <f>AND(IF(Metadata!H536="",FALSE,TRUE),exact(Metadata!H536,"Mus musculus"))</f>
        <v>0</v>
      </c>
      <c r="AC536">
        <f>AND(IF(Metadata!I536="",FALSE,TRUE),exact(Metadata!I536,"10090"))</f>
        <v>0</v>
      </c>
      <c r="AD536">
        <f>OR(AND(IF(Metadata!J536="",FALSE,TRUE),OR(exact(Metadata!J536,"not applicable"),exact(Metadata!J536,"missing: not collected"),exact(Metadata!J536,"missing: not provided"),exact(Metadata!J536,"missing: restricted access"))),AND(IF(Metadata!J536="",FALSE,ISNUMBER(VALUE(Metadata!J536))),Metadata!J536&gt;0))</f>
        <v>0</v>
      </c>
      <c r="AE536">
        <f>AND(IF(Metadata!K536="",FALSE,TRUE),exact(Metadata!K536,"g"))</f>
        <v>0</v>
      </c>
    </row>
    <row r="537" spans="1:31">
      <c r="A537" s="5">
        <f>IF(B537=" "," ",HYPERLINK(CONCATENATE("#metadata!",ADDRESS(INDEX($Q$2:$Q$1001,MATCH(ROWS($O$2:O537),$O$2:$O$1001,0),0),1)),INDEX($T$2:$T$1001,MATCH(ROWS($O$2:O537),$O$2:$O$1001,0),0)))</f>
        <v>0</v>
      </c>
      <c r="B537" s="4">
        <f>IF(OR(INDEX($P$2:$P$1001,MATCH(ROWS($O$2:O537),$O$2:$O$1001,0),1)&gt;=100000,INDEX($V$1005:$AE$1005,1,MATCH(COLUMNS($V$1006:V1006),$V$1006:$AE$1006,0))&gt;=100000), " ",IF(INDEX($V$2:$AE$1001,MATCH(ROWS($O$2:O537),$O$2:$O$1001,0),MATCH(COLUMNS($V$1006:V1006),$V$1006:$AE$1006,0)), HYPERLINK("#",""), HYPERLINK(CONCATENATE("#Metadata!", ADDRESS(INDEX($Q$2:$Q$1001,MATCH(ROWS($O$2:O537),$O$2:$O$1001,0),0), INDEX($V$1004:$AE$1004,1,MATCH(COLUMNS($V$1006:V1006),$V$1006:$AE$1006,0)))),"Fix")))</f>
        <v>0</v>
      </c>
      <c r="C537" s="4">
        <f>IF(OR(INDEX($P$2:$P$1001,MATCH(ROWS($O$2:O537),$O$2:$O$1001,0),1)&gt;=100000,INDEX($V$1005:$AE$1005,1,MATCH(COLUMNS($V$1006:W1006),$V$1006:$AE$1006,0))&gt;=100000), " ",IF(INDEX($V$2:$AE$1001,MATCH(ROWS($O$2:O537),$O$2:$O$1001,0),MATCH(COLUMNS($V$1006:W1006),$V$1006:$AE$1006,0)), HYPERLINK("#",""), HYPERLINK(CONCATENATE("#Metadata!", ADDRESS(INDEX($Q$2:$Q$1001,MATCH(ROWS($O$2:O537),$O$2:$O$1001,0),0), INDEX($V$1004:$AE$1004,1,MATCH(COLUMNS($V$1006:W1006),$V$1006:$AE$1006,0)))),"Fix")))</f>
        <v>0</v>
      </c>
      <c r="D537" s="4">
        <f>IF(OR(INDEX($P$2:$P$1001,MATCH(ROWS($O$2:O537),$O$2:$O$1001,0),1)&gt;=100000,INDEX($V$1005:$AE$1005,1,MATCH(COLUMNS($V$1006:X1006),$V$1006:$AE$1006,0))&gt;=100000), " ",IF(INDEX($V$2:$AE$1001,MATCH(ROWS($O$2:O537),$O$2:$O$1001,0),MATCH(COLUMNS($V$1006:X1006),$V$1006:$AE$1006,0)), HYPERLINK("#",""), HYPERLINK(CONCATENATE("#Metadata!", ADDRESS(INDEX($Q$2:$Q$1001,MATCH(ROWS($O$2:O537),$O$2:$O$1001,0),0), INDEX($V$1004:$AE$1004,1,MATCH(COLUMNS($V$1006:X1006),$V$1006:$AE$1006,0)))),"Fix")))</f>
        <v>0</v>
      </c>
      <c r="E537" s="4">
        <f>IF(OR(INDEX($P$2:$P$1001,MATCH(ROWS($O$2:O537),$O$2:$O$1001,0),1)&gt;=100000,INDEX($V$1005:$AE$1005,1,MATCH(COLUMNS($V$1006:Y1006),$V$1006:$AE$1006,0))&gt;=100000), " ",IF(INDEX($V$2:$AE$1001,MATCH(ROWS($O$2:O537),$O$2:$O$1001,0),MATCH(COLUMNS($V$1006:Y1006),$V$1006:$AE$1006,0)), HYPERLINK("#",""), HYPERLINK(CONCATENATE("#Metadata!", ADDRESS(INDEX($Q$2:$Q$1001,MATCH(ROWS($O$2:O537),$O$2:$O$1001,0),0), INDEX($V$1004:$AE$1004,1,MATCH(COLUMNS($V$1006:Y1006),$V$1006:$AE$1006,0)))),"Fix")))</f>
        <v>0</v>
      </c>
      <c r="F537" s="4">
        <f>IF(OR(INDEX($P$2:$P$1001,MATCH(ROWS($O$2:O537),$O$2:$O$1001,0),1)&gt;=100000,INDEX($V$1005:$AE$1005,1,MATCH(COLUMNS($V$1006:Z1006),$V$1006:$AE$1006,0))&gt;=100000), " ",IF(INDEX($V$2:$AE$1001,MATCH(ROWS($O$2:O537),$O$2:$O$1001,0),MATCH(COLUMNS($V$1006:Z1006),$V$1006:$AE$1006,0)), HYPERLINK("#",""), HYPERLINK(CONCATENATE("#Metadata!", ADDRESS(INDEX($Q$2:$Q$1001,MATCH(ROWS($O$2:O537),$O$2:$O$1001,0),0), INDEX($V$1004:$AE$1004,1,MATCH(COLUMNS($V$1006:Z1006),$V$1006:$AE$1006,0)))),"Fix")))</f>
        <v>0</v>
      </c>
      <c r="G537" s="4">
        <f>IF(OR(INDEX($P$2:$P$1001,MATCH(ROWS($O$2:O537),$O$2:$O$1001,0),1)&gt;=100000,INDEX($V$1005:$AE$1005,1,MATCH(COLUMNS($V$1006:AA1006),$V$1006:$AE$1006,0))&gt;=100000), " ",IF(INDEX($V$2:$AE$1001,MATCH(ROWS($O$2:O537),$O$2:$O$1001,0),MATCH(COLUMNS($V$1006:AA1006),$V$1006:$AE$1006,0)), HYPERLINK("#",""), HYPERLINK(CONCATENATE("#Metadata!", ADDRESS(INDEX($Q$2:$Q$1001,MATCH(ROWS($O$2:O537),$O$2:$O$1001,0),0), INDEX($V$1004:$AE$1004,1,MATCH(COLUMNS($V$1006:AA1006),$V$1006:$AE$1006,0)))),"Fix")))</f>
        <v>0</v>
      </c>
      <c r="H537" s="4">
        <f>IF(OR(INDEX($P$2:$P$1001,MATCH(ROWS($O$2:O537),$O$2:$O$1001,0),1)&gt;=100000,INDEX($V$1005:$AE$1005,1,MATCH(COLUMNS($V$1006:AB1006),$V$1006:$AE$1006,0))&gt;=100000), " ",IF(INDEX($V$2:$AE$1001,MATCH(ROWS($O$2:O537),$O$2:$O$1001,0),MATCH(COLUMNS($V$1006:AB1006),$V$1006:$AE$1006,0)), HYPERLINK("#",""), HYPERLINK(CONCATENATE("#Metadata!", ADDRESS(INDEX($Q$2:$Q$1001,MATCH(ROWS($O$2:O537),$O$2:$O$1001,0),0), INDEX($V$1004:$AE$1004,1,MATCH(COLUMNS($V$1006:AB1006),$V$1006:$AE$1006,0)))),"Fix")))</f>
        <v>0</v>
      </c>
      <c r="I537" s="4">
        <f>IF(OR(INDEX($P$2:$P$1001,MATCH(ROWS($O$2:O537),$O$2:$O$1001,0),1)&gt;=100000,INDEX($V$1005:$AE$1005,1,MATCH(COLUMNS($V$1006:AC1006),$V$1006:$AE$1006,0))&gt;=100000), " ",IF(INDEX($V$2:$AE$1001,MATCH(ROWS($O$2:O537),$O$2:$O$1001,0),MATCH(COLUMNS($V$1006:AC1006),$V$1006:$AE$1006,0)), HYPERLINK("#",""), HYPERLINK(CONCATENATE("#Metadata!", ADDRESS(INDEX($Q$2:$Q$1001,MATCH(ROWS($O$2:O537),$O$2:$O$1001,0),0), INDEX($V$1004:$AE$1004,1,MATCH(COLUMNS($V$1006:AC1006),$V$1006:$AE$1006,0)))),"Fix")))</f>
        <v>0</v>
      </c>
      <c r="J537" s="4">
        <f>IF(OR(INDEX($P$2:$P$1001,MATCH(ROWS($O$2:O537),$O$2:$O$1001,0),1)&gt;=100000,INDEX($V$1005:$AE$1005,1,MATCH(COLUMNS($V$1006:AD1006),$V$1006:$AE$1006,0))&gt;=100000), " ",IF(INDEX($V$2:$AE$1001,MATCH(ROWS($O$2:O537),$O$2:$O$1001,0),MATCH(COLUMNS($V$1006:AD1006),$V$1006:$AE$1006,0)), HYPERLINK("#",""), HYPERLINK(CONCATENATE("#Metadata!", ADDRESS(INDEX($Q$2:$Q$1001,MATCH(ROWS($O$2:O537),$O$2:$O$1001,0),0), INDEX($V$1004:$AE$1004,1,MATCH(COLUMNS($V$1006:AD1006),$V$1006:$AE$1006,0)))),"Fix")))</f>
        <v>0</v>
      </c>
      <c r="K537" s="4">
        <f>IF(OR(INDEX($P$2:$P$1001,MATCH(ROWS($O$2:O537),$O$2:$O$1001,0),1)&gt;=100000,INDEX($V$1005:$AE$1005,1,MATCH(COLUMNS($V$1006:AE1006),$V$1006:$AE$1006,0))&gt;=100000), " ",IF(INDEX($V$2:$AE$1001,MATCH(ROWS($O$2:O537),$O$2:$O$1001,0),MATCH(COLUMNS($V$1006:AE1006),$V$1006:$AE$1006,0)), HYPERLINK("#",""), HYPERLINK(CONCATENATE("#Metadata!", ADDRESS(INDEX($Q$2:$Q$1001,MATCH(ROWS($O$2:O537),$O$2:$O$1001,0),0), INDEX($V$1004:$AE$1004,1,MATCH(COLUMNS($V$1006:AE1006),$V$1006:$AE$1006,0)))),"Fix")))</f>
        <v>0</v>
      </c>
      <c r="O537">
        <v>0</v>
      </c>
      <c r="P537">
        <v>0</v>
      </c>
      <c r="Q537">
        <v>0</v>
      </c>
      <c r="R537">
        <f>IF(S537,TRUE,AND(V537:AE537))</f>
        <v>0</v>
      </c>
      <c r="S537">
        <f>COUNTBLANK(Metadata!B537:K537)=COLUMNS(Metadata!B537:K537)</f>
        <v>0</v>
      </c>
      <c r="T537">
        <v>0</v>
      </c>
      <c r="V537">
        <f>AND(IF(Metadata!B537="",FALSE,TRUE),COUNTIF(Metadata!B:B, Metadata!B537) = 1,NOT(ISERROR(SUMPRODUCT(SEARCH(MID(Metadata!B537,ROW(INDIRECT("1:"&amp;LEN(Metadata!B537))), 1),"0123456789abcdefghijklmnopqrstuvwxyzABCDEFGHIJKLMNOPQRSTUVWXYZ.")))))</f>
        <v>0</v>
      </c>
      <c r="W537">
        <f>AND(IF(Metadata!C537="",FALSE,TRUE),exact(Metadata!C537,"urban biome"))</f>
        <v>0</v>
      </c>
      <c r="X537">
        <f>AND(IF(Metadata!D537="",FALSE,TRUE),exact(Metadata!D537,"animal-associated habitat"))</f>
        <v>0</v>
      </c>
      <c r="Y537">
        <f>OR(AND(IF(Metadata!E537="",FALSE,TRUE),OR(exact(Metadata!E537,"not applicable"),exact(Metadata!E537,"missing: not collected"),exact(Metadata!E537,"missing: not provided"),exact(Metadata!E537,"missing: restricted access"))),AND(IF(Metadata!E537="",FALSE,ISNUMBER(VALUE(Metadata!E537))),Metadata!E537&gt;0))</f>
        <v>0</v>
      </c>
      <c r="Z537">
        <f>AND(IF(Metadata!F537="",FALSE,TRUE),exact(Metadata!F537,"weeks"))</f>
        <v>0</v>
      </c>
      <c r="AA537">
        <f>AND(IF(Metadata!G537="",FALSE,TRUE),exact(Metadata!G537,"mouse"))</f>
        <v>0</v>
      </c>
      <c r="AB537">
        <f>AND(IF(Metadata!H537="",FALSE,TRUE),exact(Metadata!H537,"Mus musculus"))</f>
        <v>0</v>
      </c>
      <c r="AC537">
        <f>AND(IF(Metadata!I537="",FALSE,TRUE),exact(Metadata!I537,"10090"))</f>
        <v>0</v>
      </c>
      <c r="AD537">
        <f>OR(AND(IF(Metadata!J537="",FALSE,TRUE),OR(exact(Metadata!J537,"not applicable"),exact(Metadata!J537,"missing: not collected"),exact(Metadata!J537,"missing: not provided"),exact(Metadata!J537,"missing: restricted access"))),AND(IF(Metadata!J537="",FALSE,ISNUMBER(VALUE(Metadata!J537))),Metadata!J537&gt;0))</f>
        <v>0</v>
      </c>
      <c r="AE537">
        <f>AND(IF(Metadata!K537="",FALSE,TRUE),exact(Metadata!K537,"g"))</f>
        <v>0</v>
      </c>
    </row>
    <row r="538" spans="1:31">
      <c r="A538" s="5">
        <f>IF(B538=" "," ",HYPERLINK(CONCATENATE("#metadata!",ADDRESS(INDEX($Q$2:$Q$1001,MATCH(ROWS($O$2:O538),$O$2:$O$1001,0),0),1)),INDEX($T$2:$T$1001,MATCH(ROWS($O$2:O538),$O$2:$O$1001,0),0)))</f>
        <v>0</v>
      </c>
      <c r="B538" s="4">
        <f>IF(OR(INDEX($P$2:$P$1001,MATCH(ROWS($O$2:O538),$O$2:$O$1001,0),1)&gt;=100000,INDEX($V$1005:$AE$1005,1,MATCH(COLUMNS($V$1006:V1006),$V$1006:$AE$1006,0))&gt;=100000), " ",IF(INDEX($V$2:$AE$1001,MATCH(ROWS($O$2:O538),$O$2:$O$1001,0),MATCH(COLUMNS($V$1006:V1006),$V$1006:$AE$1006,0)), HYPERLINK("#",""), HYPERLINK(CONCATENATE("#Metadata!", ADDRESS(INDEX($Q$2:$Q$1001,MATCH(ROWS($O$2:O538),$O$2:$O$1001,0),0), INDEX($V$1004:$AE$1004,1,MATCH(COLUMNS($V$1006:V1006),$V$1006:$AE$1006,0)))),"Fix")))</f>
        <v>0</v>
      </c>
      <c r="C538" s="4">
        <f>IF(OR(INDEX($P$2:$P$1001,MATCH(ROWS($O$2:O538),$O$2:$O$1001,0),1)&gt;=100000,INDEX($V$1005:$AE$1005,1,MATCH(COLUMNS($V$1006:W1006),$V$1006:$AE$1006,0))&gt;=100000), " ",IF(INDEX($V$2:$AE$1001,MATCH(ROWS($O$2:O538),$O$2:$O$1001,0),MATCH(COLUMNS($V$1006:W1006),$V$1006:$AE$1006,0)), HYPERLINK("#",""), HYPERLINK(CONCATENATE("#Metadata!", ADDRESS(INDEX($Q$2:$Q$1001,MATCH(ROWS($O$2:O538),$O$2:$O$1001,0),0), INDEX($V$1004:$AE$1004,1,MATCH(COLUMNS($V$1006:W1006),$V$1006:$AE$1006,0)))),"Fix")))</f>
        <v>0</v>
      </c>
      <c r="D538" s="4">
        <f>IF(OR(INDEX($P$2:$P$1001,MATCH(ROWS($O$2:O538),$O$2:$O$1001,0),1)&gt;=100000,INDEX($V$1005:$AE$1005,1,MATCH(COLUMNS($V$1006:X1006),$V$1006:$AE$1006,0))&gt;=100000), " ",IF(INDEX($V$2:$AE$1001,MATCH(ROWS($O$2:O538),$O$2:$O$1001,0),MATCH(COLUMNS($V$1006:X1006),$V$1006:$AE$1006,0)), HYPERLINK("#",""), HYPERLINK(CONCATENATE("#Metadata!", ADDRESS(INDEX($Q$2:$Q$1001,MATCH(ROWS($O$2:O538),$O$2:$O$1001,0),0), INDEX($V$1004:$AE$1004,1,MATCH(COLUMNS($V$1006:X1006),$V$1006:$AE$1006,0)))),"Fix")))</f>
        <v>0</v>
      </c>
      <c r="E538" s="4">
        <f>IF(OR(INDEX($P$2:$P$1001,MATCH(ROWS($O$2:O538),$O$2:$O$1001,0),1)&gt;=100000,INDEX($V$1005:$AE$1005,1,MATCH(COLUMNS($V$1006:Y1006),$V$1006:$AE$1006,0))&gt;=100000), " ",IF(INDEX($V$2:$AE$1001,MATCH(ROWS($O$2:O538),$O$2:$O$1001,0),MATCH(COLUMNS($V$1006:Y1006),$V$1006:$AE$1006,0)), HYPERLINK("#",""), HYPERLINK(CONCATENATE("#Metadata!", ADDRESS(INDEX($Q$2:$Q$1001,MATCH(ROWS($O$2:O538),$O$2:$O$1001,0),0), INDEX($V$1004:$AE$1004,1,MATCH(COLUMNS($V$1006:Y1006),$V$1006:$AE$1006,0)))),"Fix")))</f>
        <v>0</v>
      </c>
      <c r="F538" s="4">
        <f>IF(OR(INDEX($P$2:$P$1001,MATCH(ROWS($O$2:O538),$O$2:$O$1001,0),1)&gt;=100000,INDEX($V$1005:$AE$1005,1,MATCH(COLUMNS($V$1006:Z1006),$V$1006:$AE$1006,0))&gt;=100000), " ",IF(INDEX($V$2:$AE$1001,MATCH(ROWS($O$2:O538),$O$2:$O$1001,0),MATCH(COLUMNS($V$1006:Z1006),$V$1006:$AE$1006,0)), HYPERLINK("#",""), HYPERLINK(CONCATENATE("#Metadata!", ADDRESS(INDEX($Q$2:$Q$1001,MATCH(ROWS($O$2:O538),$O$2:$O$1001,0),0), INDEX($V$1004:$AE$1004,1,MATCH(COLUMNS($V$1006:Z1006),$V$1006:$AE$1006,0)))),"Fix")))</f>
        <v>0</v>
      </c>
      <c r="G538" s="4">
        <f>IF(OR(INDEX($P$2:$P$1001,MATCH(ROWS($O$2:O538),$O$2:$O$1001,0),1)&gt;=100000,INDEX($V$1005:$AE$1005,1,MATCH(COLUMNS($V$1006:AA1006),$V$1006:$AE$1006,0))&gt;=100000), " ",IF(INDEX($V$2:$AE$1001,MATCH(ROWS($O$2:O538),$O$2:$O$1001,0),MATCH(COLUMNS($V$1006:AA1006),$V$1006:$AE$1006,0)), HYPERLINK("#",""), HYPERLINK(CONCATENATE("#Metadata!", ADDRESS(INDEX($Q$2:$Q$1001,MATCH(ROWS($O$2:O538),$O$2:$O$1001,0),0), INDEX($V$1004:$AE$1004,1,MATCH(COLUMNS($V$1006:AA1006),$V$1006:$AE$1006,0)))),"Fix")))</f>
        <v>0</v>
      </c>
      <c r="H538" s="4">
        <f>IF(OR(INDEX($P$2:$P$1001,MATCH(ROWS($O$2:O538),$O$2:$O$1001,0),1)&gt;=100000,INDEX($V$1005:$AE$1005,1,MATCH(COLUMNS($V$1006:AB1006),$V$1006:$AE$1006,0))&gt;=100000), " ",IF(INDEX($V$2:$AE$1001,MATCH(ROWS($O$2:O538),$O$2:$O$1001,0),MATCH(COLUMNS($V$1006:AB1006),$V$1006:$AE$1006,0)), HYPERLINK("#",""), HYPERLINK(CONCATENATE("#Metadata!", ADDRESS(INDEX($Q$2:$Q$1001,MATCH(ROWS($O$2:O538),$O$2:$O$1001,0),0), INDEX($V$1004:$AE$1004,1,MATCH(COLUMNS($V$1006:AB1006),$V$1006:$AE$1006,0)))),"Fix")))</f>
        <v>0</v>
      </c>
      <c r="I538" s="4">
        <f>IF(OR(INDEX($P$2:$P$1001,MATCH(ROWS($O$2:O538),$O$2:$O$1001,0),1)&gt;=100000,INDEX($V$1005:$AE$1005,1,MATCH(COLUMNS($V$1006:AC1006),$V$1006:$AE$1006,0))&gt;=100000), " ",IF(INDEX($V$2:$AE$1001,MATCH(ROWS($O$2:O538),$O$2:$O$1001,0),MATCH(COLUMNS($V$1006:AC1006),$V$1006:$AE$1006,0)), HYPERLINK("#",""), HYPERLINK(CONCATENATE("#Metadata!", ADDRESS(INDEX($Q$2:$Q$1001,MATCH(ROWS($O$2:O538),$O$2:$O$1001,0),0), INDEX($V$1004:$AE$1004,1,MATCH(COLUMNS($V$1006:AC1006),$V$1006:$AE$1006,0)))),"Fix")))</f>
        <v>0</v>
      </c>
      <c r="J538" s="4">
        <f>IF(OR(INDEX($P$2:$P$1001,MATCH(ROWS($O$2:O538),$O$2:$O$1001,0),1)&gt;=100000,INDEX($V$1005:$AE$1005,1,MATCH(COLUMNS($V$1006:AD1006),$V$1006:$AE$1006,0))&gt;=100000), " ",IF(INDEX($V$2:$AE$1001,MATCH(ROWS($O$2:O538),$O$2:$O$1001,0),MATCH(COLUMNS($V$1006:AD1006),$V$1006:$AE$1006,0)), HYPERLINK("#",""), HYPERLINK(CONCATENATE("#Metadata!", ADDRESS(INDEX($Q$2:$Q$1001,MATCH(ROWS($O$2:O538),$O$2:$O$1001,0),0), INDEX($V$1004:$AE$1004,1,MATCH(COLUMNS($V$1006:AD1006),$V$1006:$AE$1006,0)))),"Fix")))</f>
        <v>0</v>
      </c>
      <c r="K538" s="4">
        <f>IF(OR(INDEX($P$2:$P$1001,MATCH(ROWS($O$2:O538),$O$2:$O$1001,0),1)&gt;=100000,INDEX($V$1005:$AE$1005,1,MATCH(COLUMNS($V$1006:AE1006),$V$1006:$AE$1006,0))&gt;=100000), " ",IF(INDEX($V$2:$AE$1001,MATCH(ROWS($O$2:O538),$O$2:$O$1001,0),MATCH(COLUMNS($V$1006:AE1006),$V$1006:$AE$1006,0)), HYPERLINK("#",""), HYPERLINK(CONCATENATE("#Metadata!", ADDRESS(INDEX($Q$2:$Q$1001,MATCH(ROWS($O$2:O538),$O$2:$O$1001,0),0), INDEX($V$1004:$AE$1004,1,MATCH(COLUMNS($V$1006:AE1006),$V$1006:$AE$1006,0)))),"Fix")))</f>
        <v>0</v>
      </c>
      <c r="O538">
        <v>0</v>
      </c>
      <c r="P538">
        <v>0</v>
      </c>
      <c r="Q538">
        <v>0</v>
      </c>
      <c r="R538">
        <f>IF(S538,TRUE,AND(V538:AE538))</f>
        <v>0</v>
      </c>
      <c r="S538">
        <f>COUNTBLANK(Metadata!B538:K538)=COLUMNS(Metadata!B538:K538)</f>
        <v>0</v>
      </c>
      <c r="T538">
        <v>0</v>
      </c>
      <c r="V538">
        <f>AND(IF(Metadata!B538="",FALSE,TRUE),COUNTIF(Metadata!B:B, Metadata!B538) = 1,NOT(ISERROR(SUMPRODUCT(SEARCH(MID(Metadata!B538,ROW(INDIRECT("1:"&amp;LEN(Metadata!B538))), 1),"0123456789abcdefghijklmnopqrstuvwxyzABCDEFGHIJKLMNOPQRSTUVWXYZ.")))))</f>
        <v>0</v>
      </c>
      <c r="W538">
        <f>AND(IF(Metadata!C538="",FALSE,TRUE),exact(Metadata!C538,"urban biome"))</f>
        <v>0</v>
      </c>
      <c r="X538">
        <f>AND(IF(Metadata!D538="",FALSE,TRUE),exact(Metadata!D538,"animal-associated habitat"))</f>
        <v>0</v>
      </c>
      <c r="Y538">
        <f>OR(AND(IF(Metadata!E538="",FALSE,TRUE),OR(exact(Metadata!E538,"not applicable"),exact(Metadata!E538,"missing: not collected"),exact(Metadata!E538,"missing: not provided"),exact(Metadata!E538,"missing: restricted access"))),AND(IF(Metadata!E538="",FALSE,ISNUMBER(VALUE(Metadata!E538))),Metadata!E538&gt;0))</f>
        <v>0</v>
      </c>
      <c r="Z538">
        <f>AND(IF(Metadata!F538="",FALSE,TRUE),exact(Metadata!F538,"weeks"))</f>
        <v>0</v>
      </c>
      <c r="AA538">
        <f>AND(IF(Metadata!G538="",FALSE,TRUE),exact(Metadata!G538,"mouse"))</f>
        <v>0</v>
      </c>
      <c r="AB538">
        <f>AND(IF(Metadata!H538="",FALSE,TRUE),exact(Metadata!H538,"Mus musculus"))</f>
        <v>0</v>
      </c>
      <c r="AC538">
        <f>AND(IF(Metadata!I538="",FALSE,TRUE),exact(Metadata!I538,"10090"))</f>
        <v>0</v>
      </c>
      <c r="AD538">
        <f>OR(AND(IF(Metadata!J538="",FALSE,TRUE),OR(exact(Metadata!J538,"not applicable"),exact(Metadata!J538,"missing: not collected"),exact(Metadata!J538,"missing: not provided"),exact(Metadata!J538,"missing: restricted access"))),AND(IF(Metadata!J538="",FALSE,ISNUMBER(VALUE(Metadata!J538))),Metadata!J538&gt;0))</f>
        <v>0</v>
      </c>
      <c r="AE538">
        <f>AND(IF(Metadata!K538="",FALSE,TRUE),exact(Metadata!K538,"g"))</f>
        <v>0</v>
      </c>
    </row>
    <row r="539" spans="1:31">
      <c r="A539" s="5">
        <f>IF(B539=" "," ",HYPERLINK(CONCATENATE("#metadata!",ADDRESS(INDEX($Q$2:$Q$1001,MATCH(ROWS($O$2:O539),$O$2:$O$1001,0),0),1)),INDEX($T$2:$T$1001,MATCH(ROWS($O$2:O539),$O$2:$O$1001,0),0)))</f>
        <v>0</v>
      </c>
      <c r="B539" s="4">
        <f>IF(OR(INDEX($P$2:$P$1001,MATCH(ROWS($O$2:O539),$O$2:$O$1001,0),1)&gt;=100000,INDEX($V$1005:$AE$1005,1,MATCH(COLUMNS($V$1006:V1006),$V$1006:$AE$1006,0))&gt;=100000), " ",IF(INDEX($V$2:$AE$1001,MATCH(ROWS($O$2:O539),$O$2:$O$1001,0),MATCH(COLUMNS($V$1006:V1006),$V$1006:$AE$1006,0)), HYPERLINK("#",""), HYPERLINK(CONCATENATE("#Metadata!", ADDRESS(INDEX($Q$2:$Q$1001,MATCH(ROWS($O$2:O539),$O$2:$O$1001,0),0), INDEX($V$1004:$AE$1004,1,MATCH(COLUMNS($V$1006:V1006),$V$1006:$AE$1006,0)))),"Fix")))</f>
        <v>0</v>
      </c>
      <c r="C539" s="4">
        <f>IF(OR(INDEX($P$2:$P$1001,MATCH(ROWS($O$2:O539),$O$2:$O$1001,0),1)&gt;=100000,INDEX($V$1005:$AE$1005,1,MATCH(COLUMNS($V$1006:W1006),$V$1006:$AE$1006,0))&gt;=100000), " ",IF(INDEX($V$2:$AE$1001,MATCH(ROWS($O$2:O539),$O$2:$O$1001,0),MATCH(COLUMNS($V$1006:W1006),$V$1006:$AE$1006,0)), HYPERLINK("#",""), HYPERLINK(CONCATENATE("#Metadata!", ADDRESS(INDEX($Q$2:$Q$1001,MATCH(ROWS($O$2:O539),$O$2:$O$1001,0),0), INDEX($V$1004:$AE$1004,1,MATCH(COLUMNS($V$1006:W1006),$V$1006:$AE$1006,0)))),"Fix")))</f>
        <v>0</v>
      </c>
      <c r="D539" s="4">
        <f>IF(OR(INDEX($P$2:$P$1001,MATCH(ROWS($O$2:O539),$O$2:$O$1001,0),1)&gt;=100000,INDEX($V$1005:$AE$1005,1,MATCH(COLUMNS($V$1006:X1006),$V$1006:$AE$1006,0))&gt;=100000), " ",IF(INDEX($V$2:$AE$1001,MATCH(ROWS($O$2:O539),$O$2:$O$1001,0),MATCH(COLUMNS($V$1006:X1006),$V$1006:$AE$1006,0)), HYPERLINK("#",""), HYPERLINK(CONCATENATE("#Metadata!", ADDRESS(INDEX($Q$2:$Q$1001,MATCH(ROWS($O$2:O539),$O$2:$O$1001,0),0), INDEX($V$1004:$AE$1004,1,MATCH(COLUMNS($V$1006:X1006),$V$1006:$AE$1006,0)))),"Fix")))</f>
        <v>0</v>
      </c>
      <c r="E539" s="4">
        <f>IF(OR(INDEX($P$2:$P$1001,MATCH(ROWS($O$2:O539),$O$2:$O$1001,0),1)&gt;=100000,INDEX($V$1005:$AE$1005,1,MATCH(COLUMNS($V$1006:Y1006),$V$1006:$AE$1006,0))&gt;=100000), " ",IF(INDEX($V$2:$AE$1001,MATCH(ROWS($O$2:O539),$O$2:$O$1001,0),MATCH(COLUMNS($V$1006:Y1006),$V$1006:$AE$1006,0)), HYPERLINK("#",""), HYPERLINK(CONCATENATE("#Metadata!", ADDRESS(INDEX($Q$2:$Q$1001,MATCH(ROWS($O$2:O539),$O$2:$O$1001,0),0), INDEX($V$1004:$AE$1004,1,MATCH(COLUMNS($V$1006:Y1006),$V$1006:$AE$1006,0)))),"Fix")))</f>
        <v>0</v>
      </c>
      <c r="F539" s="4">
        <f>IF(OR(INDEX($P$2:$P$1001,MATCH(ROWS($O$2:O539),$O$2:$O$1001,0),1)&gt;=100000,INDEX($V$1005:$AE$1005,1,MATCH(COLUMNS($V$1006:Z1006),$V$1006:$AE$1006,0))&gt;=100000), " ",IF(INDEX($V$2:$AE$1001,MATCH(ROWS($O$2:O539),$O$2:$O$1001,0),MATCH(COLUMNS($V$1006:Z1006),$V$1006:$AE$1006,0)), HYPERLINK("#",""), HYPERLINK(CONCATENATE("#Metadata!", ADDRESS(INDEX($Q$2:$Q$1001,MATCH(ROWS($O$2:O539),$O$2:$O$1001,0),0), INDEX($V$1004:$AE$1004,1,MATCH(COLUMNS($V$1006:Z1006),$V$1006:$AE$1006,0)))),"Fix")))</f>
        <v>0</v>
      </c>
      <c r="G539" s="4">
        <f>IF(OR(INDEX($P$2:$P$1001,MATCH(ROWS($O$2:O539),$O$2:$O$1001,0),1)&gt;=100000,INDEX($V$1005:$AE$1005,1,MATCH(COLUMNS($V$1006:AA1006),$V$1006:$AE$1006,0))&gt;=100000), " ",IF(INDEX($V$2:$AE$1001,MATCH(ROWS($O$2:O539),$O$2:$O$1001,0),MATCH(COLUMNS($V$1006:AA1006),$V$1006:$AE$1006,0)), HYPERLINK("#",""), HYPERLINK(CONCATENATE("#Metadata!", ADDRESS(INDEX($Q$2:$Q$1001,MATCH(ROWS($O$2:O539),$O$2:$O$1001,0),0), INDEX($V$1004:$AE$1004,1,MATCH(COLUMNS($V$1006:AA1006),$V$1006:$AE$1006,0)))),"Fix")))</f>
        <v>0</v>
      </c>
      <c r="H539" s="4">
        <f>IF(OR(INDEX($P$2:$P$1001,MATCH(ROWS($O$2:O539),$O$2:$O$1001,0),1)&gt;=100000,INDEX($V$1005:$AE$1005,1,MATCH(COLUMNS($V$1006:AB1006),$V$1006:$AE$1006,0))&gt;=100000), " ",IF(INDEX($V$2:$AE$1001,MATCH(ROWS($O$2:O539),$O$2:$O$1001,0),MATCH(COLUMNS($V$1006:AB1006),$V$1006:$AE$1006,0)), HYPERLINK("#",""), HYPERLINK(CONCATENATE("#Metadata!", ADDRESS(INDEX($Q$2:$Q$1001,MATCH(ROWS($O$2:O539),$O$2:$O$1001,0),0), INDEX($V$1004:$AE$1004,1,MATCH(COLUMNS($V$1006:AB1006),$V$1006:$AE$1006,0)))),"Fix")))</f>
        <v>0</v>
      </c>
      <c r="I539" s="4">
        <f>IF(OR(INDEX($P$2:$P$1001,MATCH(ROWS($O$2:O539),$O$2:$O$1001,0),1)&gt;=100000,INDEX($V$1005:$AE$1005,1,MATCH(COLUMNS($V$1006:AC1006),$V$1006:$AE$1006,0))&gt;=100000), " ",IF(INDEX($V$2:$AE$1001,MATCH(ROWS($O$2:O539),$O$2:$O$1001,0),MATCH(COLUMNS($V$1006:AC1006),$V$1006:$AE$1006,0)), HYPERLINK("#",""), HYPERLINK(CONCATENATE("#Metadata!", ADDRESS(INDEX($Q$2:$Q$1001,MATCH(ROWS($O$2:O539),$O$2:$O$1001,0),0), INDEX($V$1004:$AE$1004,1,MATCH(COLUMNS($V$1006:AC1006),$V$1006:$AE$1006,0)))),"Fix")))</f>
        <v>0</v>
      </c>
      <c r="J539" s="4">
        <f>IF(OR(INDEX($P$2:$P$1001,MATCH(ROWS($O$2:O539),$O$2:$O$1001,0),1)&gt;=100000,INDEX($V$1005:$AE$1005,1,MATCH(COLUMNS($V$1006:AD1006),$V$1006:$AE$1006,0))&gt;=100000), " ",IF(INDEX($V$2:$AE$1001,MATCH(ROWS($O$2:O539),$O$2:$O$1001,0),MATCH(COLUMNS($V$1006:AD1006),$V$1006:$AE$1006,0)), HYPERLINK("#",""), HYPERLINK(CONCATENATE("#Metadata!", ADDRESS(INDEX($Q$2:$Q$1001,MATCH(ROWS($O$2:O539),$O$2:$O$1001,0),0), INDEX($V$1004:$AE$1004,1,MATCH(COLUMNS($V$1006:AD1006),$V$1006:$AE$1006,0)))),"Fix")))</f>
        <v>0</v>
      </c>
      <c r="K539" s="4">
        <f>IF(OR(INDEX($P$2:$P$1001,MATCH(ROWS($O$2:O539),$O$2:$O$1001,0),1)&gt;=100000,INDEX($V$1005:$AE$1005,1,MATCH(COLUMNS($V$1006:AE1006),$V$1006:$AE$1006,0))&gt;=100000), " ",IF(INDEX($V$2:$AE$1001,MATCH(ROWS($O$2:O539),$O$2:$O$1001,0),MATCH(COLUMNS($V$1006:AE1006),$V$1006:$AE$1006,0)), HYPERLINK("#",""), HYPERLINK(CONCATENATE("#Metadata!", ADDRESS(INDEX($Q$2:$Q$1001,MATCH(ROWS($O$2:O539),$O$2:$O$1001,0),0), INDEX($V$1004:$AE$1004,1,MATCH(COLUMNS($V$1006:AE1006),$V$1006:$AE$1006,0)))),"Fix")))</f>
        <v>0</v>
      </c>
      <c r="O539">
        <v>0</v>
      </c>
      <c r="P539">
        <v>0</v>
      </c>
      <c r="Q539">
        <v>0</v>
      </c>
      <c r="R539">
        <f>IF(S539,TRUE,AND(V539:AE539))</f>
        <v>0</v>
      </c>
      <c r="S539">
        <f>COUNTBLANK(Metadata!B539:K539)=COLUMNS(Metadata!B539:K539)</f>
        <v>0</v>
      </c>
      <c r="T539">
        <v>0</v>
      </c>
      <c r="V539">
        <f>AND(IF(Metadata!B539="",FALSE,TRUE),COUNTIF(Metadata!B:B, Metadata!B539) = 1,NOT(ISERROR(SUMPRODUCT(SEARCH(MID(Metadata!B539,ROW(INDIRECT("1:"&amp;LEN(Metadata!B539))), 1),"0123456789abcdefghijklmnopqrstuvwxyzABCDEFGHIJKLMNOPQRSTUVWXYZ.")))))</f>
        <v>0</v>
      </c>
      <c r="W539">
        <f>AND(IF(Metadata!C539="",FALSE,TRUE),exact(Metadata!C539,"urban biome"))</f>
        <v>0</v>
      </c>
      <c r="X539">
        <f>AND(IF(Metadata!D539="",FALSE,TRUE),exact(Metadata!D539,"animal-associated habitat"))</f>
        <v>0</v>
      </c>
      <c r="Y539">
        <f>OR(AND(IF(Metadata!E539="",FALSE,TRUE),OR(exact(Metadata!E539,"not applicable"),exact(Metadata!E539,"missing: not collected"),exact(Metadata!E539,"missing: not provided"),exact(Metadata!E539,"missing: restricted access"))),AND(IF(Metadata!E539="",FALSE,ISNUMBER(VALUE(Metadata!E539))),Metadata!E539&gt;0))</f>
        <v>0</v>
      </c>
      <c r="Z539">
        <f>AND(IF(Metadata!F539="",FALSE,TRUE),exact(Metadata!F539,"weeks"))</f>
        <v>0</v>
      </c>
      <c r="AA539">
        <f>AND(IF(Metadata!G539="",FALSE,TRUE),exact(Metadata!G539,"mouse"))</f>
        <v>0</v>
      </c>
      <c r="AB539">
        <f>AND(IF(Metadata!H539="",FALSE,TRUE),exact(Metadata!H539,"Mus musculus"))</f>
        <v>0</v>
      </c>
      <c r="AC539">
        <f>AND(IF(Metadata!I539="",FALSE,TRUE),exact(Metadata!I539,"10090"))</f>
        <v>0</v>
      </c>
      <c r="AD539">
        <f>OR(AND(IF(Metadata!J539="",FALSE,TRUE),OR(exact(Metadata!J539,"not applicable"),exact(Metadata!J539,"missing: not collected"),exact(Metadata!J539,"missing: not provided"),exact(Metadata!J539,"missing: restricted access"))),AND(IF(Metadata!J539="",FALSE,ISNUMBER(VALUE(Metadata!J539))),Metadata!J539&gt;0))</f>
        <v>0</v>
      </c>
      <c r="AE539">
        <f>AND(IF(Metadata!K539="",FALSE,TRUE),exact(Metadata!K539,"g"))</f>
        <v>0</v>
      </c>
    </row>
    <row r="540" spans="1:31">
      <c r="A540" s="5">
        <f>IF(B540=" "," ",HYPERLINK(CONCATENATE("#metadata!",ADDRESS(INDEX($Q$2:$Q$1001,MATCH(ROWS($O$2:O540),$O$2:$O$1001,0),0),1)),INDEX($T$2:$T$1001,MATCH(ROWS($O$2:O540),$O$2:$O$1001,0),0)))</f>
        <v>0</v>
      </c>
      <c r="B540" s="4">
        <f>IF(OR(INDEX($P$2:$P$1001,MATCH(ROWS($O$2:O540),$O$2:$O$1001,0),1)&gt;=100000,INDEX($V$1005:$AE$1005,1,MATCH(COLUMNS($V$1006:V1006),$V$1006:$AE$1006,0))&gt;=100000), " ",IF(INDEX($V$2:$AE$1001,MATCH(ROWS($O$2:O540),$O$2:$O$1001,0),MATCH(COLUMNS($V$1006:V1006),$V$1006:$AE$1006,0)), HYPERLINK("#",""), HYPERLINK(CONCATENATE("#Metadata!", ADDRESS(INDEX($Q$2:$Q$1001,MATCH(ROWS($O$2:O540),$O$2:$O$1001,0),0), INDEX($V$1004:$AE$1004,1,MATCH(COLUMNS($V$1006:V1006),$V$1006:$AE$1006,0)))),"Fix")))</f>
        <v>0</v>
      </c>
      <c r="C540" s="4">
        <f>IF(OR(INDEX($P$2:$P$1001,MATCH(ROWS($O$2:O540),$O$2:$O$1001,0),1)&gt;=100000,INDEX($V$1005:$AE$1005,1,MATCH(COLUMNS($V$1006:W1006),$V$1006:$AE$1006,0))&gt;=100000), " ",IF(INDEX($V$2:$AE$1001,MATCH(ROWS($O$2:O540),$O$2:$O$1001,0),MATCH(COLUMNS($V$1006:W1006),$V$1006:$AE$1006,0)), HYPERLINK("#",""), HYPERLINK(CONCATENATE("#Metadata!", ADDRESS(INDEX($Q$2:$Q$1001,MATCH(ROWS($O$2:O540),$O$2:$O$1001,0),0), INDEX($V$1004:$AE$1004,1,MATCH(COLUMNS($V$1006:W1006),$V$1006:$AE$1006,0)))),"Fix")))</f>
        <v>0</v>
      </c>
      <c r="D540" s="4">
        <f>IF(OR(INDEX($P$2:$P$1001,MATCH(ROWS($O$2:O540),$O$2:$O$1001,0),1)&gt;=100000,INDEX($V$1005:$AE$1005,1,MATCH(COLUMNS($V$1006:X1006),$V$1006:$AE$1006,0))&gt;=100000), " ",IF(INDEX($V$2:$AE$1001,MATCH(ROWS($O$2:O540),$O$2:$O$1001,0),MATCH(COLUMNS($V$1006:X1006),$V$1006:$AE$1006,0)), HYPERLINK("#",""), HYPERLINK(CONCATENATE("#Metadata!", ADDRESS(INDEX($Q$2:$Q$1001,MATCH(ROWS($O$2:O540),$O$2:$O$1001,0),0), INDEX($V$1004:$AE$1004,1,MATCH(COLUMNS($V$1006:X1006),$V$1006:$AE$1006,0)))),"Fix")))</f>
        <v>0</v>
      </c>
      <c r="E540" s="4">
        <f>IF(OR(INDEX($P$2:$P$1001,MATCH(ROWS($O$2:O540),$O$2:$O$1001,0),1)&gt;=100000,INDEX($V$1005:$AE$1005,1,MATCH(COLUMNS($V$1006:Y1006),$V$1006:$AE$1006,0))&gt;=100000), " ",IF(INDEX($V$2:$AE$1001,MATCH(ROWS($O$2:O540),$O$2:$O$1001,0),MATCH(COLUMNS($V$1006:Y1006),$V$1006:$AE$1006,0)), HYPERLINK("#",""), HYPERLINK(CONCATENATE("#Metadata!", ADDRESS(INDEX($Q$2:$Q$1001,MATCH(ROWS($O$2:O540),$O$2:$O$1001,0),0), INDEX($V$1004:$AE$1004,1,MATCH(COLUMNS($V$1006:Y1006),$V$1006:$AE$1006,0)))),"Fix")))</f>
        <v>0</v>
      </c>
      <c r="F540" s="4">
        <f>IF(OR(INDEX($P$2:$P$1001,MATCH(ROWS($O$2:O540),$O$2:$O$1001,0),1)&gt;=100000,INDEX($V$1005:$AE$1005,1,MATCH(COLUMNS($V$1006:Z1006),$V$1006:$AE$1006,0))&gt;=100000), " ",IF(INDEX($V$2:$AE$1001,MATCH(ROWS($O$2:O540),$O$2:$O$1001,0),MATCH(COLUMNS($V$1006:Z1006),$V$1006:$AE$1006,0)), HYPERLINK("#",""), HYPERLINK(CONCATENATE("#Metadata!", ADDRESS(INDEX($Q$2:$Q$1001,MATCH(ROWS($O$2:O540),$O$2:$O$1001,0),0), INDEX($V$1004:$AE$1004,1,MATCH(COLUMNS($V$1006:Z1006),$V$1006:$AE$1006,0)))),"Fix")))</f>
        <v>0</v>
      </c>
      <c r="G540" s="4">
        <f>IF(OR(INDEX($P$2:$P$1001,MATCH(ROWS($O$2:O540),$O$2:$O$1001,0),1)&gt;=100000,INDEX($V$1005:$AE$1005,1,MATCH(COLUMNS($V$1006:AA1006),$V$1006:$AE$1006,0))&gt;=100000), " ",IF(INDEX($V$2:$AE$1001,MATCH(ROWS($O$2:O540),$O$2:$O$1001,0),MATCH(COLUMNS($V$1006:AA1006),$V$1006:$AE$1006,0)), HYPERLINK("#",""), HYPERLINK(CONCATENATE("#Metadata!", ADDRESS(INDEX($Q$2:$Q$1001,MATCH(ROWS($O$2:O540),$O$2:$O$1001,0),0), INDEX($V$1004:$AE$1004,1,MATCH(COLUMNS($V$1006:AA1006),$V$1006:$AE$1006,0)))),"Fix")))</f>
        <v>0</v>
      </c>
      <c r="H540" s="4">
        <f>IF(OR(INDEX($P$2:$P$1001,MATCH(ROWS($O$2:O540),$O$2:$O$1001,0),1)&gt;=100000,INDEX($V$1005:$AE$1005,1,MATCH(COLUMNS($V$1006:AB1006),$V$1006:$AE$1006,0))&gt;=100000), " ",IF(INDEX($V$2:$AE$1001,MATCH(ROWS($O$2:O540),$O$2:$O$1001,0),MATCH(COLUMNS($V$1006:AB1006),$V$1006:$AE$1006,0)), HYPERLINK("#",""), HYPERLINK(CONCATENATE("#Metadata!", ADDRESS(INDEX($Q$2:$Q$1001,MATCH(ROWS($O$2:O540),$O$2:$O$1001,0),0), INDEX($V$1004:$AE$1004,1,MATCH(COLUMNS($V$1006:AB1006),$V$1006:$AE$1006,0)))),"Fix")))</f>
        <v>0</v>
      </c>
      <c r="I540" s="4">
        <f>IF(OR(INDEX($P$2:$P$1001,MATCH(ROWS($O$2:O540),$O$2:$O$1001,0),1)&gt;=100000,INDEX($V$1005:$AE$1005,1,MATCH(COLUMNS($V$1006:AC1006),$V$1006:$AE$1006,0))&gt;=100000), " ",IF(INDEX($V$2:$AE$1001,MATCH(ROWS($O$2:O540),$O$2:$O$1001,0),MATCH(COLUMNS($V$1006:AC1006),$V$1006:$AE$1006,0)), HYPERLINK("#",""), HYPERLINK(CONCATENATE("#Metadata!", ADDRESS(INDEX($Q$2:$Q$1001,MATCH(ROWS($O$2:O540),$O$2:$O$1001,0),0), INDEX($V$1004:$AE$1004,1,MATCH(COLUMNS($V$1006:AC1006),$V$1006:$AE$1006,0)))),"Fix")))</f>
        <v>0</v>
      </c>
      <c r="J540" s="4">
        <f>IF(OR(INDEX($P$2:$P$1001,MATCH(ROWS($O$2:O540),$O$2:$O$1001,0),1)&gt;=100000,INDEX($V$1005:$AE$1005,1,MATCH(COLUMNS($V$1006:AD1006),$V$1006:$AE$1006,0))&gt;=100000), " ",IF(INDEX($V$2:$AE$1001,MATCH(ROWS($O$2:O540),$O$2:$O$1001,0),MATCH(COLUMNS($V$1006:AD1006),$V$1006:$AE$1006,0)), HYPERLINK("#",""), HYPERLINK(CONCATENATE("#Metadata!", ADDRESS(INDEX($Q$2:$Q$1001,MATCH(ROWS($O$2:O540),$O$2:$O$1001,0),0), INDEX($V$1004:$AE$1004,1,MATCH(COLUMNS($V$1006:AD1006),$V$1006:$AE$1006,0)))),"Fix")))</f>
        <v>0</v>
      </c>
      <c r="K540" s="4">
        <f>IF(OR(INDEX($P$2:$P$1001,MATCH(ROWS($O$2:O540),$O$2:$O$1001,0),1)&gt;=100000,INDEX($V$1005:$AE$1005,1,MATCH(COLUMNS($V$1006:AE1006),$V$1006:$AE$1006,0))&gt;=100000), " ",IF(INDEX($V$2:$AE$1001,MATCH(ROWS($O$2:O540),$O$2:$O$1001,0),MATCH(COLUMNS($V$1006:AE1006),$V$1006:$AE$1006,0)), HYPERLINK("#",""), HYPERLINK(CONCATENATE("#Metadata!", ADDRESS(INDEX($Q$2:$Q$1001,MATCH(ROWS($O$2:O540),$O$2:$O$1001,0),0), INDEX($V$1004:$AE$1004,1,MATCH(COLUMNS($V$1006:AE1006),$V$1006:$AE$1006,0)))),"Fix")))</f>
        <v>0</v>
      </c>
      <c r="O540">
        <v>0</v>
      </c>
      <c r="P540">
        <v>0</v>
      </c>
      <c r="Q540">
        <v>0</v>
      </c>
      <c r="R540">
        <f>IF(S540,TRUE,AND(V540:AE540))</f>
        <v>0</v>
      </c>
      <c r="S540">
        <f>COUNTBLANK(Metadata!B540:K540)=COLUMNS(Metadata!B540:K540)</f>
        <v>0</v>
      </c>
      <c r="T540">
        <v>0</v>
      </c>
      <c r="V540">
        <f>AND(IF(Metadata!B540="",FALSE,TRUE),COUNTIF(Metadata!B:B, Metadata!B540) = 1,NOT(ISERROR(SUMPRODUCT(SEARCH(MID(Metadata!B540,ROW(INDIRECT("1:"&amp;LEN(Metadata!B540))), 1),"0123456789abcdefghijklmnopqrstuvwxyzABCDEFGHIJKLMNOPQRSTUVWXYZ.")))))</f>
        <v>0</v>
      </c>
      <c r="W540">
        <f>AND(IF(Metadata!C540="",FALSE,TRUE),exact(Metadata!C540,"urban biome"))</f>
        <v>0</v>
      </c>
      <c r="X540">
        <f>AND(IF(Metadata!D540="",FALSE,TRUE),exact(Metadata!D540,"animal-associated habitat"))</f>
        <v>0</v>
      </c>
      <c r="Y540">
        <f>OR(AND(IF(Metadata!E540="",FALSE,TRUE),OR(exact(Metadata!E540,"not applicable"),exact(Metadata!E540,"missing: not collected"),exact(Metadata!E540,"missing: not provided"),exact(Metadata!E540,"missing: restricted access"))),AND(IF(Metadata!E540="",FALSE,ISNUMBER(VALUE(Metadata!E540))),Metadata!E540&gt;0))</f>
        <v>0</v>
      </c>
      <c r="Z540">
        <f>AND(IF(Metadata!F540="",FALSE,TRUE),exact(Metadata!F540,"weeks"))</f>
        <v>0</v>
      </c>
      <c r="AA540">
        <f>AND(IF(Metadata!G540="",FALSE,TRUE),exact(Metadata!G540,"mouse"))</f>
        <v>0</v>
      </c>
      <c r="AB540">
        <f>AND(IF(Metadata!H540="",FALSE,TRUE),exact(Metadata!H540,"Mus musculus"))</f>
        <v>0</v>
      </c>
      <c r="AC540">
        <f>AND(IF(Metadata!I540="",FALSE,TRUE),exact(Metadata!I540,"10090"))</f>
        <v>0</v>
      </c>
      <c r="AD540">
        <f>OR(AND(IF(Metadata!J540="",FALSE,TRUE),OR(exact(Metadata!J540,"not applicable"),exact(Metadata!J540,"missing: not collected"),exact(Metadata!J540,"missing: not provided"),exact(Metadata!J540,"missing: restricted access"))),AND(IF(Metadata!J540="",FALSE,ISNUMBER(VALUE(Metadata!J540))),Metadata!J540&gt;0))</f>
        <v>0</v>
      </c>
      <c r="AE540">
        <f>AND(IF(Metadata!K540="",FALSE,TRUE),exact(Metadata!K540,"g"))</f>
        <v>0</v>
      </c>
    </row>
    <row r="541" spans="1:31">
      <c r="A541" s="5">
        <f>IF(B541=" "," ",HYPERLINK(CONCATENATE("#metadata!",ADDRESS(INDEX($Q$2:$Q$1001,MATCH(ROWS($O$2:O541),$O$2:$O$1001,0),0),1)),INDEX($T$2:$T$1001,MATCH(ROWS($O$2:O541),$O$2:$O$1001,0),0)))</f>
        <v>0</v>
      </c>
      <c r="B541" s="4">
        <f>IF(OR(INDEX($P$2:$P$1001,MATCH(ROWS($O$2:O541),$O$2:$O$1001,0),1)&gt;=100000,INDEX($V$1005:$AE$1005,1,MATCH(COLUMNS($V$1006:V1006),$V$1006:$AE$1006,0))&gt;=100000), " ",IF(INDEX($V$2:$AE$1001,MATCH(ROWS($O$2:O541),$O$2:$O$1001,0),MATCH(COLUMNS($V$1006:V1006),$V$1006:$AE$1006,0)), HYPERLINK("#",""), HYPERLINK(CONCATENATE("#Metadata!", ADDRESS(INDEX($Q$2:$Q$1001,MATCH(ROWS($O$2:O541),$O$2:$O$1001,0),0), INDEX($V$1004:$AE$1004,1,MATCH(COLUMNS($V$1006:V1006),$V$1006:$AE$1006,0)))),"Fix")))</f>
        <v>0</v>
      </c>
      <c r="C541" s="4">
        <f>IF(OR(INDEX($P$2:$P$1001,MATCH(ROWS($O$2:O541),$O$2:$O$1001,0),1)&gt;=100000,INDEX($V$1005:$AE$1005,1,MATCH(COLUMNS($V$1006:W1006),$V$1006:$AE$1006,0))&gt;=100000), " ",IF(INDEX($V$2:$AE$1001,MATCH(ROWS($O$2:O541),$O$2:$O$1001,0),MATCH(COLUMNS($V$1006:W1006),$V$1006:$AE$1006,0)), HYPERLINK("#",""), HYPERLINK(CONCATENATE("#Metadata!", ADDRESS(INDEX($Q$2:$Q$1001,MATCH(ROWS($O$2:O541),$O$2:$O$1001,0),0), INDEX($V$1004:$AE$1004,1,MATCH(COLUMNS($V$1006:W1006),$V$1006:$AE$1006,0)))),"Fix")))</f>
        <v>0</v>
      </c>
      <c r="D541" s="4">
        <f>IF(OR(INDEX($P$2:$P$1001,MATCH(ROWS($O$2:O541),$O$2:$O$1001,0),1)&gt;=100000,INDEX($V$1005:$AE$1005,1,MATCH(COLUMNS($V$1006:X1006),$V$1006:$AE$1006,0))&gt;=100000), " ",IF(INDEX($V$2:$AE$1001,MATCH(ROWS($O$2:O541),$O$2:$O$1001,0),MATCH(COLUMNS($V$1006:X1006),$V$1006:$AE$1006,0)), HYPERLINK("#",""), HYPERLINK(CONCATENATE("#Metadata!", ADDRESS(INDEX($Q$2:$Q$1001,MATCH(ROWS($O$2:O541),$O$2:$O$1001,0),0), INDEX($V$1004:$AE$1004,1,MATCH(COLUMNS($V$1006:X1006),$V$1006:$AE$1006,0)))),"Fix")))</f>
        <v>0</v>
      </c>
      <c r="E541" s="4">
        <f>IF(OR(INDEX($P$2:$P$1001,MATCH(ROWS($O$2:O541),$O$2:$O$1001,0),1)&gt;=100000,INDEX($V$1005:$AE$1005,1,MATCH(COLUMNS($V$1006:Y1006),$V$1006:$AE$1006,0))&gt;=100000), " ",IF(INDEX($V$2:$AE$1001,MATCH(ROWS($O$2:O541),$O$2:$O$1001,0),MATCH(COLUMNS($V$1006:Y1006),$V$1006:$AE$1006,0)), HYPERLINK("#",""), HYPERLINK(CONCATENATE("#Metadata!", ADDRESS(INDEX($Q$2:$Q$1001,MATCH(ROWS($O$2:O541),$O$2:$O$1001,0),0), INDEX($V$1004:$AE$1004,1,MATCH(COLUMNS($V$1006:Y1006),$V$1006:$AE$1006,0)))),"Fix")))</f>
        <v>0</v>
      </c>
      <c r="F541" s="4">
        <f>IF(OR(INDEX($P$2:$P$1001,MATCH(ROWS($O$2:O541),$O$2:$O$1001,0),1)&gt;=100000,INDEX($V$1005:$AE$1005,1,MATCH(COLUMNS($V$1006:Z1006),$V$1006:$AE$1006,0))&gt;=100000), " ",IF(INDEX($V$2:$AE$1001,MATCH(ROWS($O$2:O541),$O$2:$O$1001,0),MATCH(COLUMNS($V$1006:Z1006),$V$1006:$AE$1006,0)), HYPERLINK("#",""), HYPERLINK(CONCATENATE("#Metadata!", ADDRESS(INDEX($Q$2:$Q$1001,MATCH(ROWS($O$2:O541),$O$2:$O$1001,0),0), INDEX($V$1004:$AE$1004,1,MATCH(COLUMNS($V$1006:Z1006),$V$1006:$AE$1006,0)))),"Fix")))</f>
        <v>0</v>
      </c>
      <c r="G541" s="4">
        <f>IF(OR(INDEX($P$2:$P$1001,MATCH(ROWS($O$2:O541),$O$2:$O$1001,0),1)&gt;=100000,INDEX($V$1005:$AE$1005,1,MATCH(COLUMNS($V$1006:AA1006),$V$1006:$AE$1006,0))&gt;=100000), " ",IF(INDEX($V$2:$AE$1001,MATCH(ROWS($O$2:O541),$O$2:$O$1001,0),MATCH(COLUMNS($V$1006:AA1006),$V$1006:$AE$1006,0)), HYPERLINK("#",""), HYPERLINK(CONCATENATE("#Metadata!", ADDRESS(INDEX($Q$2:$Q$1001,MATCH(ROWS($O$2:O541),$O$2:$O$1001,0),0), INDEX($V$1004:$AE$1004,1,MATCH(COLUMNS($V$1006:AA1006),$V$1006:$AE$1006,0)))),"Fix")))</f>
        <v>0</v>
      </c>
      <c r="H541" s="4">
        <f>IF(OR(INDEX($P$2:$P$1001,MATCH(ROWS($O$2:O541),$O$2:$O$1001,0),1)&gt;=100000,INDEX($V$1005:$AE$1005,1,MATCH(COLUMNS($V$1006:AB1006),$V$1006:$AE$1006,0))&gt;=100000), " ",IF(INDEX($V$2:$AE$1001,MATCH(ROWS($O$2:O541),$O$2:$O$1001,0),MATCH(COLUMNS($V$1006:AB1006),$V$1006:$AE$1006,0)), HYPERLINK("#",""), HYPERLINK(CONCATENATE("#Metadata!", ADDRESS(INDEX($Q$2:$Q$1001,MATCH(ROWS($O$2:O541),$O$2:$O$1001,0),0), INDEX($V$1004:$AE$1004,1,MATCH(COLUMNS($V$1006:AB1006),$V$1006:$AE$1006,0)))),"Fix")))</f>
        <v>0</v>
      </c>
      <c r="I541" s="4">
        <f>IF(OR(INDEX($P$2:$P$1001,MATCH(ROWS($O$2:O541),$O$2:$O$1001,0),1)&gt;=100000,INDEX($V$1005:$AE$1005,1,MATCH(COLUMNS($V$1006:AC1006),$V$1006:$AE$1006,0))&gt;=100000), " ",IF(INDEX($V$2:$AE$1001,MATCH(ROWS($O$2:O541),$O$2:$O$1001,0),MATCH(COLUMNS($V$1006:AC1006),$V$1006:$AE$1006,0)), HYPERLINK("#",""), HYPERLINK(CONCATENATE("#Metadata!", ADDRESS(INDEX($Q$2:$Q$1001,MATCH(ROWS($O$2:O541),$O$2:$O$1001,0),0), INDEX($V$1004:$AE$1004,1,MATCH(COLUMNS($V$1006:AC1006),$V$1006:$AE$1006,0)))),"Fix")))</f>
        <v>0</v>
      </c>
      <c r="J541" s="4">
        <f>IF(OR(INDEX($P$2:$P$1001,MATCH(ROWS($O$2:O541),$O$2:$O$1001,0),1)&gt;=100000,INDEX($V$1005:$AE$1005,1,MATCH(COLUMNS($V$1006:AD1006),$V$1006:$AE$1006,0))&gt;=100000), " ",IF(INDEX($V$2:$AE$1001,MATCH(ROWS($O$2:O541),$O$2:$O$1001,0),MATCH(COLUMNS($V$1006:AD1006),$V$1006:$AE$1006,0)), HYPERLINK("#",""), HYPERLINK(CONCATENATE("#Metadata!", ADDRESS(INDEX($Q$2:$Q$1001,MATCH(ROWS($O$2:O541),$O$2:$O$1001,0),0), INDEX($V$1004:$AE$1004,1,MATCH(COLUMNS($V$1006:AD1006),$V$1006:$AE$1006,0)))),"Fix")))</f>
        <v>0</v>
      </c>
      <c r="K541" s="4">
        <f>IF(OR(INDEX($P$2:$P$1001,MATCH(ROWS($O$2:O541),$O$2:$O$1001,0),1)&gt;=100000,INDEX($V$1005:$AE$1005,1,MATCH(COLUMNS($V$1006:AE1006),$V$1006:$AE$1006,0))&gt;=100000), " ",IF(INDEX($V$2:$AE$1001,MATCH(ROWS($O$2:O541),$O$2:$O$1001,0),MATCH(COLUMNS($V$1006:AE1006),$V$1006:$AE$1006,0)), HYPERLINK("#",""), HYPERLINK(CONCATENATE("#Metadata!", ADDRESS(INDEX($Q$2:$Q$1001,MATCH(ROWS($O$2:O541),$O$2:$O$1001,0),0), INDEX($V$1004:$AE$1004,1,MATCH(COLUMNS($V$1006:AE1006),$V$1006:$AE$1006,0)))),"Fix")))</f>
        <v>0</v>
      </c>
      <c r="O541">
        <v>0</v>
      </c>
      <c r="P541">
        <v>0</v>
      </c>
      <c r="Q541">
        <v>0</v>
      </c>
      <c r="R541">
        <f>IF(S541,TRUE,AND(V541:AE541))</f>
        <v>0</v>
      </c>
      <c r="S541">
        <f>COUNTBLANK(Metadata!B541:K541)=COLUMNS(Metadata!B541:K541)</f>
        <v>0</v>
      </c>
      <c r="T541">
        <v>0</v>
      </c>
      <c r="V541">
        <f>AND(IF(Metadata!B541="",FALSE,TRUE),COUNTIF(Metadata!B:B, Metadata!B541) = 1,NOT(ISERROR(SUMPRODUCT(SEARCH(MID(Metadata!B541,ROW(INDIRECT("1:"&amp;LEN(Metadata!B541))), 1),"0123456789abcdefghijklmnopqrstuvwxyzABCDEFGHIJKLMNOPQRSTUVWXYZ.")))))</f>
        <v>0</v>
      </c>
      <c r="W541">
        <f>AND(IF(Metadata!C541="",FALSE,TRUE),exact(Metadata!C541,"urban biome"))</f>
        <v>0</v>
      </c>
      <c r="X541">
        <f>AND(IF(Metadata!D541="",FALSE,TRUE),exact(Metadata!D541,"animal-associated habitat"))</f>
        <v>0</v>
      </c>
      <c r="Y541">
        <f>OR(AND(IF(Metadata!E541="",FALSE,TRUE),OR(exact(Metadata!E541,"not applicable"),exact(Metadata!E541,"missing: not collected"),exact(Metadata!E541,"missing: not provided"),exact(Metadata!E541,"missing: restricted access"))),AND(IF(Metadata!E541="",FALSE,ISNUMBER(VALUE(Metadata!E541))),Metadata!E541&gt;0))</f>
        <v>0</v>
      </c>
      <c r="Z541">
        <f>AND(IF(Metadata!F541="",FALSE,TRUE),exact(Metadata!F541,"weeks"))</f>
        <v>0</v>
      </c>
      <c r="AA541">
        <f>AND(IF(Metadata!G541="",FALSE,TRUE),exact(Metadata!G541,"mouse"))</f>
        <v>0</v>
      </c>
      <c r="AB541">
        <f>AND(IF(Metadata!H541="",FALSE,TRUE),exact(Metadata!H541,"Mus musculus"))</f>
        <v>0</v>
      </c>
      <c r="AC541">
        <f>AND(IF(Metadata!I541="",FALSE,TRUE),exact(Metadata!I541,"10090"))</f>
        <v>0</v>
      </c>
      <c r="AD541">
        <f>OR(AND(IF(Metadata!J541="",FALSE,TRUE),OR(exact(Metadata!J541,"not applicable"),exact(Metadata!J541,"missing: not collected"),exact(Metadata!J541,"missing: not provided"),exact(Metadata!J541,"missing: restricted access"))),AND(IF(Metadata!J541="",FALSE,ISNUMBER(VALUE(Metadata!J541))),Metadata!J541&gt;0))</f>
        <v>0</v>
      </c>
      <c r="AE541">
        <f>AND(IF(Metadata!K541="",FALSE,TRUE),exact(Metadata!K541,"g"))</f>
        <v>0</v>
      </c>
    </row>
    <row r="542" spans="1:31">
      <c r="A542" s="5">
        <f>IF(B542=" "," ",HYPERLINK(CONCATENATE("#metadata!",ADDRESS(INDEX($Q$2:$Q$1001,MATCH(ROWS($O$2:O542),$O$2:$O$1001,0),0),1)),INDEX($T$2:$T$1001,MATCH(ROWS($O$2:O542),$O$2:$O$1001,0),0)))</f>
        <v>0</v>
      </c>
      <c r="B542" s="4">
        <f>IF(OR(INDEX($P$2:$P$1001,MATCH(ROWS($O$2:O542),$O$2:$O$1001,0),1)&gt;=100000,INDEX($V$1005:$AE$1005,1,MATCH(COLUMNS($V$1006:V1006),$V$1006:$AE$1006,0))&gt;=100000), " ",IF(INDEX($V$2:$AE$1001,MATCH(ROWS($O$2:O542),$O$2:$O$1001,0),MATCH(COLUMNS($V$1006:V1006),$V$1006:$AE$1006,0)), HYPERLINK("#",""), HYPERLINK(CONCATENATE("#Metadata!", ADDRESS(INDEX($Q$2:$Q$1001,MATCH(ROWS($O$2:O542),$O$2:$O$1001,0),0), INDEX($V$1004:$AE$1004,1,MATCH(COLUMNS($V$1006:V1006),$V$1006:$AE$1006,0)))),"Fix")))</f>
        <v>0</v>
      </c>
      <c r="C542" s="4">
        <f>IF(OR(INDEX($P$2:$P$1001,MATCH(ROWS($O$2:O542),$O$2:$O$1001,0),1)&gt;=100000,INDEX($V$1005:$AE$1005,1,MATCH(COLUMNS($V$1006:W1006),$V$1006:$AE$1006,0))&gt;=100000), " ",IF(INDEX($V$2:$AE$1001,MATCH(ROWS($O$2:O542),$O$2:$O$1001,0),MATCH(COLUMNS($V$1006:W1006),$V$1006:$AE$1006,0)), HYPERLINK("#",""), HYPERLINK(CONCATENATE("#Metadata!", ADDRESS(INDEX($Q$2:$Q$1001,MATCH(ROWS($O$2:O542),$O$2:$O$1001,0),0), INDEX($V$1004:$AE$1004,1,MATCH(COLUMNS($V$1006:W1006),$V$1006:$AE$1006,0)))),"Fix")))</f>
        <v>0</v>
      </c>
      <c r="D542" s="4">
        <f>IF(OR(INDEX($P$2:$P$1001,MATCH(ROWS($O$2:O542),$O$2:$O$1001,0),1)&gt;=100000,INDEX($V$1005:$AE$1005,1,MATCH(COLUMNS($V$1006:X1006),$V$1006:$AE$1006,0))&gt;=100000), " ",IF(INDEX($V$2:$AE$1001,MATCH(ROWS($O$2:O542),$O$2:$O$1001,0),MATCH(COLUMNS($V$1006:X1006),$V$1006:$AE$1006,0)), HYPERLINK("#",""), HYPERLINK(CONCATENATE("#Metadata!", ADDRESS(INDEX($Q$2:$Q$1001,MATCH(ROWS($O$2:O542),$O$2:$O$1001,0),0), INDEX($V$1004:$AE$1004,1,MATCH(COLUMNS($V$1006:X1006),$V$1006:$AE$1006,0)))),"Fix")))</f>
        <v>0</v>
      </c>
      <c r="E542" s="4">
        <f>IF(OR(INDEX($P$2:$P$1001,MATCH(ROWS($O$2:O542),$O$2:$O$1001,0),1)&gt;=100000,INDEX($V$1005:$AE$1005,1,MATCH(COLUMNS($V$1006:Y1006),$V$1006:$AE$1006,0))&gt;=100000), " ",IF(INDEX($V$2:$AE$1001,MATCH(ROWS($O$2:O542),$O$2:$O$1001,0),MATCH(COLUMNS($V$1006:Y1006),$V$1006:$AE$1006,0)), HYPERLINK("#",""), HYPERLINK(CONCATENATE("#Metadata!", ADDRESS(INDEX($Q$2:$Q$1001,MATCH(ROWS($O$2:O542),$O$2:$O$1001,0),0), INDEX($V$1004:$AE$1004,1,MATCH(COLUMNS($V$1006:Y1006),$V$1006:$AE$1006,0)))),"Fix")))</f>
        <v>0</v>
      </c>
      <c r="F542" s="4">
        <f>IF(OR(INDEX($P$2:$P$1001,MATCH(ROWS($O$2:O542),$O$2:$O$1001,0),1)&gt;=100000,INDEX($V$1005:$AE$1005,1,MATCH(COLUMNS($V$1006:Z1006),$V$1006:$AE$1006,0))&gt;=100000), " ",IF(INDEX($V$2:$AE$1001,MATCH(ROWS($O$2:O542),$O$2:$O$1001,0),MATCH(COLUMNS($V$1006:Z1006),$V$1006:$AE$1006,0)), HYPERLINK("#",""), HYPERLINK(CONCATENATE("#Metadata!", ADDRESS(INDEX($Q$2:$Q$1001,MATCH(ROWS($O$2:O542),$O$2:$O$1001,0),0), INDEX($V$1004:$AE$1004,1,MATCH(COLUMNS($V$1006:Z1006),$V$1006:$AE$1006,0)))),"Fix")))</f>
        <v>0</v>
      </c>
      <c r="G542" s="4">
        <f>IF(OR(INDEX($P$2:$P$1001,MATCH(ROWS($O$2:O542),$O$2:$O$1001,0),1)&gt;=100000,INDEX($V$1005:$AE$1005,1,MATCH(COLUMNS($V$1006:AA1006),$V$1006:$AE$1006,0))&gt;=100000), " ",IF(INDEX($V$2:$AE$1001,MATCH(ROWS($O$2:O542),$O$2:$O$1001,0),MATCH(COLUMNS($V$1006:AA1006),$V$1006:$AE$1006,0)), HYPERLINK("#",""), HYPERLINK(CONCATENATE("#Metadata!", ADDRESS(INDEX($Q$2:$Q$1001,MATCH(ROWS($O$2:O542),$O$2:$O$1001,0),0), INDEX($V$1004:$AE$1004,1,MATCH(COLUMNS($V$1006:AA1006),$V$1006:$AE$1006,0)))),"Fix")))</f>
        <v>0</v>
      </c>
      <c r="H542" s="4">
        <f>IF(OR(INDEX($P$2:$P$1001,MATCH(ROWS($O$2:O542),$O$2:$O$1001,0),1)&gt;=100000,INDEX($V$1005:$AE$1005,1,MATCH(COLUMNS($V$1006:AB1006),$V$1006:$AE$1006,0))&gt;=100000), " ",IF(INDEX($V$2:$AE$1001,MATCH(ROWS($O$2:O542),$O$2:$O$1001,0),MATCH(COLUMNS($V$1006:AB1006),$V$1006:$AE$1006,0)), HYPERLINK("#",""), HYPERLINK(CONCATENATE("#Metadata!", ADDRESS(INDEX($Q$2:$Q$1001,MATCH(ROWS($O$2:O542),$O$2:$O$1001,0),0), INDEX($V$1004:$AE$1004,1,MATCH(COLUMNS($V$1006:AB1006),$V$1006:$AE$1006,0)))),"Fix")))</f>
        <v>0</v>
      </c>
      <c r="I542" s="4">
        <f>IF(OR(INDEX($P$2:$P$1001,MATCH(ROWS($O$2:O542),$O$2:$O$1001,0),1)&gt;=100000,INDEX($V$1005:$AE$1005,1,MATCH(COLUMNS($V$1006:AC1006),$V$1006:$AE$1006,0))&gt;=100000), " ",IF(INDEX($V$2:$AE$1001,MATCH(ROWS($O$2:O542),$O$2:$O$1001,0),MATCH(COLUMNS($V$1006:AC1006),$V$1006:$AE$1006,0)), HYPERLINK("#",""), HYPERLINK(CONCATENATE("#Metadata!", ADDRESS(INDEX($Q$2:$Q$1001,MATCH(ROWS($O$2:O542),$O$2:$O$1001,0),0), INDEX($V$1004:$AE$1004,1,MATCH(COLUMNS($V$1006:AC1006),$V$1006:$AE$1006,0)))),"Fix")))</f>
        <v>0</v>
      </c>
      <c r="J542" s="4">
        <f>IF(OR(INDEX($P$2:$P$1001,MATCH(ROWS($O$2:O542),$O$2:$O$1001,0),1)&gt;=100000,INDEX($V$1005:$AE$1005,1,MATCH(COLUMNS($V$1006:AD1006),$V$1006:$AE$1006,0))&gt;=100000), " ",IF(INDEX($V$2:$AE$1001,MATCH(ROWS($O$2:O542),$O$2:$O$1001,0),MATCH(COLUMNS($V$1006:AD1006),$V$1006:$AE$1006,0)), HYPERLINK("#",""), HYPERLINK(CONCATENATE("#Metadata!", ADDRESS(INDEX($Q$2:$Q$1001,MATCH(ROWS($O$2:O542),$O$2:$O$1001,0),0), INDEX($V$1004:$AE$1004,1,MATCH(COLUMNS($V$1006:AD1006),$V$1006:$AE$1006,0)))),"Fix")))</f>
        <v>0</v>
      </c>
      <c r="K542" s="4">
        <f>IF(OR(INDEX($P$2:$P$1001,MATCH(ROWS($O$2:O542),$O$2:$O$1001,0),1)&gt;=100000,INDEX($V$1005:$AE$1005,1,MATCH(COLUMNS($V$1006:AE1006),$V$1006:$AE$1006,0))&gt;=100000), " ",IF(INDEX($V$2:$AE$1001,MATCH(ROWS($O$2:O542),$O$2:$O$1001,0),MATCH(COLUMNS($V$1006:AE1006),$V$1006:$AE$1006,0)), HYPERLINK("#",""), HYPERLINK(CONCATENATE("#Metadata!", ADDRESS(INDEX($Q$2:$Q$1001,MATCH(ROWS($O$2:O542),$O$2:$O$1001,0),0), INDEX($V$1004:$AE$1004,1,MATCH(COLUMNS($V$1006:AE1006),$V$1006:$AE$1006,0)))),"Fix")))</f>
        <v>0</v>
      </c>
      <c r="O542">
        <v>0</v>
      </c>
      <c r="P542">
        <v>0</v>
      </c>
      <c r="Q542">
        <v>0</v>
      </c>
      <c r="R542">
        <f>IF(S542,TRUE,AND(V542:AE542))</f>
        <v>0</v>
      </c>
      <c r="S542">
        <f>COUNTBLANK(Metadata!B542:K542)=COLUMNS(Metadata!B542:K542)</f>
        <v>0</v>
      </c>
      <c r="T542">
        <v>0</v>
      </c>
      <c r="V542">
        <f>AND(IF(Metadata!B542="",FALSE,TRUE),COUNTIF(Metadata!B:B, Metadata!B542) = 1,NOT(ISERROR(SUMPRODUCT(SEARCH(MID(Metadata!B542,ROW(INDIRECT("1:"&amp;LEN(Metadata!B542))), 1),"0123456789abcdefghijklmnopqrstuvwxyzABCDEFGHIJKLMNOPQRSTUVWXYZ.")))))</f>
        <v>0</v>
      </c>
      <c r="W542">
        <f>AND(IF(Metadata!C542="",FALSE,TRUE),exact(Metadata!C542,"urban biome"))</f>
        <v>0</v>
      </c>
      <c r="X542">
        <f>AND(IF(Metadata!D542="",FALSE,TRUE),exact(Metadata!D542,"animal-associated habitat"))</f>
        <v>0</v>
      </c>
      <c r="Y542">
        <f>OR(AND(IF(Metadata!E542="",FALSE,TRUE),OR(exact(Metadata!E542,"not applicable"),exact(Metadata!E542,"missing: not collected"),exact(Metadata!E542,"missing: not provided"),exact(Metadata!E542,"missing: restricted access"))),AND(IF(Metadata!E542="",FALSE,ISNUMBER(VALUE(Metadata!E542))),Metadata!E542&gt;0))</f>
        <v>0</v>
      </c>
      <c r="Z542">
        <f>AND(IF(Metadata!F542="",FALSE,TRUE),exact(Metadata!F542,"weeks"))</f>
        <v>0</v>
      </c>
      <c r="AA542">
        <f>AND(IF(Metadata!G542="",FALSE,TRUE),exact(Metadata!G542,"mouse"))</f>
        <v>0</v>
      </c>
      <c r="AB542">
        <f>AND(IF(Metadata!H542="",FALSE,TRUE),exact(Metadata!H542,"Mus musculus"))</f>
        <v>0</v>
      </c>
      <c r="AC542">
        <f>AND(IF(Metadata!I542="",FALSE,TRUE),exact(Metadata!I542,"10090"))</f>
        <v>0</v>
      </c>
      <c r="AD542">
        <f>OR(AND(IF(Metadata!J542="",FALSE,TRUE),OR(exact(Metadata!J542,"not applicable"),exact(Metadata!J542,"missing: not collected"),exact(Metadata!J542,"missing: not provided"),exact(Metadata!J542,"missing: restricted access"))),AND(IF(Metadata!J542="",FALSE,ISNUMBER(VALUE(Metadata!J542))),Metadata!J542&gt;0))</f>
        <v>0</v>
      </c>
      <c r="AE542">
        <f>AND(IF(Metadata!K542="",FALSE,TRUE),exact(Metadata!K542,"g"))</f>
        <v>0</v>
      </c>
    </row>
    <row r="543" spans="1:31">
      <c r="A543" s="5">
        <f>IF(B543=" "," ",HYPERLINK(CONCATENATE("#metadata!",ADDRESS(INDEX($Q$2:$Q$1001,MATCH(ROWS($O$2:O543),$O$2:$O$1001,0),0),1)),INDEX($T$2:$T$1001,MATCH(ROWS($O$2:O543),$O$2:$O$1001,0),0)))</f>
        <v>0</v>
      </c>
      <c r="B543" s="4">
        <f>IF(OR(INDEX($P$2:$P$1001,MATCH(ROWS($O$2:O543),$O$2:$O$1001,0),1)&gt;=100000,INDEX($V$1005:$AE$1005,1,MATCH(COLUMNS($V$1006:V1006),$V$1006:$AE$1006,0))&gt;=100000), " ",IF(INDEX($V$2:$AE$1001,MATCH(ROWS($O$2:O543),$O$2:$O$1001,0),MATCH(COLUMNS($V$1006:V1006),$V$1006:$AE$1006,0)), HYPERLINK("#",""), HYPERLINK(CONCATENATE("#Metadata!", ADDRESS(INDEX($Q$2:$Q$1001,MATCH(ROWS($O$2:O543),$O$2:$O$1001,0),0), INDEX($V$1004:$AE$1004,1,MATCH(COLUMNS($V$1006:V1006),$V$1006:$AE$1006,0)))),"Fix")))</f>
        <v>0</v>
      </c>
      <c r="C543" s="4">
        <f>IF(OR(INDEX($P$2:$P$1001,MATCH(ROWS($O$2:O543),$O$2:$O$1001,0),1)&gt;=100000,INDEX($V$1005:$AE$1005,1,MATCH(COLUMNS($V$1006:W1006),$V$1006:$AE$1006,0))&gt;=100000), " ",IF(INDEX($V$2:$AE$1001,MATCH(ROWS($O$2:O543),$O$2:$O$1001,0),MATCH(COLUMNS($V$1006:W1006),$V$1006:$AE$1006,0)), HYPERLINK("#",""), HYPERLINK(CONCATENATE("#Metadata!", ADDRESS(INDEX($Q$2:$Q$1001,MATCH(ROWS($O$2:O543),$O$2:$O$1001,0),0), INDEX($V$1004:$AE$1004,1,MATCH(COLUMNS($V$1006:W1006),$V$1006:$AE$1006,0)))),"Fix")))</f>
        <v>0</v>
      </c>
      <c r="D543" s="4">
        <f>IF(OR(INDEX($P$2:$P$1001,MATCH(ROWS($O$2:O543),$O$2:$O$1001,0),1)&gt;=100000,INDEX($V$1005:$AE$1005,1,MATCH(COLUMNS($V$1006:X1006),$V$1006:$AE$1006,0))&gt;=100000), " ",IF(INDEX($V$2:$AE$1001,MATCH(ROWS($O$2:O543),$O$2:$O$1001,0),MATCH(COLUMNS($V$1006:X1006),$V$1006:$AE$1006,0)), HYPERLINK("#",""), HYPERLINK(CONCATENATE("#Metadata!", ADDRESS(INDEX($Q$2:$Q$1001,MATCH(ROWS($O$2:O543),$O$2:$O$1001,0),0), INDEX($V$1004:$AE$1004,1,MATCH(COLUMNS($V$1006:X1006),$V$1006:$AE$1006,0)))),"Fix")))</f>
        <v>0</v>
      </c>
      <c r="E543" s="4">
        <f>IF(OR(INDEX($P$2:$P$1001,MATCH(ROWS($O$2:O543),$O$2:$O$1001,0),1)&gt;=100000,INDEX($V$1005:$AE$1005,1,MATCH(COLUMNS($V$1006:Y1006),$V$1006:$AE$1006,0))&gt;=100000), " ",IF(INDEX($V$2:$AE$1001,MATCH(ROWS($O$2:O543),$O$2:$O$1001,0),MATCH(COLUMNS($V$1006:Y1006),$V$1006:$AE$1006,0)), HYPERLINK("#",""), HYPERLINK(CONCATENATE("#Metadata!", ADDRESS(INDEX($Q$2:$Q$1001,MATCH(ROWS($O$2:O543),$O$2:$O$1001,0),0), INDEX($V$1004:$AE$1004,1,MATCH(COLUMNS($V$1006:Y1006),$V$1006:$AE$1006,0)))),"Fix")))</f>
        <v>0</v>
      </c>
      <c r="F543" s="4">
        <f>IF(OR(INDEX($P$2:$P$1001,MATCH(ROWS($O$2:O543),$O$2:$O$1001,0),1)&gt;=100000,INDEX($V$1005:$AE$1005,1,MATCH(COLUMNS($V$1006:Z1006),$V$1006:$AE$1006,0))&gt;=100000), " ",IF(INDEX($V$2:$AE$1001,MATCH(ROWS($O$2:O543),$O$2:$O$1001,0),MATCH(COLUMNS($V$1006:Z1006),$V$1006:$AE$1006,0)), HYPERLINK("#",""), HYPERLINK(CONCATENATE("#Metadata!", ADDRESS(INDEX($Q$2:$Q$1001,MATCH(ROWS($O$2:O543),$O$2:$O$1001,0),0), INDEX($V$1004:$AE$1004,1,MATCH(COLUMNS($V$1006:Z1006),$V$1006:$AE$1006,0)))),"Fix")))</f>
        <v>0</v>
      </c>
      <c r="G543" s="4">
        <f>IF(OR(INDEX($P$2:$P$1001,MATCH(ROWS($O$2:O543),$O$2:$O$1001,0),1)&gt;=100000,INDEX($V$1005:$AE$1005,1,MATCH(COLUMNS($V$1006:AA1006),$V$1006:$AE$1006,0))&gt;=100000), " ",IF(INDEX($V$2:$AE$1001,MATCH(ROWS($O$2:O543),$O$2:$O$1001,0),MATCH(COLUMNS($V$1006:AA1006),$V$1006:$AE$1006,0)), HYPERLINK("#",""), HYPERLINK(CONCATENATE("#Metadata!", ADDRESS(INDEX($Q$2:$Q$1001,MATCH(ROWS($O$2:O543),$O$2:$O$1001,0),0), INDEX($V$1004:$AE$1004,1,MATCH(COLUMNS($V$1006:AA1006),$V$1006:$AE$1006,0)))),"Fix")))</f>
        <v>0</v>
      </c>
      <c r="H543" s="4">
        <f>IF(OR(INDEX($P$2:$P$1001,MATCH(ROWS($O$2:O543),$O$2:$O$1001,0),1)&gt;=100000,INDEX($V$1005:$AE$1005,1,MATCH(COLUMNS($V$1006:AB1006),$V$1006:$AE$1006,0))&gt;=100000), " ",IF(INDEX($V$2:$AE$1001,MATCH(ROWS($O$2:O543),$O$2:$O$1001,0),MATCH(COLUMNS($V$1006:AB1006),$V$1006:$AE$1006,0)), HYPERLINK("#",""), HYPERLINK(CONCATENATE("#Metadata!", ADDRESS(INDEX($Q$2:$Q$1001,MATCH(ROWS($O$2:O543),$O$2:$O$1001,0),0), INDEX($V$1004:$AE$1004,1,MATCH(COLUMNS($V$1006:AB1006),$V$1006:$AE$1006,0)))),"Fix")))</f>
        <v>0</v>
      </c>
      <c r="I543" s="4">
        <f>IF(OR(INDEX($P$2:$P$1001,MATCH(ROWS($O$2:O543),$O$2:$O$1001,0),1)&gt;=100000,INDEX($V$1005:$AE$1005,1,MATCH(COLUMNS($V$1006:AC1006),$V$1006:$AE$1006,0))&gt;=100000), " ",IF(INDEX($V$2:$AE$1001,MATCH(ROWS($O$2:O543),$O$2:$O$1001,0),MATCH(COLUMNS($V$1006:AC1006),$V$1006:$AE$1006,0)), HYPERLINK("#",""), HYPERLINK(CONCATENATE("#Metadata!", ADDRESS(INDEX($Q$2:$Q$1001,MATCH(ROWS($O$2:O543),$O$2:$O$1001,0),0), INDEX($V$1004:$AE$1004,1,MATCH(COLUMNS($V$1006:AC1006),$V$1006:$AE$1006,0)))),"Fix")))</f>
        <v>0</v>
      </c>
      <c r="J543" s="4">
        <f>IF(OR(INDEX($P$2:$P$1001,MATCH(ROWS($O$2:O543),$O$2:$O$1001,0),1)&gt;=100000,INDEX($V$1005:$AE$1005,1,MATCH(COLUMNS($V$1006:AD1006),$V$1006:$AE$1006,0))&gt;=100000), " ",IF(INDEX($V$2:$AE$1001,MATCH(ROWS($O$2:O543),$O$2:$O$1001,0),MATCH(COLUMNS($V$1006:AD1006),$V$1006:$AE$1006,0)), HYPERLINK("#",""), HYPERLINK(CONCATENATE("#Metadata!", ADDRESS(INDEX($Q$2:$Q$1001,MATCH(ROWS($O$2:O543),$O$2:$O$1001,0),0), INDEX($V$1004:$AE$1004,1,MATCH(COLUMNS($V$1006:AD1006),$V$1006:$AE$1006,0)))),"Fix")))</f>
        <v>0</v>
      </c>
      <c r="K543" s="4">
        <f>IF(OR(INDEX($P$2:$P$1001,MATCH(ROWS($O$2:O543),$O$2:$O$1001,0),1)&gt;=100000,INDEX($V$1005:$AE$1005,1,MATCH(COLUMNS($V$1006:AE1006),$V$1006:$AE$1006,0))&gt;=100000), " ",IF(INDEX($V$2:$AE$1001,MATCH(ROWS($O$2:O543),$O$2:$O$1001,0),MATCH(COLUMNS($V$1006:AE1006),$V$1006:$AE$1006,0)), HYPERLINK("#",""), HYPERLINK(CONCATENATE("#Metadata!", ADDRESS(INDEX($Q$2:$Q$1001,MATCH(ROWS($O$2:O543),$O$2:$O$1001,0),0), INDEX($V$1004:$AE$1004,1,MATCH(COLUMNS($V$1006:AE1006),$V$1006:$AE$1006,0)))),"Fix")))</f>
        <v>0</v>
      </c>
      <c r="O543">
        <v>0</v>
      </c>
      <c r="P543">
        <v>0</v>
      </c>
      <c r="Q543">
        <v>0</v>
      </c>
      <c r="R543">
        <f>IF(S543,TRUE,AND(V543:AE543))</f>
        <v>0</v>
      </c>
      <c r="S543">
        <f>COUNTBLANK(Metadata!B543:K543)=COLUMNS(Metadata!B543:K543)</f>
        <v>0</v>
      </c>
      <c r="T543">
        <v>0</v>
      </c>
      <c r="V543">
        <f>AND(IF(Metadata!B543="",FALSE,TRUE),COUNTIF(Metadata!B:B, Metadata!B543) = 1,NOT(ISERROR(SUMPRODUCT(SEARCH(MID(Metadata!B543,ROW(INDIRECT("1:"&amp;LEN(Metadata!B543))), 1),"0123456789abcdefghijklmnopqrstuvwxyzABCDEFGHIJKLMNOPQRSTUVWXYZ.")))))</f>
        <v>0</v>
      </c>
      <c r="W543">
        <f>AND(IF(Metadata!C543="",FALSE,TRUE),exact(Metadata!C543,"urban biome"))</f>
        <v>0</v>
      </c>
      <c r="X543">
        <f>AND(IF(Metadata!D543="",FALSE,TRUE),exact(Metadata!D543,"animal-associated habitat"))</f>
        <v>0</v>
      </c>
      <c r="Y543">
        <f>OR(AND(IF(Metadata!E543="",FALSE,TRUE),OR(exact(Metadata!E543,"not applicable"),exact(Metadata!E543,"missing: not collected"),exact(Metadata!E543,"missing: not provided"),exact(Metadata!E543,"missing: restricted access"))),AND(IF(Metadata!E543="",FALSE,ISNUMBER(VALUE(Metadata!E543))),Metadata!E543&gt;0))</f>
        <v>0</v>
      </c>
      <c r="Z543">
        <f>AND(IF(Metadata!F543="",FALSE,TRUE),exact(Metadata!F543,"weeks"))</f>
        <v>0</v>
      </c>
      <c r="AA543">
        <f>AND(IF(Metadata!G543="",FALSE,TRUE),exact(Metadata!G543,"mouse"))</f>
        <v>0</v>
      </c>
      <c r="AB543">
        <f>AND(IF(Metadata!H543="",FALSE,TRUE),exact(Metadata!H543,"Mus musculus"))</f>
        <v>0</v>
      </c>
      <c r="AC543">
        <f>AND(IF(Metadata!I543="",FALSE,TRUE),exact(Metadata!I543,"10090"))</f>
        <v>0</v>
      </c>
      <c r="AD543">
        <f>OR(AND(IF(Metadata!J543="",FALSE,TRUE),OR(exact(Metadata!J543,"not applicable"),exact(Metadata!J543,"missing: not collected"),exact(Metadata!J543,"missing: not provided"),exact(Metadata!J543,"missing: restricted access"))),AND(IF(Metadata!J543="",FALSE,ISNUMBER(VALUE(Metadata!J543))),Metadata!J543&gt;0))</f>
        <v>0</v>
      </c>
      <c r="AE543">
        <f>AND(IF(Metadata!K543="",FALSE,TRUE),exact(Metadata!K543,"g"))</f>
        <v>0</v>
      </c>
    </row>
    <row r="544" spans="1:31">
      <c r="A544" s="5">
        <f>IF(B544=" "," ",HYPERLINK(CONCATENATE("#metadata!",ADDRESS(INDEX($Q$2:$Q$1001,MATCH(ROWS($O$2:O544),$O$2:$O$1001,0),0),1)),INDEX($T$2:$T$1001,MATCH(ROWS($O$2:O544),$O$2:$O$1001,0),0)))</f>
        <v>0</v>
      </c>
      <c r="B544" s="4">
        <f>IF(OR(INDEX($P$2:$P$1001,MATCH(ROWS($O$2:O544),$O$2:$O$1001,0),1)&gt;=100000,INDEX($V$1005:$AE$1005,1,MATCH(COLUMNS($V$1006:V1006),$V$1006:$AE$1006,0))&gt;=100000), " ",IF(INDEX($V$2:$AE$1001,MATCH(ROWS($O$2:O544),$O$2:$O$1001,0),MATCH(COLUMNS($V$1006:V1006),$V$1006:$AE$1006,0)), HYPERLINK("#",""), HYPERLINK(CONCATENATE("#Metadata!", ADDRESS(INDEX($Q$2:$Q$1001,MATCH(ROWS($O$2:O544),$O$2:$O$1001,0),0), INDEX($V$1004:$AE$1004,1,MATCH(COLUMNS($V$1006:V1006),$V$1006:$AE$1006,0)))),"Fix")))</f>
        <v>0</v>
      </c>
      <c r="C544" s="4">
        <f>IF(OR(INDEX($P$2:$P$1001,MATCH(ROWS($O$2:O544),$O$2:$O$1001,0),1)&gt;=100000,INDEX($V$1005:$AE$1005,1,MATCH(COLUMNS($V$1006:W1006),$V$1006:$AE$1006,0))&gt;=100000), " ",IF(INDEX($V$2:$AE$1001,MATCH(ROWS($O$2:O544),$O$2:$O$1001,0),MATCH(COLUMNS($V$1006:W1006),$V$1006:$AE$1006,0)), HYPERLINK("#",""), HYPERLINK(CONCATENATE("#Metadata!", ADDRESS(INDEX($Q$2:$Q$1001,MATCH(ROWS($O$2:O544),$O$2:$O$1001,0),0), INDEX($V$1004:$AE$1004,1,MATCH(COLUMNS($V$1006:W1006),$V$1006:$AE$1006,0)))),"Fix")))</f>
        <v>0</v>
      </c>
      <c r="D544" s="4">
        <f>IF(OR(INDEX($P$2:$P$1001,MATCH(ROWS($O$2:O544),$O$2:$O$1001,0),1)&gt;=100000,INDEX($V$1005:$AE$1005,1,MATCH(COLUMNS($V$1006:X1006),$V$1006:$AE$1006,0))&gt;=100000), " ",IF(INDEX($V$2:$AE$1001,MATCH(ROWS($O$2:O544),$O$2:$O$1001,0),MATCH(COLUMNS($V$1006:X1006),$V$1006:$AE$1006,0)), HYPERLINK("#",""), HYPERLINK(CONCATENATE("#Metadata!", ADDRESS(INDEX($Q$2:$Q$1001,MATCH(ROWS($O$2:O544),$O$2:$O$1001,0),0), INDEX($V$1004:$AE$1004,1,MATCH(COLUMNS($V$1006:X1006),$V$1006:$AE$1006,0)))),"Fix")))</f>
        <v>0</v>
      </c>
      <c r="E544" s="4">
        <f>IF(OR(INDEX($P$2:$P$1001,MATCH(ROWS($O$2:O544),$O$2:$O$1001,0),1)&gt;=100000,INDEX($V$1005:$AE$1005,1,MATCH(COLUMNS($V$1006:Y1006),$V$1006:$AE$1006,0))&gt;=100000), " ",IF(INDEX($V$2:$AE$1001,MATCH(ROWS($O$2:O544),$O$2:$O$1001,0),MATCH(COLUMNS($V$1006:Y1006),$V$1006:$AE$1006,0)), HYPERLINK("#",""), HYPERLINK(CONCATENATE("#Metadata!", ADDRESS(INDEX($Q$2:$Q$1001,MATCH(ROWS($O$2:O544),$O$2:$O$1001,0),0), INDEX($V$1004:$AE$1004,1,MATCH(COLUMNS($V$1006:Y1006),$V$1006:$AE$1006,0)))),"Fix")))</f>
        <v>0</v>
      </c>
      <c r="F544" s="4">
        <f>IF(OR(INDEX($P$2:$P$1001,MATCH(ROWS($O$2:O544),$O$2:$O$1001,0),1)&gt;=100000,INDEX($V$1005:$AE$1005,1,MATCH(COLUMNS($V$1006:Z1006),$V$1006:$AE$1006,0))&gt;=100000), " ",IF(INDEX($V$2:$AE$1001,MATCH(ROWS($O$2:O544),$O$2:$O$1001,0),MATCH(COLUMNS($V$1006:Z1006),$V$1006:$AE$1006,0)), HYPERLINK("#",""), HYPERLINK(CONCATENATE("#Metadata!", ADDRESS(INDEX($Q$2:$Q$1001,MATCH(ROWS($O$2:O544),$O$2:$O$1001,0),0), INDEX($V$1004:$AE$1004,1,MATCH(COLUMNS($V$1006:Z1006),$V$1006:$AE$1006,0)))),"Fix")))</f>
        <v>0</v>
      </c>
      <c r="G544" s="4">
        <f>IF(OR(INDEX($P$2:$P$1001,MATCH(ROWS($O$2:O544),$O$2:$O$1001,0),1)&gt;=100000,INDEX($V$1005:$AE$1005,1,MATCH(COLUMNS($V$1006:AA1006),$V$1006:$AE$1006,0))&gt;=100000), " ",IF(INDEX($V$2:$AE$1001,MATCH(ROWS($O$2:O544),$O$2:$O$1001,0),MATCH(COLUMNS($V$1006:AA1006),$V$1006:$AE$1006,0)), HYPERLINK("#",""), HYPERLINK(CONCATENATE("#Metadata!", ADDRESS(INDEX($Q$2:$Q$1001,MATCH(ROWS($O$2:O544),$O$2:$O$1001,0),0), INDEX($V$1004:$AE$1004,1,MATCH(COLUMNS($V$1006:AA1006),$V$1006:$AE$1006,0)))),"Fix")))</f>
        <v>0</v>
      </c>
      <c r="H544" s="4">
        <f>IF(OR(INDEX($P$2:$P$1001,MATCH(ROWS($O$2:O544),$O$2:$O$1001,0),1)&gt;=100000,INDEX($V$1005:$AE$1005,1,MATCH(COLUMNS($V$1006:AB1006),$V$1006:$AE$1006,0))&gt;=100000), " ",IF(INDEX($V$2:$AE$1001,MATCH(ROWS($O$2:O544),$O$2:$O$1001,0),MATCH(COLUMNS($V$1006:AB1006),$V$1006:$AE$1006,0)), HYPERLINK("#",""), HYPERLINK(CONCATENATE("#Metadata!", ADDRESS(INDEX($Q$2:$Q$1001,MATCH(ROWS($O$2:O544),$O$2:$O$1001,0),0), INDEX($V$1004:$AE$1004,1,MATCH(COLUMNS($V$1006:AB1006),$V$1006:$AE$1006,0)))),"Fix")))</f>
        <v>0</v>
      </c>
      <c r="I544" s="4">
        <f>IF(OR(INDEX($P$2:$P$1001,MATCH(ROWS($O$2:O544),$O$2:$O$1001,0),1)&gt;=100000,INDEX($V$1005:$AE$1005,1,MATCH(COLUMNS($V$1006:AC1006),$V$1006:$AE$1006,0))&gt;=100000), " ",IF(INDEX($V$2:$AE$1001,MATCH(ROWS($O$2:O544),$O$2:$O$1001,0),MATCH(COLUMNS($V$1006:AC1006),$V$1006:$AE$1006,0)), HYPERLINK("#",""), HYPERLINK(CONCATENATE("#Metadata!", ADDRESS(INDEX($Q$2:$Q$1001,MATCH(ROWS($O$2:O544),$O$2:$O$1001,0),0), INDEX($V$1004:$AE$1004,1,MATCH(COLUMNS($V$1006:AC1006),$V$1006:$AE$1006,0)))),"Fix")))</f>
        <v>0</v>
      </c>
      <c r="J544" s="4">
        <f>IF(OR(INDEX($P$2:$P$1001,MATCH(ROWS($O$2:O544),$O$2:$O$1001,0),1)&gt;=100000,INDEX($V$1005:$AE$1005,1,MATCH(COLUMNS($V$1006:AD1006),$V$1006:$AE$1006,0))&gt;=100000), " ",IF(INDEX($V$2:$AE$1001,MATCH(ROWS($O$2:O544),$O$2:$O$1001,0),MATCH(COLUMNS($V$1006:AD1006),$V$1006:$AE$1006,0)), HYPERLINK("#",""), HYPERLINK(CONCATENATE("#Metadata!", ADDRESS(INDEX($Q$2:$Q$1001,MATCH(ROWS($O$2:O544),$O$2:$O$1001,0),0), INDEX($V$1004:$AE$1004,1,MATCH(COLUMNS($V$1006:AD1006),$V$1006:$AE$1006,0)))),"Fix")))</f>
        <v>0</v>
      </c>
      <c r="K544" s="4">
        <f>IF(OR(INDEX($P$2:$P$1001,MATCH(ROWS($O$2:O544),$O$2:$O$1001,0),1)&gt;=100000,INDEX($V$1005:$AE$1005,1,MATCH(COLUMNS($V$1006:AE1006),$V$1006:$AE$1006,0))&gt;=100000), " ",IF(INDEX($V$2:$AE$1001,MATCH(ROWS($O$2:O544),$O$2:$O$1001,0),MATCH(COLUMNS($V$1006:AE1006),$V$1006:$AE$1006,0)), HYPERLINK("#",""), HYPERLINK(CONCATENATE("#Metadata!", ADDRESS(INDEX($Q$2:$Q$1001,MATCH(ROWS($O$2:O544),$O$2:$O$1001,0),0), INDEX($V$1004:$AE$1004,1,MATCH(COLUMNS($V$1006:AE1006),$V$1006:$AE$1006,0)))),"Fix")))</f>
        <v>0</v>
      </c>
      <c r="O544">
        <v>0</v>
      </c>
      <c r="P544">
        <v>0</v>
      </c>
      <c r="Q544">
        <v>0</v>
      </c>
      <c r="R544">
        <f>IF(S544,TRUE,AND(V544:AE544))</f>
        <v>0</v>
      </c>
      <c r="S544">
        <f>COUNTBLANK(Metadata!B544:K544)=COLUMNS(Metadata!B544:K544)</f>
        <v>0</v>
      </c>
      <c r="T544">
        <v>0</v>
      </c>
      <c r="V544">
        <f>AND(IF(Metadata!B544="",FALSE,TRUE),COUNTIF(Metadata!B:B, Metadata!B544) = 1,NOT(ISERROR(SUMPRODUCT(SEARCH(MID(Metadata!B544,ROW(INDIRECT("1:"&amp;LEN(Metadata!B544))), 1),"0123456789abcdefghijklmnopqrstuvwxyzABCDEFGHIJKLMNOPQRSTUVWXYZ.")))))</f>
        <v>0</v>
      </c>
      <c r="W544">
        <f>AND(IF(Metadata!C544="",FALSE,TRUE),exact(Metadata!C544,"urban biome"))</f>
        <v>0</v>
      </c>
      <c r="X544">
        <f>AND(IF(Metadata!D544="",FALSE,TRUE),exact(Metadata!D544,"animal-associated habitat"))</f>
        <v>0</v>
      </c>
      <c r="Y544">
        <f>OR(AND(IF(Metadata!E544="",FALSE,TRUE),OR(exact(Metadata!E544,"not applicable"),exact(Metadata!E544,"missing: not collected"),exact(Metadata!E544,"missing: not provided"),exact(Metadata!E544,"missing: restricted access"))),AND(IF(Metadata!E544="",FALSE,ISNUMBER(VALUE(Metadata!E544))),Metadata!E544&gt;0))</f>
        <v>0</v>
      </c>
      <c r="Z544">
        <f>AND(IF(Metadata!F544="",FALSE,TRUE),exact(Metadata!F544,"weeks"))</f>
        <v>0</v>
      </c>
      <c r="AA544">
        <f>AND(IF(Metadata!G544="",FALSE,TRUE),exact(Metadata!G544,"mouse"))</f>
        <v>0</v>
      </c>
      <c r="AB544">
        <f>AND(IF(Metadata!H544="",FALSE,TRUE),exact(Metadata!H544,"Mus musculus"))</f>
        <v>0</v>
      </c>
      <c r="AC544">
        <f>AND(IF(Metadata!I544="",FALSE,TRUE),exact(Metadata!I544,"10090"))</f>
        <v>0</v>
      </c>
      <c r="AD544">
        <f>OR(AND(IF(Metadata!J544="",FALSE,TRUE),OR(exact(Metadata!J544,"not applicable"),exact(Metadata!J544,"missing: not collected"),exact(Metadata!J544,"missing: not provided"),exact(Metadata!J544,"missing: restricted access"))),AND(IF(Metadata!J544="",FALSE,ISNUMBER(VALUE(Metadata!J544))),Metadata!J544&gt;0))</f>
        <v>0</v>
      </c>
      <c r="AE544">
        <f>AND(IF(Metadata!K544="",FALSE,TRUE),exact(Metadata!K544,"g"))</f>
        <v>0</v>
      </c>
    </row>
    <row r="545" spans="1:31">
      <c r="A545" s="5">
        <f>IF(B545=" "," ",HYPERLINK(CONCATENATE("#metadata!",ADDRESS(INDEX($Q$2:$Q$1001,MATCH(ROWS($O$2:O545),$O$2:$O$1001,0),0),1)),INDEX($T$2:$T$1001,MATCH(ROWS($O$2:O545),$O$2:$O$1001,0),0)))</f>
        <v>0</v>
      </c>
      <c r="B545" s="4">
        <f>IF(OR(INDEX($P$2:$P$1001,MATCH(ROWS($O$2:O545),$O$2:$O$1001,0),1)&gt;=100000,INDEX($V$1005:$AE$1005,1,MATCH(COLUMNS($V$1006:V1006),$V$1006:$AE$1006,0))&gt;=100000), " ",IF(INDEX($V$2:$AE$1001,MATCH(ROWS($O$2:O545),$O$2:$O$1001,0),MATCH(COLUMNS($V$1006:V1006),$V$1006:$AE$1006,0)), HYPERLINK("#",""), HYPERLINK(CONCATENATE("#Metadata!", ADDRESS(INDEX($Q$2:$Q$1001,MATCH(ROWS($O$2:O545),$O$2:$O$1001,0),0), INDEX($V$1004:$AE$1004,1,MATCH(COLUMNS($V$1006:V1006),$V$1006:$AE$1006,0)))),"Fix")))</f>
        <v>0</v>
      </c>
      <c r="C545" s="4">
        <f>IF(OR(INDEX($P$2:$P$1001,MATCH(ROWS($O$2:O545),$O$2:$O$1001,0),1)&gt;=100000,INDEX($V$1005:$AE$1005,1,MATCH(COLUMNS($V$1006:W1006),$V$1006:$AE$1006,0))&gt;=100000), " ",IF(INDEX($V$2:$AE$1001,MATCH(ROWS($O$2:O545),$O$2:$O$1001,0),MATCH(COLUMNS($V$1006:W1006),$V$1006:$AE$1006,0)), HYPERLINK("#",""), HYPERLINK(CONCATENATE("#Metadata!", ADDRESS(INDEX($Q$2:$Q$1001,MATCH(ROWS($O$2:O545),$O$2:$O$1001,0),0), INDEX($V$1004:$AE$1004,1,MATCH(COLUMNS($V$1006:W1006),$V$1006:$AE$1006,0)))),"Fix")))</f>
        <v>0</v>
      </c>
      <c r="D545" s="4">
        <f>IF(OR(INDEX($P$2:$P$1001,MATCH(ROWS($O$2:O545),$O$2:$O$1001,0),1)&gt;=100000,INDEX($V$1005:$AE$1005,1,MATCH(COLUMNS($V$1006:X1006),$V$1006:$AE$1006,0))&gt;=100000), " ",IF(INDEX($V$2:$AE$1001,MATCH(ROWS($O$2:O545),$O$2:$O$1001,0),MATCH(COLUMNS($V$1006:X1006),$V$1006:$AE$1006,0)), HYPERLINK("#",""), HYPERLINK(CONCATENATE("#Metadata!", ADDRESS(INDEX($Q$2:$Q$1001,MATCH(ROWS($O$2:O545),$O$2:$O$1001,0),0), INDEX($V$1004:$AE$1004,1,MATCH(COLUMNS($V$1006:X1006),$V$1006:$AE$1006,0)))),"Fix")))</f>
        <v>0</v>
      </c>
      <c r="E545" s="4">
        <f>IF(OR(INDEX($P$2:$P$1001,MATCH(ROWS($O$2:O545),$O$2:$O$1001,0),1)&gt;=100000,INDEX($V$1005:$AE$1005,1,MATCH(COLUMNS($V$1006:Y1006),$V$1006:$AE$1006,0))&gt;=100000), " ",IF(INDEX($V$2:$AE$1001,MATCH(ROWS($O$2:O545),$O$2:$O$1001,0),MATCH(COLUMNS($V$1006:Y1006),$V$1006:$AE$1006,0)), HYPERLINK("#",""), HYPERLINK(CONCATENATE("#Metadata!", ADDRESS(INDEX($Q$2:$Q$1001,MATCH(ROWS($O$2:O545),$O$2:$O$1001,0),0), INDEX($V$1004:$AE$1004,1,MATCH(COLUMNS($V$1006:Y1006),$V$1006:$AE$1006,0)))),"Fix")))</f>
        <v>0</v>
      </c>
      <c r="F545" s="4">
        <f>IF(OR(INDEX($P$2:$P$1001,MATCH(ROWS($O$2:O545),$O$2:$O$1001,0),1)&gt;=100000,INDEX($V$1005:$AE$1005,1,MATCH(COLUMNS($V$1006:Z1006),$V$1006:$AE$1006,0))&gt;=100000), " ",IF(INDEX($V$2:$AE$1001,MATCH(ROWS($O$2:O545),$O$2:$O$1001,0),MATCH(COLUMNS($V$1006:Z1006),$V$1006:$AE$1006,0)), HYPERLINK("#",""), HYPERLINK(CONCATENATE("#Metadata!", ADDRESS(INDEX($Q$2:$Q$1001,MATCH(ROWS($O$2:O545),$O$2:$O$1001,0),0), INDEX($V$1004:$AE$1004,1,MATCH(COLUMNS($V$1006:Z1006),$V$1006:$AE$1006,0)))),"Fix")))</f>
        <v>0</v>
      </c>
      <c r="G545" s="4">
        <f>IF(OR(INDEX($P$2:$P$1001,MATCH(ROWS($O$2:O545),$O$2:$O$1001,0),1)&gt;=100000,INDEX($V$1005:$AE$1005,1,MATCH(COLUMNS($V$1006:AA1006),$V$1006:$AE$1006,0))&gt;=100000), " ",IF(INDEX($V$2:$AE$1001,MATCH(ROWS($O$2:O545),$O$2:$O$1001,0),MATCH(COLUMNS($V$1006:AA1006),$V$1006:$AE$1006,0)), HYPERLINK("#",""), HYPERLINK(CONCATENATE("#Metadata!", ADDRESS(INDEX($Q$2:$Q$1001,MATCH(ROWS($O$2:O545),$O$2:$O$1001,0),0), INDEX($V$1004:$AE$1004,1,MATCH(COLUMNS($V$1006:AA1006),$V$1006:$AE$1006,0)))),"Fix")))</f>
        <v>0</v>
      </c>
      <c r="H545" s="4">
        <f>IF(OR(INDEX($P$2:$P$1001,MATCH(ROWS($O$2:O545),$O$2:$O$1001,0),1)&gt;=100000,INDEX($V$1005:$AE$1005,1,MATCH(COLUMNS($V$1006:AB1006),$V$1006:$AE$1006,0))&gt;=100000), " ",IF(INDEX($V$2:$AE$1001,MATCH(ROWS($O$2:O545),$O$2:$O$1001,0),MATCH(COLUMNS($V$1006:AB1006),$V$1006:$AE$1006,0)), HYPERLINK("#",""), HYPERLINK(CONCATENATE("#Metadata!", ADDRESS(INDEX($Q$2:$Q$1001,MATCH(ROWS($O$2:O545),$O$2:$O$1001,0),0), INDEX($V$1004:$AE$1004,1,MATCH(COLUMNS($V$1006:AB1006),$V$1006:$AE$1006,0)))),"Fix")))</f>
        <v>0</v>
      </c>
      <c r="I545" s="4">
        <f>IF(OR(INDEX($P$2:$P$1001,MATCH(ROWS($O$2:O545),$O$2:$O$1001,0),1)&gt;=100000,INDEX($V$1005:$AE$1005,1,MATCH(COLUMNS($V$1006:AC1006),$V$1006:$AE$1006,0))&gt;=100000), " ",IF(INDEX($V$2:$AE$1001,MATCH(ROWS($O$2:O545),$O$2:$O$1001,0),MATCH(COLUMNS($V$1006:AC1006),$V$1006:$AE$1006,0)), HYPERLINK("#",""), HYPERLINK(CONCATENATE("#Metadata!", ADDRESS(INDEX($Q$2:$Q$1001,MATCH(ROWS($O$2:O545),$O$2:$O$1001,0),0), INDEX($V$1004:$AE$1004,1,MATCH(COLUMNS($V$1006:AC1006),$V$1006:$AE$1006,0)))),"Fix")))</f>
        <v>0</v>
      </c>
      <c r="J545" s="4">
        <f>IF(OR(INDEX($P$2:$P$1001,MATCH(ROWS($O$2:O545),$O$2:$O$1001,0),1)&gt;=100000,INDEX($V$1005:$AE$1005,1,MATCH(COLUMNS($V$1006:AD1006),$V$1006:$AE$1006,0))&gt;=100000), " ",IF(INDEX($V$2:$AE$1001,MATCH(ROWS($O$2:O545),$O$2:$O$1001,0),MATCH(COLUMNS($V$1006:AD1006),$V$1006:$AE$1006,0)), HYPERLINK("#",""), HYPERLINK(CONCATENATE("#Metadata!", ADDRESS(INDEX($Q$2:$Q$1001,MATCH(ROWS($O$2:O545),$O$2:$O$1001,0),0), INDEX($V$1004:$AE$1004,1,MATCH(COLUMNS($V$1006:AD1006),$V$1006:$AE$1006,0)))),"Fix")))</f>
        <v>0</v>
      </c>
      <c r="K545" s="4">
        <f>IF(OR(INDEX($P$2:$P$1001,MATCH(ROWS($O$2:O545),$O$2:$O$1001,0),1)&gt;=100000,INDEX($V$1005:$AE$1005,1,MATCH(COLUMNS($V$1006:AE1006),$V$1006:$AE$1006,0))&gt;=100000), " ",IF(INDEX($V$2:$AE$1001,MATCH(ROWS($O$2:O545),$O$2:$O$1001,0),MATCH(COLUMNS($V$1006:AE1006),$V$1006:$AE$1006,0)), HYPERLINK("#",""), HYPERLINK(CONCATENATE("#Metadata!", ADDRESS(INDEX($Q$2:$Q$1001,MATCH(ROWS($O$2:O545),$O$2:$O$1001,0),0), INDEX($V$1004:$AE$1004,1,MATCH(COLUMNS($V$1006:AE1006),$V$1006:$AE$1006,0)))),"Fix")))</f>
        <v>0</v>
      </c>
      <c r="O545">
        <v>0</v>
      </c>
      <c r="P545">
        <v>0</v>
      </c>
      <c r="Q545">
        <v>0</v>
      </c>
      <c r="R545">
        <f>IF(S545,TRUE,AND(V545:AE545))</f>
        <v>0</v>
      </c>
      <c r="S545">
        <f>COUNTBLANK(Metadata!B545:K545)=COLUMNS(Metadata!B545:K545)</f>
        <v>0</v>
      </c>
      <c r="T545">
        <v>0</v>
      </c>
      <c r="V545">
        <f>AND(IF(Metadata!B545="",FALSE,TRUE),COUNTIF(Metadata!B:B, Metadata!B545) = 1,NOT(ISERROR(SUMPRODUCT(SEARCH(MID(Metadata!B545,ROW(INDIRECT("1:"&amp;LEN(Metadata!B545))), 1),"0123456789abcdefghijklmnopqrstuvwxyzABCDEFGHIJKLMNOPQRSTUVWXYZ.")))))</f>
        <v>0</v>
      </c>
      <c r="W545">
        <f>AND(IF(Metadata!C545="",FALSE,TRUE),exact(Metadata!C545,"urban biome"))</f>
        <v>0</v>
      </c>
      <c r="X545">
        <f>AND(IF(Metadata!D545="",FALSE,TRUE),exact(Metadata!D545,"animal-associated habitat"))</f>
        <v>0</v>
      </c>
      <c r="Y545">
        <f>OR(AND(IF(Metadata!E545="",FALSE,TRUE),OR(exact(Metadata!E545,"not applicable"),exact(Metadata!E545,"missing: not collected"),exact(Metadata!E545,"missing: not provided"),exact(Metadata!E545,"missing: restricted access"))),AND(IF(Metadata!E545="",FALSE,ISNUMBER(VALUE(Metadata!E545))),Metadata!E545&gt;0))</f>
        <v>0</v>
      </c>
      <c r="Z545">
        <f>AND(IF(Metadata!F545="",FALSE,TRUE),exact(Metadata!F545,"weeks"))</f>
        <v>0</v>
      </c>
      <c r="AA545">
        <f>AND(IF(Metadata!G545="",FALSE,TRUE),exact(Metadata!G545,"mouse"))</f>
        <v>0</v>
      </c>
      <c r="AB545">
        <f>AND(IF(Metadata!H545="",FALSE,TRUE),exact(Metadata!H545,"Mus musculus"))</f>
        <v>0</v>
      </c>
      <c r="AC545">
        <f>AND(IF(Metadata!I545="",FALSE,TRUE),exact(Metadata!I545,"10090"))</f>
        <v>0</v>
      </c>
      <c r="AD545">
        <f>OR(AND(IF(Metadata!J545="",FALSE,TRUE),OR(exact(Metadata!J545,"not applicable"),exact(Metadata!J545,"missing: not collected"),exact(Metadata!J545,"missing: not provided"),exact(Metadata!J545,"missing: restricted access"))),AND(IF(Metadata!J545="",FALSE,ISNUMBER(VALUE(Metadata!J545))),Metadata!J545&gt;0))</f>
        <v>0</v>
      </c>
      <c r="AE545">
        <f>AND(IF(Metadata!K545="",FALSE,TRUE),exact(Metadata!K545,"g"))</f>
        <v>0</v>
      </c>
    </row>
    <row r="546" spans="1:31">
      <c r="A546" s="5">
        <f>IF(B546=" "," ",HYPERLINK(CONCATENATE("#metadata!",ADDRESS(INDEX($Q$2:$Q$1001,MATCH(ROWS($O$2:O546),$O$2:$O$1001,0),0),1)),INDEX($T$2:$T$1001,MATCH(ROWS($O$2:O546),$O$2:$O$1001,0),0)))</f>
        <v>0</v>
      </c>
      <c r="B546" s="4">
        <f>IF(OR(INDEX($P$2:$P$1001,MATCH(ROWS($O$2:O546),$O$2:$O$1001,0),1)&gt;=100000,INDEX($V$1005:$AE$1005,1,MATCH(COLUMNS($V$1006:V1006),$V$1006:$AE$1006,0))&gt;=100000), " ",IF(INDEX($V$2:$AE$1001,MATCH(ROWS($O$2:O546),$O$2:$O$1001,0),MATCH(COLUMNS($V$1006:V1006),$V$1006:$AE$1006,0)), HYPERLINK("#",""), HYPERLINK(CONCATENATE("#Metadata!", ADDRESS(INDEX($Q$2:$Q$1001,MATCH(ROWS($O$2:O546),$O$2:$O$1001,0),0), INDEX($V$1004:$AE$1004,1,MATCH(COLUMNS($V$1006:V1006),$V$1006:$AE$1006,0)))),"Fix")))</f>
        <v>0</v>
      </c>
      <c r="C546" s="4">
        <f>IF(OR(INDEX($P$2:$P$1001,MATCH(ROWS($O$2:O546),$O$2:$O$1001,0),1)&gt;=100000,INDEX($V$1005:$AE$1005,1,MATCH(COLUMNS($V$1006:W1006),$V$1006:$AE$1006,0))&gt;=100000), " ",IF(INDEX($V$2:$AE$1001,MATCH(ROWS($O$2:O546),$O$2:$O$1001,0),MATCH(COLUMNS($V$1006:W1006),$V$1006:$AE$1006,0)), HYPERLINK("#",""), HYPERLINK(CONCATENATE("#Metadata!", ADDRESS(INDEX($Q$2:$Q$1001,MATCH(ROWS($O$2:O546),$O$2:$O$1001,0),0), INDEX($V$1004:$AE$1004,1,MATCH(COLUMNS($V$1006:W1006),$V$1006:$AE$1006,0)))),"Fix")))</f>
        <v>0</v>
      </c>
      <c r="D546" s="4">
        <f>IF(OR(INDEX($P$2:$P$1001,MATCH(ROWS($O$2:O546),$O$2:$O$1001,0),1)&gt;=100000,INDEX($V$1005:$AE$1005,1,MATCH(COLUMNS($V$1006:X1006),$V$1006:$AE$1006,0))&gt;=100000), " ",IF(INDEX($V$2:$AE$1001,MATCH(ROWS($O$2:O546),$O$2:$O$1001,0),MATCH(COLUMNS($V$1006:X1006),$V$1006:$AE$1006,0)), HYPERLINK("#",""), HYPERLINK(CONCATENATE("#Metadata!", ADDRESS(INDEX($Q$2:$Q$1001,MATCH(ROWS($O$2:O546),$O$2:$O$1001,0),0), INDEX($V$1004:$AE$1004,1,MATCH(COLUMNS($V$1006:X1006),$V$1006:$AE$1006,0)))),"Fix")))</f>
        <v>0</v>
      </c>
      <c r="E546" s="4">
        <f>IF(OR(INDEX($P$2:$P$1001,MATCH(ROWS($O$2:O546),$O$2:$O$1001,0),1)&gt;=100000,INDEX($V$1005:$AE$1005,1,MATCH(COLUMNS($V$1006:Y1006),$V$1006:$AE$1006,0))&gt;=100000), " ",IF(INDEX($V$2:$AE$1001,MATCH(ROWS($O$2:O546),$O$2:$O$1001,0),MATCH(COLUMNS($V$1006:Y1006),$V$1006:$AE$1006,0)), HYPERLINK("#",""), HYPERLINK(CONCATENATE("#Metadata!", ADDRESS(INDEX($Q$2:$Q$1001,MATCH(ROWS($O$2:O546),$O$2:$O$1001,0),0), INDEX($V$1004:$AE$1004,1,MATCH(COLUMNS($V$1006:Y1006),$V$1006:$AE$1006,0)))),"Fix")))</f>
        <v>0</v>
      </c>
      <c r="F546" s="4">
        <f>IF(OR(INDEX($P$2:$P$1001,MATCH(ROWS($O$2:O546),$O$2:$O$1001,0),1)&gt;=100000,INDEX($V$1005:$AE$1005,1,MATCH(COLUMNS($V$1006:Z1006),$V$1006:$AE$1006,0))&gt;=100000), " ",IF(INDEX($V$2:$AE$1001,MATCH(ROWS($O$2:O546),$O$2:$O$1001,0),MATCH(COLUMNS($V$1006:Z1006),$V$1006:$AE$1006,0)), HYPERLINK("#",""), HYPERLINK(CONCATENATE("#Metadata!", ADDRESS(INDEX($Q$2:$Q$1001,MATCH(ROWS($O$2:O546),$O$2:$O$1001,0),0), INDEX($V$1004:$AE$1004,1,MATCH(COLUMNS($V$1006:Z1006),$V$1006:$AE$1006,0)))),"Fix")))</f>
        <v>0</v>
      </c>
      <c r="G546" s="4">
        <f>IF(OR(INDEX($P$2:$P$1001,MATCH(ROWS($O$2:O546),$O$2:$O$1001,0),1)&gt;=100000,INDEX($V$1005:$AE$1005,1,MATCH(COLUMNS($V$1006:AA1006),$V$1006:$AE$1006,0))&gt;=100000), " ",IF(INDEX($V$2:$AE$1001,MATCH(ROWS($O$2:O546),$O$2:$O$1001,0),MATCH(COLUMNS($V$1006:AA1006),$V$1006:$AE$1006,0)), HYPERLINK("#",""), HYPERLINK(CONCATENATE("#Metadata!", ADDRESS(INDEX($Q$2:$Q$1001,MATCH(ROWS($O$2:O546),$O$2:$O$1001,0),0), INDEX($V$1004:$AE$1004,1,MATCH(COLUMNS($V$1006:AA1006),$V$1006:$AE$1006,0)))),"Fix")))</f>
        <v>0</v>
      </c>
      <c r="H546" s="4">
        <f>IF(OR(INDEX($P$2:$P$1001,MATCH(ROWS($O$2:O546),$O$2:$O$1001,0),1)&gt;=100000,INDEX($V$1005:$AE$1005,1,MATCH(COLUMNS($V$1006:AB1006),$V$1006:$AE$1006,0))&gt;=100000), " ",IF(INDEX($V$2:$AE$1001,MATCH(ROWS($O$2:O546),$O$2:$O$1001,0),MATCH(COLUMNS($V$1006:AB1006),$V$1006:$AE$1006,0)), HYPERLINK("#",""), HYPERLINK(CONCATENATE("#Metadata!", ADDRESS(INDEX($Q$2:$Q$1001,MATCH(ROWS($O$2:O546),$O$2:$O$1001,0),0), INDEX($V$1004:$AE$1004,1,MATCH(COLUMNS($V$1006:AB1006),$V$1006:$AE$1006,0)))),"Fix")))</f>
        <v>0</v>
      </c>
      <c r="I546" s="4">
        <f>IF(OR(INDEX($P$2:$P$1001,MATCH(ROWS($O$2:O546),$O$2:$O$1001,0),1)&gt;=100000,INDEX($V$1005:$AE$1005,1,MATCH(COLUMNS($V$1006:AC1006),$V$1006:$AE$1006,0))&gt;=100000), " ",IF(INDEX($V$2:$AE$1001,MATCH(ROWS($O$2:O546),$O$2:$O$1001,0),MATCH(COLUMNS($V$1006:AC1006),$V$1006:$AE$1006,0)), HYPERLINK("#",""), HYPERLINK(CONCATENATE("#Metadata!", ADDRESS(INDEX($Q$2:$Q$1001,MATCH(ROWS($O$2:O546),$O$2:$O$1001,0),0), INDEX($V$1004:$AE$1004,1,MATCH(COLUMNS($V$1006:AC1006),$V$1006:$AE$1006,0)))),"Fix")))</f>
        <v>0</v>
      </c>
      <c r="J546" s="4">
        <f>IF(OR(INDEX($P$2:$P$1001,MATCH(ROWS($O$2:O546),$O$2:$O$1001,0),1)&gt;=100000,INDEX($V$1005:$AE$1005,1,MATCH(COLUMNS($V$1006:AD1006),$V$1006:$AE$1006,0))&gt;=100000), " ",IF(INDEX($V$2:$AE$1001,MATCH(ROWS($O$2:O546),$O$2:$O$1001,0),MATCH(COLUMNS($V$1006:AD1006),$V$1006:$AE$1006,0)), HYPERLINK("#",""), HYPERLINK(CONCATENATE("#Metadata!", ADDRESS(INDEX($Q$2:$Q$1001,MATCH(ROWS($O$2:O546),$O$2:$O$1001,0),0), INDEX($V$1004:$AE$1004,1,MATCH(COLUMNS($V$1006:AD1006),$V$1006:$AE$1006,0)))),"Fix")))</f>
        <v>0</v>
      </c>
      <c r="K546" s="4">
        <f>IF(OR(INDEX($P$2:$P$1001,MATCH(ROWS($O$2:O546),$O$2:$O$1001,0),1)&gt;=100000,INDEX($V$1005:$AE$1005,1,MATCH(COLUMNS($V$1006:AE1006),$V$1006:$AE$1006,0))&gt;=100000), " ",IF(INDEX($V$2:$AE$1001,MATCH(ROWS($O$2:O546),$O$2:$O$1001,0),MATCH(COLUMNS($V$1006:AE1006),$V$1006:$AE$1006,0)), HYPERLINK("#",""), HYPERLINK(CONCATENATE("#Metadata!", ADDRESS(INDEX($Q$2:$Q$1001,MATCH(ROWS($O$2:O546),$O$2:$O$1001,0),0), INDEX($V$1004:$AE$1004,1,MATCH(COLUMNS($V$1006:AE1006),$V$1006:$AE$1006,0)))),"Fix")))</f>
        <v>0</v>
      </c>
      <c r="O546">
        <v>0</v>
      </c>
      <c r="P546">
        <v>0</v>
      </c>
      <c r="Q546">
        <v>0</v>
      </c>
      <c r="R546">
        <f>IF(S546,TRUE,AND(V546:AE546))</f>
        <v>0</v>
      </c>
      <c r="S546">
        <f>COUNTBLANK(Metadata!B546:K546)=COLUMNS(Metadata!B546:K546)</f>
        <v>0</v>
      </c>
      <c r="T546">
        <v>0</v>
      </c>
      <c r="V546">
        <f>AND(IF(Metadata!B546="",FALSE,TRUE),COUNTIF(Metadata!B:B, Metadata!B546) = 1,NOT(ISERROR(SUMPRODUCT(SEARCH(MID(Metadata!B546,ROW(INDIRECT("1:"&amp;LEN(Metadata!B546))), 1),"0123456789abcdefghijklmnopqrstuvwxyzABCDEFGHIJKLMNOPQRSTUVWXYZ.")))))</f>
        <v>0</v>
      </c>
      <c r="W546">
        <f>AND(IF(Metadata!C546="",FALSE,TRUE),exact(Metadata!C546,"urban biome"))</f>
        <v>0</v>
      </c>
      <c r="X546">
        <f>AND(IF(Metadata!D546="",FALSE,TRUE),exact(Metadata!D546,"animal-associated habitat"))</f>
        <v>0</v>
      </c>
      <c r="Y546">
        <f>OR(AND(IF(Metadata!E546="",FALSE,TRUE),OR(exact(Metadata!E546,"not applicable"),exact(Metadata!E546,"missing: not collected"),exact(Metadata!E546,"missing: not provided"),exact(Metadata!E546,"missing: restricted access"))),AND(IF(Metadata!E546="",FALSE,ISNUMBER(VALUE(Metadata!E546))),Metadata!E546&gt;0))</f>
        <v>0</v>
      </c>
      <c r="Z546">
        <f>AND(IF(Metadata!F546="",FALSE,TRUE),exact(Metadata!F546,"weeks"))</f>
        <v>0</v>
      </c>
      <c r="AA546">
        <f>AND(IF(Metadata!G546="",FALSE,TRUE),exact(Metadata!G546,"mouse"))</f>
        <v>0</v>
      </c>
      <c r="AB546">
        <f>AND(IF(Metadata!H546="",FALSE,TRUE),exact(Metadata!H546,"Mus musculus"))</f>
        <v>0</v>
      </c>
      <c r="AC546">
        <f>AND(IF(Metadata!I546="",FALSE,TRUE),exact(Metadata!I546,"10090"))</f>
        <v>0</v>
      </c>
      <c r="AD546">
        <f>OR(AND(IF(Metadata!J546="",FALSE,TRUE),OR(exact(Metadata!J546,"not applicable"),exact(Metadata!J546,"missing: not collected"),exact(Metadata!J546,"missing: not provided"),exact(Metadata!J546,"missing: restricted access"))),AND(IF(Metadata!J546="",FALSE,ISNUMBER(VALUE(Metadata!J546))),Metadata!J546&gt;0))</f>
        <v>0</v>
      </c>
      <c r="AE546">
        <f>AND(IF(Metadata!K546="",FALSE,TRUE),exact(Metadata!K546,"g"))</f>
        <v>0</v>
      </c>
    </row>
    <row r="547" spans="1:31">
      <c r="A547" s="5">
        <f>IF(B547=" "," ",HYPERLINK(CONCATENATE("#metadata!",ADDRESS(INDEX($Q$2:$Q$1001,MATCH(ROWS($O$2:O547),$O$2:$O$1001,0),0),1)),INDEX($T$2:$T$1001,MATCH(ROWS($O$2:O547),$O$2:$O$1001,0),0)))</f>
        <v>0</v>
      </c>
      <c r="B547" s="4">
        <f>IF(OR(INDEX($P$2:$P$1001,MATCH(ROWS($O$2:O547),$O$2:$O$1001,0),1)&gt;=100000,INDEX($V$1005:$AE$1005,1,MATCH(COLUMNS($V$1006:V1006),$V$1006:$AE$1006,0))&gt;=100000), " ",IF(INDEX($V$2:$AE$1001,MATCH(ROWS($O$2:O547),$O$2:$O$1001,0),MATCH(COLUMNS($V$1006:V1006),$V$1006:$AE$1006,0)), HYPERLINK("#",""), HYPERLINK(CONCATENATE("#Metadata!", ADDRESS(INDEX($Q$2:$Q$1001,MATCH(ROWS($O$2:O547),$O$2:$O$1001,0),0), INDEX($V$1004:$AE$1004,1,MATCH(COLUMNS($V$1006:V1006),$V$1006:$AE$1006,0)))),"Fix")))</f>
        <v>0</v>
      </c>
      <c r="C547" s="4">
        <f>IF(OR(INDEX($P$2:$P$1001,MATCH(ROWS($O$2:O547),$O$2:$O$1001,0),1)&gt;=100000,INDEX($V$1005:$AE$1005,1,MATCH(COLUMNS($V$1006:W1006),$V$1006:$AE$1006,0))&gt;=100000), " ",IF(INDEX($V$2:$AE$1001,MATCH(ROWS($O$2:O547),$O$2:$O$1001,0),MATCH(COLUMNS($V$1006:W1006),$V$1006:$AE$1006,0)), HYPERLINK("#",""), HYPERLINK(CONCATENATE("#Metadata!", ADDRESS(INDEX($Q$2:$Q$1001,MATCH(ROWS($O$2:O547),$O$2:$O$1001,0),0), INDEX($V$1004:$AE$1004,1,MATCH(COLUMNS($V$1006:W1006),$V$1006:$AE$1006,0)))),"Fix")))</f>
        <v>0</v>
      </c>
      <c r="D547" s="4">
        <f>IF(OR(INDEX($P$2:$P$1001,MATCH(ROWS($O$2:O547),$O$2:$O$1001,0),1)&gt;=100000,INDEX($V$1005:$AE$1005,1,MATCH(COLUMNS($V$1006:X1006),$V$1006:$AE$1006,0))&gt;=100000), " ",IF(INDEX($V$2:$AE$1001,MATCH(ROWS($O$2:O547),$O$2:$O$1001,0),MATCH(COLUMNS($V$1006:X1006),$V$1006:$AE$1006,0)), HYPERLINK("#",""), HYPERLINK(CONCATENATE("#Metadata!", ADDRESS(INDEX($Q$2:$Q$1001,MATCH(ROWS($O$2:O547),$O$2:$O$1001,0),0), INDEX($V$1004:$AE$1004,1,MATCH(COLUMNS($V$1006:X1006),$V$1006:$AE$1006,0)))),"Fix")))</f>
        <v>0</v>
      </c>
      <c r="E547" s="4">
        <f>IF(OR(INDEX($P$2:$P$1001,MATCH(ROWS($O$2:O547),$O$2:$O$1001,0),1)&gt;=100000,INDEX($V$1005:$AE$1005,1,MATCH(COLUMNS($V$1006:Y1006),$V$1006:$AE$1006,0))&gt;=100000), " ",IF(INDEX($V$2:$AE$1001,MATCH(ROWS($O$2:O547),$O$2:$O$1001,0),MATCH(COLUMNS($V$1006:Y1006),$V$1006:$AE$1006,0)), HYPERLINK("#",""), HYPERLINK(CONCATENATE("#Metadata!", ADDRESS(INDEX($Q$2:$Q$1001,MATCH(ROWS($O$2:O547),$O$2:$O$1001,0),0), INDEX($V$1004:$AE$1004,1,MATCH(COLUMNS($V$1006:Y1006),$V$1006:$AE$1006,0)))),"Fix")))</f>
        <v>0</v>
      </c>
      <c r="F547" s="4">
        <f>IF(OR(INDEX($P$2:$P$1001,MATCH(ROWS($O$2:O547),$O$2:$O$1001,0),1)&gt;=100000,INDEX($V$1005:$AE$1005,1,MATCH(COLUMNS($V$1006:Z1006),$V$1006:$AE$1006,0))&gt;=100000), " ",IF(INDEX($V$2:$AE$1001,MATCH(ROWS($O$2:O547),$O$2:$O$1001,0),MATCH(COLUMNS($V$1006:Z1006),$V$1006:$AE$1006,0)), HYPERLINK("#",""), HYPERLINK(CONCATENATE("#Metadata!", ADDRESS(INDEX($Q$2:$Q$1001,MATCH(ROWS($O$2:O547),$O$2:$O$1001,0),0), INDEX($V$1004:$AE$1004,1,MATCH(COLUMNS($V$1006:Z1006),$V$1006:$AE$1006,0)))),"Fix")))</f>
        <v>0</v>
      </c>
      <c r="G547" s="4">
        <f>IF(OR(INDEX($P$2:$P$1001,MATCH(ROWS($O$2:O547),$O$2:$O$1001,0),1)&gt;=100000,INDEX($V$1005:$AE$1005,1,MATCH(COLUMNS($V$1006:AA1006),$V$1006:$AE$1006,0))&gt;=100000), " ",IF(INDEX($V$2:$AE$1001,MATCH(ROWS($O$2:O547),$O$2:$O$1001,0),MATCH(COLUMNS($V$1006:AA1006),$V$1006:$AE$1006,0)), HYPERLINK("#",""), HYPERLINK(CONCATENATE("#Metadata!", ADDRESS(INDEX($Q$2:$Q$1001,MATCH(ROWS($O$2:O547),$O$2:$O$1001,0),0), INDEX($V$1004:$AE$1004,1,MATCH(COLUMNS($V$1006:AA1006),$V$1006:$AE$1006,0)))),"Fix")))</f>
        <v>0</v>
      </c>
      <c r="H547" s="4">
        <f>IF(OR(INDEX($P$2:$P$1001,MATCH(ROWS($O$2:O547),$O$2:$O$1001,0),1)&gt;=100000,INDEX($V$1005:$AE$1005,1,MATCH(COLUMNS($V$1006:AB1006),$V$1006:$AE$1006,0))&gt;=100000), " ",IF(INDEX($V$2:$AE$1001,MATCH(ROWS($O$2:O547),$O$2:$O$1001,0),MATCH(COLUMNS($V$1006:AB1006),$V$1006:$AE$1006,0)), HYPERLINK("#",""), HYPERLINK(CONCATENATE("#Metadata!", ADDRESS(INDEX($Q$2:$Q$1001,MATCH(ROWS($O$2:O547),$O$2:$O$1001,0),0), INDEX($V$1004:$AE$1004,1,MATCH(COLUMNS($V$1006:AB1006),$V$1006:$AE$1006,0)))),"Fix")))</f>
        <v>0</v>
      </c>
      <c r="I547" s="4">
        <f>IF(OR(INDEX($P$2:$P$1001,MATCH(ROWS($O$2:O547),$O$2:$O$1001,0),1)&gt;=100000,INDEX($V$1005:$AE$1005,1,MATCH(COLUMNS($V$1006:AC1006),$V$1006:$AE$1006,0))&gt;=100000), " ",IF(INDEX($V$2:$AE$1001,MATCH(ROWS($O$2:O547),$O$2:$O$1001,0),MATCH(COLUMNS($V$1006:AC1006),$V$1006:$AE$1006,0)), HYPERLINK("#",""), HYPERLINK(CONCATENATE("#Metadata!", ADDRESS(INDEX($Q$2:$Q$1001,MATCH(ROWS($O$2:O547),$O$2:$O$1001,0),0), INDEX($V$1004:$AE$1004,1,MATCH(COLUMNS($V$1006:AC1006),$V$1006:$AE$1006,0)))),"Fix")))</f>
        <v>0</v>
      </c>
      <c r="J547" s="4">
        <f>IF(OR(INDEX($P$2:$P$1001,MATCH(ROWS($O$2:O547),$O$2:$O$1001,0),1)&gt;=100000,INDEX($V$1005:$AE$1005,1,MATCH(COLUMNS($V$1006:AD1006),$V$1006:$AE$1006,0))&gt;=100000), " ",IF(INDEX($V$2:$AE$1001,MATCH(ROWS($O$2:O547),$O$2:$O$1001,0),MATCH(COLUMNS($V$1006:AD1006),$V$1006:$AE$1006,0)), HYPERLINK("#",""), HYPERLINK(CONCATENATE("#Metadata!", ADDRESS(INDEX($Q$2:$Q$1001,MATCH(ROWS($O$2:O547),$O$2:$O$1001,0),0), INDEX($V$1004:$AE$1004,1,MATCH(COLUMNS($V$1006:AD1006),$V$1006:$AE$1006,0)))),"Fix")))</f>
        <v>0</v>
      </c>
      <c r="K547" s="4">
        <f>IF(OR(INDEX($P$2:$P$1001,MATCH(ROWS($O$2:O547),$O$2:$O$1001,0),1)&gt;=100000,INDEX($V$1005:$AE$1005,1,MATCH(COLUMNS($V$1006:AE1006),$V$1006:$AE$1006,0))&gt;=100000), " ",IF(INDEX($V$2:$AE$1001,MATCH(ROWS($O$2:O547),$O$2:$O$1001,0),MATCH(COLUMNS($V$1006:AE1006),$V$1006:$AE$1006,0)), HYPERLINK("#",""), HYPERLINK(CONCATENATE("#Metadata!", ADDRESS(INDEX($Q$2:$Q$1001,MATCH(ROWS($O$2:O547),$O$2:$O$1001,0),0), INDEX($V$1004:$AE$1004,1,MATCH(COLUMNS($V$1006:AE1006),$V$1006:$AE$1006,0)))),"Fix")))</f>
        <v>0</v>
      </c>
      <c r="O547">
        <v>0</v>
      </c>
      <c r="P547">
        <v>0</v>
      </c>
      <c r="Q547">
        <v>0</v>
      </c>
      <c r="R547">
        <f>IF(S547,TRUE,AND(V547:AE547))</f>
        <v>0</v>
      </c>
      <c r="S547">
        <f>COUNTBLANK(Metadata!B547:K547)=COLUMNS(Metadata!B547:K547)</f>
        <v>0</v>
      </c>
      <c r="T547">
        <v>0</v>
      </c>
      <c r="V547">
        <f>AND(IF(Metadata!B547="",FALSE,TRUE),COUNTIF(Metadata!B:B, Metadata!B547) = 1,NOT(ISERROR(SUMPRODUCT(SEARCH(MID(Metadata!B547,ROW(INDIRECT("1:"&amp;LEN(Metadata!B547))), 1),"0123456789abcdefghijklmnopqrstuvwxyzABCDEFGHIJKLMNOPQRSTUVWXYZ.")))))</f>
        <v>0</v>
      </c>
      <c r="W547">
        <f>AND(IF(Metadata!C547="",FALSE,TRUE),exact(Metadata!C547,"urban biome"))</f>
        <v>0</v>
      </c>
      <c r="X547">
        <f>AND(IF(Metadata!D547="",FALSE,TRUE),exact(Metadata!D547,"animal-associated habitat"))</f>
        <v>0</v>
      </c>
      <c r="Y547">
        <f>OR(AND(IF(Metadata!E547="",FALSE,TRUE),OR(exact(Metadata!E547,"not applicable"),exact(Metadata!E547,"missing: not collected"),exact(Metadata!E547,"missing: not provided"),exact(Metadata!E547,"missing: restricted access"))),AND(IF(Metadata!E547="",FALSE,ISNUMBER(VALUE(Metadata!E547))),Metadata!E547&gt;0))</f>
        <v>0</v>
      </c>
      <c r="Z547">
        <f>AND(IF(Metadata!F547="",FALSE,TRUE),exact(Metadata!F547,"weeks"))</f>
        <v>0</v>
      </c>
      <c r="AA547">
        <f>AND(IF(Metadata!G547="",FALSE,TRUE),exact(Metadata!G547,"mouse"))</f>
        <v>0</v>
      </c>
      <c r="AB547">
        <f>AND(IF(Metadata!H547="",FALSE,TRUE),exact(Metadata!H547,"Mus musculus"))</f>
        <v>0</v>
      </c>
      <c r="AC547">
        <f>AND(IF(Metadata!I547="",FALSE,TRUE),exact(Metadata!I547,"10090"))</f>
        <v>0</v>
      </c>
      <c r="AD547">
        <f>OR(AND(IF(Metadata!J547="",FALSE,TRUE),OR(exact(Metadata!J547,"not applicable"),exact(Metadata!J547,"missing: not collected"),exact(Metadata!J547,"missing: not provided"),exact(Metadata!J547,"missing: restricted access"))),AND(IF(Metadata!J547="",FALSE,ISNUMBER(VALUE(Metadata!J547))),Metadata!J547&gt;0))</f>
        <v>0</v>
      </c>
      <c r="AE547">
        <f>AND(IF(Metadata!K547="",FALSE,TRUE),exact(Metadata!K547,"g"))</f>
        <v>0</v>
      </c>
    </row>
    <row r="548" spans="1:31">
      <c r="A548" s="5">
        <f>IF(B548=" "," ",HYPERLINK(CONCATENATE("#metadata!",ADDRESS(INDEX($Q$2:$Q$1001,MATCH(ROWS($O$2:O548),$O$2:$O$1001,0),0),1)),INDEX($T$2:$T$1001,MATCH(ROWS($O$2:O548),$O$2:$O$1001,0),0)))</f>
        <v>0</v>
      </c>
      <c r="B548" s="4">
        <f>IF(OR(INDEX($P$2:$P$1001,MATCH(ROWS($O$2:O548),$O$2:$O$1001,0),1)&gt;=100000,INDEX($V$1005:$AE$1005,1,MATCH(COLUMNS($V$1006:V1006),$V$1006:$AE$1006,0))&gt;=100000), " ",IF(INDEX($V$2:$AE$1001,MATCH(ROWS($O$2:O548),$O$2:$O$1001,0),MATCH(COLUMNS($V$1006:V1006),$V$1006:$AE$1006,0)), HYPERLINK("#",""), HYPERLINK(CONCATENATE("#Metadata!", ADDRESS(INDEX($Q$2:$Q$1001,MATCH(ROWS($O$2:O548),$O$2:$O$1001,0),0), INDEX($V$1004:$AE$1004,1,MATCH(COLUMNS($V$1006:V1006),$V$1006:$AE$1006,0)))),"Fix")))</f>
        <v>0</v>
      </c>
      <c r="C548" s="4">
        <f>IF(OR(INDEX($P$2:$P$1001,MATCH(ROWS($O$2:O548),$O$2:$O$1001,0),1)&gt;=100000,INDEX($V$1005:$AE$1005,1,MATCH(COLUMNS($V$1006:W1006),$V$1006:$AE$1006,0))&gt;=100000), " ",IF(INDEX($V$2:$AE$1001,MATCH(ROWS($O$2:O548),$O$2:$O$1001,0),MATCH(COLUMNS($V$1006:W1006),$V$1006:$AE$1006,0)), HYPERLINK("#",""), HYPERLINK(CONCATENATE("#Metadata!", ADDRESS(INDEX($Q$2:$Q$1001,MATCH(ROWS($O$2:O548),$O$2:$O$1001,0),0), INDEX($V$1004:$AE$1004,1,MATCH(COLUMNS($V$1006:W1006),$V$1006:$AE$1006,0)))),"Fix")))</f>
        <v>0</v>
      </c>
      <c r="D548" s="4">
        <f>IF(OR(INDEX($P$2:$P$1001,MATCH(ROWS($O$2:O548),$O$2:$O$1001,0),1)&gt;=100000,INDEX($V$1005:$AE$1005,1,MATCH(COLUMNS($V$1006:X1006),$V$1006:$AE$1006,0))&gt;=100000), " ",IF(INDEX($V$2:$AE$1001,MATCH(ROWS($O$2:O548),$O$2:$O$1001,0),MATCH(COLUMNS($V$1006:X1006),$V$1006:$AE$1006,0)), HYPERLINK("#",""), HYPERLINK(CONCATENATE("#Metadata!", ADDRESS(INDEX($Q$2:$Q$1001,MATCH(ROWS($O$2:O548),$O$2:$O$1001,0),0), INDEX($V$1004:$AE$1004,1,MATCH(COLUMNS($V$1006:X1006),$V$1006:$AE$1006,0)))),"Fix")))</f>
        <v>0</v>
      </c>
      <c r="E548" s="4">
        <f>IF(OR(INDEX($P$2:$P$1001,MATCH(ROWS($O$2:O548),$O$2:$O$1001,0),1)&gt;=100000,INDEX($V$1005:$AE$1005,1,MATCH(COLUMNS($V$1006:Y1006),$V$1006:$AE$1006,0))&gt;=100000), " ",IF(INDEX($V$2:$AE$1001,MATCH(ROWS($O$2:O548),$O$2:$O$1001,0),MATCH(COLUMNS($V$1006:Y1006),$V$1006:$AE$1006,0)), HYPERLINK("#",""), HYPERLINK(CONCATENATE("#Metadata!", ADDRESS(INDEX($Q$2:$Q$1001,MATCH(ROWS($O$2:O548),$O$2:$O$1001,0),0), INDEX($V$1004:$AE$1004,1,MATCH(COLUMNS($V$1006:Y1006),$V$1006:$AE$1006,0)))),"Fix")))</f>
        <v>0</v>
      </c>
      <c r="F548" s="4">
        <f>IF(OR(INDEX($P$2:$P$1001,MATCH(ROWS($O$2:O548),$O$2:$O$1001,0),1)&gt;=100000,INDEX($V$1005:$AE$1005,1,MATCH(COLUMNS($V$1006:Z1006),$V$1006:$AE$1006,0))&gt;=100000), " ",IF(INDEX($V$2:$AE$1001,MATCH(ROWS($O$2:O548),$O$2:$O$1001,0),MATCH(COLUMNS($V$1006:Z1006),$V$1006:$AE$1006,0)), HYPERLINK("#",""), HYPERLINK(CONCATENATE("#Metadata!", ADDRESS(INDEX($Q$2:$Q$1001,MATCH(ROWS($O$2:O548),$O$2:$O$1001,0),0), INDEX($V$1004:$AE$1004,1,MATCH(COLUMNS($V$1006:Z1006),$V$1006:$AE$1006,0)))),"Fix")))</f>
        <v>0</v>
      </c>
      <c r="G548" s="4">
        <f>IF(OR(INDEX($P$2:$P$1001,MATCH(ROWS($O$2:O548),$O$2:$O$1001,0),1)&gt;=100000,INDEX($V$1005:$AE$1005,1,MATCH(COLUMNS($V$1006:AA1006),$V$1006:$AE$1006,0))&gt;=100000), " ",IF(INDEX($V$2:$AE$1001,MATCH(ROWS($O$2:O548),$O$2:$O$1001,0),MATCH(COLUMNS($V$1006:AA1006),$V$1006:$AE$1006,0)), HYPERLINK("#",""), HYPERLINK(CONCATENATE("#Metadata!", ADDRESS(INDEX($Q$2:$Q$1001,MATCH(ROWS($O$2:O548),$O$2:$O$1001,0),0), INDEX($V$1004:$AE$1004,1,MATCH(COLUMNS($V$1006:AA1006),$V$1006:$AE$1006,0)))),"Fix")))</f>
        <v>0</v>
      </c>
      <c r="H548" s="4">
        <f>IF(OR(INDEX($P$2:$P$1001,MATCH(ROWS($O$2:O548),$O$2:$O$1001,0),1)&gt;=100000,INDEX($V$1005:$AE$1005,1,MATCH(COLUMNS($V$1006:AB1006),$V$1006:$AE$1006,0))&gt;=100000), " ",IF(INDEX($V$2:$AE$1001,MATCH(ROWS($O$2:O548),$O$2:$O$1001,0),MATCH(COLUMNS($V$1006:AB1006),$V$1006:$AE$1006,0)), HYPERLINK("#",""), HYPERLINK(CONCATENATE("#Metadata!", ADDRESS(INDEX($Q$2:$Q$1001,MATCH(ROWS($O$2:O548),$O$2:$O$1001,0),0), INDEX($V$1004:$AE$1004,1,MATCH(COLUMNS($V$1006:AB1006),$V$1006:$AE$1006,0)))),"Fix")))</f>
        <v>0</v>
      </c>
      <c r="I548" s="4">
        <f>IF(OR(INDEX($P$2:$P$1001,MATCH(ROWS($O$2:O548),$O$2:$O$1001,0),1)&gt;=100000,INDEX($V$1005:$AE$1005,1,MATCH(COLUMNS($V$1006:AC1006),$V$1006:$AE$1006,0))&gt;=100000), " ",IF(INDEX($V$2:$AE$1001,MATCH(ROWS($O$2:O548),$O$2:$O$1001,0),MATCH(COLUMNS($V$1006:AC1006),$V$1006:$AE$1006,0)), HYPERLINK("#",""), HYPERLINK(CONCATENATE("#Metadata!", ADDRESS(INDEX($Q$2:$Q$1001,MATCH(ROWS($O$2:O548),$O$2:$O$1001,0),0), INDEX($V$1004:$AE$1004,1,MATCH(COLUMNS($V$1006:AC1006),$V$1006:$AE$1006,0)))),"Fix")))</f>
        <v>0</v>
      </c>
      <c r="J548" s="4">
        <f>IF(OR(INDEX($P$2:$P$1001,MATCH(ROWS($O$2:O548),$O$2:$O$1001,0),1)&gt;=100000,INDEX($V$1005:$AE$1005,1,MATCH(COLUMNS($V$1006:AD1006),$V$1006:$AE$1006,0))&gt;=100000), " ",IF(INDEX($V$2:$AE$1001,MATCH(ROWS($O$2:O548),$O$2:$O$1001,0),MATCH(COLUMNS($V$1006:AD1006),$V$1006:$AE$1006,0)), HYPERLINK("#",""), HYPERLINK(CONCATENATE("#Metadata!", ADDRESS(INDEX($Q$2:$Q$1001,MATCH(ROWS($O$2:O548),$O$2:$O$1001,0),0), INDEX($V$1004:$AE$1004,1,MATCH(COLUMNS($V$1006:AD1006),$V$1006:$AE$1006,0)))),"Fix")))</f>
        <v>0</v>
      </c>
      <c r="K548" s="4">
        <f>IF(OR(INDEX($P$2:$P$1001,MATCH(ROWS($O$2:O548),$O$2:$O$1001,0),1)&gt;=100000,INDEX($V$1005:$AE$1005,1,MATCH(COLUMNS($V$1006:AE1006),$V$1006:$AE$1006,0))&gt;=100000), " ",IF(INDEX($V$2:$AE$1001,MATCH(ROWS($O$2:O548),$O$2:$O$1001,0),MATCH(COLUMNS($V$1006:AE1006),$V$1006:$AE$1006,0)), HYPERLINK("#",""), HYPERLINK(CONCATENATE("#Metadata!", ADDRESS(INDEX($Q$2:$Q$1001,MATCH(ROWS($O$2:O548),$O$2:$O$1001,0),0), INDEX($V$1004:$AE$1004,1,MATCH(COLUMNS($V$1006:AE1006),$V$1006:$AE$1006,0)))),"Fix")))</f>
        <v>0</v>
      </c>
      <c r="O548">
        <v>0</v>
      </c>
      <c r="P548">
        <v>0</v>
      </c>
      <c r="Q548">
        <v>0</v>
      </c>
      <c r="R548">
        <f>IF(S548,TRUE,AND(V548:AE548))</f>
        <v>0</v>
      </c>
      <c r="S548">
        <f>COUNTBLANK(Metadata!B548:K548)=COLUMNS(Metadata!B548:K548)</f>
        <v>0</v>
      </c>
      <c r="T548">
        <v>0</v>
      </c>
      <c r="V548">
        <f>AND(IF(Metadata!B548="",FALSE,TRUE),COUNTIF(Metadata!B:B, Metadata!B548) = 1,NOT(ISERROR(SUMPRODUCT(SEARCH(MID(Metadata!B548,ROW(INDIRECT("1:"&amp;LEN(Metadata!B548))), 1),"0123456789abcdefghijklmnopqrstuvwxyzABCDEFGHIJKLMNOPQRSTUVWXYZ.")))))</f>
        <v>0</v>
      </c>
      <c r="W548">
        <f>AND(IF(Metadata!C548="",FALSE,TRUE),exact(Metadata!C548,"urban biome"))</f>
        <v>0</v>
      </c>
      <c r="X548">
        <f>AND(IF(Metadata!D548="",FALSE,TRUE),exact(Metadata!D548,"animal-associated habitat"))</f>
        <v>0</v>
      </c>
      <c r="Y548">
        <f>OR(AND(IF(Metadata!E548="",FALSE,TRUE),OR(exact(Metadata!E548,"not applicable"),exact(Metadata!E548,"missing: not collected"),exact(Metadata!E548,"missing: not provided"),exact(Metadata!E548,"missing: restricted access"))),AND(IF(Metadata!E548="",FALSE,ISNUMBER(VALUE(Metadata!E548))),Metadata!E548&gt;0))</f>
        <v>0</v>
      </c>
      <c r="Z548">
        <f>AND(IF(Metadata!F548="",FALSE,TRUE),exact(Metadata!F548,"weeks"))</f>
        <v>0</v>
      </c>
      <c r="AA548">
        <f>AND(IF(Metadata!G548="",FALSE,TRUE),exact(Metadata!G548,"mouse"))</f>
        <v>0</v>
      </c>
      <c r="AB548">
        <f>AND(IF(Metadata!H548="",FALSE,TRUE),exact(Metadata!H548,"Mus musculus"))</f>
        <v>0</v>
      </c>
      <c r="AC548">
        <f>AND(IF(Metadata!I548="",FALSE,TRUE),exact(Metadata!I548,"10090"))</f>
        <v>0</v>
      </c>
      <c r="AD548">
        <f>OR(AND(IF(Metadata!J548="",FALSE,TRUE),OR(exact(Metadata!J548,"not applicable"),exact(Metadata!J548,"missing: not collected"),exact(Metadata!J548,"missing: not provided"),exact(Metadata!J548,"missing: restricted access"))),AND(IF(Metadata!J548="",FALSE,ISNUMBER(VALUE(Metadata!J548))),Metadata!J548&gt;0))</f>
        <v>0</v>
      </c>
      <c r="AE548">
        <f>AND(IF(Metadata!K548="",FALSE,TRUE),exact(Metadata!K548,"g"))</f>
        <v>0</v>
      </c>
    </row>
    <row r="549" spans="1:31">
      <c r="A549" s="5">
        <f>IF(B549=" "," ",HYPERLINK(CONCATENATE("#metadata!",ADDRESS(INDEX($Q$2:$Q$1001,MATCH(ROWS($O$2:O549),$O$2:$O$1001,0),0),1)),INDEX($T$2:$T$1001,MATCH(ROWS($O$2:O549),$O$2:$O$1001,0),0)))</f>
        <v>0</v>
      </c>
      <c r="B549" s="4">
        <f>IF(OR(INDEX($P$2:$P$1001,MATCH(ROWS($O$2:O549),$O$2:$O$1001,0),1)&gt;=100000,INDEX($V$1005:$AE$1005,1,MATCH(COLUMNS($V$1006:V1006),$V$1006:$AE$1006,0))&gt;=100000), " ",IF(INDEX($V$2:$AE$1001,MATCH(ROWS($O$2:O549),$O$2:$O$1001,0),MATCH(COLUMNS($V$1006:V1006),$V$1006:$AE$1006,0)), HYPERLINK("#",""), HYPERLINK(CONCATENATE("#Metadata!", ADDRESS(INDEX($Q$2:$Q$1001,MATCH(ROWS($O$2:O549),$O$2:$O$1001,0),0), INDEX($V$1004:$AE$1004,1,MATCH(COLUMNS($V$1006:V1006),$V$1006:$AE$1006,0)))),"Fix")))</f>
        <v>0</v>
      </c>
      <c r="C549" s="4">
        <f>IF(OR(INDEX($P$2:$P$1001,MATCH(ROWS($O$2:O549),$O$2:$O$1001,0),1)&gt;=100000,INDEX($V$1005:$AE$1005,1,MATCH(COLUMNS($V$1006:W1006),$V$1006:$AE$1006,0))&gt;=100000), " ",IF(INDEX($V$2:$AE$1001,MATCH(ROWS($O$2:O549),$O$2:$O$1001,0),MATCH(COLUMNS($V$1006:W1006),$V$1006:$AE$1006,0)), HYPERLINK("#",""), HYPERLINK(CONCATENATE("#Metadata!", ADDRESS(INDEX($Q$2:$Q$1001,MATCH(ROWS($O$2:O549),$O$2:$O$1001,0),0), INDEX($V$1004:$AE$1004,1,MATCH(COLUMNS($V$1006:W1006),$V$1006:$AE$1006,0)))),"Fix")))</f>
        <v>0</v>
      </c>
      <c r="D549" s="4">
        <f>IF(OR(INDEX($P$2:$P$1001,MATCH(ROWS($O$2:O549),$O$2:$O$1001,0),1)&gt;=100000,INDEX($V$1005:$AE$1005,1,MATCH(COLUMNS($V$1006:X1006),$V$1006:$AE$1006,0))&gt;=100000), " ",IF(INDEX($V$2:$AE$1001,MATCH(ROWS($O$2:O549),$O$2:$O$1001,0),MATCH(COLUMNS($V$1006:X1006),$V$1006:$AE$1006,0)), HYPERLINK("#",""), HYPERLINK(CONCATENATE("#Metadata!", ADDRESS(INDEX($Q$2:$Q$1001,MATCH(ROWS($O$2:O549),$O$2:$O$1001,0),0), INDEX($V$1004:$AE$1004,1,MATCH(COLUMNS($V$1006:X1006),$V$1006:$AE$1006,0)))),"Fix")))</f>
        <v>0</v>
      </c>
      <c r="E549" s="4">
        <f>IF(OR(INDEX($P$2:$P$1001,MATCH(ROWS($O$2:O549),$O$2:$O$1001,0),1)&gt;=100000,INDEX($V$1005:$AE$1005,1,MATCH(COLUMNS($V$1006:Y1006),$V$1006:$AE$1006,0))&gt;=100000), " ",IF(INDEX($V$2:$AE$1001,MATCH(ROWS($O$2:O549),$O$2:$O$1001,0),MATCH(COLUMNS($V$1006:Y1006),$V$1006:$AE$1006,0)), HYPERLINK("#",""), HYPERLINK(CONCATENATE("#Metadata!", ADDRESS(INDEX($Q$2:$Q$1001,MATCH(ROWS($O$2:O549),$O$2:$O$1001,0),0), INDEX($V$1004:$AE$1004,1,MATCH(COLUMNS($V$1006:Y1006),$V$1006:$AE$1006,0)))),"Fix")))</f>
        <v>0</v>
      </c>
      <c r="F549" s="4">
        <f>IF(OR(INDEX($P$2:$P$1001,MATCH(ROWS($O$2:O549),$O$2:$O$1001,0),1)&gt;=100000,INDEX($V$1005:$AE$1005,1,MATCH(COLUMNS($V$1006:Z1006),$V$1006:$AE$1006,0))&gt;=100000), " ",IF(INDEX($V$2:$AE$1001,MATCH(ROWS($O$2:O549),$O$2:$O$1001,0),MATCH(COLUMNS($V$1006:Z1006),$V$1006:$AE$1006,0)), HYPERLINK("#",""), HYPERLINK(CONCATENATE("#Metadata!", ADDRESS(INDEX($Q$2:$Q$1001,MATCH(ROWS($O$2:O549),$O$2:$O$1001,0),0), INDEX($V$1004:$AE$1004,1,MATCH(COLUMNS($V$1006:Z1006),$V$1006:$AE$1006,0)))),"Fix")))</f>
        <v>0</v>
      </c>
      <c r="G549" s="4">
        <f>IF(OR(INDEX($P$2:$P$1001,MATCH(ROWS($O$2:O549),$O$2:$O$1001,0),1)&gt;=100000,INDEX($V$1005:$AE$1005,1,MATCH(COLUMNS($V$1006:AA1006),$V$1006:$AE$1006,0))&gt;=100000), " ",IF(INDEX($V$2:$AE$1001,MATCH(ROWS($O$2:O549),$O$2:$O$1001,0),MATCH(COLUMNS($V$1006:AA1006),$V$1006:$AE$1006,0)), HYPERLINK("#",""), HYPERLINK(CONCATENATE("#Metadata!", ADDRESS(INDEX($Q$2:$Q$1001,MATCH(ROWS($O$2:O549),$O$2:$O$1001,0),0), INDEX($V$1004:$AE$1004,1,MATCH(COLUMNS($V$1006:AA1006),$V$1006:$AE$1006,0)))),"Fix")))</f>
        <v>0</v>
      </c>
      <c r="H549" s="4">
        <f>IF(OR(INDEX($P$2:$P$1001,MATCH(ROWS($O$2:O549),$O$2:$O$1001,0),1)&gt;=100000,INDEX($V$1005:$AE$1005,1,MATCH(COLUMNS($V$1006:AB1006),$V$1006:$AE$1006,0))&gt;=100000), " ",IF(INDEX($V$2:$AE$1001,MATCH(ROWS($O$2:O549),$O$2:$O$1001,0),MATCH(COLUMNS($V$1006:AB1006),$V$1006:$AE$1006,0)), HYPERLINK("#",""), HYPERLINK(CONCATENATE("#Metadata!", ADDRESS(INDEX($Q$2:$Q$1001,MATCH(ROWS($O$2:O549),$O$2:$O$1001,0),0), INDEX($V$1004:$AE$1004,1,MATCH(COLUMNS($V$1006:AB1006),$V$1006:$AE$1006,0)))),"Fix")))</f>
        <v>0</v>
      </c>
      <c r="I549" s="4">
        <f>IF(OR(INDEX($P$2:$P$1001,MATCH(ROWS($O$2:O549),$O$2:$O$1001,0),1)&gt;=100000,INDEX($V$1005:$AE$1005,1,MATCH(COLUMNS($V$1006:AC1006),$V$1006:$AE$1006,0))&gt;=100000), " ",IF(INDEX($V$2:$AE$1001,MATCH(ROWS($O$2:O549),$O$2:$O$1001,0),MATCH(COLUMNS($V$1006:AC1006),$V$1006:$AE$1006,0)), HYPERLINK("#",""), HYPERLINK(CONCATENATE("#Metadata!", ADDRESS(INDEX($Q$2:$Q$1001,MATCH(ROWS($O$2:O549),$O$2:$O$1001,0),0), INDEX($V$1004:$AE$1004,1,MATCH(COLUMNS($V$1006:AC1006),$V$1006:$AE$1006,0)))),"Fix")))</f>
        <v>0</v>
      </c>
      <c r="J549" s="4">
        <f>IF(OR(INDEX($P$2:$P$1001,MATCH(ROWS($O$2:O549),$O$2:$O$1001,0),1)&gt;=100000,INDEX($V$1005:$AE$1005,1,MATCH(COLUMNS($V$1006:AD1006),$V$1006:$AE$1006,0))&gt;=100000), " ",IF(INDEX($V$2:$AE$1001,MATCH(ROWS($O$2:O549),$O$2:$O$1001,0),MATCH(COLUMNS($V$1006:AD1006),$V$1006:$AE$1006,0)), HYPERLINK("#",""), HYPERLINK(CONCATENATE("#Metadata!", ADDRESS(INDEX($Q$2:$Q$1001,MATCH(ROWS($O$2:O549),$O$2:$O$1001,0),0), INDEX($V$1004:$AE$1004,1,MATCH(COLUMNS($V$1006:AD1006),$V$1006:$AE$1006,0)))),"Fix")))</f>
        <v>0</v>
      </c>
      <c r="K549" s="4">
        <f>IF(OR(INDEX($P$2:$P$1001,MATCH(ROWS($O$2:O549),$O$2:$O$1001,0),1)&gt;=100000,INDEX($V$1005:$AE$1005,1,MATCH(COLUMNS($V$1006:AE1006),$V$1006:$AE$1006,0))&gt;=100000), " ",IF(INDEX($V$2:$AE$1001,MATCH(ROWS($O$2:O549),$O$2:$O$1001,0),MATCH(COLUMNS($V$1006:AE1006),$V$1006:$AE$1006,0)), HYPERLINK("#",""), HYPERLINK(CONCATENATE("#Metadata!", ADDRESS(INDEX($Q$2:$Q$1001,MATCH(ROWS($O$2:O549),$O$2:$O$1001,0),0), INDEX($V$1004:$AE$1004,1,MATCH(COLUMNS($V$1006:AE1006),$V$1006:$AE$1006,0)))),"Fix")))</f>
        <v>0</v>
      </c>
      <c r="O549">
        <v>0</v>
      </c>
      <c r="P549">
        <v>0</v>
      </c>
      <c r="Q549">
        <v>0</v>
      </c>
      <c r="R549">
        <f>IF(S549,TRUE,AND(V549:AE549))</f>
        <v>0</v>
      </c>
      <c r="S549">
        <f>COUNTBLANK(Metadata!B549:K549)=COLUMNS(Metadata!B549:K549)</f>
        <v>0</v>
      </c>
      <c r="T549">
        <v>0</v>
      </c>
      <c r="V549">
        <f>AND(IF(Metadata!B549="",FALSE,TRUE),COUNTIF(Metadata!B:B, Metadata!B549) = 1,NOT(ISERROR(SUMPRODUCT(SEARCH(MID(Metadata!B549,ROW(INDIRECT("1:"&amp;LEN(Metadata!B549))), 1),"0123456789abcdefghijklmnopqrstuvwxyzABCDEFGHIJKLMNOPQRSTUVWXYZ.")))))</f>
        <v>0</v>
      </c>
      <c r="W549">
        <f>AND(IF(Metadata!C549="",FALSE,TRUE),exact(Metadata!C549,"urban biome"))</f>
        <v>0</v>
      </c>
      <c r="X549">
        <f>AND(IF(Metadata!D549="",FALSE,TRUE),exact(Metadata!D549,"animal-associated habitat"))</f>
        <v>0</v>
      </c>
      <c r="Y549">
        <f>OR(AND(IF(Metadata!E549="",FALSE,TRUE),OR(exact(Metadata!E549,"not applicable"),exact(Metadata!E549,"missing: not collected"),exact(Metadata!E549,"missing: not provided"),exact(Metadata!E549,"missing: restricted access"))),AND(IF(Metadata!E549="",FALSE,ISNUMBER(VALUE(Metadata!E549))),Metadata!E549&gt;0))</f>
        <v>0</v>
      </c>
      <c r="Z549">
        <f>AND(IF(Metadata!F549="",FALSE,TRUE),exact(Metadata!F549,"weeks"))</f>
        <v>0</v>
      </c>
      <c r="AA549">
        <f>AND(IF(Metadata!G549="",FALSE,TRUE),exact(Metadata!G549,"mouse"))</f>
        <v>0</v>
      </c>
      <c r="AB549">
        <f>AND(IF(Metadata!H549="",FALSE,TRUE),exact(Metadata!H549,"Mus musculus"))</f>
        <v>0</v>
      </c>
      <c r="AC549">
        <f>AND(IF(Metadata!I549="",FALSE,TRUE),exact(Metadata!I549,"10090"))</f>
        <v>0</v>
      </c>
      <c r="AD549">
        <f>OR(AND(IF(Metadata!J549="",FALSE,TRUE),OR(exact(Metadata!J549,"not applicable"),exact(Metadata!J549,"missing: not collected"),exact(Metadata!J549,"missing: not provided"),exact(Metadata!J549,"missing: restricted access"))),AND(IF(Metadata!J549="",FALSE,ISNUMBER(VALUE(Metadata!J549))),Metadata!J549&gt;0))</f>
        <v>0</v>
      </c>
      <c r="AE549">
        <f>AND(IF(Metadata!K549="",FALSE,TRUE),exact(Metadata!K549,"g"))</f>
        <v>0</v>
      </c>
    </row>
    <row r="550" spans="1:31">
      <c r="A550" s="5">
        <f>IF(B550=" "," ",HYPERLINK(CONCATENATE("#metadata!",ADDRESS(INDEX($Q$2:$Q$1001,MATCH(ROWS($O$2:O550),$O$2:$O$1001,0),0),1)),INDEX($T$2:$T$1001,MATCH(ROWS($O$2:O550),$O$2:$O$1001,0),0)))</f>
        <v>0</v>
      </c>
      <c r="B550" s="4">
        <f>IF(OR(INDEX($P$2:$P$1001,MATCH(ROWS($O$2:O550),$O$2:$O$1001,0),1)&gt;=100000,INDEX($V$1005:$AE$1005,1,MATCH(COLUMNS($V$1006:V1006),$V$1006:$AE$1006,0))&gt;=100000), " ",IF(INDEX($V$2:$AE$1001,MATCH(ROWS($O$2:O550),$O$2:$O$1001,0),MATCH(COLUMNS($V$1006:V1006),$V$1006:$AE$1006,0)), HYPERLINK("#",""), HYPERLINK(CONCATENATE("#Metadata!", ADDRESS(INDEX($Q$2:$Q$1001,MATCH(ROWS($O$2:O550),$O$2:$O$1001,0),0), INDEX($V$1004:$AE$1004,1,MATCH(COLUMNS($V$1006:V1006),$V$1006:$AE$1006,0)))),"Fix")))</f>
        <v>0</v>
      </c>
      <c r="C550" s="4">
        <f>IF(OR(INDEX($P$2:$P$1001,MATCH(ROWS($O$2:O550),$O$2:$O$1001,0),1)&gt;=100000,INDEX($V$1005:$AE$1005,1,MATCH(COLUMNS($V$1006:W1006),$V$1006:$AE$1006,0))&gt;=100000), " ",IF(INDEX($V$2:$AE$1001,MATCH(ROWS($O$2:O550),$O$2:$O$1001,0),MATCH(COLUMNS($V$1006:W1006),$V$1006:$AE$1006,0)), HYPERLINK("#",""), HYPERLINK(CONCATENATE("#Metadata!", ADDRESS(INDEX($Q$2:$Q$1001,MATCH(ROWS($O$2:O550),$O$2:$O$1001,0),0), INDEX($V$1004:$AE$1004,1,MATCH(COLUMNS($V$1006:W1006),$V$1006:$AE$1006,0)))),"Fix")))</f>
        <v>0</v>
      </c>
      <c r="D550" s="4">
        <f>IF(OR(INDEX($P$2:$P$1001,MATCH(ROWS($O$2:O550),$O$2:$O$1001,0),1)&gt;=100000,INDEX($V$1005:$AE$1005,1,MATCH(COLUMNS($V$1006:X1006),$V$1006:$AE$1006,0))&gt;=100000), " ",IF(INDEX($V$2:$AE$1001,MATCH(ROWS($O$2:O550),$O$2:$O$1001,0),MATCH(COLUMNS($V$1006:X1006),$V$1006:$AE$1006,0)), HYPERLINK("#",""), HYPERLINK(CONCATENATE("#Metadata!", ADDRESS(INDEX($Q$2:$Q$1001,MATCH(ROWS($O$2:O550),$O$2:$O$1001,0),0), INDEX($V$1004:$AE$1004,1,MATCH(COLUMNS($V$1006:X1006),$V$1006:$AE$1006,0)))),"Fix")))</f>
        <v>0</v>
      </c>
      <c r="E550" s="4">
        <f>IF(OR(INDEX($P$2:$P$1001,MATCH(ROWS($O$2:O550),$O$2:$O$1001,0),1)&gt;=100000,INDEX($V$1005:$AE$1005,1,MATCH(COLUMNS($V$1006:Y1006),$V$1006:$AE$1006,0))&gt;=100000), " ",IF(INDEX($V$2:$AE$1001,MATCH(ROWS($O$2:O550),$O$2:$O$1001,0),MATCH(COLUMNS($V$1006:Y1006),$V$1006:$AE$1006,0)), HYPERLINK("#",""), HYPERLINK(CONCATENATE("#Metadata!", ADDRESS(INDEX($Q$2:$Q$1001,MATCH(ROWS($O$2:O550),$O$2:$O$1001,0),0), INDEX($V$1004:$AE$1004,1,MATCH(COLUMNS($V$1006:Y1006),$V$1006:$AE$1006,0)))),"Fix")))</f>
        <v>0</v>
      </c>
      <c r="F550" s="4">
        <f>IF(OR(INDEX($P$2:$P$1001,MATCH(ROWS($O$2:O550),$O$2:$O$1001,0),1)&gt;=100000,INDEX($V$1005:$AE$1005,1,MATCH(COLUMNS($V$1006:Z1006),$V$1006:$AE$1006,0))&gt;=100000), " ",IF(INDEX($V$2:$AE$1001,MATCH(ROWS($O$2:O550),$O$2:$O$1001,0),MATCH(COLUMNS($V$1006:Z1006),$V$1006:$AE$1006,0)), HYPERLINK("#",""), HYPERLINK(CONCATENATE("#Metadata!", ADDRESS(INDEX($Q$2:$Q$1001,MATCH(ROWS($O$2:O550),$O$2:$O$1001,0),0), INDEX($V$1004:$AE$1004,1,MATCH(COLUMNS($V$1006:Z1006),$V$1006:$AE$1006,0)))),"Fix")))</f>
        <v>0</v>
      </c>
      <c r="G550" s="4">
        <f>IF(OR(INDEX($P$2:$P$1001,MATCH(ROWS($O$2:O550),$O$2:$O$1001,0),1)&gt;=100000,INDEX($V$1005:$AE$1005,1,MATCH(COLUMNS($V$1006:AA1006),$V$1006:$AE$1006,0))&gt;=100000), " ",IF(INDEX($V$2:$AE$1001,MATCH(ROWS($O$2:O550),$O$2:$O$1001,0),MATCH(COLUMNS($V$1006:AA1006),$V$1006:$AE$1006,0)), HYPERLINK("#",""), HYPERLINK(CONCATENATE("#Metadata!", ADDRESS(INDEX($Q$2:$Q$1001,MATCH(ROWS($O$2:O550),$O$2:$O$1001,0),0), INDEX($V$1004:$AE$1004,1,MATCH(COLUMNS($V$1006:AA1006),$V$1006:$AE$1006,0)))),"Fix")))</f>
        <v>0</v>
      </c>
      <c r="H550" s="4">
        <f>IF(OR(INDEX($P$2:$P$1001,MATCH(ROWS($O$2:O550),$O$2:$O$1001,0),1)&gt;=100000,INDEX($V$1005:$AE$1005,1,MATCH(COLUMNS($V$1006:AB1006),$V$1006:$AE$1006,0))&gt;=100000), " ",IF(INDEX($V$2:$AE$1001,MATCH(ROWS($O$2:O550),$O$2:$O$1001,0),MATCH(COLUMNS($V$1006:AB1006),$V$1006:$AE$1006,0)), HYPERLINK("#",""), HYPERLINK(CONCATENATE("#Metadata!", ADDRESS(INDEX($Q$2:$Q$1001,MATCH(ROWS($O$2:O550),$O$2:$O$1001,0),0), INDEX($V$1004:$AE$1004,1,MATCH(COLUMNS($V$1006:AB1006),$V$1006:$AE$1006,0)))),"Fix")))</f>
        <v>0</v>
      </c>
      <c r="I550" s="4">
        <f>IF(OR(INDEX($P$2:$P$1001,MATCH(ROWS($O$2:O550),$O$2:$O$1001,0),1)&gt;=100000,INDEX($V$1005:$AE$1005,1,MATCH(COLUMNS($V$1006:AC1006),$V$1006:$AE$1006,0))&gt;=100000), " ",IF(INDEX($V$2:$AE$1001,MATCH(ROWS($O$2:O550),$O$2:$O$1001,0),MATCH(COLUMNS($V$1006:AC1006),$V$1006:$AE$1006,0)), HYPERLINK("#",""), HYPERLINK(CONCATENATE("#Metadata!", ADDRESS(INDEX($Q$2:$Q$1001,MATCH(ROWS($O$2:O550),$O$2:$O$1001,0),0), INDEX($V$1004:$AE$1004,1,MATCH(COLUMNS($V$1006:AC1006),$V$1006:$AE$1006,0)))),"Fix")))</f>
        <v>0</v>
      </c>
      <c r="J550" s="4">
        <f>IF(OR(INDEX($P$2:$P$1001,MATCH(ROWS($O$2:O550),$O$2:$O$1001,0),1)&gt;=100000,INDEX($V$1005:$AE$1005,1,MATCH(COLUMNS($V$1006:AD1006),$V$1006:$AE$1006,0))&gt;=100000), " ",IF(INDEX($V$2:$AE$1001,MATCH(ROWS($O$2:O550),$O$2:$O$1001,0),MATCH(COLUMNS($V$1006:AD1006),$V$1006:$AE$1006,0)), HYPERLINK("#",""), HYPERLINK(CONCATENATE("#Metadata!", ADDRESS(INDEX($Q$2:$Q$1001,MATCH(ROWS($O$2:O550),$O$2:$O$1001,0),0), INDEX($V$1004:$AE$1004,1,MATCH(COLUMNS($V$1006:AD1006),$V$1006:$AE$1006,0)))),"Fix")))</f>
        <v>0</v>
      </c>
      <c r="K550" s="4">
        <f>IF(OR(INDEX($P$2:$P$1001,MATCH(ROWS($O$2:O550),$O$2:$O$1001,0),1)&gt;=100000,INDEX($V$1005:$AE$1005,1,MATCH(COLUMNS($V$1006:AE1006),$V$1006:$AE$1006,0))&gt;=100000), " ",IF(INDEX($V$2:$AE$1001,MATCH(ROWS($O$2:O550),$O$2:$O$1001,0),MATCH(COLUMNS($V$1006:AE1006),$V$1006:$AE$1006,0)), HYPERLINK("#",""), HYPERLINK(CONCATENATE("#Metadata!", ADDRESS(INDEX($Q$2:$Q$1001,MATCH(ROWS($O$2:O550),$O$2:$O$1001,0),0), INDEX($V$1004:$AE$1004,1,MATCH(COLUMNS($V$1006:AE1006),$V$1006:$AE$1006,0)))),"Fix")))</f>
        <v>0</v>
      </c>
      <c r="O550">
        <v>0</v>
      </c>
      <c r="P550">
        <v>0</v>
      </c>
      <c r="Q550">
        <v>0</v>
      </c>
      <c r="R550">
        <f>IF(S550,TRUE,AND(V550:AE550))</f>
        <v>0</v>
      </c>
      <c r="S550">
        <f>COUNTBLANK(Metadata!B550:K550)=COLUMNS(Metadata!B550:K550)</f>
        <v>0</v>
      </c>
      <c r="T550">
        <v>0</v>
      </c>
      <c r="V550">
        <f>AND(IF(Metadata!B550="",FALSE,TRUE),COUNTIF(Metadata!B:B, Metadata!B550) = 1,NOT(ISERROR(SUMPRODUCT(SEARCH(MID(Metadata!B550,ROW(INDIRECT("1:"&amp;LEN(Metadata!B550))), 1),"0123456789abcdefghijklmnopqrstuvwxyzABCDEFGHIJKLMNOPQRSTUVWXYZ.")))))</f>
        <v>0</v>
      </c>
      <c r="W550">
        <f>AND(IF(Metadata!C550="",FALSE,TRUE),exact(Metadata!C550,"urban biome"))</f>
        <v>0</v>
      </c>
      <c r="X550">
        <f>AND(IF(Metadata!D550="",FALSE,TRUE),exact(Metadata!D550,"animal-associated habitat"))</f>
        <v>0</v>
      </c>
      <c r="Y550">
        <f>OR(AND(IF(Metadata!E550="",FALSE,TRUE),OR(exact(Metadata!E550,"not applicable"),exact(Metadata!E550,"missing: not collected"),exact(Metadata!E550,"missing: not provided"),exact(Metadata!E550,"missing: restricted access"))),AND(IF(Metadata!E550="",FALSE,ISNUMBER(VALUE(Metadata!E550))),Metadata!E550&gt;0))</f>
        <v>0</v>
      </c>
      <c r="Z550">
        <f>AND(IF(Metadata!F550="",FALSE,TRUE),exact(Metadata!F550,"weeks"))</f>
        <v>0</v>
      </c>
      <c r="AA550">
        <f>AND(IF(Metadata!G550="",FALSE,TRUE),exact(Metadata!G550,"mouse"))</f>
        <v>0</v>
      </c>
      <c r="AB550">
        <f>AND(IF(Metadata!H550="",FALSE,TRUE),exact(Metadata!H550,"Mus musculus"))</f>
        <v>0</v>
      </c>
      <c r="AC550">
        <f>AND(IF(Metadata!I550="",FALSE,TRUE),exact(Metadata!I550,"10090"))</f>
        <v>0</v>
      </c>
      <c r="AD550">
        <f>OR(AND(IF(Metadata!J550="",FALSE,TRUE),OR(exact(Metadata!J550,"not applicable"),exact(Metadata!J550,"missing: not collected"),exact(Metadata!J550,"missing: not provided"),exact(Metadata!J550,"missing: restricted access"))),AND(IF(Metadata!J550="",FALSE,ISNUMBER(VALUE(Metadata!J550))),Metadata!J550&gt;0))</f>
        <v>0</v>
      </c>
      <c r="AE550">
        <f>AND(IF(Metadata!K550="",FALSE,TRUE),exact(Metadata!K550,"g"))</f>
        <v>0</v>
      </c>
    </row>
    <row r="551" spans="1:31">
      <c r="A551" s="5">
        <f>IF(B551=" "," ",HYPERLINK(CONCATENATE("#metadata!",ADDRESS(INDEX($Q$2:$Q$1001,MATCH(ROWS($O$2:O551),$O$2:$O$1001,0),0),1)),INDEX($T$2:$T$1001,MATCH(ROWS($O$2:O551),$O$2:$O$1001,0),0)))</f>
        <v>0</v>
      </c>
      <c r="B551" s="4">
        <f>IF(OR(INDEX($P$2:$P$1001,MATCH(ROWS($O$2:O551),$O$2:$O$1001,0),1)&gt;=100000,INDEX($V$1005:$AE$1005,1,MATCH(COLUMNS($V$1006:V1006),$V$1006:$AE$1006,0))&gt;=100000), " ",IF(INDEX($V$2:$AE$1001,MATCH(ROWS($O$2:O551),$O$2:$O$1001,0),MATCH(COLUMNS($V$1006:V1006),$V$1006:$AE$1006,0)), HYPERLINK("#",""), HYPERLINK(CONCATENATE("#Metadata!", ADDRESS(INDEX($Q$2:$Q$1001,MATCH(ROWS($O$2:O551),$O$2:$O$1001,0),0), INDEX($V$1004:$AE$1004,1,MATCH(COLUMNS($V$1006:V1006),$V$1006:$AE$1006,0)))),"Fix")))</f>
        <v>0</v>
      </c>
      <c r="C551" s="4">
        <f>IF(OR(INDEX($P$2:$P$1001,MATCH(ROWS($O$2:O551),$O$2:$O$1001,0),1)&gt;=100000,INDEX($V$1005:$AE$1005,1,MATCH(COLUMNS($V$1006:W1006),$V$1006:$AE$1006,0))&gt;=100000), " ",IF(INDEX($V$2:$AE$1001,MATCH(ROWS($O$2:O551),$O$2:$O$1001,0),MATCH(COLUMNS($V$1006:W1006),$V$1006:$AE$1006,0)), HYPERLINK("#",""), HYPERLINK(CONCATENATE("#Metadata!", ADDRESS(INDEX($Q$2:$Q$1001,MATCH(ROWS($O$2:O551),$O$2:$O$1001,0),0), INDEX($V$1004:$AE$1004,1,MATCH(COLUMNS($V$1006:W1006),$V$1006:$AE$1006,0)))),"Fix")))</f>
        <v>0</v>
      </c>
      <c r="D551" s="4">
        <f>IF(OR(INDEX($P$2:$P$1001,MATCH(ROWS($O$2:O551),$O$2:$O$1001,0),1)&gt;=100000,INDEX($V$1005:$AE$1005,1,MATCH(COLUMNS($V$1006:X1006),$V$1006:$AE$1006,0))&gt;=100000), " ",IF(INDEX($V$2:$AE$1001,MATCH(ROWS($O$2:O551),$O$2:$O$1001,0),MATCH(COLUMNS($V$1006:X1006),$V$1006:$AE$1006,0)), HYPERLINK("#",""), HYPERLINK(CONCATENATE("#Metadata!", ADDRESS(INDEX($Q$2:$Q$1001,MATCH(ROWS($O$2:O551),$O$2:$O$1001,0),0), INDEX($V$1004:$AE$1004,1,MATCH(COLUMNS($V$1006:X1006),$V$1006:$AE$1006,0)))),"Fix")))</f>
        <v>0</v>
      </c>
      <c r="E551" s="4">
        <f>IF(OR(INDEX($P$2:$P$1001,MATCH(ROWS($O$2:O551),$O$2:$O$1001,0),1)&gt;=100000,INDEX($V$1005:$AE$1005,1,MATCH(COLUMNS($V$1006:Y1006),$V$1006:$AE$1006,0))&gt;=100000), " ",IF(INDEX($V$2:$AE$1001,MATCH(ROWS($O$2:O551),$O$2:$O$1001,0),MATCH(COLUMNS($V$1006:Y1006),$V$1006:$AE$1006,0)), HYPERLINK("#",""), HYPERLINK(CONCATENATE("#Metadata!", ADDRESS(INDEX($Q$2:$Q$1001,MATCH(ROWS($O$2:O551),$O$2:$O$1001,0),0), INDEX($V$1004:$AE$1004,1,MATCH(COLUMNS($V$1006:Y1006),$V$1006:$AE$1006,0)))),"Fix")))</f>
        <v>0</v>
      </c>
      <c r="F551" s="4">
        <f>IF(OR(INDEX($P$2:$P$1001,MATCH(ROWS($O$2:O551),$O$2:$O$1001,0),1)&gt;=100000,INDEX($V$1005:$AE$1005,1,MATCH(COLUMNS($V$1006:Z1006),$V$1006:$AE$1006,0))&gt;=100000), " ",IF(INDEX($V$2:$AE$1001,MATCH(ROWS($O$2:O551),$O$2:$O$1001,0),MATCH(COLUMNS($V$1006:Z1006),$V$1006:$AE$1006,0)), HYPERLINK("#",""), HYPERLINK(CONCATENATE("#Metadata!", ADDRESS(INDEX($Q$2:$Q$1001,MATCH(ROWS($O$2:O551),$O$2:$O$1001,0),0), INDEX($V$1004:$AE$1004,1,MATCH(COLUMNS($V$1006:Z1006),$V$1006:$AE$1006,0)))),"Fix")))</f>
        <v>0</v>
      </c>
      <c r="G551" s="4">
        <f>IF(OR(INDEX($P$2:$P$1001,MATCH(ROWS($O$2:O551),$O$2:$O$1001,0),1)&gt;=100000,INDEX($V$1005:$AE$1005,1,MATCH(COLUMNS($V$1006:AA1006),$V$1006:$AE$1006,0))&gt;=100000), " ",IF(INDEX($V$2:$AE$1001,MATCH(ROWS($O$2:O551),$O$2:$O$1001,0),MATCH(COLUMNS($V$1006:AA1006),$V$1006:$AE$1006,0)), HYPERLINK("#",""), HYPERLINK(CONCATENATE("#Metadata!", ADDRESS(INDEX($Q$2:$Q$1001,MATCH(ROWS($O$2:O551),$O$2:$O$1001,0),0), INDEX($V$1004:$AE$1004,1,MATCH(COLUMNS($V$1006:AA1006),$V$1006:$AE$1006,0)))),"Fix")))</f>
        <v>0</v>
      </c>
      <c r="H551" s="4">
        <f>IF(OR(INDEX($P$2:$P$1001,MATCH(ROWS($O$2:O551),$O$2:$O$1001,0),1)&gt;=100000,INDEX($V$1005:$AE$1005,1,MATCH(COLUMNS($V$1006:AB1006),$V$1006:$AE$1006,0))&gt;=100000), " ",IF(INDEX($V$2:$AE$1001,MATCH(ROWS($O$2:O551),$O$2:$O$1001,0),MATCH(COLUMNS($V$1006:AB1006),$V$1006:$AE$1006,0)), HYPERLINK("#",""), HYPERLINK(CONCATENATE("#Metadata!", ADDRESS(INDEX($Q$2:$Q$1001,MATCH(ROWS($O$2:O551),$O$2:$O$1001,0),0), INDEX($V$1004:$AE$1004,1,MATCH(COLUMNS($V$1006:AB1006),$V$1006:$AE$1006,0)))),"Fix")))</f>
        <v>0</v>
      </c>
      <c r="I551" s="4">
        <f>IF(OR(INDEX($P$2:$P$1001,MATCH(ROWS($O$2:O551),$O$2:$O$1001,0),1)&gt;=100000,INDEX($V$1005:$AE$1005,1,MATCH(COLUMNS($V$1006:AC1006),$V$1006:$AE$1006,0))&gt;=100000), " ",IF(INDEX($V$2:$AE$1001,MATCH(ROWS($O$2:O551),$O$2:$O$1001,0),MATCH(COLUMNS($V$1006:AC1006),$V$1006:$AE$1006,0)), HYPERLINK("#",""), HYPERLINK(CONCATENATE("#Metadata!", ADDRESS(INDEX($Q$2:$Q$1001,MATCH(ROWS($O$2:O551),$O$2:$O$1001,0),0), INDEX($V$1004:$AE$1004,1,MATCH(COLUMNS($V$1006:AC1006),$V$1006:$AE$1006,0)))),"Fix")))</f>
        <v>0</v>
      </c>
      <c r="J551" s="4">
        <f>IF(OR(INDEX($P$2:$P$1001,MATCH(ROWS($O$2:O551),$O$2:$O$1001,0),1)&gt;=100000,INDEX($V$1005:$AE$1005,1,MATCH(COLUMNS($V$1006:AD1006),$V$1006:$AE$1006,0))&gt;=100000), " ",IF(INDEX($V$2:$AE$1001,MATCH(ROWS($O$2:O551),$O$2:$O$1001,0),MATCH(COLUMNS($V$1006:AD1006),$V$1006:$AE$1006,0)), HYPERLINK("#",""), HYPERLINK(CONCATENATE("#Metadata!", ADDRESS(INDEX($Q$2:$Q$1001,MATCH(ROWS($O$2:O551),$O$2:$O$1001,0),0), INDEX($V$1004:$AE$1004,1,MATCH(COLUMNS($V$1006:AD1006),$V$1006:$AE$1006,0)))),"Fix")))</f>
        <v>0</v>
      </c>
      <c r="K551" s="4">
        <f>IF(OR(INDEX($P$2:$P$1001,MATCH(ROWS($O$2:O551),$O$2:$O$1001,0),1)&gt;=100000,INDEX($V$1005:$AE$1005,1,MATCH(COLUMNS($V$1006:AE1006),$V$1006:$AE$1006,0))&gt;=100000), " ",IF(INDEX($V$2:$AE$1001,MATCH(ROWS($O$2:O551),$O$2:$O$1001,0),MATCH(COLUMNS($V$1006:AE1006),$V$1006:$AE$1006,0)), HYPERLINK("#",""), HYPERLINK(CONCATENATE("#Metadata!", ADDRESS(INDEX($Q$2:$Q$1001,MATCH(ROWS($O$2:O551),$O$2:$O$1001,0),0), INDEX($V$1004:$AE$1004,1,MATCH(COLUMNS($V$1006:AE1006),$V$1006:$AE$1006,0)))),"Fix")))</f>
        <v>0</v>
      </c>
      <c r="O551">
        <v>0</v>
      </c>
      <c r="P551">
        <v>0</v>
      </c>
      <c r="Q551">
        <v>0</v>
      </c>
      <c r="R551">
        <f>IF(S551,TRUE,AND(V551:AE551))</f>
        <v>0</v>
      </c>
      <c r="S551">
        <f>COUNTBLANK(Metadata!B551:K551)=COLUMNS(Metadata!B551:K551)</f>
        <v>0</v>
      </c>
      <c r="T551">
        <v>0</v>
      </c>
      <c r="V551">
        <f>AND(IF(Metadata!B551="",FALSE,TRUE),COUNTIF(Metadata!B:B, Metadata!B551) = 1,NOT(ISERROR(SUMPRODUCT(SEARCH(MID(Metadata!B551,ROW(INDIRECT("1:"&amp;LEN(Metadata!B551))), 1),"0123456789abcdefghijklmnopqrstuvwxyzABCDEFGHIJKLMNOPQRSTUVWXYZ.")))))</f>
        <v>0</v>
      </c>
      <c r="W551">
        <f>AND(IF(Metadata!C551="",FALSE,TRUE),exact(Metadata!C551,"urban biome"))</f>
        <v>0</v>
      </c>
      <c r="X551">
        <f>AND(IF(Metadata!D551="",FALSE,TRUE),exact(Metadata!D551,"animal-associated habitat"))</f>
        <v>0</v>
      </c>
      <c r="Y551">
        <f>OR(AND(IF(Metadata!E551="",FALSE,TRUE),OR(exact(Metadata!E551,"not applicable"),exact(Metadata!E551,"missing: not collected"),exact(Metadata!E551,"missing: not provided"),exact(Metadata!E551,"missing: restricted access"))),AND(IF(Metadata!E551="",FALSE,ISNUMBER(VALUE(Metadata!E551))),Metadata!E551&gt;0))</f>
        <v>0</v>
      </c>
      <c r="Z551">
        <f>AND(IF(Metadata!F551="",FALSE,TRUE),exact(Metadata!F551,"weeks"))</f>
        <v>0</v>
      </c>
      <c r="AA551">
        <f>AND(IF(Metadata!G551="",FALSE,TRUE),exact(Metadata!G551,"mouse"))</f>
        <v>0</v>
      </c>
      <c r="AB551">
        <f>AND(IF(Metadata!H551="",FALSE,TRUE),exact(Metadata!H551,"Mus musculus"))</f>
        <v>0</v>
      </c>
      <c r="AC551">
        <f>AND(IF(Metadata!I551="",FALSE,TRUE),exact(Metadata!I551,"10090"))</f>
        <v>0</v>
      </c>
      <c r="AD551">
        <f>OR(AND(IF(Metadata!J551="",FALSE,TRUE),OR(exact(Metadata!J551,"not applicable"),exact(Metadata!J551,"missing: not collected"),exact(Metadata!J551,"missing: not provided"),exact(Metadata!J551,"missing: restricted access"))),AND(IF(Metadata!J551="",FALSE,ISNUMBER(VALUE(Metadata!J551))),Metadata!J551&gt;0))</f>
        <v>0</v>
      </c>
      <c r="AE551">
        <f>AND(IF(Metadata!K551="",FALSE,TRUE),exact(Metadata!K551,"g"))</f>
        <v>0</v>
      </c>
    </row>
    <row r="552" spans="1:31">
      <c r="A552" s="5">
        <f>IF(B552=" "," ",HYPERLINK(CONCATENATE("#metadata!",ADDRESS(INDEX($Q$2:$Q$1001,MATCH(ROWS($O$2:O552),$O$2:$O$1001,0),0),1)),INDEX($T$2:$T$1001,MATCH(ROWS($O$2:O552),$O$2:$O$1001,0),0)))</f>
        <v>0</v>
      </c>
      <c r="B552" s="4">
        <f>IF(OR(INDEX($P$2:$P$1001,MATCH(ROWS($O$2:O552),$O$2:$O$1001,0),1)&gt;=100000,INDEX($V$1005:$AE$1005,1,MATCH(COLUMNS($V$1006:V1006),$V$1006:$AE$1006,0))&gt;=100000), " ",IF(INDEX($V$2:$AE$1001,MATCH(ROWS($O$2:O552),$O$2:$O$1001,0),MATCH(COLUMNS($V$1006:V1006),$V$1006:$AE$1006,0)), HYPERLINK("#",""), HYPERLINK(CONCATENATE("#Metadata!", ADDRESS(INDEX($Q$2:$Q$1001,MATCH(ROWS($O$2:O552),$O$2:$O$1001,0),0), INDEX($V$1004:$AE$1004,1,MATCH(COLUMNS($V$1006:V1006),$V$1006:$AE$1006,0)))),"Fix")))</f>
        <v>0</v>
      </c>
      <c r="C552" s="4">
        <f>IF(OR(INDEX($P$2:$P$1001,MATCH(ROWS($O$2:O552),$O$2:$O$1001,0),1)&gt;=100000,INDEX($V$1005:$AE$1005,1,MATCH(COLUMNS($V$1006:W1006),$V$1006:$AE$1006,0))&gt;=100000), " ",IF(INDEX($V$2:$AE$1001,MATCH(ROWS($O$2:O552),$O$2:$O$1001,0),MATCH(COLUMNS($V$1006:W1006),$V$1006:$AE$1006,0)), HYPERLINK("#",""), HYPERLINK(CONCATENATE("#Metadata!", ADDRESS(INDEX($Q$2:$Q$1001,MATCH(ROWS($O$2:O552),$O$2:$O$1001,0),0), INDEX($V$1004:$AE$1004,1,MATCH(COLUMNS($V$1006:W1006),$V$1006:$AE$1006,0)))),"Fix")))</f>
        <v>0</v>
      </c>
      <c r="D552" s="4">
        <f>IF(OR(INDEX($P$2:$P$1001,MATCH(ROWS($O$2:O552),$O$2:$O$1001,0),1)&gt;=100000,INDEX($V$1005:$AE$1005,1,MATCH(COLUMNS($V$1006:X1006),$V$1006:$AE$1006,0))&gt;=100000), " ",IF(INDEX($V$2:$AE$1001,MATCH(ROWS($O$2:O552),$O$2:$O$1001,0),MATCH(COLUMNS($V$1006:X1006),$V$1006:$AE$1006,0)), HYPERLINK("#",""), HYPERLINK(CONCATENATE("#Metadata!", ADDRESS(INDEX($Q$2:$Q$1001,MATCH(ROWS($O$2:O552),$O$2:$O$1001,0),0), INDEX($V$1004:$AE$1004,1,MATCH(COLUMNS($V$1006:X1006),$V$1006:$AE$1006,0)))),"Fix")))</f>
        <v>0</v>
      </c>
      <c r="E552" s="4">
        <f>IF(OR(INDEX($P$2:$P$1001,MATCH(ROWS($O$2:O552),$O$2:$O$1001,0),1)&gt;=100000,INDEX($V$1005:$AE$1005,1,MATCH(COLUMNS($V$1006:Y1006),$V$1006:$AE$1006,0))&gt;=100000), " ",IF(INDEX($V$2:$AE$1001,MATCH(ROWS($O$2:O552),$O$2:$O$1001,0),MATCH(COLUMNS($V$1006:Y1006),$V$1006:$AE$1006,0)), HYPERLINK("#",""), HYPERLINK(CONCATENATE("#Metadata!", ADDRESS(INDEX($Q$2:$Q$1001,MATCH(ROWS($O$2:O552),$O$2:$O$1001,0),0), INDEX($V$1004:$AE$1004,1,MATCH(COLUMNS($V$1006:Y1006),$V$1006:$AE$1006,0)))),"Fix")))</f>
        <v>0</v>
      </c>
      <c r="F552" s="4">
        <f>IF(OR(INDEX($P$2:$P$1001,MATCH(ROWS($O$2:O552),$O$2:$O$1001,0),1)&gt;=100000,INDEX($V$1005:$AE$1005,1,MATCH(COLUMNS($V$1006:Z1006),$V$1006:$AE$1006,0))&gt;=100000), " ",IF(INDEX($V$2:$AE$1001,MATCH(ROWS($O$2:O552),$O$2:$O$1001,0),MATCH(COLUMNS($V$1006:Z1006),$V$1006:$AE$1006,0)), HYPERLINK("#",""), HYPERLINK(CONCATENATE("#Metadata!", ADDRESS(INDEX($Q$2:$Q$1001,MATCH(ROWS($O$2:O552),$O$2:$O$1001,0),0), INDEX($V$1004:$AE$1004,1,MATCH(COLUMNS($V$1006:Z1006),$V$1006:$AE$1006,0)))),"Fix")))</f>
        <v>0</v>
      </c>
      <c r="G552" s="4">
        <f>IF(OR(INDEX($P$2:$P$1001,MATCH(ROWS($O$2:O552),$O$2:$O$1001,0),1)&gt;=100000,INDEX($V$1005:$AE$1005,1,MATCH(COLUMNS($V$1006:AA1006),$V$1006:$AE$1006,0))&gt;=100000), " ",IF(INDEX($V$2:$AE$1001,MATCH(ROWS($O$2:O552),$O$2:$O$1001,0),MATCH(COLUMNS($V$1006:AA1006),$V$1006:$AE$1006,0)), HYPERLINK("#",""), HYPERLINK(CONCATENATE("#Metadata!", ADDRESS(INDEX($Q$2:$Q$1001,MATCH(ROWS($O$2:O552),$O$2:$O$1001,0),0), INDEX($V$1004:$AE$1004,1,MATCH(COLUMNS($V$1006:AA1006),$V$1006:$AE$1006,0)))),"Fix")))</f>
        <v>0</v>
      </c>
      <c r="H552" s="4">
        <f>IF(OR(INDEX($P$2:$P$1001,MATCH(ROWS($O$2:O552),$O$2:$O$1001,0),1)&gt;=100000,INDEX($V$1005:$AE$1005,1,MATCH(COLUMNS($V$1006:AB1006),$V$1006:$AE$1006,0))&gt;=100000), " ",IF(INDEX($V$2:$AE$1001,MATCH(ROWS($O$2:O552),$O$2:$O$1001,0),MATCH(COLUMNS($V$1006:AB1006),$V$1006:$AE$1006,0)), HYPERLINK("#",""), HYPERLINK(CONCATENATE("#Metadata!", ADDRESS(INDEX($Q$2:$Q$1001,MATCH(ROWS($O$2:O552),$O$2:$O$1001,0),0), INDEX($V$1004:$AE$1004,1,MATCH(COLUMNS($V$1006:AB1006),$V$1006:$AE$1006,0)))),"Fix")))</f>
        <v>0</v>
      </c>
      <c r="I552" s="4">
        <f>IF(OR(INDEX($P$2:$P$1001,MATCH(ROWS($O$2:O552),$O$2:$O$1001,0),1)&gt;=100000,INDEX($V$1005:$AE$1005,1,MATCH(COLUMNS($V$1006:AC1006),$V$1006:$AE$1006,0))&gt;=100000), " ",IF(INDEX($V$2:$AE$1001,MATCH(ROWS($O$2:O552),$O$2:$O$1001,0),MATCH(COLUMNS($V$1006:AC1006),$V$1006:$AE$1006,0)), HYPERLINK("#",""), HYPERLINK(CONCATENATE("#Metadata!", ADDRESS(INDEX($Q$2:$Q$1001,MATCH(ROWS($O$2:O552),$O$2:$O$1001,0),0), INDEX($V$1004:$AE$1004,1,MATCH(COLUMNS($V$1006:AC1006),$V$1006:$AE$1006,0)))),"Fix")))</f>
        <v>0</v>
      </c>
      <c r="J552" s="4">
        <f>IF(OR(INDEX($P$2:$P$1001,MATCH(ROWS($O$2:O552),$O$2:$O$1001,0),1)&gt;=100000,INDEX($V$1005:$AE$1005,1,MATCH(COLUMNS($V$1006:AD1006),$V$1006:$AE$1006,0))&gt;=100000), " ",IF(INDEX($V$2:$AE$1001,MATCH(ROWS($O$2:O552),$O$2:$O$1001,0),MATCH(COLUMNS($V$1006:AD1006),$V$1006:$AE$1006,0)), HYPERLINK("#",""), HYPERLINK(CONCATENATE("#Metadata!", ADDRESS(INDEX($Q$2:$Q$1001,MATCH(ROWS($O$2:O552),$O$2:$O$1001,0),0), INDEX($V$1004:$AE$1004,1,MATCH(COLUMNS($V$1006:AD1006),$V$1006:$AE$1006,0)))),"Fix")))</f>
        <v>0</v>
      </c>
      <c r="K552" s="4">
        <f>IF(OR(INDEX($P$2:$P$1001,MATCH(ROWS($O$2:O552),$O$2:$O$1001,0),1)&gt;=100000,INDEX($V$1005:$AE$1005,1,MATCH(COLUMNS($V$1006:AE1006),$V$1006:$AE$1006,0))&gt;=100000), " ",IF(INDEX($V$2:$AE$1001,MATCH(ROWS($O$2:O552),$O$2:$O$1001,0),MATCH(COLUMNS($V$1006:AE1006),$V$1006:$AE$1006,0)), HYPERLINK("#",""), HYPERLINK(CONCATENATE("#Metadata!", ADDRESS(INDEX($Q$2:$Q$1001,MATCH(ROWS($O$2:O552),$O$2:$O$1001,0),0), INDEX($V$1004:$AE$1004,1,MATCH(COLUMNS($V$1006:AE1006),$V$1006:$AE$1006,0)))),"Fix")))</f>
        <v>0</v>
      </c>
      <c r="O552">
        <v>0</v>
      </c>
      <c r="P552">
        <v>0</v>
      </c>
      <c r="Q552">
        <v>0</v>
      </c>
      <c r="R552">
        <f>IF(S552,TRUE,AND(V552:AE552))</f>
        <v>0</v>
      </c>
      <c r="S552">
        <f>COUNTBLANK(Metadata!B552:K552)=COLUMNS(Metadata!B552:K552)</f>
        <v>0</v>
      </c>
      <c r="T552">
        <v>0</v>
      </c>
      <c r="V552">
        <f>AND(IF(Metadata!B552="",FALSE,TRUE),COUNTIF(Metadata!B:B, Metadata!B552) = 1,NOT(ISERROR(SUMPRODUCT(SEARCH(MID(Metadata!B552,ROW(INDIRECT("1:"&amp;LEN(Metadata!B552))), 1),"0123456789abcdefghijklmnopqrstuvwxyzABCDEFGHIJKLMNOPQRSTUVWXYZ.")))))</f>
        <v>0</v>
      </c>
      <c r="W552">
        <f>AND(IF(Metadata!C552="",FALSE,TRUE),exact(Metadata!C552,"urban biome"))</f>
        <v>0</v>
      </c>
      <c r="X552">
        <f>AND(IF(Metadata!D552="",FALSE,TRUE),exact(Metadata!D552,"animal-associated habitat"))</f>
        <v>0</v>
      </c>
      <c r="Y552">
        <f>OR(AND(IF(Metadata!E552="",FALSE,TRUE),OR(exact(Metadata!E552,"not applicable"),exact(Metadata!E552,"missing: not collected"),exact(Metadata!E552,"missing: not provided"),exact(Metadata!E552,"missing: restricted access"))),AND(IF(Metadata!E552="",FALSE,ISNUMBER(VALUE(Metadata!E552))),Metadata!E552&gt;0))</f>
        <v>0</v>
      </c>
      <c r="Z552">
        <f>AND(IF(Metadata!F552="",FALSE,TRUE),exact(Metadata!F552,"weeks"))</f>
        <v>0</v>
      </c>
      <c r="AA552">
        <f>AND(IF(Metadata!G552="",FALSE,TRUE),exact(Metadata!G552,"mouse"))</f>
        <v>0</v>
      </c>
      <c r="AB552">
        <f>AND(IF(Metadata!H552="",FALSE,TRUE),exact(Metadata!H552,"Mus musculus"))</f>
        <v>0</v>
      </c>
      <c r="AC552">
        <f>AND(IF(Metadata!I552="",FALSE,TRUE),exact(Metadata!I552,"10090"))</f>
        <v>0</v>
      </c>
      <c r="AD552">
        <f>OR(AND(IF(Metadata!J552="",FALSE,TRUE),OR(exact(Metadata!J552,"not applicable"),exact(Metadata!J552,"missing: not collected"),exact(Metadata!J552,"missing: not provided"),exact(Metadata!J552,"missing: restricted access"))),AND(IF(Metadata!J552="",FALSE,ISNUMBER(VALUE(Metadata!J552))),Metadata!J552&gt;0))</f>
        <v>0</v>
      </c>
      <c r="AE552">
        <f>AND(IF(Metadata!K552="",FALSE,TRUE),exact(Metadata!K552,"g"))</f>
        <v>0</v>
      </c>
    </row>
    <row r="553" spans="1:31">
      <c r="A553" s="5">
        <f>IF(B553=" "," ",HYPERLINK(CONCATENATE("#metadata!",ADDRESS(INDEX($Q$2:$Q$1001,MATCH(ROWS($O$2:O553),$O$2:$O$1001,0),0),1)),INDEX($T$2:$T$1001,MATCH(ROWS($O$2:O553),$O$2:$O$1001,0),0)))</f>
        <v>0</v>
      </c>
      <c r="B553" s="4">
        <f>IF(OR(INDEX($P$2:$P$1001,MATCH(ROWS($O$2:O553),$O$2:$O$1001,0),1)&gt;=100000,INDEX($V$1005:$AE$1005,1,MATCH(COLUMNS($V$1006:V1006),$V$1006:$AE$1006,0))&gt;=100000), " ",IF(INDEX($V$2:$AE$1001,MATCH(ROWS($O$2:O553),$O$2:$O$1001,0),MATCH(COLUMNS($V$1006:V1006),$V$1006:$AE$1006,0)), HYPERLINK("#",""), HYPERLINK(CONCATENATE("#Metadata!", ADDRESS(INDEX($Q$2:$Q$1001,MATCH(ROWS($O$2:O553),$O$2:$O$1001,0),0), INDEX($V$1004:$AE$1004,1,MATCH(COLUMNS($V$1006:V1006),$V$1006:$AE$1006,0)))),"Fix")))</f>
        <v>0</v>
      </c>
      <c r="C553" s="4">
        <f>IF(OR(INDEX($P$2:$P$1001,MATCH(ROWS($O$2:O553),$O$2:$O$1001,0),1)&gt;=100000,INDEX($V$1005:$AE$1005,1,MATCH(COLUMNS($V$1006:W1006),$V$1006:$AE$1006,0))&gt;=100000), " ",IF(INDEX($V$2:$AE$1001,MATCH(ROWS($O$2:O553),$O$2:$O$1001,0),MATCH(COLUMNS($V$1006:W1006),$V$1006:$AE$1006,0)), HYPERLINK("#",""), HYPERLINK(CONCATENATE("#Metadata!", ADDRESS(INDEX($Q$2:$Q$1001,MATCH(ROWS($O$2:O553),$O$2:$O$1001,0),0), INDEX($V$1004:$AE$1004,1,MATCH(COLUMNS($V$1006:W1006),$V$1006:$AE$1006,0)))),"Fix")))</f>
        <v>0</v>
      </c>
      <c r="D553" s="4">
        <f>IF(OR(INDEX($P$2:$P$1001,MATCH(ROWS($O$2:O553),$O$2:$O$1001,0),1)&gt;=100000,INDEX($V$1005:$AE$1005,1,MATCH(COLUMNS($V$1006:X1006),$V$1006:$AE$1006,0))&gt;=100000), " ",IF(INDEX($V$2:$AE$1001,MATCH(ROWS($O$2:O553),$O$2:$O$1001,0),MATCH(COLUMNS($V$1006:X1006),$V$1006:$AE$1006,0)), HYPERLINK("#",""), HYPERLINK(CONCATENATE("#Metadata!", ADDRESS(INDEX($Q$2:$Q$1001,MATCH(ROWS($O$2:O553),$O$2:$O$1001,0),0), INDEX($V$1004:$AE$1004,1,MATCH(COLUMNS($V$1006:X1006),$V$1006:$AE$1006,0)))),"Fix")))</f>
        <v>0</v>
      </c>
      <c r="E553" s="4">
        <f>IF(OR(INDEX($P$2:$P$1001,MATCH(ROWS($O$2:O553),$O$2:$O$1001,0),1)&gt;=100000,INDEX($V$1005:$AE$1005,1,MATCH(COLUMNS($V$1006:Y1006),$V$1006:$AE$1006,0))&gt;=100000), " ",IF(INDEX($V$2:$AE$1001,MATCH(ROWS($O$2:O553),$O$2:$O$1001,0),MATCH(COLUMNS($V$1006:Y1006),$V$1006:$AE$1006,0)), HYPERLINK("#",""), HYPERLINK(CONCATENATE("#Metadata!", ADDRESS(INDEX($Q$2:$Q$1001,MATCH(ROWS($O$2:O553),$O$2:$O$1001,0),0), INDEX($V$1004:$AE$1004,1,MATCH(COLUMNS($V$1006:Y1006),$V$1006:$AE$1006,0)))),"Fix")))</f>
        <v>0</v>
      </c>
      <c r="F553" s="4">
        <f>IF(OR(INDEX($P$2:$P$1001,MATCH(ROWS($O$2:O553),$O$2:$O$1001,0),1)&gt;=100000,INDEX($V$1005:$AE$1005,1,MATCH(COLUMNS($V$1006:Z1006),$V$1006:$AE$1006,0))&gt;=100000), " ",IF(INDEX($V$2:$AE$1001,MATCH(ROWS($O$2:O553),$O$2:$O$1001,0),MATCH(COLUMNS($V$1006:Z1006),$V$1006:$AE$1006,0)), HYPERLINK("#",""), HYPERLINK(CONCATENATE("#Metadata!", ADDRESS(INDEX($Q$2:$Q$1001,MATCH(ROWS($O$2:O553),$O$2:$O$1001,0),0), INDEX($V$1004:$AE$1004,1,MATCH(COLUMNS($V$1006:Z1006),$V$1006:$AE$1006,0)))),"Fix")))</f>
        <v>0</v>
      </c>
      <c r="G553" s="4">
        <f>IF(OR(INDEX($P$2:$P$1001,MATCH(ROWS($O$2:O553),$O$2:$O$1001,0),1)&gt;=100000,INDEX($V$1005:$AE$1005,1,MATCH(COLUMNS($V$1006:AA1006),$V$1006:$AE$1006,0))&gt;=100000), " ",IF(INDEX($V$2:$AE$1001,MATCH(ROWS($O$2:O553),$O$2:$O$1001,0),MATCH(COLUMNS($V$1006:AA1006),$V$1006:$AE$1006,0)), HYPERLINK("#",""), HYPERLINK(CONCATENATE("#Metadata!", ADDRESS(INDEX($Q$2:$Q$1001,MATCH(ROWS($O$2:O553),$O$2:$O$1001,0),0), INDEX($V$1004:$AE$1004,1,MATCH(COLUMNS($V$1006:AA1006),$V$1006:$AE$1006,0)))),"Fix")))</f>
        <v>0</v>
      </c>
      <c r="H553" s="4">
        <f>IF(OR(INDEX($P$2:$P$1001,MATCH(ROWS($O$2:O553),$O$2:$O$1001,0),1)&gt;=100000,INDEX($V$1005:$AE$1005,1,MATCH(COLUMNS($V$1006:AB1006),$V$1006:$AE$1006,0))&gt;=100000), " ",IF(INDEX($V$2:$AE$1001,MATCH(ROWS($O$2:O553),$O$2:$O$1001,0),MATCH(COLUMNS($V$1006:AB1006),$V$1006:$AE$1006,0)), HYPERLINK("#",""), HYPERLINK(CONCATENATE("#Metadata!", ADDRESS(INDEX($Q$2:$Q$1001,MATCH(ROWS($O$2:O553),$O$2:$O$1001,0),0), INDEX($V$1004:$AE$1004,1,MATCH(COLUMNS($V$1006:AB1006),$V$1006:$AE$1006,0)))),"Fix")))</f>
        <v>0</v>
      </c>
      <c r="I553" s="4">
        <f>IF(OR(INDEX($P$2:$P$1001,MATCH(ROWS($O$2:O553),$O$2:$O$1001,0),1)&gt;=100000,INDEX($V$1005:$AE$1005,1,MATCH(COLUMNS($V$1006:AC1006),$V$1006:$AE$1006,0))&gt;=100000), " ",IF(INDEX($V$2:$AE$1001,MATCH(ROWS($O$2:O553),$O$2:$O$1001,0),MATCH(COLUMNS($V$1006:AC1006),$V$1006:$AE$1006,0)), HYPERLINK("#",""), HYPERLINK(CONCATENATE("#Metadata!", ADDRESS(INDEX($Q$2:$Q$1001,MATCH(ROWS($O$2:O553),$O$2:$O$1001,0),0), INDEX($V$1004:$AE$1004,1,MATCH(COLUMNS($V$1006:AC1006),$V$1006:$AE$1006,0)))),"Fix")))</f>
        <v>0</v>
      </c>
      <c r="J553" s="4">
        <f>IF(OR(INDEX($P$2:$P$1001,MATCH(ROWS($O$2:O553),$O$2:$O$1001,0),1)&gt;=100000,INDEX($V$1005:$AE$1005,1,MATCH(COLUMNS($V$1006:AD1006),$V$1006:$AE$1006,0))&gt;=100000), " ",IF(INDEX($V$2:$AE$1001,MATCH(ROWS($O$2:O553),$O$2:$O$1001,0),MATCH(COLUMNS($V$1006:AD1006),$V$1006:$AE$1006,0)), HYPERLINK("#",""), HYPERLINK(CONCATENATE("#Metadata!", ADDRESS(INDEX($Q$2:$Q$1001,MATCH(ROWS($O$2:O553),$O$2:$O$1001,0),0), INDEX($V$1004:$AE$1004,1,MATCH(COLUMNS($V$1006:AD1006),$V$1006:$AE$1006,0)))),"Fix")))</f>
        <v>0</v>
      </c>
      <c r="K553" s="4">
        <f>IF(OR(INDEX($P$2:$P$1001,MATCH(ROWS($O$2:O553),$O$2:$O$1001,0),1)&gt;=100000,INDEX($V$1005:$AE$1005,1,MATCH(COLUMNS($V$1006:AE1006),$V$1006:$AE$1006,0))&gt;=100000), " ",IF(INDEX($V$2:$AE$1001,MATCH(ROWS($O$2:O553),$O$2:$O$1001,0),MATCH(COLUMNS($V$1006:AE1006),$V$1006:$AE$1006,0)), HYPERLINK("#",""), HYPERLINK(CONCATENATE("#Metadata!", ADDRESS(INDEX($Q$2:$Q$1001,MATCH(ROWS($O$2:O553),$O$2:$O$1001,0),0), INDEX($V$1004:$AE$1004,1,MATCH(COLUMNS($V$1006:AE1006),$V$1006:$AE$1006,0)))),"Fix")))</f>
        <v>0</v>
      </c>
      <c r="O553">
        <v>0</v>
      </c>
      <c r="P553">
        <v>0</v>
      </c>
      <c r="Q553">
        <v>0</v>
      </c>
      <c r="R553">
        <f>IF(S553,TRUE,AND(V553:AE553))</f>
        <v>0</v>
      </c>
      <c r="S553">
        <f>COUNTBLANK(Metadata!B553:K553)=COLUMNS(Metadata!B553:K553)</f>
        <v>0</v>
      </c>
      <c r="T553">
        <v>0</v>
      </c>
      <c r="V553">
        <f>AND(IF(Metadata!B553="",FALSE,TRUE),COUNTIF(Metadata!B:B, Metadata!B553) = 1,NOT(ISERROR(SUMPRODUCT(SEARCH(MID(Metadata!B553,ROW(INDIRECT("1:"&amp;LEN(Metadata!B553))), 1),"0123456789abcdefghijklmnopqrstuvwxyzABCDEFGHIJKLMNOPQRSTUVWXYZ.")))))</f>
        <v>0</v>
      </c>
      <c r="W553">
        <f>AND(IF(Metadata!C553="",FALSE,TRUE),exact(Metadata!C553,"urban biome"))</f>
        <v>0</v>
      </c>
      <c r="X553">
        <f>AND(IF(Metadata!D553="",FALSE,TRUE),exact(Metadata!D553,"animal-associated habitat"))</f>
        <v>0</v>
      </c>
      <c r="Y553">
        <f>OR(AND(IF(Metadata!E553="",FALSE,TRUE),OR(exact(Metadata!E553,"not applicable"),exact(Metadata!E553,"missing: not collected"),exact(Metadata!E553,"missing: not provided"),exact(Metadata!E553,"missing: restricted access"))),AND(IF(Metadata!E553="",FALSE,ISNUMBER(VALUE(Metadata!E553))),Metadata!E553&gt;0))</f>
        <v>0</v>
      </c>
      <c r="Z553">
        <f>AND(IF(Metadata!F553="",FALSE,TRUE),exact(Metadata!F553,"weeks"))</f>
        <v>0</v>
      </c>
      <c r="AA553">
        <f>AND(IF(Metadata!G553="",FALSE,TRUE),exact(Metadata!G553,"mouse"))</f>
        <v>0</v>
      </c>
      <c r="AB553">
        <f>AND(IF(Metadata!H553="",FALSE,TRUE),exact(Metadata!H553,"Mus musculus"))</f>
        <v>0</v>
      </c>
      <c r="AC553">
        <f>AND(IF(Metadata!I553="",FALSE,TRUE),exact(Metadata!I553,"10090"))</f>
        <v>0</v>
      </c>
      <c r="AD553">
        <f>OR(AND(IF(Metadata!J553="",FALSE,TRUE),OR(exact(Metadata!J553,"not applicable"),exact(Metadata!J553,"missing: not collected"),exact(Metadata!J553,"missing: not provided"),exact(Metadata!J553,"missing: restricted access"))),AND(IF(Metadata!J553="",FALSE,ISNUMBER(VALUE(Metadata!J553))),Metadata!J553&gt;0))</f>
        <v>0</v>
      </c>
      <c r="AE553">
        <f>AND(IF(Metadata!K553="",FALSE,TRUE),exact(Metadata!K553,"g"))</f>
        <v>0</v>
      </c>
    </row>
    <row r="554" spans="1:31">
      <c r="A554" s="5">
        <f>IF(B554=" "," ",HYPERLINK(CONCATENATE("#metadata!",ADDRESS(INDEX($Q$2:$Q$1001,MATCH(ROWS($O$2:O554),$O$2:$O$1001,0),0),1)),INDEX($T$2:$T$1001,MATCH(ROWS($O$2:O554),$O$2:$O$1001,0),0)))</f>
        <v>0</v>
      </c>
      <c r="B554" s="4">
        <f>IF(OR(INDEX($P$2:$P$1001,MATCH(ROWS($O$2:O554),$O$2:$O$1001,0),1)&gt;=100000,INDEX($V$1005:$AE$1005,1,MATCH(COLUMNS($V$1006:V1006),$V$1006:$AE$1006,0))&gt;=100000), " ",IF(INDEX($V$2:$AE$1001,MATCH(ROWS($O$2:O554),$O$2:$O$1001,0),MATCH(COLUMNS($V$1006:V1006),$V$1006:$AE$1006,0)), HYPERLINK("#",""), HYPERLINK(CONCATENATE("#Metadata!", ADDRESS(INDEX($Q$2:$Q$1001,MATCH(ROWS($O$2:O554),$O$2:$O$1001,0),0), INDEX($V$1004:$AE$1004,1,MATCH(COLUMNS($V$1006:V1006),$V$1006:$AE$1006,0)))),"Fix")))</f>
        <v>0</v>
      </c>
      <c r="C554" s="4">
        <f>IF(OR(INDEX($P$2:$P$1001,MATCH(ROWS($O$2:O554),$O$2:$O$1001,0),1)&gt;=100000,INDEX($V$1005:$AE$1005,1,MATCH(COLUMNS($V$1006:W1006),$V$1006:$AE$1006,0))&gt;=100000), " ",IF(INDEX($V$2:$AE$1001,MATCH(ROWS($O$2:O554),$O$2:$O$1001,0),MATCH(COLUMNS($V$1006:W1006),$V$1006:$AE$1006,0)), HYPERLINK("#",""), HYPERLINK(CONCATENATE("#Metadata!", ADDRESS(INDEX($Q$2:$Q$1001,MATCH(ROWS($O$2:O554),$O$2:$O$1001,0),0), INDEX($V$1004:$AE$1004,1,MATCH(COLUMNS($V$1006:W1006),$V$1006:$AE$1006,0)))),"Fix")))</f>
        <v>0</v>
      </c>
      <c r="D554" s="4">
        <f>IF(OR(INDEX($P$2:$P$1001,MATCH(ROWS($O$2:O554),$O$2:$O$1001,0),1)&gt;=100000,INDEX($V$1005:$AE$1005,1,MATCH(COLUMNS($V$1006:X1006),$V$1006:$AE$1006,0))&gt;=100000), " ",IF(INDEX($V$2:$AE$1001,MATCH(ROWS($O$2:O554),$O$2:$O$1001,0),MATCH(COLUMNS($V$1006:X1006),$V$1006:$AE$1006,0)), HYPERLINK("#",""), HYPERLINK(CONCATENATE("#Metadata!", ADDRESS(INDEX($Q$2:$Q$1001,MATCH(ROWS($O$2:O554),$O$2:$O$1001,0),0), INDEX($V$1004:$AE$1004,1,MATCH(COLUMNS($V$1006:X1006),$V$1006:$AE$1006,0)))),"Fix")))</f>
        <v>0</v>
      </c>
      <c r="E554" s="4">
        <f>IF(OR(INDEX($P$2:$P$1001,MATCH(ROWS($O$2:O554),$O$2:$O$1001,0),1)&gt;=100000,INDEX($V$1005:$AE$1005,1,MATCH(COLUMNS($V$1006:Y1006),$V$1006:$AE$1006,0))&gt;=100000), " ",IF(INDEX($V$2:$AE$1001,MATCH(ROWS($O$2:O554),$O$2:$O$1001,0),MATCH(COLUMNS($V$1006:Y1006),$V$1006:$AE$1006,0)), HYPERLINK("#",""), HYPERLINK(CONCATENATE("#Metadata!", ADDRESS(INDEX($Q$2:$Q$1001,MATCH(ROWS($O$2:O554),$O$2:$O$1001,0),0), INDEX($V$1004:$AE$1004,1,MATCH(COLUMNS($V$1006:Y1006),$V$1006:$AE$1006,0)))),"Fix")))</f>
        <v>0</v>
      </c>
      <c r="F554" s="4">
        <f>IF(OR(INDEX($P$2:$P$1001,MATCH(ROWS($O$2:O554),$O$2:$O$1001,0),1)&gt;=100000,INDEX($V$1005:$AE$1005,1,MATCH(COLUMNS($V$1006:Z1006),$V$1006:$AE$1006,0))&gt;=100000), " ",IF(INDEX($V$2:$AE$1001,MATCH(ROWS($O$2:O554),$O$2:$O$1001,0),MATCH(COLUMNS($V$1006:Z1006),$V$1006:$AE$1006,0)), HYPERLINK("#",""), HYPERLINK(CONCATENATE("#Metadata!", ADDRESS(INDEX($Q$2:$Q$1001,MATCH(ROWS($O$2:O554),$O$2:$O$1001,0),0), INDEX($V$1004:$AE$1004,1,MATCH(COLUMNS($V$1006:Z1006),$V$1006:$AE$1006,0)))),"Fix")))</f>
        <v>0</v>
      </c>
      <c r="G554" s="4">
        <f>IF(OR(INDEX($P$2:$P$1001,MATCH(ROWS($O$2:O554),$O$2:$O$1001,0),1)&gt;=100000,INDEX($V$1005:$AE$1005,1,MATCH(COLUMNS($V$1006:AA1006),$V$1006:$AE$1006,0))&gt;=100000), " ",IF(INDEX($V$2:$AE$1001,MATCH(ROWS($O$2:O554),$O$2:$O$1001,0),MATCH(COLUMNS($V$1006:AA1006),$V$1006:$AE$1006,0)), HYPERLINK("#",""), HYPERLINK(CONCATENATE("#Metadata!", ADDRESS(INDEX($Q$2:$Q$1001,MATCH(ROWS($O$2:O554),$O$2:$O$1001,0),0), INDEX($V$1004:$AE$1004,1,MATCH(COLUMNS($V$1006:AA1006),$V$1006:$AE$1006,0)))),"Fix")))</f>
        <v>0</v>
      </c>
      <c r="H554" s="4">
        <f>IF(OR(INDEX($P$2:$P$1001,MATCH(ROWS($O$2:O554),$O$2:$O$1001,0),1)&gt;=100000,INDEX($V$1005:$AE$1005,1,MATCH(COLUMNS($V$1006:AB1006),$V$1006:$AE$1006,0))&gt;=100000), " ",IF(INDEX($V$2:$AE$1001,MATCH(ROWS($O$2:O554),$O$2:$O$1001,0),MATCH(COLUMNS($V$1006:AB1006),$V$1006:$AE$1006,0)), HYPERLINK("#",""), HYPERLINK(CONCATENATE("#Metadata!", ADDRESS(INDEX($Q$2:$Q$1001,MATCH(ROWS($O$2:O554),$O$2:$O$1001,0),0), INDEX($V$1004:$AE$1004,1,MATCH(COLUMNS($V$1006:AB1006),$V$1006:$AE$1006,0)))),"Fix")))</f>
        <v>0</v>
      </c>
      <c r="I554" s="4">
        <f>IF(OR(INDEX($P$2:$P$1001,MATCH(ROWS($O$2:O554),$O$2:$O$1001,0),1)&gt;=100000,INDEX($V$1005:$AE$1005,1,MATCH(COLUMNS($V$1006:AC1006),$V$1006:$AE$1006,0))&gt;=100000), " ",IF(INDEX($V$2:$AE$1001,MATCH(ROWS($O$2:O554),$O$2:$O$1001,0),MATCH(COLUMNS($V$1006:AC1006),$V$1006:$AE$1006,0)), HYPERLINK("#",""), HYPERLINK(CONCATENATE("#Metadata!", ADDRESS(INDEX($Q$2:$Q$1001,MATCH(ROWS($O$2:O554),$O$2:$O$1001,0),0), INDEX($V$1004:$AE$1004,1,MATCH(COLUMNS($V$1006:AC1006),$V$1006:$AE$1006,0)))),"Fix")))</f>
        <v>0</v>
      </c>
      <c r="J554" s="4">
        <f>IF(OR(INDEX($P$2:$P$1001,MATCH(ROWS($O$2:O554),$O$2:$O$1001,0),1)&gt;=100000,INDEX($V$1005:$AE$1005,1,MATCH(COLUMNS($V$1006:AD1006),$V$1006:$AE$1006,0))&gt;=100000), " ",IF(INDEX($V$2:$AE$1001,MATCH(ROWS($O$2:O554),$O$2:$O$1001,0),MATCH(COLUMNS($V$1006:AD1006),$V$1006:$AE$1006,0)), HYPERLINK("#",""), HYPERLINK(CONCATENATE("#Metadata!", ADDRESS(INDEX($Q$2:$Q$1001,MATCH(ROWS($O$2:O554),$O$2:$O$1001,0),0), INDEX($V$1004:$AE$1004,1,MATCH(COLUMNS($V$1006:AD1006),$V$1006:$AE$1006,0)))),"Fix")))</f>
        <v>0</v>
      </c>
      <c r="K554" s="4">
        <f>IF(OR(INDEX($P$2:$P$1001,MATCH(ROWS($O$2:O554),$O$2:$O$1001,0),1)&gt;=100000,INDEX($V$1005:$AE$1005,1,MATCH(COLUMNS($V$1006:AE1006),$V$1006:$AE$1006,0))&gt;=100000), " ",IF(INDEX($V$2:$AE$1001,MATCH(ROWS($O$2:O554),$O$2:$O$1001,0),MATCH(COLUMNS($V$1006:AE1006),$V$1006:$AE$1006,0)), HYPERLINK("#",""), HYPERLINK(CONCATENATE("#Metadata!", ADDRESS(INDEX($Q$2:$Q$1001,MATCH(ROWS($O$2:O554),$O$2:$O$1001,0),0), INDEX($V$1004:$AE$1004,1,MATCH(COLUMNS($V$1006:AE1006),$V$1006:$AE$1006,0)))),"Fix")))</f>
        <v>0</v>
      </c>
      <c r="O554">
        <v>0</v>
      </c>
      <c r="P554">
        <v>0</v>
      </c>
      <c r="Q554">
        <v>0</v>
      </c>
      <c r="R554">
        <f>IF(S554,TRUE,AND(V554:AE554))</f>
        <v>0</v>
      </c>
      <c r="S554">
        <f>COUNTBLANK(Metadata!B554:K554)=COLUMNS(Metadata!B554:K554)</f>
        <v>0</v>
      </c>
      <c r="T554">
        <v>0</v>
      </c>
      <c r="V554">
        <f>AND(IF(Metadata!B554="",FALSE,TRUE),COUNTIF(Metadata!B:B, Metadata!B554) = 1,NOT(ISERROR(SUMPRODUCT(SEARCH(MID(Metadata!B554,ROW(INDIRECT("1:"&amp;LEN(Metadata!B554))), 1),"0123456789abcdefghijklmnopqrstuvwxyzABCDEFGHIJKLMNOPQRSTUVWXYZ.")))))</f>
        <v>0</v>
      </c>
      <c r="W554">
        <f>AND(IF(Metadata!C554="",FALSE,TRUE),exact(Metadata!C554,"urban biome"))</f>
        <v>0</v>
      </c>
      <c r="X554">
        <f>AND(IF(Metadata!D554="",FALSE,TRUE),exact(Metadata!D554,"animal-associated habitat"))</f>
        <v>0</v>
      </c>
      <c r="Y554">
        <f>OR(AND(IF(Metadata!E554="",FALSE,TRUE),OR(exact(Metadata!E554,"not applicable"),exact(Metadata!E554,"missing: not collected"),exact(Metadata!E554,"missing: not provided"),exact(Metadata!E554,"missing: restricted access"))),AND(IF(Metadata!E554="",FALSE,ISNUMBER(VALUE(Metadata!E554))),Metadata!E554&gt;0))</f>
        <v>0</v>
      </c>
      <c r="Z554">
        <f>AND(IF(Metadata!F554="",FALSE,TRUE),exact(Metadata!F554,"weeks"))</f>
        <v>0</v>
      </c>
      <c r="AA554">
        <f>AND(IF(Metadata!G554="",FALSE,TRUE),exact(Metadata!G554,"mouse"))</f>
        <v>0</v>
      </c>
      <c r="AB554">
        <f>AND(IF(Metadata!H554="",FALSE,TRUE),exact(Metadata!H554,"Mus musculus"))</f>
        <v>0</v>
      </c>
      <c r="AC554">
        <f>AND(IF(Metadata!I554="",FALSE,TRUE),exact(Metadata!I554,"10090"))</f>
        <v>0</v>
      </c>
      <c r="AD554">
        <f>OR(AND(IF(Metadata!J554="",FALSE,TRUE),OR(exact(Metadata!J554,"not applicable"),exact(Metadata!J554,"missing: not collected"),exact(Metadata!J554,"missing: not provided"),exact(Metadata!J554,"missing: restricted access"))),AND(IF(Metadata!J554="",FALSE,ISNUMBER(VALUE(Metadata!J554))),Metadata!J554&gt;0))</f>
        <v>0</v>
      </c>
      <c r="AE554">
        <f>AND(IF(Metadata!K554="",FALSE,TRUE),exact(Metadata!K554,"g"))</f>
        <v>0</v>
      </c>
    </row>
    <row r="555" spans="1:31">
      <c r="A555" s="5">
        <f>IF(B555=" "," ",HYPERLINK(CONCATENATE("#metadata!",ADDRESS(INDEX($Q$2:$Q$1001,MATCH(ROWS($O$2:O555),$O$2:$O$1001,0),0),1)),INDEX($T$2:$T$1001,MATCH(ROWS($O$2:O555),$O$2:$O$1001,0),0)))</f>
        <v>0</v>
      </c>
      <c r="B555" s="4">
        <f>IF(OR(INDEX($P$2:$P$1001,MATCH(ROWS($O$2:O555),$O$2:$O$1001,0),1)&gt;=100000,INDEX($V$1005:$AE$1005,1,MATCH(COLUMNS($V$1006:V1006),$V$1006:$AE$1006,0))&gt;=100000), " ",IF(INDEX($V$2:$AE$1001,MATCH(ROWS($O$2:O555),$O$2:$O$1001,0),MATCH(COLUMNS($V$1006:V1006),$V$1006:$AE$1006,0)), HYPERLINK("#",""), HYPERLINK(CONCATENATE("#Metadata!", ADDRESS(INDEX($Q$2:$Q$1001,MATCH(ROWS($O$2:O555),$O$2:$O$1001,0),0), INDEX($V$1004:$AE$1004,1,MATCH(COLUMNS($V$1006:V1006),$V$1006:$AE$1006,0)))),"Fix")))</f>
        <v>0</v>
      </c>
      <c r="C555" s="4">
        <f>IF(OR(INDEX($P$2:$P$1001,MATCH(ROWS($O$2:O555),$O$2:$O$1001,0),1)&gt;=100000,INDEX($V$1005:$AE$1005,1,MATCH(COLUMNS($V$1006:W1006),$V$1006:$AE$1006,0))&gt;=100000), " ",IF(INDEX($V$2:$AE$1001,MATCH(ROWS($O$2:O555),$O$2:$O$1001,0),MATCH(COLUMNS($V$1006:W1006),$V$1006:$AE$1006,0)), HYPERLINK("#",""), HYPERLINK(CONCATENATE("#Metadata!", ADDRESS(INDEX($Q$2:$Q$1001,MATCH(ROWS($O$2:O555),$O$2:$O$1001,0),0), INDEX($V$1004:$AE$1004,1,MATCH(COLUMNS($V$1006:W1006),$V$1006:$AE$1006,0)))),"Fix")))</f>
        <v>0</v>
      </c>
      <c r="D555" s="4">
        <f>IF(OR(INDEX($P$2:$P$1001,MATCH(ROWS($O$2:O555),$O$2:$O$1001,0),1)&gt;=100000,INDEX($V$1005:$AE$1005,1,MATCH(COLUMNS($V$1006:X1006),$V$1006:$AE$1006,0))&gt;=100000), " ",IF(INDEX($V$2:$AE$1001,MATCH(ROWS($O$2:O555),$O$2:$O$1001,0),MATCH(COLUMNS($V$1006:X1006),$V$1006:$AE$1006,0)), HYPERLINK("#",""), HYPERLINK(CONCATENATE("#Metadata!", ADDRESS(INDEX($Q$2:$Q$1001,MATCH(ROWS($O$2:O555),$O$2:$O$1001,0),0), INDEX($V$1004:$AE$1004,1,MATCH(COLUMNS($V$1006:X1006),$V$1006:$AE$1006,0)))),"Fix")))</f>
        <v>0</v>
      </c>
      <c r="E555" s="4">
        <f>IF(OR(INDEX($P$2:$P$1001,MATCH(ROWS($O$2:O555),$O$2:$O$1001,0),1)&gt;=100000,INDEX($V$1005:$AE$1005,1,MATCH(COLUMNS($V$1006:Y1006),$V$1006:$AE$1006,0))&gt;=100000), " ",IF(INDEX($V$2:$AE$1001,MATCH(ROWS($O$2:O555),$O$2:$O$1001,0),MATCH(COLUMNS($V$1006:Y1006),$V$1006:$AE$1006,0)), HYPERLINK("#",""), HYPERLINK(CONCATENATE("#Metadata!", ADDRESS(INDEX($Q$2:$Q$1001,MATCH(ROWS($O$2:O555),$O$2:$O$1001,0),0), INDEX($V$1004:$AE$1004,1,MATCH(COLUMNS($V$1006:Y1006),$V$1006:$AE$1006,0)))),"Fix")))</f>
        <v>0</v>
      </c>
      <c r="F555" s="4">
        <f>IF(OR(INDEX($P$2:$P$1001,MATCH(ROWS($O$2:O555),$O$2:$O$1001,0),1)&gt;=100000,INDEX($V$1005:$AE$1005,1,MATCH(COLUMNS($V$1006:Z1006),$V$1006:$AE$1006,0))&gt;=100000), " ",IF(INDEX($V$2:$AE$1001,MATCH(ROWS($O$2:O555),$O$2:$O$1001,0),MATCH(COLUMNS($V$1006:Z1006),$V$1006:$AE$1006,0)), HYPERLINK("#",""), HYPERLINK(CONCATENATE("#Metadata!", ADDRESS(INDEX($Q$2:$Q$1001,MATCH(ROWS($O$2:O555),$O$2:$O$1001,0),0), INDEX($V$1004:$AE$1004,1,MATCH(COLUMNS($V$1006:Z1006),$V$1006:$AE$1006,0)))),"Fix")))</f>
        <v>0</v>
      </c>
      <c r="G555" s="4">
        <f>IF(OR(INDEX($P$2:$P$1001,MATCH(ROWS($O$2:O555),$O$2:$O$1001,0),1)&gt;=100000,INDEX($V$1005:$AE$1005,1,MATCH(COLUMNS($V$1006:AA1006),$V$1006:$AE$1006,0))&gt;=100000), " ",IF(INDEX($V$2:$AE$1001,MATCH(ROWS($O$2:O555),$O$2:$O$1001,0),MATCH(COLUMNS($V$1006:AA1006),$V$1006:$AE$1006,0)), HYPERLINK("#",""), HYPERLINK(CONCATENATE("#Metadata!", ADDRESS(INDEX($Q$2:$Q$1001,MATCH(ROWS($O$2:O555),$O$2:$O$1001,0),0), INDEX($V$1004:$AE$1004,1,MATCH(COLUMNS($V$1006:AA1006),$V$1006:$AE$1006,0)))),"Fix")))</f>
        <v>0</v>
      </c>
      <c r="H555" s="4">
        <f>IF(OR(INDEX($P$2:$P$1001,MATCH(ROWS($O$2:O555),$O$2:$O$1001,0),1)&gt;=100000,INDEX($V$1005:$AE$1005,1,MATCH(COLUMNS($V$1006:AB1006),$V$1006:$AE$1006,0))&gt;=100000), " ",IF(INDEX($V$2:$AE$1001,MATCH(ROWS($O$2:O555),$O$2:$O$1001,0),MATCH(COLUMNS($V$1006:AB1006),$V$1006:$AE$1006,0)), HYPERLINK("#",""), HYPERLINK(CONCATENATE("#Metadata!", ADDRESS(INDEX($Q$2:$Q$1001,MATCH(ROWS($O$2:O555),$O$2:$O$1001,0),0), INDEX($V$1004:$AE$1004,1,MATCH(COLUMNS($V$1006:AB1006),$V$1006:$AE$1006,0)))),"Fix")))</f>
        <v>0</v>
      </c>
      <c r="I555" s="4">
        <f>IF(OR(INDEX($P$2:$P$1001,MATCH(ROWS($O$2:O555),$O$2:$O$1001,0),1)&gt;=100000,INDEX($V$1005:$AE$1005,1,MATCH(COLUMNS($V$1006:AC1006),$V$1006:$AE$1006,0))&gt;=100000), " ",IF(INDEX($V$2:$AE$1001,MATCH(ROWS($O$2:O555),$O$2:$O$1001,0),MATCH(COLUMNS($V$1006:AC1006),$V$1006:$AE$1006,0)), HYPERLINK("#",""), HYPERLINK(CONCATENATE("#Metadata!", ADDRESS(INDEX($Q$2:$Q$1001,MATCH(ROWS($O$2:O555),$O$2:$O$1001,0),0), INDEX($V$1004:$AE$1004,1,MATCH(COLUMNS($V$1006:AC1006),$V$1006:$AE$1006,0)))),"Fix")))</f>
        <v>0</v>
      </c>
      <c r="J555" s="4">
        <f>IF(OR(INDEX($P$2:$P$1001,MATCH(ROWS($O$2:O555),$O$2:$O$1001,0),1)&gt;=100000,INDEX($V$1005:$AE$1005,1,MATCH(COLUMNS($V$1006:AD1006),$V$1006:$AE$1006,0))&gt;=100000), " ",IF(INDEX($V$2:$AE$1001,MATCH(ROWS($O$2:O555),$O$2:$O$1001,0),MATCH(COLUMNS($V$1006:AD1006),$V$1006:$AE$1006,0)), HYPERLINK("#",""), HYPERLINK(CONCATENATE("#Metadata!", ADDRESS(INDEX($Q$2:$Q$1001,MATCH(ROWS($O$2:O555),$O$2:$O$1001,0),0), INDEX($V$1004:$AE$1004,1,MATCH(COLUMNS($V$1006:AD1006),$V$1006:$AE$1006,0)))),"Fix")))</f>
        <v>0</v>
      </c>
      <c r="K555" s="4">
        <f>IF(OR(INDEX($P$2:$P$1001,MATCH(ROWS($O$2:O555),$O$2:$O$1001,0),1)&gt;=100000,INDEX($V$1005:$AE$1005,1,MATCH(COLUMNS($V$1006:AE1006),$V$1006:$AE$1006,0))&gt;=100000), " ",IF(INDEX($V$2:$AE$1001,MATCH(ROWS($O$2:O555),$O$2:$O$1001,0),MATCH(COLUMNS($V$1006:AE1006),$V$1006:$AE$1006,0)), HYPERLINK("#",""), HYPERLINK(CONCATENATE("#Metadata!", ADDRESS(INDEX($Q$2:$Q$1001,MATCH(ROWS($O$2:O555),$O$2:$O$1001,0),0), INDEX($V$1004:$AE$1004,1,MATCH(COLUMNS($V$1006:AE1006),$V$1006:$AE$1006,0)))),"Fix")))</f>
        <v>0</v>
      </c>
      <c r="O555">
        <v>0</v>
      </c>
      <c r="P555">
        <v>0</v>
      </c>
      <c r="Q555">
        <v>0</v>
      </c>
      <c r="R555">
        <f>IF(S555,TRUE,AND(V555:AE555))</f>
        <v>0</v>
      </c>
      <c r="S555">
        <f>COUNTBLANK(Metadata!B555:K555)=COLUMNS(Metadata!B555:K555)</f>
        <v>0</v>
      </c>
      <c r="T555">
        <v>0</v>
      </c>
      <c r="V555">
        <f>AND(IF(Metadata!B555="",FALSE,TRUE),COUNTIF(Metadata!B:B, Metadata!B555) = 1,NOT(ISERROR(SUMPRODUCT(SEARCH(MID(Metadata!B555,ROW(INDIRECT("1:"&amp;LEN(Metadata!B555))), 1),"0123456789abcdefghijklmnopqrstuvwxyzABCDEFGHIJKLMNOPQRSTUVWXYZ.")))))</f>
        <v>0</v>
      </c>
      <c r="W555">
        <f>AND(IF(Metadata!C555="",FALSE,TRUE),exact(Metadata!C555,"urban biome"))</f>
        <v>0</v>
      </c>
      <c r="X555">
        <f>AND(IF(Metadata!D555="",FALSE,TRUE),exact(Metadata!D555,"animal-associated habitat"))</f>
        <v>0</v>
      </c>
      <c r="Y555">
        <f>OR(AND(IF(Metadata!E555="",FALSE,TRUE),OR(exact(Metadata!E555,"not applicable"),exact(Metadata!E555,"missing: not collected"),exact(Metadata!E555,"missing: not provided"),exact(Metadata!E555,"missing: restricted access"))),AND(IF(Metadata!E555="",FALSE,ISNUMBER(VALUE(Metadata!E555))),Metadata!E555&gt;0))</f>
        <v>0</v>
      </c>
      <c r="Z555">
        <f>AND(IF(Metadata!F555="",FALSE,TRUE),exact(Metadata!F555,"weeks"))</f>
        <v>0</v>
      </c>
      <c r="AA555">
        <f>AND(IF(Metadata!G555="",FALSE,TRUE),exact(Metadata!G555,"mouse"))</f>
        <v>0</v>
      </c>
      <c r="AB555">
        <f>AND(IF(Metadata!H555="",FALSE,TRUE),exact(Metadata!H555,"Mus musculus"))</f>
        <v>0</v>
      </c>
      <c r="AC555">
        <f>AND(IF(Metadata!I555="",FALSE,TRUE),exact(Metadata!I555,"10090"))</f>
        <v>0</v>
      </c>
      <c r="AD555">
        <f>OR(AND(IF(Metadata!J555="",FALSE,TRUE),OR(exact(Metadata!J555,"not applicable"),exact(Metadata!J555,"missing: not collected"),exact(Metadata!J555,"missing: not provided"),exact(Metadata!J555,"missing: restricted access"))),AND(IF(Metadata!J555="",FALSE,ISNUMBER(VALUE(Metadata!J555))),Metadata!J555&gt;0))</f>
        <v>0</v>
      </c>
      <c r="AE555">
        <f>AND(IF(Metadata!K555="",FALSE,TRUE),exact(Metadata!K555,"g"))</f>
        <v>0</v>
      </c>
    </row>
    <row r="556" spans="1:31">
      <c r="A556" s="5">
        <f>IF(B556=" "," ",HYPERLINK(CONCATENATE("#metadata!",ADDRESS(INDEX($Q$2:$Q$1001,MATCH(ROWS($O$2:O556),$O$2:$O$1001,0),0),1)),INDEX($T$2:$T$1001,MATCH(ROWS($O$2:O556),$O$2:$O$1001,0),0)))</f>
        <v>0</v>
      </c>
      <c r="B556" s="4">
        <f>IF(OR(INDEX($P$2:$P$1001,MATCH(ROWS($O$2:O556),$O$2:$O$1001,0),1)&gt;=100000,INDEX($V$1005:$AE$1005,1,MATCH(COLUMNS($V$1006:V1006),$V$1006:$AE$1006,0))&gt;=100000), " ",IF(INDEX($V$2:$AE$1001,MATCH(ROWS($O$2:O556),$O$2:$O$1001,0),MATCH(COLUMNS($V$1006:V1006),$V$1006:$AE$1006,0)), HYPERLINK("#",""), HYPERLINK(CONCATENATE("#Metadata!", ADDRESS(INDEX($Q$2:$Q$1001,MATCH(ROWS($O$2:O556),$O$2:$O$1001,0),0), INDEX($V$1004:$AE$1004,1,MATCH(COLUMNS($V$1006:V1006),$V$1006:$AE$1006,0)))),"Fix")))</f>
        <v>0</v>
      </c>
      <c r="C556" s="4">
        <f>IF(OR(INDEX($P$2:$P$1001,MATCH(ROWS($O$2:O556),$O$2:$O$1001,0),1)&gt;=100000,INDEX($V$1005:$AE$1005,1,MATCH(COLUMNS($V$1006:W1006),$V$1006:$AE$1006,0))&gt;=100000), " ",IF(INDEX($V$2:$AE$1001,MATCH(ROWS($O$2:O556),$O$2:$O$1001,0),MATCH(COLUMNS($V$1006:W1006),$V$1006:$AE$1006,0)), HYPERLINK("#",""), HYPERLINK(CONCATENATE("#Metadata!", ADDRESS(INDEX($Q$2:$Q$1001,MATCH(ROWS($O$2:O556),$O$2:$O$1001,0),0), INDEX($V$1004:$AE$1004,1,MATCH(COLUMNS($V$1006:W1006),$V$1006:$AE$1006,0)))),"Fix")))</f>
        <v>0</v>
      </c>
      <c r="D556" s="4">
        <f>IF(OR(INDEX($P$2:$P$1001,MATCH(ROWS($O$2:O556),$O$2:$O$1001,0),1)&gt;=100000,INDEX($V$1005:$AE$1005,1,MATCH(COLUMNS($V$1006:X1006),$V$1006:$AE$1006,0))&gt;=100000), " ",IF(INDEX($V$2:$AE$1001,MATCH(ROWS($O$2:O556),$O$2:$O$1001,0),MATCH(COLUMNS($V$1006:X1006),$V$1006:$AE$1006,0)), HYPERLINK("#",""), HYPERLINK(CONCATENATE("#Metadata!", ADDRESS(INDEX($Q$2:$Q$1001,MATCH(ROWS($O$2:O556),$O$2:$O$1001,0),0), INDEX($V$1004:$AE$1004,1,MATCH(COLUMNS($V$1006:X1006),$V$1006:$AE$1006,0)))),"Fix")))</f>
        <v>0</v>
      </c>
      <c r="E556" s="4">
        <f>IF(OR(INDEX($P$2:$P$1001,MATCH(ROWS($O$2:O556),$O$2:$O$1001,0),1)&gt;=100000,INDEX($V$1005:$AE$1005,1,MATCH(COLUMNS($V$1006:Y1006),$V$1006:$AE$1006,0))&gt;=100000), " ",IF(INDEX($V$2:$AE$1001,MATCH(ROWS($O$2:O556),$O$2:$O$1001,0),MATCH(COLUMNS($V$1006:Y1006),$V$1006:$AE$1006,0)), HYPERLINK("#",""), HYPERLINK(CONCATENATE("#Metadata!", ADDRESS(INDEX($Q$2:$Q$1001,MATCH(ROWS($O$2:O556),$O$2:$O$1001,0),0), INDEX($V$1004:$AE$1004,1,MATCH(COLUMNS($V$1006:Y1006),$V$1006:$AE$1006,0)))),"Fix")))</f>
        <v>0</v>
      </c>
      <c r="F556" s="4">
        <f>IF(OR(INDEX($P$2:$P$1001,MATCH(ROWS($O$2:O556),$O$2:$O$1001,0),1)&gt;=100000,INDEX($V$1005:$AE$1005,1,MATCH(COLUMNS($V$1006:Z1006),$V$1006:$AE$1006,0))&gt;=100000), " ",IF(INDEX($V$2:$AE$1001,MATCH(ROWS($O$2:O556),$O$2:$O$1001,0),MATCH(COLUMNS($V$1006:Z1006),$V$1006:$AE$1006,0)), HYPERLINK("#",""), HYPERLINK(CONCATENATE("#Metadata!", ADDRESS(INDEX($Q$2:$Q$1001,MATCH(ROWS($O$2:O556),$O$2:$O$1001,0),0), INDEX($V$1004:$AE$1004,1,MATCH(COLUMNS($V$1006:Z1006),$V$1006:$AE$1006,0)))),"Fix")))</f>
        <v>0</v>
      </c>
      <c r="G556" s="4">
        <f>IF(OR(INDEX($P$2:$P$1001,MATCH(ROWS($O$2:O556),$O$2:$O$1001,0),1)&gt;=100000,INDEX($V$1005:$AE$1005,1,MATCH(COLUMNS($V$1006:AA1006),$V$1006:$AE$1006,0))&gt;=100000), " ",IF(INDEX($V$2:$AE$1001,MATCH(ROWS($O$2:O556),$O$2:$O$1001,0),MATCH(COLUMNS($V$1006:AA1006),$V$1006:$AE$1006,0)), HYPERLINK("#",""), HYPERLINK(CONCATENATE("#Metadata!", ADDRESS(INDEX($Q$2:$Q$1001,MATCH(ROWS($O$2:O556),$O$2:$O$1001,0),0), INDEX($V$1004:$AE$1004,1,MATCH(COLUMNS($V$1006:AA1006),$V$1006:$AE$1006,0)))),"Fix")))</f>
        <v>0</v>
      </c>
      <c r="H556" s="4">
        <f>IF(OR(INDEX($P$2:$P$1001,MATCH(ROWS($O$2:O556),$O$2:$O$1001,0),1)&gt;=100000,INDEX($V$1005:$AE$1005,1,MATCH(COLUMNS($V$1006:AB1006),$V$1006:$AE$1006,0))&gt;=100000), " ",IF(INDEX($V$2:$AE$1001,MATCH(ROWS($O$2:O556),$O$2:$O$1001,0),MATCH(COLUMNS($V$1006:AB1006),$V$1006:$AE$1006,0)), HYPERLINK("#",""), HYPERLINK(CONCATENATE("#Metadata!", ADDRESS(INDEX($Q$2:$Q$1001,MATCH(ROWS($O$2:O556),$O$2:$O$1001,0),0), INDEX($V$1004:$AE$1004,1,MATCH(COLUMNS($V$1006:AB1006),$V$1006:$AE$1006,0)))),"Fix")))</f>
        <v>0</v>
      </c>
      <c r="I556" s="4">
        <f>IF(OR(INDEX($P$2:$P$1001,MATCH(ROWS($O$2:O556),$O$2:$O$1001,0),1)&gt;=100000,INDEX($V$1005:$AE$1005,1,MATCH(COLUMNS($V$1006:AC1006),$V$1006:$AE$1006,0))&gt;=100000), " ",IF(INDEX($V$2:$AE$1001,MATCH(ROWS($O$2:O556),$O$2:$O$1001,0),MATCH(COLUMNS($V$1006:AC1006),$V$1006:$AE$1006,0)), HYPERLINK("#",""), HYPERLINK(CONCATENATE("#Metadata!", ADDRESS(INDEX($Q$2:$Q$1001,MATCH(ROWS($O$2:O556),$O$2:$O$1001,0),0), INDEX($V$1004:$AE$1004,1,MATCH(COLUMNS($V$1006:AC1006),$V$1006:$AE$1006,0)))),"Fix")))</f>
        <v>0</v>
      </c>
      <c r="J556" s="4">
        <f>IF(OR(INDEX($P$2:$P$1001,MATCH(ROWS($O$2:O556),$O$2:$O$1001,0),1)&gt;=100000,INDEX($V$1005:$AE$1005,1,MATCH(COLUMNS($V$1006:AD1006),$V$1006:$AE$1006,0))&gt;=100000), " ",IF(INDEX($V$2:$AE$1001,MATCH(ROWS($O$2:O556),$O$2:$O$1001,0),MATCH(COLUMNS($V$1006:AD1006),$V$1006:$AE$1006,0)), HYPERLINK("#",""), HYPERLINK(CONCATENATE("#Metadata!", ADDRESS(INDEX($Q$2:$Q$1001,MATCH(ROWS($O$2:O556),$O$2:$O$1001,0),0), INDEX($V$1004:$AE$1004,1,MATCH(COLUMNS($V$1006:AD1006),$V$1006:$AE$1006,0)))),"Fix")))</f>
        <v>0</v>
      </c>
      <c r="K556" s="4">
        <f>IF(OR(INDEX($P$2:$P$1001,MATCH(ROWS($O$2:O556),$O$2:$O$1001,0),1)&gt;=100000,INDEX($V$1005:$AE$1005,1,MATCH(COLUMNS($V$1006:AE1006),$V$1006:$AE$1006,0))&gt;=100000), " ",IF(INDEX($V$2:$AE$1001,MATCH(ROWS($O$2:O556),$O$2:$O$1001,0),MATCH(COLUMNS($V$1006:AE1006),$V$1006:$AE$1006,0)), HYPERLINK("#",""), HYPERLINK(CONCATENATE("#Metadata!", ADDRESS(INDEX($Q$2:$Q$1001,MATCH(ROWS($O$2:O556),$O$2:$O$1001,0),0), INDEX($V$1004:$AE$1004,1,MATCH(COLUMNS($V$1006:AE1006),$V$1006:$AE$1006,0)))),"Fix")))</f>
        <v>0</v>
      </c>
      <c r="O556">
        <v>0</v>
      </c>
      <c r="P556">
        <v>0</v>
      </c>
      <c r="Q556">
        <v>0</v>
      </c>
      <c r="R556">
        <f>IF(S556,TRUE,AND(V556:AE556))</f>
        <v>0</v>
      </c>
      <c r="S556">
        <f>COUNTBLANK(Metadata!B556:K556)=COLUMNS(Metadata!B556:K556)</f>
        <v>0</v>
      </c>
      <c r="T556">
        <v>0</v>
      </c>
      <c r="V556">
        <f>AND(IF(Metadata!B556="",FALSE,TRUE),COUNTIF(Metadata!B:B, Metadata!B556) = 1,NOT(ISERROR(SUMPRODUCT(SEARCH(MID(Metadata!B556,ROW(INDIRECT("1:"&amp;LEN(Metadata!B556))), 1),"0123456789abcdefghijklmnopqrstuvwxyzABCDEFGHIJKLMNOPQRSTUVWXYZ.")))))</f>
        <v>0</v>
      </c>
      <c r="W556">
        <f>AND(IF(Metadata!C556="",FALSE,TRUE),exact(Metadata!C556,"urban biome"))</f>
        <v>0</v>
      </c>
      <c r="X556">
        <f>AND(IF(Metadata!D556="",FALSE,TRUE),exact(Metadata!D556,"animal-associated habitat"))</f>
        <v>0</v>
      </c>
      <c r="Y556">
        <f>OR(AND(IF(Metadata!E556="",FALSE,TRUE),OR(exact(Metadata!E556,"not applicable"),exact(Metadata!E556,"missing: not collected"),exact(Metadata!E556,"missing: not provided"),exact(Metadata!E556,"missing: restricted access"))),AND(IF(Metadata!E556="",FALSE,ISNUMBER(VALUE(Metadata!E556))),Metadata!E556&gt;0))</f>
        <v>0</v>
      </c>
      <c r="Z556">
        <f>AND(IF(Metadata!F556="",FALSE,TRUE),exact(Metadata!F556,"weeks"))</f>
        <v>0</v>
      </c>
      <c r="AA556">
        <f>AND(IF(Metadata!G556="",FALSE,TRUE),exact(Metadata!G556,"mouse"))</f>
        <v>0</v>
      </c>
      <c r="AB556">
        <f>AND(IF(Metadata!H556="",FALSE,TRUE),exact(Metadata!H556,"Mus musculus"))</f>
        <v>0</v>
      </c>
      <c r="AC556">
        <f>AND(IF(Metadata!I556="",FALSE,TRUE),exact(Metadata!I556,"10090"))</f>
        <v>0</v>
      </c>
      <c r="AD556">
        <f>OR(AND(IF(Metadata!J556="",FALSE,TRUE),OR(exact(Metadata!J556,"not applicable"),exact(Metadata!J556,"missing: not collected"),exact(Metadata!J556,"missing: not provided"),exact(Metadata!J556,"missing: restricted access"))),AND(IF(Metadata!J556="",FALSE,ISNUMBER(VALUE(Metadata!J556))),Metadata!J556&gt;0))</f>
        <v>0</v>
      </c>
      <c r="AE556">
        <f>AND(IF(Metadata!K556="",FALSE,TRUE),exact(Metadata!K556,"g"))</f>
        <v>0</v>
      </c>
    </row>
    <row r="557" spans="1:31">
      <c r="A557" s="5">
        <f>IF(B557=" "," ",HYPERLINK(CONCATENATE("#metadata!",ADDRESS(INDEX($Q$2:$Q$1001,MATCH(ROWS($O$2:O557),$O$2:$O$1001,0),0),1)),INDEX($T$2:$T$1001,MATCH(ROWS($O$2:O557),$O$2:$O$1001,0),0)))</f>
        <v>0</v>
      </c>
      <c r="B557" s="4">
        <f>IF(OR(INDEX($P$2:$P$1001,MATCH(ROWS($O$2:O557),$O$2:$O$1001,0),1)&gt;=100000,INDEX($V$1005:$AE$1005,1,MATCH(COLUMNS($V$1006:V1006),$V$1006:$AE$1006,0))&gt;=100000), " ",IF(INDEX($V$2:$AE$1001,MATCH(ROWS($O$2:O557),$O$2:$O$1001,0),MATCH(COLUMNS($V$1006:V1006),$V$1006:$AE$1006,0)), HYPERLINK("#",""), HYPERLINK(CONCATENATE("#Metadata!", ADDRESS(INDEX($Q$2:$Q$1001,MATCH(ROWS($O$2:O557),$O$2:$O$1001,0),0), INDEX($V$1004:$AE$1004,1,MATCH(COLUMNS($V$1006:V1006),$V$1006:$AE$1006,0)))),"Fix")))</f>
        <v>0</v>
      </c>
      <c r="C557" s="4">
        <f>IF(OR(INDEX($P$2:$P$1001,MATCH(ROWS($O$2:O557),$O$2:$O$1001,0),1)&gt;=100000,INDEX($V$1005:$AE$1005,1,MATCH(COLUMNS($V$1006:W1006),$V$1006:$AE$1006,0))&gt;=100000), " ",IF(INDEX($V$2:$AE$1001,MATCH(ROWS($O$2:O557),$O$2:$O$1001,0),MATCH(COLUMNS($V$1006:W1006),$V$1006:$AE$1006,0)), HYPERLINK("#",""), HYPERLINK(CONCATENATE("#Metadata!", ADDRESS(INDEX($Q$2:$Q$1001,MATCH(ROWS($O$2:O557),$O$2:$O$1001,0),0), INDEX($V$1004:$AE$1004,1,MATCH(COLUMNS($V$1006:W1006),$V$1006:$AE$1006,0)))),"Fix")))</f>
        <v>0</v>
      </c>
      <c r="D557" s="4">
        <f>IF(OR(INDEX($P$2:$P$1001,MATCH(ROWS($O$2:O557),$O$2:$O$1001,0),1)&gt;=100000,INDEX($V$1005:$AE$1005,1,MATCH(COLUMNS($V$1006:X1006),$V$1006:$AE$1006,0))&gt;=100000), " ",IF(INDEX($V$2:$AE$1001,MATCH(ROWS($O$2:O557),$O$2:$O$1001,0),MATCH(COLUMNS($V$1006:X1006),$V$1006:$AE$1006,0)), HYPERLINK("#",""), HYPERLINK(CONCATENATE("#Metadata!", ADDRESS(INDEX($Q$2:$Q$1001,MATCH(ROWS($O$2:O557),$O$2:$O$1001,0),0), INDEX($V$1004:$AE$1004,1,MATCH(COLUMNS($V$1006:X1006),$V$1006:$AE$1006,0)))),"Fix")))</f>
        <v>0</v>
      </c>
      <c r="E557" s="4">
        <f>IF(OR(INDEX($P$2:$P$1001,MATCH(ROWS($O$2:O557),$O$2:$O$1001,0),1)&gt;=100000,INDEX($V$1005:$AE$1005,1,MATCH(COLUMNS($V$1006:Y1006),$V$1006:$AE$1006,0))&gt;=100000), " ",IF(INDEX($V$2:$AE$1001,MATCH(ROWS($O$2:O557),$O$2:$O$1001,0),MATCH(COLUMNS($V$1006:Y1006),$V$1006:$AE$1006,0)), HYPERLINK("#",""), HYPERLINK(CONCATENATE("#Metadata!", ADDRESS(INDEX($Q$2:$Q$1001,MATCH(ROWS($O$2:O557),$O$2:$O$1001,0),0), INDEX($V$1004:$AE$1004,1,MATCH(COLUMNS($V$1006:Y1006),$V$1006:$AE$1006,0)))),"Fix")))</f>
        <v>0</v>
      </c>
      <c r="F557" s="4">
        <f>IF(OR(INDEX($P$2:$P$1001,MATCH(ROWS($O$2:O557),$O$2:$O$1001,0),1)&gt;=100000,INDEX($V$1005:$AE$1005,1,MATCH(COLUMNS($V$1006:Z1006),$V$1006:$AE$1006,0))&gt;=100000), " ",IF(INDEX($V$2:$AE$1001,MATCH(ROWS($O$2:O557),$O$2:$O$1001,0),MATCH(COLUMNS($V$1006:Z1006),$V$1006:$AE$1006,0)), HYPERLINK("#",""), HYPERLINK(CONCATENATE("#Metadata!", ADDRESS(INDEX($Q$2:$Q$1001,MATCH(ROWS($O$2:O557),$O$2:$O$1001,0),0), INDEX($V$1004:$AE$1004,1,MATCH(COLUMNS($V$1006:Z1006),$V$1006:$AE$1006,0)))),"Fix")))</f>
        <v>0</v>
      </c>
      <c r="G557" s="4">
        <f>IF(OR(INDEX($P$2:$P$1001,MATCH(ROWS($O$2:O557),$O$2:$O$1001,0),1)&gt;=100000,INDEX($V$1005:$AE$1005,1,MATCH(COLUMNS($V$1006:AA1006),$V$1006:$AE$1006,0))&gt;=100000), " ",IF(INDEX($V$2:$AE$1001,MATCH(ROWS($O$2:O557),$O$2:$O$1001,0),MATCH(COLUMNS($V$1006:AA1006),$V$1006:$AE$1006,0)), HYPERLINK("#",""), HYPERLINK(CONCATENATE("#Metadata!", ADDRESS(INDEX($Q$2:$Q$1001,MATCH(ROWS($O$2:O557),$O$2:$O$1001,0),0), INDEX($V$1004:$AE$1004,1,MATCH(COLUMNS($V$1006:AA1006),$V$1006:$AE$1006,0)))),"Fix")))</f>
        <v>0</v>
      </c>
      <c r="H557" s="4">
        <f>IF(OR(INDEX($P$2:$P$1001,MATCH(ROWS($O$2:O557),$O$2:$O$1001,0),1)&gt;=100000,INDEX($V$1005:$AE$1005,1,MATCH(COLUMNS($V$1006:AB1006),$V$1006:$AE$1006,0))&gt;=100000), " ",IF(INDEX($V$2:$AE$1001,MATCH(ROWS($O$2:O557),$O$2:$O$1001,0),MATCH(COLUMNS($V$1006:AB1006),$V$1006:$AE$1006,0)), HYPERLINK("#",""), HYPERLINK(CONCATENATE("#Metadata!", ADDRESS(INDEX($Q$2:$Q$1001,MATCH(ROWS($O$2:O557),$O$2:$O$1001,0),0), INDEX($V$1004:$AE$1004,1,MATCH(COLUMNS($V$1006:AB1006),$V$1006:$AE$1006,0)))),"Fix")))</f>
        <v>0</v>
      </c>
      <c r="I557" s="4">
        <f>IF(OR(INDEX($P$2:$P$1001,MATCH(ROWS($O$2:O557),$O$2:$O$1001,0),1)&gt;=100000,INDEX($V$1005:$AE$1005,1,MATCH(COLUMNS($V$1006:AC1006),$V$1006:$AE$1006,0))&gt;=100000), " ",IF(INDEX($V$2:$AE$1001,MATCH(ROWS($O$2:O557),$O$2:$O$1001,0),MATCH(COLUMNS($V$1006:AC1006),$V$1006:$AE$1006,0)), HYPERLINK("#",""), HYPERLINK(CONCATENATE("#Metadata!", ADDRESS(INDEX($Q$2:$Q$1001,MATCH(ROWS($O$2:O557),$O$2:$O$1001,0),0), INDEX($V$1004:$AE$1004,1,MATCH(COLUMNS($V$1006:AC1006),$V$1006:$AE$1006,0)))),"Fix")))</f>
        <v>0</v>
      </c>
      <c r="J557" s="4">
        <f>IF(OR(INDEX($P$2:$P$1001,MATCH(ROWS($O$2:O557),$O$2:$O$1001,0),1)&gt;=100000,INDEX($V$1005:$AE$1005,1,MATCH(COLUMNS($V$1006:AD1006),$V$1006:$AE$1006,0))&gt;=100000), " ",IF(INDEX($V$2:$AE$1001,MATCH(ROWS($O$2:O557),$O$2:$O$1001,0),MATCH(COLUMNS($V$1006:AD1006),$V$1006:$AE$1006,0)), HYPERLINK("#",""), HYPERLINK(CONCATENATE("#Metadata!", ADDRESS(INDEX($Q$2:$Q$1001,MATCH(ROWS($O$2:O557),$O$2:$O$1001,0),0), INDEX($V$1004:$AE$1004,1,MATCH(COLUMNS($V$1006:AD1006),$V$1006:$AE$1006,0)))),"Fix")))</f>
        <v>0</v>
      </c>
      <c r="K557" s="4">
        <f>IF(OR(INDEX($P$2:$P$1001,MATCH(ROWS($O$2:O557),$O$2:$O$1001,0),1)&gt;=100000,INDEX($V$1005:$AE$1005,1,MATCH(COLUMNS($V$1006:AE1006),$V$1006:$AE$1006,0))&gt;=100000), " ",IF(INDEX($V$2:$AE$1001,MATCH(ROWS($O$2:O557),$O$2:$O$1001,0),MATCH(COLUMNS($V$1006:AE1006),$V$1006:$AE$1006,0)), HYPERLINK("#",""), HYPERLINK(CONCATENATE("#Metadata!", ADDRESS(INDEX($Q$2:$Q$1001,MATCH(ROWS($O$2:O557),$O$2:$O$1001,0),0), INDEX($V$1004:$AE$1004,1,MATCH(COLUMNS($V$1006:AE1006),$V$1006:$AE$1006,0)))),"Fix")))</f>
        <v>0</v>
      </c>
      <c r="O557">
        <v>0</v>
      </c>
      <c r="P557">
        <v>0</v>
      </c>
      <c r="Q557">
        <v>0</v>
      </c>
      <c r="R557">
        <f>IF(S557,TRUE,AND(V557:AE557))</f>
        <v>0</v>
      </c>
      <c r="S557">
        <f>COUNTBLANK(Metadata!B557:K557)=COLUMNS(Metadata!B557:K557)</f>
        <v>0</v>
      </c>
      <c r="T557">
        <v>0</v>
      </c>
      <c r="V557">
        <f>AND(IF(Metadata!B557="",FALSE,TRUE),COUNTIF(Metadata!B:B, Metadata!B557) = 1,NOT(ISERROR(SUMPRODUCT(SEARCH(MID(Metadata!B557,ROW(INDIRECT("1:"&amp;LEN(Metadata!B557))), 1),"0123456789abcdefghijklmnopqrstuvwxyzABCDEFGHIJKLMNOPQRSTUVWXYZ.")))))</f>
        <v>0</v>
      </c>
      <c r="W557">
        <f>AND(IF(Metadata!C557="",FALSE,TRUE),exact(Metadata!C557,"urban biome"))</f>
        <v>0</v>
      </c>
      <c r="X557">
        <f>AND(IF(Metadata!D557="",FALSE,TRUE),exact(Metadata!D557,"animal-associated habitat"))</f>
        <v>0</v>
      </c>
      <c r="Y557">
        <f>OR(AND(IF(Metadata!E557="",FALSE,TRUE),OR(exact(Metadata!E557,"not applicable"),exact(Metadata!E557,"missing: not collected"),exact(Metadata!E557,"missing: not provided"),exact(Metadata!E557,"missing: restricted access"))),AND(IF(Metadata!E557="",FALSE,ISNUMBER(VALUE(Metadata!E557))),Metadata!E557&gt;0))</f>
        <v>0</v>
      </c>
      <c r="Z557">
        <f>AND(IF(Metadata!F557="",FALSE,TRUE),exact(Metadata!F557,"weeks"))</f>
        <v>0</v>
      </c>
      <c r="AA557">
        <f>AND(IF(Metadata!G557="",FALSE,TRUE),exact(Metadata!G557,"mouse"))</f>
        <v>0</v>
      </c>
      <c r="AB557">
        <f>AND(IF(Metadata!H557="",FALSE,TRUE),exact(Metadata!H557,"Mus musculus"))</f>
        <v>0</v>
      </c>
      <c r="AC557">
        <f>AND(IF(Metadata!I557="",FALSE,TRUE),exact(Metadata!I557,"10090"))</f>
        <v>0</v>
      </c>
      <c r="AD557">
        <f>OR(AND(IF(Metadata!J557="",FALSE,TRUE),OR(exact(Metadata!J557,"not applicable"),exact(Metadata!J557,"missing: not collected"),exact(Metadata!J557,"missing: not provided"),exact(Metadata!J557,"missing: restricted access"))),AND(IF(Metadata!J557="",FALSE,ISNUMBER(VALUE(Metadata!J557))),Metadata!J557&gt;0))</f>
        <v>0</v>
      </c>
      <c r="AE557">
        <f>AND(IF(Metadata!K557="",FALSE,TRUE),exact(Metadata!K557,"g"))</f>
        <v>0</v>
      </c>
    </row>
    <row r="558" spans="1:31">
      <c r="A558" s="5">
        <f>IF(B558=" "," ",HYPERLINK(CONCATENATE("#metadata!",ADDRESS(INDEX($Q$2:$Q$1001,MATCH(ROWS($O$2:O558),$O$2:$O$1001,0),0),1)),INDEX($T$2:$T$1001,MATCH(ROWS($O$2:O558),$O$2:$O$1001,0),0)))</f>
        <v>0</v>
      </c>
      <c r="B558" s="4">
        <f>IF(OR(INDEX($P$2:$P$1001,MATCH(ROWS($O$2:O558),$O$2:$O$1001,0),1)&gt;=100000,INDEX($V$1005:$AE$1005,1,MATCH(COLUMNS($V$1006:V1006),$V$1006:$AE$1006,0))&gt;=100000), " ",IF(INDEX($V$2:$AE$1001,MATCH(ROWS($O$2:O558),$O$2:$O$1001,0),MATCH(COLUMNS($V$1006:V1006),$V$1006:$AE$1006,0)), HYPERLINK("#",""), HYPERLINK(CONCATENATE("#Metadata!", ADDRESS(INDEX($Q$2:$Q$1001,MATCH(ROWS($O$2:O558),$O$2:$O$1001,0),0), INDEX($V$1004:$AE$1004,1,MATCH(COLUMNS($V$1006:V1006),$V$1006:$AE$1006,0)))),"Fix")))</f>
        <v>0</v>
      </c>
      <c r="C558" s="4">
        <f>IF(OR(INDEX($P$2:$P$1001,MATCH(ROWS($O$2:O558),$O$2:$O$1001,0),1)&gt;=100000,INDEX($V$1005:$AE$1005,1,MATCH(COLUMNS($V$1006:W1006),$V$1006:$AE$1006,0))&gt;=100000), " ",IF(INDEX($V$2:$AE$1001,MATCH(ROWS($O$2:O558),$O$2:$O$1001,0),MATCH(COLUMNS($V$1006:W1006),$V$1006:$AE$1006,0)), HYPERLINK("#",""), HYPERLINK(CONCATENATE("#Metadata!", ADDRESS(INDEX($Q$2:$Q$1001,MATCH(ROWS($O$2:O558),$O$2:$O$1001,0),0), INDEX($V$1004:$AE$1004,1,MATCH(COLUMNS($V$1006:W1006),$V$1006:$AE$1006,0)))),"Fix")))</f>
        <v>0</v>
      </c>
      <c r="D558" s="4">
        <f>IF(OR(INDEX($P$2:$P$1001,MATCH(ROWS($O$2:O558),$O$2:$O$1001,0),1)&gt;=100000,INDEX($V$1005:$AE$1005,1,MATCH(COLUMNS($V$1006:X1006),$V$1006:$AE$1006,0))&gt;=100000), " ",IF(INDEX($V$2:$AE$1001,MATCH(ROWS($O$2:O558),$O$2:$O$1001,0),MATCH(COLUMNS($V$1006:X1006),$V$1006:$AE$1006,0)), HYPERLINK("#",""), HYPERLINK(CONCATENATE("#Metadata!", ADDRESS(INDEX($Q$2:$Q$1001,MATCH(ROWS($O$2:O558),$O$2:$O$1001,0),0), INDEX($V$1004:$AE$1004,1,MATCH(COLUMNS($V$1006:X1006),$V$1006:$AE$1006,0)))),"Fix")))</f>
        <v>0</v>
      </c>
      <c r="E558" s="4">
        <f>IF(OR(INDEX($P$2:$P$1001,MATCH(ROWS($O$2:O558),$O$2:$O$1001,0),1)&gt;=100000,INDEX($V$1005:$AE$1005,1,MATCH(COLUMNS($V$1006:Y1006),$V$1006:$AE$1006,0))&gt;=100000), " ",IF(INDEX($V$2:$AE$1001,MATCH(ROWS($O$2:O558),$O$2:$O$1001,0),MATCH(COLUMNS($V$1006:Y1006),$V$1006:$AE$1006,0)), HYPERLINK("#",""), HYPERLINK(CONCATENATE("#Metadata!", ADDRESS(INDEX($Q$2:$Q$1001,MATCH(ROWS($O$2:O558),$O$2:$O$1001,0),0), INDEX($V$1004:$AE$1004,1,MATCH(COLUMNS($V$1006:Y1006),$V$1006:$AE$1006,0)))),"Fix")))</f>
        <v>0</v>
      </c>
      <c r="F558" s="4">
        <f>IF(OR(INDEX($P$2:$P$1001,MATCH(ROWS($O$2:O558),$O$2:$O$1001,0),1)&gt;=100000,INDEX($V$1005:$AE$1005,1,MATCH(COLUMNS($V$1006:Z1006),$V$1006:$AE$1006,0))&gt;=100000), " ",IF(INDEX($V$2:$AE$1001,MATCH(ROWS($O$2:O558),$O$2:$O$1001,0),MATCH(COLUMNS($V$1006:Z1006),$V$1006:$AE$1006,0)), HYPERLINK("#",""), HYPERLINK(CONCATENATE("#Metadata!", ADDRESS(INDEX($Q$2:$Q$1001,MATCH(ROWS($O$2:O558),$O$2:$O$1001,0),0), INDEX($V$1004:$AE$1004,1,MATCH(COLUMNS($V$1006:Z1006),$V$1006:$AE$1006,0)))),"Fix")))</f>
        <v>0</v>
      </c>
      <c r="G558" s="4">
        <f>IF(OR(INDEX($P$2:$P$1001,MATCH(ROWS($O$2:O558),$O$2:$O$1001,0),1)&gt;=100000,INDEX($V$1005:$AE$1005,1,MATCH(COLUMNS($V$1006:AA1006),$V$1006:$AE$1006,0))&gt;=100000), " ",IF(INDEX($V$2:$AE$1001,MATCH(ROWS($O$2:O558),$O$2:$O$1001,0),MATCH(COLUMNS($V$1006:AA1006),$V$1006:$AE$1006,0)), HYPERLINK("#",""), HYPERLINK(CONCATENATE("#Metadata!", ADDRESS(INDEX($Q$2:$Q$1001,MATCH(ROWS($O$2:O558),$O$2:$O$1001,0),0), INDEX($V$1004:$AE$1004,1,MATCH(COLUMNS($V$1006:AA1006),$V$1006:$AE$1006,0)))),"Fix")))</f>
        <v>0</v>
      </c>
      <c r="H558" s="4">
        <f>IF(OR(INDEX($P$2:$P$1001,MATCH(ROWS($O$2:O558),$O$2:$O$1001,0),1)&gt;=100000,INDEX($V$1005:$AE$1005,1,MATCH(COLUMNS($V$1006:AB1006),$V$1006:$AE$1006,0))&gt;=100000), " ",IF(INDEX($V$2:$AE$1001,MATCH(ROWS($O$2:O558),$O$2:$O$1001,0),MATCH(COLUMNS($V$1006:AB1006),$V$1006:$AE$1006,0)), HYPERLINK("#",""), HYPERLINK(CONCATENATE("#Metadata!", ADDRESS(INDEX($Q$2:$Q$1001,MATCH(ROWS($O$2:O558),$O$2:$O$1001,0),0), INDEX($V$1004:$AE$1004,1,MATCH(COLUMNS($V$1006:AB1006),$V$1006:$AE$1006,0)))),"Fix")))</f>
        <v>0</v>
      </c>
      <c r="I558" s="4">
        <f>IF(OR(INDEX($P$2:$P$1001,MATCH(ROWS($O$2:O558),$O$2:$O$1001,0),1)&gt;=100000,INDEX($V$1005:$AE$1005,1,MATCH(COLUMNS($V$1006:AC1006),$V$1006:$AE$1006,0))&gt;=100000), " ",IF(INDEX($V$2:$AE$1001,MATCH(ROWS($O$2:O558),$O$2:$O$1001,0),MATCH(COLUMNS($V$1006:AC1006),$V$1006:$AE$1006,0)), HYPERLINK("#",""), HYPERLINK(CONCATENATE("#Metadata!", ADDRESS(INDEX($Q$2:$Q$1001,MATCH(ROWS($O$2:O558),$O$2:$O$1001,0),0), INDEX($V$1004:$AE$1004,1,MATCH(COLUMNS($V$1006:AC1006),$V$1006:$AE$1006,0)))),"Fix")))</f>
        <v>0</v>
      </c>
      <c r="J558" s="4">
        <f>IF(OR(INDEX($P$2:$P$1001,MATCH(ROWS($O$2:O558),$O$2:$O$1001,0),1)&gt;=100000,INDEX($V$1005:$AE$1005,1,MATCH(COLUMNS($V$1006:AD1006),$V$1006:$AE$1006,0))&gt;=100000), " ",IF(INDEX($V$2:$AE$1001,MATCH(ROWS($O$2:O558),$O$2:$O$1001,0),MATCH(COLUMNS($V$1006:AD1006),$V$1006:$AE$1006,0)), HYPERLINK("#",""), HYPERLINK(CONCATENATE("#Metadata!", ADDRESS(INDEX($Q$2:$Q$1001,MATCH(ROWS($O$2:O558),$O$2:$O$1001,0),0), INDEX($V$1004:$AE$1004,1,MATCH(COLUMNS($V$1006:AD1006),$V$1006:$AE$1006,0)))),"Fix")))</f>
        <v>0</v>
      </c>
      <c r="K558" s="4">
        <f>IF(OR(INDEX($P$2:$P$1001,MATCH(ROWS($O$2:O558),$O$2:$O$1001,0),1)&gt;=100000,INDEX($V$1005:$AE$1005,1,MATCH(COLUMNS($V$1006:AE1006),$V$1006:$AE$1006,0))&gt;=100000), " ",IF(INDEX($V$2:$AE$1001,MATCH(ROWS($O$2:O558),$O$2:$O$1001,0),MATCH(COLUMNS($V$1006:AE1006),$V$1006:$AE$1006,0)), HYPERLINK("#",""), HYPERLINK(CONCATENATE("#Metadata!", ADDRESS(INDEX($Q$2:$Q$1001,MATCH(ROWS($O$2:O558),$O$2:$O$1001,0),0), INDEX($V$1004:$AE$1004,1,MATCH(COLUMNS($V$1006:AE1006),$V$1006:$AE$1006,0)))),"Fix")))</f>
        <v>0</v>
      </c>
      <c r="O558">
        <v>0</v>
      </c>
      <c r="P558">
        <v>0</v>
      </c>
      <c r="Q558">
        <v>0</v>
      </c>
      <c r="R558">
        <f>IF(S558,TRUE,AND(V558:AE558))</f>
        <v>0</v>
      </c>
      <c r="S558">
        <f>COUNTBLANK(Metadata!B558:K558)=COLUMNS(Metadata!B558:K558)</f>
        <v>0</v>
      </c>
      <c r="T558">
        <v>0</v>
      </c>
      <c r="V558">
        <f>AND(IF(Metadata!B558="",FALSE,TRUE),COUNTIF(Metadata!B:B, Metadata!B558) = 1,NOT(ISERROR(SUMPRODUCT(SEARCH(MID(Metadata!B558,ROW(INDIRECT("1:"&amp;LEN(Metadata!B558))), 1),"0123456789abcdefghijklmnopqrstuvwxyzABCDEFGHIJKLMNOPQRSTUVWXYZ.")))))</f>
        <v>0</v>
      </c>
      <c r="W558">
        <f>AND(IF(Metadata!C558="",FALSE,TRUE),exact(Metadata!C558,"urban biome"))</f>
        <v>0</v>
      </c>
      <c r="X558">
        <f>AND(IF(Metadata!D558="",FALSE,TRUE),exact(Metadata!D558,"animal-associated habitat"))</f>
        <v>0</v>
      </c>
      <c r="Y558">
        <f>OR(AND(IF(Metadata!E558="",FALSE,TRUE),OR(exact(Metadata!E558,"not applicable"),exact(Metadata!E558,"missing: not collected"),exact(Metadata!E558,"missing: not provided"),exact(Metadata!E558,"missing: restricted access"))),AND(IF(Metadata!E558="",FALSE,ISNUMBER(VALUE(Metadata!E558))),Metadata!E558&gt;0))</f>
        <v>0</v>
      </c>
      <c r="Z558">
        <f>AND(IF(Metadata!F558="",FALSE,TRUE),exact(Metadata!F558,"weeks"))</f>
        <v>0</v>
      </c>
      <c r="AA558">
        <f>AND(IF(Metadata!G558="",FALSE,TRUE),exact(Metadata!G558,"mouse"))</f>
        <v>0</v>
      </c>
      <c r="AB558">
        <f>AND(IF(Metadata!H558="",FALSE,TRUE),exact(Metadata!H558,"Mus musculus"))</f>
        <v>0</v>
      </c>
      <c r="AC558">
        <f>AND(IF(Metadata!I558="",FALSE,TRUE),exact(Metadata!I558,"10090"))</f>
        <v>0</v>
      </c>
      <c r="AD558">
        <f>OR(AND(IF(Metadata!J558="",FALSE,TRUE),OR(exact(Metadata!J558,"not applicable"),exact(Metadata!J558,"missing: not collected"),exact(Metadata!J558,"missing: not provided"),exact(Metadata!J558,"missing: restricted access"))),AND(IF(Metadata!J558="",FALSE,ISNUMBER(VALUE(Metadata!J558))),Metadata!J558&gt;0))</f>
        <v>0</v>
      </c>
      <c r="AE558">
        <f>AND(IF(Metadata!K558="",FALSE,TRUE),exact(Metadata!K558,"g"))</f>
        <v>0</v>
      </c>
    </row>
    <row r="559" spans="1:31">
      <c r="A559" s="5">
        <f>IF(B559=" "," ",HYPERLINK(CONCATENATE("#metadata!",ADDRESS(INDEX($Q$2:$Q$1001,MATCH(ROWS($O$2:O559),$O$2:$O$1001,0),0),1)),INDEX($T$2:$T$1001,MATCH(ROWS($O$2:O559),$O$2:$O$1001,0),0)))</f>
        <v>0</v>
      </c>
      <c r="B559" s="4">
        <f>IF(OR(INDEX($P$2:$P$1001,MATCH(ROWS($O$2:O559),$O$2:$O$1001,0),1)&gt;=100000,INDEX($V$1005:$AE$1005,1,MATCH(COLUMNS($V$1006:V1006),$V$1006:$AE$1006,0))&gt;=100000), " ",IF(INDEX($V$2:$AE$1001,MATCH(ROWS($O$2:O559),$O$2:$O$1001,0),MATCH(COLUMNS($V$1006:V1006),$V$1006:$AE$1006,0)), HYPERLINK("#",""), HYPERLINK(CONCATENATE("#Metadata!", ADDRESS(INDEX($Q$2:$Q$1001,MATCH(ROWS($O$2:O559),$O$2:$O$1001,0),0), INDEX($V$1004:$AE$1004,1,MATCH(COLUMNS($V$1006:V1006),$V$1006:$AE$1006,0)))),"Fix")))</f>
        <v>0</v>
      </c>
      <c r="C559" s="4">
        <f>IF(OR(INDEX($P$2:$P$1001,MATCH(ROWS($O$2:O559),$O$2:$O$1001,0),1)&gt;=100000,INDEX($V$1005:$AE$1005,1,MATCH(COLUMNS($V$1006:W1006),$V$1006:$AE$1006,0))&gt;=100000), " ",IF(INDEX($V$2:$AE$1001,MATCH(ROWS($O$2:O559),$O$2:$O$1001,0),MATCH(COLUMNS($V$1006:W1006),$V$1006:$AE$1006,0)), HYPERLINK("#",""), HYPERLINK(CONCATENATE("#Metadata!", ADDRESS(INDEX($Q$2:$Q$1001,MATCH(ROWS($O$2:O559),$O$2:$O$1001,0),0), INDEX($V$1004:$AE$1004,1,MATCH(COLUMNS($V$1006:W1006),$V$1006:$AE$1006,0)))),"Fix")))</f>
        <v>0</v>
      </c>
      <c r="D559" s="4">
        <f>IF(OR(INDEX($P$2:$P$1001,MATCH(ROWS($O$2:O559),$O$2:$O$1001,0),1)&gt;=100000,INDEX($V$1005:$AE$1005,1,MATCH(COLUMNS($V$1006:X1006),$V$1006:$AE$1006,0))&gt;=100000), " ",IF(INDEX($V$2:$AE$1001,MATCH(ROWS($O$2:O559),$O$2:$O$1001,0),MATCH(COLUMNS($V$1006:X1006),$V$1006:$AE$1006,0)), HYPERLINK("#",""), HYPERLINK(CONCATENATE("#Metadata!", ADDRESS(INDEX($Q$2:$Q$1001,MATCH(ROWS($O$2:O559),$O$2:$O$1001,0),0), INDEX($V$1004:$AE$1004,1,MATCH(COLUMNS($V$1006:X1006),$V$1006:$AE$1006,0)))),"Fix")))</f>
        <v>0</v>
      </c>
      <c r="E559" s="4">
        <f>IF(OR(INDEX($P$2:$P$1001,MATCH(ROWS($O$2:O559),$O$2:$O$1001,0),1)&gt;=100000,INDEX($V$1005:$AE$1005,1,MATCH(COLUMNS($V$1006:Y1006),$V$1006:$AE$1006,0))&gt;=100000), " ",IF(INDEX($V$2:$AE$1001,MATCH(ROWS($O$2:O559),$O$2:$O$1001,0),MATCH(COLUMNS($V$1006:Y1006),$V$1006:$AE$1006,0)), HYPERLINK("#",""), HYPERLINK(CONCATENATE("#Metadata!", ADDRESS(INDEX($Q$2:$Q$1001,MATCH(ROWS($O$2:O559),$O$2:$O$1001,0),0), INDEX($V$1004:$AE$1004,1,MATCH(COLUMNS($V$1006:Y1006),$V$1006:$AE$1006,0)))),"Fix")))</f>
        <v>0</v>
      </c>
      <c r="F559" s="4">
        <f>IF(OR(INDEX($P$2:$P$1001,MATCH(ROWS($O$2:O559),$O$2:$O$1001,0),1)&gt;=100000,INDEX($V$1005:$AE$1005,1,MATCH(COLUMNS($V$1006:Z1006),$V$1006:$AE$1006,0))&gt;=100000), " ",IF(INDEX($V$2:$AE$1001,MATCH(ROWS($O$2:O559),$O$2:$O$1001,0),MATCH(COLUMNS($V$1006:Z1006),$V$1006:$AE$1006,0)), HYPERLINK("#",""), HYPERLINK(CONCATENATE("#Metadata!", ADDRESS(INDEX($Q$2:$Q$1001,MATCH(ROWS($O$2:O559),$O$2:$O$1001,0),0), INDEX($V$1004:$AE$1004,1,MATCH(COLUMNS($V$1006:Z1006),$V$1006:$AE$1006,0)))),"Fix")))</f>
        <v>0</v>
      </c>
      <c r="G559" s="4">
        <f>IF(OR(INDEX($P$2:$P$1001,MATCH(ROWS($O$2:O559),$O$2:$O$1001,0),1)&gt;=100000,INDEX($V$1005:$AE$1005,1,MATCH(COLUMNS($V$1006:AA1006),$V$1006:$AE$1006,0))&gt;=100000), " ",IF(INDEX($V$2:$AE$1001,MATCH(ROWS($O$2:O559),$O$2:$O$1001,0),MATCH(COLUMNS($V$1006:AA1006),$V$1006:$AE$1006,0)), HYPERLINK("#",""), HYPERLINK(CONCATENATE("#Metadata!", ADDRESS(INDEX($Q$2:$Q$1001,MATCH(ROWS($O$2:O559),$O$2:$O$1001,0),0), INDEX($V$1004:$AE$1004,1,MATCH(COLUMNS($V$1006:AA1006),$V$1006:$AE$1006,0)))),"Fix")))</f>
        <v>0</v>
      </c>
      <c r="H559" s="4">
        <f>IF(OR(INDEX($P$2:$P$1001,MATCH(ROWS($O$2:O559),$O$2:$O$1001,0),1)&gt;=100000,INDEX($V$1005:$AE$1005,1,MATCH(COLUMNS($V$1006:AB1006),$V$1006:$AE$1006,0))&gt;=100000), " ",IF(INDEX($V$2:$AE$1001,MATCH(ROWS($O$2:O559),$O$2:$O$1001,0),MATCH(COLUMNS($V$1006:AB1006),$V$1006:$AE$1006,0)), HYPERLINK("#",""), HYPERLINK(CONCATENATE("#Metadata!", ADDRESS(INDEX($Q$2:$Q$1001,MATCH(ROWS($O$2:O559),$O$2:$O$1001,0),0), INDEX($V$1004:$AE$1004,1,MATCH(COLUMNS($V$1006:AB1006),$V$1006:$AE$1006,0)))),"Fix")))</f>
        <v>0</v>
      </c>
      <c r="I559" s="4">
        <f>IF(OR(INDEX($P$2:$P$1001,MATCH(ROWS($O$2:O559),$O$2:$O$1001,0),1)&gt;=100000,INDEX($V$1005:$AE$1005,1,MATCH(COLUMNS($V$1006:AC1006),$V$1006:$AE$1006,0))&gt;=100000), " ",IF(INDEX($V$2:$AE$1001,MATCH(ROWS($O$2:O559),$O$2:$O$1001,0),MATCH(COLUMNS($V$1006:AC1006),$V$1006:$AE$1006,0)), HYPERLINK("#",""), HYPERLINK(CONCATENATE("#Metadata!", ADDRESS(INDEX($Q$2:$Q$1001,MATCH(ROWS($O$2:O559),$O$2:$O$1001,0),0), INDEX($V$1004:$AE$1004,1,MATCH(COLUMNS($V$1006:AC1006),$V$1006:$AE$1006,0)))),"Fix")))</f>
        <v>0</v>
      </c>
      <c r="J559" s="4">
        <f>IF(OR(INDEX($P$2:$P$1001,MATCH(ROWS($O$2:O559),$O$2:$O$1001,0),1)&gt;=100000,INDEX($V$1005:$AE$1005,1,MATCH(COLUMNS($V$1006:AD1006),$V$1006:$AE$1006,0))&gt;=100000), " ",IF(INDEX($V$2:$AE$1001,MATCH(ROWS($O$2:O559),$O$2:$O$1001,0),MATCH(COLUMNS($V$1006:AD1006),$V$1006:$AE$1006,0)), HYPERLINK("#",""), HYPERLINK(CONCATENATE("#Metadata!", ADDRESS(INDEX($Q$2:$Q$1001,MATCH(ROWS($O$2:O559),$O$2:$O$1001,0),0), INDEX($V$1004:$AE$1004,1,MATCH(COLUMNS($V$1006:AD1006),$V$1006:$AE$1006,0)))),"Fix")))</f>
        <v>0</v>
      </c>
      <c r="K559" s="4">
        <f>IF(OR(INDEX($P$2:$P$1001,MATCH(ROWS($O$2:O559),$O$2:$O$1001,0),1)&gt;=100000,INDEX($V$1005:$AE$1005,1,MATCH(COLUMNS($V$1006:AE1006),$V$1006:$AE$1006,0))&gt;=100000), " ",IF(INDEX($V$2:$AE$1001,MATCH(ROWS($O$2:O559),$O$2:$O$1001,0),MATCH(COLUMNS($V$1006:AE1006),$V$1006:$AE$1006,0)), HYPERLINK("#",""), HYPERLINK(CONCATENATE("#Metadata!", ADDRESS(INDEX($Q$2:$Q$1001,MATCH(ROWS($O$2:O559),$O$2:$O$1001,0),0), INDEX($V$1004:$AE$1004,1,MATCH(COLUMNS($V$1006:AE1006),$V$1006:$AE$1006,0)))),"Fix")))</f>
        <v>0</v>
      </c>
      <c r="O559">
        <v>0</v>
      </c>
      <c r="P559">
        <v>0</v>
      </c>
      <c r="Q559">
        <v>0</v>
      </c>
      <c r="R559">
        <f>IF(S559,TRUE,AND(V559:AE559))</f>
        <v>0</v>
      </c>
      <c r="S559">
        <f>COUNTBLANK(Metadata!B559:K559)=COLUMNS(Metadata!B559:K559)</f>
        <v>0</v>
      </c>
      <c r="T559">
        <v>0</v>
      </c>
      <c r="V559">
        <f>AND(IF(Metadata!B559="",FALSE,TRUE),COUNTIF(Metadata!B:B, Metadata!B559) = 1,NOT(ISERROR(SUMPRODUCT(SEARCH(MID(Metadata!B559,ROW(INDIRECT("1:"&amp;LEN(Metadata!B559))), 1),"0123456789abcdefghijklmnopqrstuvwxyzABCDEFGHIJKLMNOPQRSTUVWXYZ.")))))</f>
        <v>0</v>
      </c>
      <c r="W559">
        <f>AND(IF(Metadata!C559="",FALSE,TRUE),exact(Metadata!C559,"urban biome"))</f>
        <v>0</v>
      </c>
      <c r="X559">
        <f>AND(IF(Metadata!D559="",FALSE,TRUE),exact(Metadata!D559,"animal-associated habitat"))</f>
        <v>0</v>
      </c>
      <c r="Y559">
        <f>OR(AND(IF(Metadata!E559="",FALSE,TRUE),OR(exact(Metadata!E559,"not applicable"),exact(Metadata!E559,"missing: not collected"),exact(Metadata!E559,"missing: not provided"),exact(Metadata!E559,"missing: restricted access"))),AND(IF(Metadata!E559="",FALSE,ISNUMBER(VALUE(Metadata!E559))),Metadata!E559&gt;0))</f>
        <v>0</v>
      </c>
      <c r="Z559">
        <f>AND(IF(Metadata!F559="",FALSE,TRUE),exact(Metadata!F559,"weeks"))</f>
        <v>0</v>
      </c>
      <c r="AA559">
        <f>AND(IF(Metadata!G559="",FALSE,TRUE),exact(Metadata!G559,"mouse"))</f>
        <v>0</v>
      </c>
      <c r="AB559">
        <f>AND(IF(Metadata!H559="",FALSE,TRUE),exact(Metadata!H559,"Mus musculus"))</f>
        <v>0</v>
      </c>
      <c r="AC559">
        <f>AND(IF(Metadata!I559="",FALSE,TRUE),exact(Metadata!I559,"10090"))</f>
        <v>0</v>
      </c>
      <c r="AD559">
        <f>OR(AND(IF(Metadata!J559="",FALSE,TRUE),OR(exact(Metadata!J559,"not applicable"),exact(Metadata!J559,"missing: not collected"),exact(Metadata!J559,"missing: not provided"),exact(Metadata!J559,"missing: restricted access"))),AND(IF(Metadata!J559="",FALSE,ISNUMBER(VALUE(Metadata!J559))),Metadata!J559&gt;0))</f>
        <v>0</v>
      </c>
      <c r="AE559">
        <f>AND(IF(Metadata!K559="",FALSE,TRUE),exact(Metadata!K559,"g"))</f>
        <v>0</v>
      </c>
    </row>
    <row r="560" spans="1:31">
      <c r="A560" s="5">
        <f>IF(B560=" "," ",HYPERLINK(CONCATENATE("#metadata!",ADDRESS(INDEX($Q$2:$Q$1001,MATCH(ROWS($O$2:O560),$O$2:$O$1001,0),0),1)),INDEX($T$2:$T$1001,MATCH(ROWS($O$2:O560),$O$2:$O$1001,0),0)))</f>
        <v>0</v>
      </c>
      <c r="B560" s="4">
        <f>IF(OR(INDEX($P$2:$P$1001,MATCH(ROWS($O$2:O560),$O$2:$O$1001,0),1)&gt;=100000,INDEX($V$1005:$AE$1005,1,MATCH(COLUMNS($V$1006:V1006),$V$1006:$AE$1006,0))&gt;=100000), " ",IF(INDEX($V$2:$AE$1001,MATCH(ROWS($O$2:O560),$O$2:$O$1001,0),MATCH(COLUMNS($V$1006:V1006),$V$1006:$AE$1006,0)), HYPERLINK("#",""), HYPERLINK(CONCATENATE("#Metadata!", ADDRESS(INDEX($Q$2:$Q$1001,MATCH(ROWS($O$2:O560),$O$2:$O$1001,0),0), INDEX($V$1004:$AE$1004,1,MATCH(COLUMNS($V$1006:V1006),$V$1006:$AE$1006,0)))),"Fix")))</f>
        <v>0</v>
      </c>
      <c r="C560" s="4">
        <f>IF(OR(INDEX($P$2:$P$1001,MATCH(ROWS($O$2:O560),$O$2:$O$1001,0),1)&gt;=100000,INDEX($V$1005:$AE$1005,1,MATCH(COLUMNS($V$1006:W1006),$V$1006:$AE$1006,0))&gt;=100000), " ",IF(INDEX($V$2:$AE$1001,MATCH(ROWS($O$2:O560),$O$2:$O$1001,0),MATCH(COLUMNS($V$1006:W1006),$V$1006:$AE$1006,0)), HYPERLINK("#",""), HYPERLINK(CONCATENATE("#Metadata!", ADDRESS(INDEX($Q$2:$Q$1001,MATCH(ROWS($O$2:O560),$O$2:$O$1001,0),0), INDEX($V$1004:$AE$1004,1,MATCH(COLUMNS($V$1006:W1006),$V$1006:$AE$1006,0)))),"Fix")))</f>
        <v>0</v>
      </c>
      <c r="D560" s="4">
        <f>IF(OR(INDEX($P$2:$P$1001,MATCH(ROWS($O$2:O560),$O$2:$O$1001,0),1)&gt;=100000,INDEX($V$1005:$AE$1005,1,MATCH(COLUMNS($V$1006:X1006),$V$1006:$AE$1006,0))&gt;=100000), " ",IF(INDEX($V$2:$AE$1001,MATCH(ROWS($O$2:O560),$O$2:$O$1001,0),MATCH(COLUMNS($V$1006:X1006),$V$1006:$AE$1006,0)), HYPERLINK("#",""), HYPERLINK(CONCATENATE("#Metadata!", ADDRESS(INDEX($Q$2:$Q$1001,MATCH(ROWS($O$2:O560),$O$2:$O$1001,0),0), INDEX($V$1004:$AE$1004,1,MATCH(COLUMNS($V$1006:X1006),$V$1006:$AE$1006,0)))),"Fix")))</f>
        <v>0</v>
      </c>
      <c r="E560" s="4">
        <f>IF(OR(INDEX($P$2:$P$1001,MATCH(ROWS($O$2:O560),$O$2:$O$1001,0),1)&gt;=100000,INDEX($V$1005:$AE$1005,1,MATCH(COLUMNS($V$1006:Y1006),$V$1006:$AE$1006,0))&gt;=100000), " ",IF(INDEX($V$2:$AE$1001,MATCH(ROWS($O$2:O560),$O$2:$O$1001,0),MATCH(COLUMNS($V$1006:Y1006),$V$1006:$AE$1006,0)), HYPERLINK("#",""), HYPERLINK(CONCATENATE("#Metadata!", ADDRESS(INDEX($Q$2:$Q$1001,MATCH(ROWS($O$2:O560),$O$2:$O$1001,0),0), INDEX($V$1004:$AE$1004,1,MATCH(COLUMNS($V$1006:Y1006),$V$1006:$AE$1006,0)))),"Fix")))</f>
        <v>0</v>
      </c>
      <c r="F560" s="4">
        <f>IF(OR(INDEX($P$2:$P$1001,MATCH(ROWS($O$2:O560),$O$2:$O$1001,0),1)&gt;=100000,INDEX($V$1005:$AE$1005,1,MATCH(COLUMNS($V$1006:Z1006),$V$1006:$AE$1006,0))&gt;=100000), " ",IF(INDEX($V$2:$AE$1001,MATCH(ROWS($O$2:O560),$O$2:$O$1001,0),MATCH(COLUMNS($V$1006:Z1006),$V$1006:$AE$1006,0)), HYPERLINK("#",""), HYPERLINK(CONCATENATE("#Metadata!", ADDRESS(INDEX($Q$2:$Q$1001,MATCH(ROWS($O$2:O560),$O$2:$O$1001,0),0), INDEX($V$1004:$AE$1004,1,MATCH(COLUMNS($V$1006:Z1006),$V$1006:$AE$1006,0)))),"Fix")))</f>
        <v>0</v>
      </c>
      <c r="G560" s="4">
        <f>IF(OR(INDEX($P$2:$P$1001,MATCH(ROWS($O$2:O560),$O$2:$O$1001,0),1)&gt;=100000,INDEX($V$1005:$AE$1005,1,MATCH(COLUMNS($V$1006:AA1006),$V$1006:$AE$1006,0))&gt;=100000), " ",IF(INDEX($V$2:$AE$1001,MATCH(ROWS($O$2:O560),$O$2:$O$1001,0),MATCH(COLUMNS($V$1006:AA1006),$V$1006:$AE$1006,0)), HYPERLINK("#",""), HYPERLINK(CONCATENATE("#Metadata!", ADDRESS(INDEX($Q$2:$Q$1001,MATCH(ROWS($O$2:O560),$O$2:$O$1001,0),0), INDEX($V$1004:$AE$1004,1,MATCH(COLUMNS($V$1006:AA1006),$V$1006:$AE$1006,0)))),"Fix")))</f>
        <v>0</v>
      </c>
      <c r="H560" s="4">
        <f>IF(OR(INDEX($P$2:$P$1001,MATCH(ROWS($O$2:O560),$O$2:$O$1001,0),1)&gt;=100000,INDEX($V$1005:$AE$1005,1,MATCH(COLUMNS($V$1006:AB1006),$V$1006:$AE$1006,0))&gt;=100000), " ",IF(INDEX($V$2:$AE$1001,MATCH(ROWS($O$2:O560),$O$2:$O$1001,0),MATCH(COLUMNS($V$1006:AB1006),$V$1006:$AE$1006,0)), HYPERLINK("#",""), HYPERLINK(CONCATENATE("#Metadata!", ADDRESS(INDEX($Q$2:$Q$1001,MATCH(ROWS($O$2:O560),$O$2:$O$1001,0),0), INDEX($V$1004:$AE$1004,1,MATCH(COLUMNS($V$1006:AB1006),$V$1006:$AE$1006,0)))),"Fix")))</f>
        <v>0</v>
      </c>
      <c r="I560" s="4">
        <f>IF(OR(INDEX($P$2:$P$1001,MATCH(ROWS($O$2:O560),$O$2:$O$1001,0),1)&gt;=100000,INDEX($V$1005:$AE$1005,1,MATCH(COLUMNS($V$1006:AC1006),$V$1006:$AE$1006,0))&gt;=100000), " ",IF(INDEX($V$2:$AE$1001,MATCH(ROWS($O$2:O560),$O$2:$O$1001,0),MATCH(COLUMNS($V$1006:AC1006),$V$1006:$AE$1006,0)), HYPERLINK("#",""), HYPERLINK(CONCATENATE("#Metadata!", ADDRESS(INDEX($Q$2:$Q$1001,MATCH(ROWS($O$2:O560),$O$2:$O$1001,0),0), INDEX($V$1004:$AE$1004,1,MATCH(COLUMNS($V$1006:AC1006),$V$1006:$AE$1006,0)))),"Fix")))</f>
        <v>0</v>
      </c>
      <c r="J560" s="4">
        <f>IF(OR(INDEX($P$2:$P$1001,MATCH(ROWS($O$2:O560),$O$2:$O$1001,0),1)&gt;=100000,INDEX($V$1005:$AE$1005,1,MATCH(COLUMNS($V$1006:AD1006),$V$1006:$AE$1006,0))&gt;=100000), " ",IF(INDEX($V$2:$AE$1001,MATCH(ROWS($O$2:O560),$O$2:$O$1001,0),MATCH(COLUMNS($V$1006:AD1006),$V$1006:$AE$1006,0)), HYPERLINK("#",""), HYPERLINK(CONCATENATE("#Metadata!", ADDRESS(INDEX($Q$2:$Q$1001,MATCH(ROWS($O$2:O560),$O$2:$O$1001,0),0), INDEX($V$1004:$AE$1004,1,MATCH(COLUMNS($V$1006:AD1006),$V$1006:$AE$1006,0)))),"Fix")))</f>
        <v>0</v>
      </c>
      <c r="K560" s="4">
        <f>IF(OR(INDEX($P$2:$P$1001,MATCH(ROWS($O$2:O560),$O$2:$O$1001,0),1)&gt;=100000,INDEX($V$1005:$AE$1005,1,MATCH(COLUMNS($V$1006:AE1006),$V$1006:$AE$1006,0))&gt;=100000), " ",IF(INDEX($V$2:$AE$1001,MATCH(ROWS($O$2:O560),$O$2:$O$1001,0),MATCH(COLUMNS($V$1006:AE1006),$V$1006:$AE$1006,0)), HYPERLINK("#",""), HYPERLINK(CONCATENATE("#Metadata!", ADDRESS(INDEX($Q$2:$Q$1001,MATCH(ROWS($O$2:O560),$O$2:$O$1001,0),0), INDEX($V$1004:$AE$1004,1,MATCH(COLUMNS($V$1006:AE1006),$V$1006:$AE$1006,0)))),"Fix")))</f>
        <v>0</v>
      </c>
      <c r="O560">
        <v>0</v>
      </c>
      <c r="P560">
        <v>0</v>
      </c>
      <c r="Q560">
        <v>0</v>
      </c>
      <c r="R560">
        <f>IF(S560,TRUE,AND(V560:AE560))</f>
        <v>0</v>
      </c>
      <c r="S560">
        <f>COUNTBLANK(Metadata!B560:K560)=COLUMNS(Metadata!B560:K560)</f>
        <v>0</v>
      </c>
      <c r="T560">
        <v>0</v>
      </c>
      <c r="V560">
        <f>AND(IF(Metadata!B560="",FALSE,TRUE),COUNTIF(Metadata!B:B, Metadata!B560) = 1,NOT(ISERROR(SUMPRODUCT(SEARCH(MID(Metadata!B560,ROW(INDIRECT("1:"&amp;LEN(Metadata!B560))), 1),"0123456789abcdefghijklmnopqrstuvwxyzABCDEFGHIJKLMNOPQRSTUVWXYZ.")))))</f>
        <v>0</v>
      </c>
      <c r="W560">
        <f>AND(IF(Metadata!C560="",FALSE,TRUE),exact(Metadata!C560,"urban biome"))</f>
        <v>0</v>
      </c>
      <c r="X560">
        <f>AND(IF(Metadata!D560="",FALSE,TRUE),exact(Metadata!D560,"animal-associated habitat"))</f>
        <v>0</v>
      </c>
      <c r="Y560">
        <f>OR(AND(IF(Metadata!E560="",FALSE,TRUE),OR(exact(Metadata!E560,"not applicable"),exact(Metadata!E560,"missing: not collected"),exact(Metadata!E560,"missing: not provided"),exact(Metadata!E560,"missing: restricted access"))),AND(IF(Metadata!E560="",FALSE,ISNUMBER(VALUE(Metadata!E560))),Metadata!E560&gt;0))</f>
        <v>0</v>
      </c>
      <c r="Z560">
        <f>AND(IF(Metadata!F560="",FALSE,TRUE),exact(Metadata!F560,"weeks"))</f>
        <v>0</v>
      </c>
      <c r="AA560">
        <f>AND(IF(Metadata!G560="",FALSE,TRUE),exact(Metadata!G560,"mouse"))</f>
        <v>0</v>
      </c>
      <c r="AB560">
        <f>AND(IF(Metadata!H560="",FALSE,TRUE),exact(Metadata!H560,"Mus musculus"))</f>
        <v>0</v>
      </c>
      <c r="AC560">
        <f>AND(IF(Metadata!I560="",FALSE,TRUE),exact(Metadata!I560,"10090"))</f>
        <v>0</v>
      </c>
      <c r="AD560">
        <f>OR(AND(IF(Metadata!J560="",FALSE,TRUE),OR(exact(Metadata!J560,"not applicable"),exact(Metadata!J560,"missing: not collected"),exact(Metadata!J560,"missing: not provided"),exact(Metadata!J560,"missing: restricted access"))),AND(IF(Metadata!J560="",FALSE,ISNUMBER(VALUE(Metadata!J560))),Metadata!J560&gt;0))</f>
        <v>0</v>
      </c>
      <c r="AE560">
        <f>AND(IF(Metadata!K560="",FALSE,TRUE),exact(Metadata!K560,"g"))</f>
        <v>0</v>
      </c>
    </row>
    <row r="561" spans="1:31">
      <c r="A561" s="5">
        <f>IF(B561=" "," ",HYPERLINK(CONCATENATE("#metadata!",ADDRESS(INDEX($Q$2:$Q$1001,MATCH(ROWS($O$2:O561),$O$2:$O$1001,0),0),1)),INDEX($T$2:$T$1001,MATCH(ROWS($O$2:O561),$O$2:$O$1001,0),0)))</f>
        <v>0</v>
      </c>
      <c r="B561" s="4">
        <f>IF(OR(INDEX($P$2:$P$1001,MATCH(ROWS($O$2:O561),$O$2:$O$1001,0),1)&gt;=100000,INDEX($V$1005:$AE$1005,1,MATCH(COLUMNS($V$1006:V1006),$V$1006:$AE$1006,0))&gt;=100000), " ",IF(INDEX($V$2:$AE$1001,MATCH(ROWS($O$2:O561),$O$2:$O$1001,0),MATCH(COLUMNS($V$1006:V1006),$V$1006:$AE$1006,0)), HYPERLINK("#",""), HYPERLINK(CONCATENATE("#Metadata!", ADDRESS(INDEX($Q$2:$Q$1001,MATCH(ROWS($O$2:O561),$O$2:$O$1001,0),0), INDEX($V$1004:$AE$1004,1,MATCH(COLUMNS($V$1006:V1006),$V$1006:$AE$1006,0)))),"Fix")))</f>
        <v>0</v>
      </c>
      <c r="C561" s="4">
        <f>IF(OR(INDEX($P$2:$P$1001,MATCH(ROWS($O$2:O561),$O$2:$O$1001,0),1)&gt;=100000,INDEX($V$1005:$AE$1005,1,MATCH(COLUMNS($V$1006:W1006),$V$1006:$AE$1006,0))&gt;=100000), " ",IF(INDEX($V$2:$AE$1001,MATCH(ROWS($O$2:O561),$O$2:$O$1001,0),MATCH(COLUMNS($V$1006:W1006),$V$1006:$AE$1006,0)), HYPERLINK("#",""), HYPERLINK(CONCATENATE("#Metadata!", ADDRESS(INDEX($Q$2:$Q$1001,MATCH(ROWS($O$2:O561),$O$2:$O$1001,0),0), INDEX($V$1004:$AE$1004,1,MATCH(COLUMNS($V$1006:W1006),$V$1006:$AE$1006,0)))),"Fix")))</f>
        <v>0</v>
      </c>
      <c r="D561" s="4">
        <f>IF(OR(INDEX($P$2:$P$1001,MATCH(ROWS($O$2:O561),$O$2:$O$1001,0),1)&gt;=100000,INDEX($V$1005:$AE$1005,1,MATCH(COLUMNS($V$1006:X1006),$V$1006:$AE$1006,0))&gt;=100000), " ",IF(INDEX($V$2:$AE$1001,MATCH(ROWS($O$2:O561),$O$2:$O$1001,0),MATCH(COLUMNS($V$1006:X1006),$V$1006:$AE$1006,0)), HYPERLINK("#",""), HYPERLINK(CONCATENATE("#Metadata!", ADDRESS(INDEX($Q$2:$Q$1001,MATCH(ROWS($O$2:O561),$O$2:$O$1001,0),0), INDEX($V$1004:$AE$1004,1,MATCH(COLUMNS($V$1006:X1006),$V$1006:$AE$1006,0)))),"Fix")))</f>
        <v>0</v>
      </c>
      <c r="E561" s="4">
        <f>IF(OR(INDEX($P$2:$P$1001,MATCH(ROWS($O$2:O561),$O$2:$O$1001,0),1)&gt;=100000,INDEX($V$1005:$AE$1005,1,MATCH(COLUMNS($V$1006:Y1006),$V$1006:$AE$1006,0))&gt;=100000), " ",IF(INDEX($V$2:$AE$1001,MATCH(ROWS($O$2:O561),$O$2:$O$1001,0),MATCH(COLUMNS($V$1006:Y1006),$V$1006:$AE$1006,0)), HYPERLINK("#",""), HYPERLINK(CONCATENATE("#Metadata!", ADDRESS(INDEX($Q$2:$Q$1001,MATCH(ROWS($O$2:O561),$O$2:$O$1001,0),0), INDEX($V$1004:$AE$1004,1,MATCH(COLUMNS($V$1006:Y1006),$V$1006:$AE$1006,0)))),"Fix")))</f>
        <v>0</v>
      </c>
      <c r="F561" s="4">
        <f>IF(OR(INDEX($P$2:$P$1001,MATCH(ROWS($O$2:O561),$O$2:$O$1001,0),1)&gt;=100000,INDEX($V$1005:$AE$1005,1,MATCH(COLUMNS($V$1006:Z1006),$V$1006:$AE$1006,0))&gt;=100000), " ",IF(INDEX($V$2:$AE$1001,MATCH(ROWS($O$2:O561),$O$2:$O$1001,0),MATCH(COLUMNS($V$1006:Z1006),$V$1006:$AE$1006,0)), HYPERLINK("#",""), HYPERLINK(CONCATENATE("#Metadata!", ADDRESS(INDEX($Q$2:$Q$1001,MATCH(ROWS($O$2:O561),$O$2:$O$1001,0),0), INDEX($V$1004:$AE$1004,1,MATCH(COLUMNS($V$1006:Z1006),$V$1006:$AE$1006,0)))),"Fix")))</f>
        <v>0</v>
      </c>
      <c r="G561" s="4">
        <f>IF(OR(INDEX($P$2:$P$1001,MATCH(ROWS($O$2:O561),$O$2:$O$1001,0),1)&gt;=100000,INDEX($V$1005:$AE$1005,1,MATCH(COLUMNS($V$1006:AA1006),$V$1006:$AE$1006,0))&gt;=100000), " ",IF(INDEX($V$2:$AE$1001,MATCH(ROWS($O$2:O561),$O$2:$O$1001,0),MATCH(COLUMNS($V$1006:AA1006),$V$1006:$AE$1006,0)), HYPERLINK("#",""), HYPERLINK(CONCATENATE("#Metadata!", ADDRESS(INDEX($Q$2:$Q$1001,MATCH(ROWS($O$2:O561),$O$2:$O$1001,0),0), INDEX($V$1004:$AE$1004,1,MATCH(COLUMNS($V$1006:AA1006),$V$1006:$AE$1006,0)))),"Fix")))</f>
        <v>0</v>
      </c>
      <c r="H561" s="4">
        <f>IF(OR(INDEX($P$2:$P$1001,MATCH(ROWS($O$2:O561),$O$2:$O$1001,0),1)&gt;=100000,INDEX($V$1005:$AE$1005,1,MATCH(COLUMNS($V$1006:AB1006),$V$1006:$AE$1006,0))&gt;=100000), " ",IF(INDEX($V$2:$AE$1001,MATCH(ROWS($O$2:O561),$O$2:$O$1001,0),MATCH(COLUMNS($V$1006:AB1006),$V$1006:$AE$1006,0)), HYPERLINK("#",""), HYPERLINK(CONCATENATE("#Metadata!", ADDRESS(INDEX($Q$2:$Q$1001,MATCH(ROWS($O$2:O561),$O$2:$O$1001,0),0), INDEX($V$1004:$AE$1004,1,MATCH(COLUMNS($V$1006:AB1006),$V$1006:$AE$1006,0)))),"Fix")))</f>
        <v>0</v>
      </c>
      <c r="I561" s="4">
        <f>IF(OR(INDEX($P$2:$P$1001,MATCH(ROWS($O$2:O561),$O$2:$O$1001,0),1)&gt;=100000,INDEX($V$1005:$AE$1005,1,MATCH(COLUMNS($V$1006:AC1006),$V$1006:$AE$1006,0))&gt;=100000), " ",IF(INDEX($V$2:$AE$1001,MATCH(ROWS($O$2:O561),$O$2:$O$1001,0),MATCH(COLUMNS($V$1006:AC1006),$V$1006:$AE$1006,0)), HYPERLINK("#",""), HYPERLINK(CONCATENATE("#Metadata!", ADDRESS(INDEX($Q$2:$Q$1001,MATCH(ROWS($O$2:O561),$O$2:$O$1001,0),0), INDEX($V$1004:$AE$1004,1,MATCH(COLUMNS($V$1006:AC1006),$V$1006:$AE$1006,0)))),"Fix")))</f>
        <v>0</v>
      </c>
      <c r="J561" s="4">
        <f>IF(OR(INDEX($P$2:$P$1001,MATCH(ROWS($O$2:O561),$O$2:$O$1001,0),1)&gt;=100000,INDEX($V$1005:$AE$1005,1,MATCH(COLUMNS($V$1006:AD1006),$V$1006:$AE$1006,0))&gt;=100000), " ",IF(INDEX($V$2:$AE$1001,MATCH(ROWS($O$2:O561),$O$2:$O$1001,0),MATCH(COLUMNS($V$1006:AD1006),$V$1006:$AE$1006,0)), HYPERLINK("#",""), HYPERLINK(CONCATENATE("#Metadata!", ADDRESS(INDEX($Q$2:$Q$1001,MATCH(ROWS($O$2:O561),$O$2:$O$1001,0),0), INDEX($V$1004:$AE$1004,1,MATCH(COLUMNS($V$1006:AD1006),$V$1006:$AE$1006,0)))),"Fix")))</f>
        <v>0</v>
      </c>
      <c r="K561" s="4">
        <f>IF(OR(INDEX($P$2:$P$1001,MATCH(ROWS($O$2:O561),$O$2:$O$1001,0),1)&gt;=100000,INDEX($V$1005:$AE$1005,1,MATCH(COLUMNS($V$1006:AE1006),$V$1006:$AE$1006,0))&gt;=100000), " ",IF(INDEX($V$2:$AE$1001,MATCH(ROWS($O$2:O561),$O$2:$O$1001,0),MATCH(COLUMNS($V$1006:AE1006),$V$1006:$AE$1006,0)), HYPERLINK("#",""), HYPERLINK(CONCATENATE("#Metadata!", ADDRESS(INDEX($Q$2:$Q$1001,MATCH(ROWS($O$2:O561),$O$2:$O$1001,0),0), INDEX($V$1004:$AE$1004,1,MATCH(COLUMNS($V$1006:AE1006),$V$1006:$AE$1006,0)))),"Fix")))</f>
        <v>0</v>
      </c>
      <c r="O561">
        <v>0</v>
      </c>
      <c r="P561">
        <v>0</v>
      </c>
      <c r="Q561">
        <v>0</v>
      </c>
      <c r="R561">
        <f>IF(S561,TRUE,AND(V561:AE561))</f>
        <v>0</v>
      </c>
      <c r="S561">
        <f>COUNTBLANK(Metadata!B561:K561)=COLUMNS(Metadata!B561:K561)</f>
        <v>0</v>
      </c>
      <c r="T561">
        <v>0</v>
      </c>
      <c r="V561">
        <f>AND(IF(Metadata!B561="",FALSE,TRUE),COUNTIF(Metadata!B:B, Metadata!B561) = 1,NOT(ISERROR(SUMPRODUCT(SEARCH(MID(Metadata!B561,ROW(INDIRECT("1:"&amp;LEN(Metadata!B561))), 1),"0123456789abcdefghijklmnopqrstuvwxyzABCDEFGHIJKLMNOPQRSTUVWXYZ.")))))</f>
        <v>0</v>
      </c>
      <c r="W561">
        <f>AND(IF(Metadata!C561="",FALSE,TRUE),exact(Metadata!C561,"urban biome"))</f>
        <v>0</v>
      </c>
      <c r="X561">
        <f>AND(IF(Metadata!D561="",FALSE,TRUE),exact(Metadata!D561,"animal-associated habitat"))</f>
        <v>0</v>
      </c>
      <c r="Y561">
        <f>OR(AND(IF(Metadata!E561="",FALSE,TRUE),OR(exact(Metadata!E561,"not applicable"),exact(Metadata!E561,"missing: not collected"),exact(Metadata!E561,"missing: not provided"),exact(Metadata!E561,"missing: restricted access"))),AND(IF(Metadata!E561="",FALSE,ISNUMBER(VALUE(Metadata!E561))),Metadata!E561&gt;0))</f>
        <v>0</v>
      </c>
      <c r="Z561">
        <f>AND(IF(Metadata!F561="",FALSE,TRUE),exact(Metadata!F561,"weeks"))</f>
        <v>0</v>
      </c>
      <c r="AA561">
        <f>AND(IF(Metadata!G561="",FALSE,TRUE),exact(Metadata!G561,"mouse"))</f>
        <v>0</v>
      </c>
      <c r="AB561">
        <f>AND(IF(Metadata!H561="",FALSE,TRUE),exact(Metadata!H561,"Mus musculus"))</f>
        <v>0</v>
      </c>
      <c r="AC561">
        <f>AND(IF(Metadata!I561="",FALSE,TRUE),exact(Metadata!I561,"10090"))</f>
        <v>0</v>
      </c>
      <c r="AD561">
        <f>OR(AND(IF(Metadata!J561="",FALSE,TRUE),OR(exact(Metadata!J561,"not applicable"),exact(Metadata!J561,"missing: not collected"),exact(Metadata!J561,"missing: not provided"),exact(Metadata!J561,"missing: restricted access"))),AND(IF(Metadata!J561="",FALSE,ISNUMBER(VALUE(Metadata!J561))),Metadata!J561&gt;0))</f>
        <v>0</v>
      </c>
      <c r="AE561">
        <f>AND(IF(Metadata!K561="",FALSE,TRUE),exact(Metadata!K561,"g"))</f>
        <v>0</v>
      </c>
    </row>
    <row r="562" spans="1:31">
      <c r="A562" s="5">
        <f>IF(B562=" "," ",HYPERLINK(CONCATENATE("#metadata!",ADDRESS(INDEX($Q$2:$Q$1001,MATCH(ROWS($O$2:O562),$O$2:$O$1001,0),0),1)),INDEX($T$2:$T$1001,MATCH(ROWS($O$2:O562),$O$2:$O$1001,0),0)))</f>
        <v>0</v>
      </c>
      <c r="B562" s="4">
        <f>IF(OR(INDEX($P$2:$P$1001,MATCH(ROWS($O$2:O562),$O$2:$O$1001,0),1)&gt;=100000,INDEX($V$1005:$AE$1005,1,MATCH(COLUMNS($V$1006:V1006),$V$1006:$AE$1006,0))&gt;=100000), " ",IF(INDEX($V$2:$AE$1001,MATCH(ROWS($O$2:O562),$O$2:$O$1001,0),MATCH(COLUMNS($V$1006:V1006),$V$1006:$AE$1006,0)), HYPERLINK("#",""), HYPERLINK(CONCATENATE("#Metadata!", ADDRESS(INDEX($Q$2:$Q$1001,MATCH(ROWS($O$2:O562),$O$2:$O$1001,0),0), INDEX($V$1004:$AE$1004,1,MATCH(COLUMNS($V$1006:V1006),$V$1006:$AE$1006,0)))),"Fix")))</f>
        <v>0</v>
      </c>
      <c r="C562" s="4">
        <f>IF(OR(INDEX($P$2:$P$1001,MATCH(ROWS($O$2:O562),$O$2:$O$1001,0),1)&gt;=100000,INDEX($V$1005:$AE$1005,1,MATCH(COLUMNS($V$1006:W1006),$V$1006:$AE$1006,0))&gt;=100000), " ",IF(INDEX($V$2:$AE$1001,MATCH(ROWS($O$2:O562),$O$2:$O$1001,0),MATCH(COLUMNS($V$1006:W1006),$V$1006:$AE$1006,0)), HYPERLINK("#",""), HYPERLINK(CONCATENATE("#Metadata!", ADDRESS(INDEX($Q$2:$Q$1001,MATCH(ROWS($O$2:O562),$O$2:$O$1001,0),0), INDEX($V$1004:$AE$1004,1,MATCH(COLUMNS($V$1006:W1006),$V$1006:$AE$1006,0)))),"Fix")))</f>
        <v>0</v>
      </c>
      <c r="D562" s="4">
        <f>IF(OR(INDEX($P$2:$P$1001,MATCH(ROWS($O$2:O562),$O$2:$O$1001,0),1)&gt;=100000,INDEX($V$1005:$AE$1005,1,MATCH(COLUMNS($V$1006:X1006),$V$1006:$AE$1006,0))&gt;=100000), " ",IF(INDEX($V$2:$AE$1001,MATCH(ROWS($O$2:O562),$O$2:$O$1001,0),MATCH(COLUMNS($V$1006:X1006),$V$1006:$AE$1006,0)), HYPERLINK("#",""), HYPERLINK(CONCATENATE("#Metadata!", ADDRESS(INDEX($Q$2:$Q$1001,MATCH(ROWS($O$2:O562),$O$2:$O$1001,0),0), INDEX($V$1004:$AE$1004,1,MATCH(COLUMNS($V$1006:X1006),$V$1006:$AE$1006,0)))),"Fix")))</f>
        <v>0</v>
      </c>
      <c r="E562" s="4">
        <f>IF(OR(INDEX($P$2:$P$1001,MATCH(ROWS($O$2:O562),$O$2:$O$1001,0),1)&gt;=100000,INDEX($V$1005:$AE$1005,1,MATCH(COLUMNS($V$1006:Y1006),$V$1006:$AE$1006,0))&gt;=100000), " ",IF(INDEX($V$2:$AE$1001,MATCH(ROWS($O$2:O562),$O$2:$O$1001,0),MATCH(COLUMNS($V$1006:Y1006),$V$1006:$AE$1006,0)), HYPERLINK("#",""), HYPERLINK(CONCATENATE("#Metadata!", ADDRESS(INDEX($Q$2:$Q$1001,MATCH(ROWS($O$2:O562),$O$2:$O$1001,0),0), INDEX($V$1004:$AE$1004,1,MATCH(COLUMNS($V$1006:Y1006),$V$1006:$AE$1006,0)))),"Fix")))</f>
        <v>0</v>
      </c>
      <c r="F562" s="4">
        <f>IF(OR(INDEX($P$2:$P$1001,MATCH(ROWS($O$2:O562),$O$2:$O$1001,0),1)&gt;=100000,INDEX($V$1005:$AE$1005,1,MATCH(COLUMNS($V$1006:Z1006),$V$1006:$AE$1006,0))&gt;=100000), " ",IF(INDEX($V$2:$AE$1001,MATCH(ROWS($O$2:O562),$O$2:$O$1001,0),MATCH(COLUMNS($V$1006:Z1006),$V$1006:$AE$1006,0)), HYPERLINK("#",""), HYPERLINK(CONCATENATE("#Metadata!", ADDRESS(INDEX($Q$2:$Q$1001,MATCH(ROWS($O$2:O562),$O$2:$O$1001,0),0), INDEX($V$1004:$AE$1004,1,MATCH(COLUMNS($V$1006:Z1006),$V$1006:$AE$1006,0)))),"Fix")))</f>
        <v>0</v>
      </c>
      <c r="G562" s="4">
        <f>IF(OR(INDEX($P$2:$P$1001,MATCH(ROWS($O$2:O562),$O$2:$O$1001,0),1)&gt;=100000,INDEX($V$1005:$AE$1005,1,MATCH(COLUMNS($V$1006:AA1006),$V$1006:$AE$1006,0))&gt;=100000), " ",IF(INDEX($V$2:$AE$1001,MATCH(ROWS($O$2:O562),$O$2:$O$1001,0),MATCH(COLUMNS($V$1006:AA1006),$V$1006:$AE$1006,0)), HYPERLINK("#",""), HYPERLINK(CONCATENATE("#Metadata!", ADDRESS(INDEX($Q$2:$Q$1001,MATCH(ROWS($O$2:O562),$O$2:$O$1001,0),0), INDEX($V$1004:$AE$1004,1,MATCH(COLUMNS($V$1006:AA1006),$V$1006:$AE$1006,0)))),"Fix")))</f>
        <v>0</v>
      </c>
      <c r="H562" s="4">
        <f>IF(OR(INDEX($P$2:$P$1001,MATCH(ROWS($O$2:O562),$O$2:$O$1001,0),1)&gt;=100000,INDEX($V$1005:$AE$1005,1,MATCH(COLUMNS($V$1006:AB1006),$V$1006:$AE$1006,0))&gt;=100000), " ",IF(INDEX($V$2:$AE$1001,MATCH(ROWS($O$2:O562),$O$2:$O$1001,0),MATCH(COLUMNS($V$1006:AB1006),$V$1006:$AE$1006,0)), HYPERLINK("#",""), HYPERLINK(CONCATENATE("#Metadata!", ADDRESS(INDEX($Q$2:$Q$1001,MATCH(ROWS($O$2:O562),$O$2:$O$1001,0),0), INDEX($V$1004:$AE$1004,1,MATCH(COLUMNS($V$1006:AB1006),$V$1006:$AE$1006,0)))),"Fix")))</f>
        <v>0</v>
      </c>
      <c r="I562" s="4">
        <f>IF(OR(INDEX($P$2:$P$1001,MATCH(ROWS($O$2:O562),$O$2:$O$1001,0),1)&gt;=100000,INDEX($V$1005:$AE$1005,1,MATCH(COLUMNS($V$1006:AC1006),$V$1006:$AE$1006,0))&gt;=100000), " ",IF(INDEX($V$2:$AE$1001,MATCH(ROWS($O$2:O562),$O$2:$O$1001,0),MATCH(COLUMNS($V$1006:AC1006),$V$1006:$AE$1006,0)), HYPERLINK("#",""), HYPERLINK(CONCATENATE("#Metadata!", ADDRESS(INDEX($Q$2:$Q$1001,MATCH(ROWS($O$2:O562),$O$2:$O$1001,0),0), INDEX($V$1004:$AE$1004,1,MATCH(COLUMNS($V$1006:AC1006),$V$1006:$AE$1006,0)))),"Fix")))</f>
        <v>0</v>
      </c>
      <c r="J562" s="4">
        <f>IF(OR(INDEX($P$2:$P$1001,MATCH(ROWS($O$2:O562),$O$2:$O$1001,0),1)&gt;=100000,INDEX($V$1005:$AE$1005,1,MATCH(COLUMNS($V$1006:AD1006),$V$1006:$AE$1006,0))&gt;=100000), " ",IF(INDEX($V$2:$AE$1001,MATCH(ROWS($O$2:O562),$O$2:$O$1001,0),MATCH(COLUMNS($V$1006:AD1006),$V$1006:$AE$1006,0)), HYPERLINK("#",""), HYPERLINK(CONCATENATE("#Metadata!", ADDRESS(INDEX($Q$2:$Q$1001,MATCH(ROWS($O$2:O562),$O$2:$O$1001,0),0), INDEX($V$1004:$AE$1004,1,MATCH(COLUMNS($V$1006:AD1006),$V$1006:$AE$1006,0)))),"Fix")))</f>
        <v>0</v>
      </c>
      <c r="K562" s="4">
        <f>IF(OR(INDEX($P$2:$P$1001,MATCH(ROWS($O$2:O562),$O$2:$O$1001,0),1)&gt;=100000,INDEX($V$1005:$AE$1005,1,MATCH(COLUMNS($V$1006:AE1006),$V$1006:$AE$1006,0))&gt;=100000), " ",IF(INDEX($V$2:$AE$1001,MATCH(ROWS($O$2:O562),$O$2:$O$1001,0),MATCH(COLUMNS($V$1006:AE1006),$V$1006:$AE$1006,0)), HYPERLINK("#",""), HYPERLINK(CONCATENATE("#Metadata!", ADDRESS(INDEX($Q$2:$Q$1001,MATCH(ROWS($O$2:O562),$O$2:$O$1001,0),0), INDEX($V$1004:$AE$1004,1,MATCH(COLUMNS($V$1006:AE1006),$V$1006:$AE$1006,0)))),"Fix")))</f>
        <v>0</v>
      </c>
      <c r="O562">
        <v>0</v>
      </c>
      <c r="P562">
        <v>0</v>
      </c>
      <c r="Q562">
        <v>0</v>
      </c>
      <c r="R562">
        <f>IF(S562,TRUE,AND(V562:AE562))</f>
        <v>0</v>
      </c>
      <c r="S562">
        <f>COUNTBLANK(Metadata!B562:K562)=COLUMNS(Metadata!B562:K562)</f>
        <v>0</v>
      </c>
      <c r="T562">
        <v>0</v>
      </c>
      <c r="V562">
        <f>AND(IF(Metadata!B562="",FALSE,TRUE),COUNTIF(Metadata!B:B, Metadata!B562) = 1,NOT(ISERROR(SUMPRODUCT(SEARCH(MID(Metadata!B562,ROW(INDIRECT("1:"&amp;LEN(Metadata!B562))), 1),"0123456789abcdefghijklmnopqrstuvwxyzABCDEFGHIJKLMNOPQRSTUVWXYZ.")))))</f>
        <v>0</v>
      </c>
      <c r="W562">
        <f>AND(IF(Metadata!C562="",FALSE,TRUE),exact(Metadata!C562,"urban biome"))</f>
        <v>0</v>
      </c>
      <c r="X562">
        <f>AND(IF(Metadata!D562="",FALSE,TRUE),exact(Metadata!D562,"animal-associated habitat"))</f>
        <v>0</v>
      </c>
      <c r="Y562">
        <f>OR(AND(IF(Metadata!E562="",FALSE,TRUE),OR(exact(Metadata!E562,"not applicable"),exact(Metadata!E562,"missing: not collected"),exact(Metadata!E562,"missing: not provided"),exact(Metadata!E562,"missing: restricted access"))),AND(IF(Metadata!E562="",FALSE,ISNUMBER(VALUE(Metadata!E562))),Metadata!E562&gt;0))</f>
        <v>0</v>
      </c>
      <c r="Z562">
        <f>AND(IF(Metadata!F562="",FALSE,TRUE),exact(Metadata!F562,"weeks"))</f>
        <v>0</v>
      </c>
      <c r="AA562">
        <f>AND(IF(Metadata!G562="",FALSE,TRUE),exact(Metadata!G562,"mouse"))</f>
        <v>0</v>
      </c>
      <c r="AB562">
        <f>AND(IF(Metadata!H562="",FALSE,TRUE),exact(Metadata!H562,"Mus musculus"))</f>
        <v>0</v>
      </c>
      <c r="AC562">
        <f>AND(IF(Metadata!I562="",FALSE,TRUE),exact(Metadata!I562,"10090"))</f>
        <v>0</v>
      </c>
      <c r="AD562">
        <f>OR(AND(IF(Metadata!J562="",FALSE,TRUE),OR(exact(Metadata!J562,"not applicable"),exact(Metadata!J562,"missing: not collected"),exact(Metadata!J562,"missing: not provided"),exact(Metadata!J562,"missing: restricted access"))),AND(IF(Metadata!J562="",FALSE,ISNUMBER(VALUE(Metadata!J562))),Metadata!J562&gt;0))</f>
        <v>0</v>
      </c>
      <c r="AE562">
        <f>AND(IF(Metadata!K562="",FALSE,TRUE),exact(Metadata!K562,"g"))</f>
        <v>0</v>
      </c>
    </row>
    <row r="563" spans="1:31">
      <c r="A563" s="5">
        <f>IF(B563=" "," ",HYPERLINK(CONCATENATE("#metadata!",ADDRESS(INDEX($Q$2:$Q$1001,MATCH(ROWS($O$2:O563),$O$2:$O$1001,0),0),1)),INDEX($T$2:$T$1001,MATCH(ROWS($O$2:O563),$O$2:$O$1001,0),0)))</f>
        <v>0</v>
      </c>
      <c r="B563" s="4">
        <f>IF(OR(INDEX($P$2:$P$1001,MATCH(ROWS($O$2:O563),$O$2:$O$1001,0),1)&gt;=100000,INDEX($V$1005:$AE$1005,1,MATCH(COLUMNS($V$1006:V1006),$V$1006:$AE$1006,0))&gt;=100000), " ",IF(INDEX($V$2:$AE$1001,MATCH(ROWS($O$2:O563),$O$2:$O$1001,0),MATCH(COLUMNS($V$1006:V1006),$V$1006:$AE$1006,0)), HYPERLINK("#",""), HYPERLINK(CONCATENATE("#Metadata!", ADDRESS(INDEX($Q$2:$Q$1001,MATCH(ROWS($O$2:O563),$O$2:$O$1001,0),0), INDEX($V$1004:$AE$1004,1,MATCH(COLUMNS($V$1006:V1006),$V$1006:$AE$1006,0)))),"Fix")))</f>
        <v>0</v>
      </c>
      <c r="C563" s="4">
        <f>IF(OR(INDEX($P$2:$P$1001,MATCH(ROWS($O$2:O563),$O$2:$O$1001,0),1)&gt;=100000,INDEX($V$1005:$AE$1005,1,MATCH(COLUMNS($V$1006:W1006),$V$1006:$AE$1006,0))&gt;=100000), " ",IF(INDEX($V$2:$AE$1001,MATCH(ROWS($O$2:O563),$O$2:$O$1001,0),MATCH(COLUMNS($V$1006:W1006),$V$1006:$AE$1006,0)), HYPERLINK("#",""), HYPERLINK(CONCATENATE("#Metadata!", ADDRESS(INDEX($Q$2:$Q$1001,MATCH(ROWS($O$2:O563),$O$2:$O$1001,0),0), INDEX($V$1004:$AE$1004,1,MATCH(COLUMNS($V$1006:W1006),$V$1006:$AE$1006,0)))),"Fix")))</f>
        <v>0</v>
      </c>
      <c r="D563" s="4">
        <f>IF(OR(INDEX($P$2:$P$1001,MATCH(ROWS($O$2:O563),$O$2:$O$1001,0),1)&gt;=100000,INDEX($V$1005:$AE$1005,1,MATCH(COLUMNS($V$1006:X1006),$V$1006:$AE$1006,0))&gt;=100000), " ",IF(INDEX($V$2:$AE$1001,MATCH(ROWS($O$2:O563),$O$2:$O$1001,0),MATCH(COLUMNS($V$1006:X1006),$V$1006:$AE$1006,0)), HYPERLINK("#",""), HYPERLINK(CONCATENATE("#Metadata!", ADDRESS(INDEX($Q$2:$Q$1001,MATCH(ROWS($O$2:O563),$O$2:$O$1001,0),0), INDEX($V$1004:$AE$1004,1,MATCH(COLUMNS($V$1006:X1006),$V$1006:$AE$1006,0)))),"Fix")))</f>
        <v>0</v>
      </c>
      <c r="E563" s="4">
        <f>IF(OR(INDEX($P$2:$P$1001,MATCH(ROWS($O$2:O563),$O$2:$O$1001,0),1)&gt;=100000,INDEX($V$1005:$AE$1005,1,MATCH(COLUMNS($V$1006:Y1006),$V$1006:$AE$1006,0))&gt;=100000), " ",IF(INDEX($V$2:$AE$1001,MATCH(ROWS($O$2:O563),$O$2:$O$1001,0),MATCH(COLUMNS($V$1006:Y1006),$V$1006:$AE$1006,0)), HYPERLINK("#",""), HYPERLINK(CONCATENATE("#Metadata!", ADDRESS(INDEX($Q$2:$Q$1001,MATCH(ROWS($O$2:O563),$O$2:$O$1001,0),0), INDEX($V$1004:$AE$1004,1,MATCH(COLUMNS($V$1006:Y1006),$V$1006:$AE$1006,0)))),"Fix")))</f>
        <v>0</v>
      </c>
      <c r="F563" s="4">
        <f>IF(OR(INDEX($P$2:$P$1001,MATCH(ROWS($O$2:O563),$O$2:$O$1001,0),1)&gt;=100000,INDEX($V$1005:$AE$1005,1,MATCH(COLUMNS($V$1006:Z1006),$V$1006:$AE$1006,0))&gt;=100000), " ",IF(INDEX($V$2:$AE$1001,MATCH(ROWS($O$2:O563),$O$2:$O$1001,0),MATCH(COLUMNS($V$1006:Z1006),$V$1006:$AE$1006,0)), HYPERLINK("#",""), HYPERLINK(CONCATENATE("#Metadata!", ADDRESS(INDEX($Q$2:$Q$1001,MATCH(ROWS($O$2:O563),$O$2:$O$1001,0),0), INDEX($V$1004:$AE$1004,1,MATCH(COLUMNS($V$1006:Z1006),$V$1006:$AE$1006,0)))),"Fix")))</f>
        <v>0</v>
      </c>
      <c r="G563" s="4">
        <f>IF(OR(INDEX($P$2:$P$1001,MATCH(ROWS($O$2:O563),$O$2:$O$1001,0),1)&gt;=100000,INDEX($V$1005:$AE$1005,1,MATCH(COLUMNS($V$1006:AA1006),$V$1006:$AE$1006,0))&gt;=100000), " ",IF(INDEX($V$2:$AE$1001,MATCH(ROWS($O$2:O563),$O$2:$O$1001,0),MATCH(COLUMNS($V$1006:AA1006),$V$1006:$AE$1006,0)), HYPERLINK("#",""), HYPERLINK(CONCATENATE("#Metadata!", ADDRESS(INDEX($Q$2:$Q$1001,MATCH(ROWS($O$2:O563),$O$2:$O$1001,0),0), INDEX($V$1004:$AE$1004,1,MATCH(COLUMNS($V$1006:AA1006),$V$1006:$AE$1006,0)))),"Fix")))</f>
        <v>0</v>
      </c>
      <c r="H563" s="4">
        <f>IF(OR(INDEX($P$2:$P$1001,MATCH(ROWS($O$2:O563),$O$2:$O$1001,0),1)&gt;=100000,INDEX($V$1005:$AE$1005,1,MATCH(COLUMNS($V$1006:AB1006),$V$1006:$AE$1006,0))&gt;=100000), " ",IF(INDEX($V$2:$AE$1001,MATCH(ROWS($O$2:O563),$O$2:$O$1001,0),MATCH(COLUMNS($V$1006:AB1006),$V$1006:$AE$1006,0)), HYPERLINK("#",""), HYPERLINK(CONCATENATE("#Metadata!", ADDRESS(INDEX($Q$2:$Q$1001,MATCH(ROWS($O$2:O563),$O$2:$O$1001,0),0), INDEX($V$1004:$AE$1004,1,MATCH(COLUMNS($V$1006:AB1006),$V$1006:$AE$1006,0)))),"Fix")))</f>
        <v>0</v>
      </c>
      <c r="I563" s="4">
        <f>IF(OR(INDEX($P$2:$P$1001,MATCH(ROWS($O$2:O563),$O$2:$O$1001,0),1)&gt;=100000,INDEX($V$1005:$AE$1005,1,MATCH(COLUMNS($V$1006:AC1006),$V$1006:$AE$1006,0))&gt;=100000), " ",IF(INDEX($V$2:$AE$1001,MATCH(ROWS($O$2:O563),$O$2:$O$1001,0),MATCH(COLUMNS($V$1006:AC1006),$V$1006:$AE$1006,0)), HYPERLINK("#",""), HYPERLINK(CONCATENATE("#Metadata!", ADDRESS(INDEX($Q$2:$Q$1001,MATCH(ROWS($O$2:O563),$O$2:$O$1001,0),0), INDEX($V$1004:$AE$1004,1,MATCH(COLUMNS($V$1006:AC1006),$V$1006:$AE$1006,0)))),"Fix")))</f>
        <v>0</v>
      </c>
      <c r="J563" s="4">
        <f>IF(OR(INDEX($P$2:$P$1001,MATCH(ROWS($O$2:O563),$O$2:$O$1001,0),1)&gt;=100000,INDEX($V$1005:$AE$1005,1,MATCH(COLUMNS($V$1006:AD1006),$V$1006:$AE$1006,0))&gt;=100000), " ",IF(INDEX($V$2:$AE$1001,MATCH(ROWS($O$2:O563),$O$2:$O$1001,0),MATCH(COLUMNS($V$1006:AD1006),$V$1006:$AE$1006,0)), HYPERLINK("#",""), HYPERLINK(CONCATENATE("#Metadata!", ADDRESS(INDEX($Q$2:$Q$1001,MATCH(ROWS($O$2:O563),$O$2:$O$1001,0),0), INDEX($V$1004:$AE$1004,1,MATCH(COLUMNS($V$1006:AD1006),$V$1006:$AE$1006,0)))),"Fix")))</f>
        <v>0</v>
      </c>
      <c r="K563" s="4">
        <f>IF(OR(INDEX($P$2:$P$1001,MATCH(ROWS($O$2:O563),$O$2:$O$1001,0),1)&gt;=100000,INDEX($V$1005:$AE$1005,1,MATCH(COLUMNS($V$1006:AE1006),$V$1006:$AE$1006,0))&gt;=100000), " ",IF(INDEX($V$2:$AE$1001,MATCH(ROWS($O$2:O563),$O$2:$O$1001,0),MATCH(COLUMNS($V$1006:AE1006),$V$1006:$AE$1006,0)), HYPERLINK("#",""), HYPERLINK(CONCATENATE("#Metadata!", ADDRESS(INDEX($Q$2:$Q$1001,MATCH(ROWS($O$2:O563),$O$2:$O$1001,0),0), INDEX($V$1004:$AE$1004,1,MATCH(COLUMNS($V$1006:AE1006),$V$1006:$AE$1006,0)))),"Fix")))</f>
        <v>0</v>
      </c>
      <c r="O563">
        <v>0</v>
      </c>
      <c r="P563">
        <v>0</v>
      </c>
      <c r="Q563">
        <v>0</v>
      </c>
      <c r="R563">
        <f>IF(S563,TRUE,AND(V563:AE563))</f>
        <v>0</v>
      </c>
      <c r="S563">
        <f>COUNTBLANK(Metadata!B563:K563)=COLUMNS(Metadata!B563:K563)</f>
        <v>0</v>
      </c>
      <c r="T563">
        <v>0</v>
      </c>
      <c r="V563">
        <f>AND(IF(Metadata!B563="",FALSE,TRUE),COUNTIF(Metadata!B:B, Metadata!B563) = 1,NOT(ISERROR(SUMPRODUCT(SEARCH(MID(Metadata!B563,ROW(INDIRECT("1:"&amp;LEN(Metadata!B563))), 1),"0123456789abcdefghijklmnopqrstuvwxyzABCDEFGHIJKLMNOPQRSTUVWXYZ.")))))</f>
        <v>0</v>
      </c>
      <c r="W563">
        <f>AND(IF(Metadata!C563="",FALSE,TRUE),exact(Metadata!C563,"urban biome"))</f>
        <v>0</v>
      </c>
      <c r="X563">
        <f>AND(IF(Metadata!D563="",FALSE,TRUE),exact(Metadata!D563,"animal-associated habitat"))</f>
        <v>0</v>
      </c>
      <c r="Y563">
        <f>OR(AND(IF(Metadata!E563="",FALSE,TRUE),OR(exact(Metadata!E563,"not applicable"),exact(Metadata!E563,"missing: not collected"),exact(Metadata!E563,"missing: not provided"),exact(Metadata!E563,"missing: restricted access"))),AND(IF(Metadata!E563="",FALSE,ISNUMBER(VALUE(Metadata!E563))),Metadata!E563&gt;0))</f>
        <v>0</v>
      </c>
      <c r="Z563">
        <f>AND(IF(Metadata!F563="",FALSE,TRUE),exact(Metadata!F563,"weeks"))</f>
        <v>0</v>
      </c>
      <c r="AA563">
        <f>AND(IF(Metadata!G563="",FALSE,TRUE),exact(Metadata!G563,"mouse"))</f>
        <v>0</v>
      </c>
      <c r="AB563">
        <f>AND(IF(Metadata!H563="",FALSE,TRUE),exact(Metadata!H563,"Mus musculus"))</f>
        <v>0</v>
      </c>
      <c r="AC563">
        <f>AND(IF(Metadata!I563="",FALSE,TRUE),exact(Metadata!I563,"10090"))</f>
        <v>0</v>
      </c>
      <c r="AD563">
        <f>OR(AND(IF(Metadata!J563="",FALSE,TRUE),OR(exact(Metadata!J563,"not applicable"),exact(Metadata!J563,"missing: not collected"),exact(Metadata!J563,"missing: not provided"),exact(Metadata!J563,"missing: restricted access"))),AND(IF(Metadata!J563="",FALSE,ISNUMBER(VALUE(Metadata!J563))),Metadata!J563&gt;0))</f>
        <v>0</v>
      </c>
      <c r="AE563">
        <f>AND(IF(Metadata!K563="",FALSE,TRUE),exact(Metadata!K563,"g"))</f>
        <v>0</v>
      </c>
    </row>
    <row r="564" spans="1:31">
      <c r="A564" s="5">
        <f>IF(B564=" "," ",HYPERLINK(CONCATENATE("#metadata!",ADDRESS(INDEX($Q$2:$Q$1001,MATCH(ROWS($O$2:O564),$O$2:$O$1001,0),0),1)),INDEX($T$2:$T$1001,MATCH(ROWS($O$2:O564),$O$2:$O$1001,0),0)))</f>
        <v>0</v>
      </c>
      <c r="B564" s="4">
        <f>IF(OR(INDEX($P$2:$P$1001,MATCH(ROWS($O$2:O564),$O$2:$O$1001,0),1)&gt;=100000,INDEX($V$1005:$AE$1005,1,MATCH(COLUMNS($V$1006:V1006),$V$1006:$AE$1006,0))&gt;=100000), " ",IF(INDEX($V$2:$AE$1001,MATCH(ROWS($O$2:O564),$O$2:$O$1001,0),MATCH(COLUMNS($V$1006:V1006),$V$1006:$AE$1006,0)), HYPERLINK("#",""), HYPERLINK(CONCATENATE("#Metadata!", ADDRESS(INDEX($Q$2:$Q$1001,MATCH(ROWS($O$2:O564),$O$2:$O$1001,0),0), INDEX($V$1004:$AE$1004,1,MATCH(COLUMNS($V$1006:V1006),$V$1006:$AE$1006,0)))),"Fix")))</f>
        <v>0</v>
      </c>
      <c r="C564" s="4">
        <f>IF(OR(INDEX($P$2:$P$1001,MATCH(ROWS($O$2:O564),$O$2:$O$1001,0),1)&gt;=100000,INDEX($V$1005:$AE$1005,1,MATCH(COLUMNS($V$1006:W1006),$V$1006:$AE$1006,0))&gt;=100000), " ",IF(INDEX($V$2:$AE$1001,MATCH(ROWS($O$2:O564),$O$2:$O$1001,0),MATCH(COLUMNS($V$1006:W1006),$V$1006:$AE$1006,0)), HYPERLINK("#",""), HYPERLINK(CONCATENATE("#Metadata!", ADDRESS(INDEX($Q$2:$Q$1001,MATCH(ROWS($O$2:O564),$O$2:$O$1001,0),0), INDEX($V$1004:$AE$1004,1,MATCH(COLUMNS($V$1006:W1006),$V$1006:$AE$1006,0)))),"Fix")))</f>
        <v>0</v>
      </c>
      <c r="D564" s="4">
        <f>IF(OR(INDEX($P$2:$P$1001,MATCH(ROWS($O$2:O564),$O$2:$O$1001,0),1)&gt;=100000,INDEX($V$1005:$AE$1005,1,MATCH(COLUMNS($V$1006:X1006),$V$1006:$AE$1006,0))&gt;=100000), " ",IF(INDEX($V$2:$AE$1001,MATCH(ROWS($O$2:O564),$O$2:$O$1001,0),MATCH(COLUMNS($V$1006:X1006),$V$1006:$AE$1006,0)), HYPERLINK("#",""), HYPERLINK(CONCATENATE("#Metadata!", ADDRESS(INDEX($Q$2:$Q$1001,MATCH(ROWS($O$2:O564),$O$2:$O$1001,0),0), INDEX($V$1004:$AE$1004,1,MATCH(COLUMNS($V$1006:X1006),$V$1006:$AE$1006,0)))),"Fix")))</f>
        <v>0</v>
      </c>
      <c r="E564" s="4">
        <f>IF(OR(INDEX($P$2:$P$1001,MATCH(ROWS($O$2:O564),$O$2:$O$1001,0),1)&gt;=100000,INDEX($V$1005:$AE$1005,1,MATCH(COLUMNS($V$1006:Y1006),$V$1006:$AE$1006,0))&gt;=100000), " ",IF(INDEX($V$2:$AE$1001,MATCH(ROWS($O$2:O564),$O$2:$O$1001,0),MATCH(COLUMNS($V$1006:Y1006),$V$1006:$AE$1006,0)), HYPERLINK("#",""), HYPERLINK(CONCATENATE("#Metadata!", ADDRESS(INDEX($Q$2:$Q$1001,MATCH(ROWS($O$2:O564),$O$2:$O$1001,0),0), INDEX($V$1004:$AE$1004,1,MATCH(COLUMNS($V$1006:Y1006),$V$1006:$AE$1006,0)))),"Fix")))</f>
        <v>0</v>
      </c>
      <c r="F564" s="4">
        <f>IF(OR(INDEX($P$2:$P$1001,MATCH(ROWS($O$2:O564),$O$2:$O$1001,0),1)&gt;=100000,INDEX($V$1005:$AE$1005,1,MATCH(COLUMNS($V$1006:Z1006),$V$1006:$AE$1006,0))&gt;=100000), " ",IF(INDEX($V$2:$AE$1001,MATCH(ROWS($O$2:O564),$O$2:$O$1001,0),MATCH(COLUMNS($V$1006:Z1006),$V$1006:$AE$1006,0)), HYPERLINK("#",""), HYPERLINK(CONCATENATE("#Metadata!", ADDRESS(INDEX($Q$2:$Q$1001,MATCH(ROWS($O$2:O564),$O$2:$O$1001,0),0), INDEX($V$1004:$AE$1004,1,MATCH(COLUMNS($V$1006:Z1006),$V$1006:$AE$1006,0)))),"Fix")))</f>
        <v>0</v>
      </c>
      <c r="G564" s="4">
        <f>IF(OR(INDEX($P$2:$P$1001,MATCH(ROWS($O$2:O564),$O$2:$O$1001,0),1)&gt;=100000,INDEX($V$1005:$AE$1005,1,MATCH(COLUMNS($V$1006:AA1006),$V$1006:$AE$1006,0))&gt;=100000), " ",IF(INDEX($V$2:$AE$1001,MATCH(ROWS($O$2:O564),$O$2:$O$1001,0),MATCH(COLUMNS($V$1006:AA1006),$V$1006:$AE$1006,0)), HYPERLINK("#",""), HYPERLINK(CONCATENATE("#Metadata!", ADDRESS(INDEX($Q$2:$Q$1001,MATCH(ROWS($O$2:O564),$O$2:$O$1001,0),0), INDEX($V$1004:$AE$1004,1,MATCH(COLUMNS($V$1006:AA1006),$V$1006:$AE$1006,0)))),"Fix")))</f>
        <v>0</v>
      </c>
      <c r="H564" s="4">
        <f>IF(OR(INDEX($P$2:$P$1001,MATCH(ROWS($O$2:O564),$O$2:$O$1001,0),1)&gt;=100000,INDEX($V$1005:$AE$1005,1,MATCH(COLUMNS($V$1006:AB1006),$V$1006:$AE$1006,0))&gt;=100000), " ",IF(INDEX($V$2:$AE$1001,MATCH(ROWS($O$2:O564),$O$2:$O$1001,0),MATCH(COLUMNS($V$1006:AB1006),$V$1006:$AE$1006,0)), HYPERLINK("#",""), HYPERLINK(CONCATENATE("#Metadata!", ADDRESS(INDEX($Q$2:$Q$1001,MATCH(ROWS($O$2:O564),$O$2:$O$1001,0),0), INDEX($V$1004:$AE$1004,1,MATCH(COLUMNS($V$1006:AB1006),$V$1006:$AE$1006,0)))),"Fix")))</f>
        <v>0</v>
      </c>
      <c r="I564" s="4">
        <f>IF(OR(INDEX($P$2:$P$1001,MATCH(ROWS($O$2:O564),$O$2:$O$1001,0),1)&gt;=100000,INDEX($V$1005:$AE$1005,1,MATCH(COLUMNS($V$1006:AC1006),$V$1006:$AE$1006,0))&gt;=100000), " ",IF(INDEX($V$2:$AE$1001,MATCH(ROWS($O$2:O564),$O$2:$O$1001,0),MATCH(COLUMNS($V$1006:AC1006),$V$1006:$AE$1006,0)), HYPERLINK("#",""), HYPERLINK(CONCATENATE("#Metadata!", ADDRESS(INDEX($Q$2:$Q$1001,MATCH(ROWS($O$2:O564),$O$2:$O$1001,0),0), INDEX($V$1004:$AE$1004,1,MATCH(COLUMNS($V$1006:AC1006),$V$1006:$AE$1006,0)))),"Fix")))</f>
        <v>0</v>
      </c>
      <c r="J564" s="4">
        <f>IF(OR(INDEX($P$2:$P$1001,MATCH(ROWS($O$2:O564),$O$2:$O$1001,0),1)&gt;=100000,INDEX($V$1005:$AE$1005,1,MATCH(COLUMNS($V$1006:AD1006),$V$1006:$AE$1006,0))&gt;=100000), " ",IF(INDEX($V$2:$AE$1001,MATCH(ROWS($O$2:O564),$O$2:$O$1001,0),MATCH(COLUMNS($V$1006:AD1006),$V$1006:$AE$1006,0)), HYPERLINK("#",""), HYPERLINK(CONCATENATE("#Metadata!", ADDRESS(INDEX($Q$2:$Q$1001,MATCH(ROWS($O$2:O564),$O$2:$O$1001,0),0), INDEX($V$1004:$AE$1004,1,MATCH(COLUMNS($V$1006:AD1006),$V$1006:$AE$1006,0)))),"Fix")))</f>
        <v>0</v>
      </c>
      <c r="K564" s="4">
        <f>IF(OR(INDEX($P$2:$P$1001,MATCH(ROWS($O$2:O564),$O$2:$O$1001,0),1)&gt;=100000,INDEX($V$1005:$AE$1005,1,MATCH(COLUMNS($V$1006:AE1006),$V$1006:$AE$1006,0))&gt;=100000), " ",IF(INDEX($V$2:$AE$1001,MATCH(ROWS($O$2:O564),$O$2:$O$1001,0),MATCH(COLUMNS($V$1006:AE1006),$V$1006:$AE$1006,0)), HYPERLINK("#",""), HYPERLINK(CONCATENATE("#Metadata!", ADDRESS(INDEX($Q$2:$Q$1001,MATCH(ROWS($O$2:O564),$O$2:$O$1001,0),0), INDEX($V$1004:$AE$1004,1,MATCH(COLUMNS($V$1006:AE1006),$V$1006:$AE$1006,0)))),"Fix")))</f>
        <v>0</v>
      </c>
      <c r="O564">
        <v>0</v>
      </c>
      <c r="P564">
        <v>0</v>
      </c>
      <c r="Q564">
        <v>0</v>
      </c>
      <c r="R564">
        <f>IF(S564,TRUE,AND(V564:AE564))</f>
        <v>0</v>
      </c>
      <c r="S564">
        <f>COUNTBLANK(Metadata!B564:K564)=COLUMNS(Metadata!B564:K564)</f>
        <v>0</v>
      </c>
      <c r="T564">
        <v>0</v>
      </c>
      <c r="V564">
        <f>AND(IF(Metadata!B564="",FALSE,TRUE),COUNTIF(Metadata!B:B, Metadata!B564) = 1,NOT(ISERROR(SUMPRODUCT(SEARCH(MID(Metadata!B564,ROW(INDIRECT("1:"&amp;LEN(Metadata!B564))), 1),"0123456789abcdefghijklmnopqrstuvwxyzABCDEFGHIJKLMNOPQRSTUVWXYZ.")))))</f>
        <v>0</v>
      </c>
      <c r="W564">
        <f>AND(IF(Metadata!C564="",FALSE,TRUE),exact(Metadata!C564,"urban biome"))</f>
        <v>0</v>
      </c>
      <c r="X564">
        <f>AND(IF(Metadata!D564="",FALSE,TRUE),exact(Metadata!D564,"animal-associated habitat"))</f>
        <v>0</v>
      </c>
      <c r="Y564">
        <f>OR(AND(IF(Metadata!E564="",FALSE,TRUE),OR(exact(Metadata!E564,"not applicable"),exact(Metadata!E564,"missing: not collected"),exact(Metadata!E564,"missing: not provided"),exact(Metadata!E564,"missing: restricted access"))),AND(IF(Metadata!E564="",FALSE,ISNUMBER(VALUE(Metadata!E564))),Metadata!E564&gt;0))</f>
        <v>0</v>
      </c>
      <c r="Z564">
        <f>AND(IF(Metadata!F564="",FALSE,TRUE),exact(Metadata!F564,"weeks"))</f>
        <v>0</v>
      </c>
      <c r="AA564">
        <f>AND(IF(Metadata!G564="",FALSE,TRUE),exact(Metadata!G564,"mouse"))</f>
        <v>0</v>
      </c>
      <c r="AB564">
        <f>AND(IF(Metadata!H564="",FALSE,TRUE),exact(Metadata!H564,"Mus musculus"))</f>
        <v>0</v>
      </c>
      <c r="AC564">
        <f>AND(IF(Metadata!I564="",FALSE,TRUE),exact(Metadata!I564,"10090"))</f>
        <v>0</v>
      </c>
      <c r="AD564">
        <f>OR(AND(IF(Metadata!J564="",FALSE,TRUE),OR(exact(Metadata!J564,"not applicable"),exact(Metadata!J564,"missing: not collected"),exact(Metadata!J564,"missing: not provided"),exact(Metadata!J564,"missing: restricted access"))),AND(IF(Metadata!J564="",FALSE,ISNUMBER(VALUE(Metadata!J564))),Metadata!J564&gt;0))</f>
        <v>0</v>
      </c>
      <c r="AE564">
        <f>AND(IF(Metadata!K564="",FALSE,TRUE),exact(Metadata!K564,"g"))</f>
        <v>0</v>
      </c>
    </row>
    <row r="565" spans="1:31">
      <c r="A565" s="5">
        <f>IF(B565=" "," ",HYPERLINK(CONCATENATE("#metadata!",ADDRESS(INDEX($Q$2:$Q$1001,MATCH(ROWS($O$2:O565),$O$2:$O$1001,0),0),1)),INDEX($T$2:$T$1001,MATCH(ROWS($O$2:O565),$O$2:$O$1001,0),0)))</f>
        <v>0</v>
      </c>
      <c r="B565" s="4">
        <f>IF(OR(INDEX($P$2:$P$1001,MATCH(ROWS($O$2:O565),$O$2:$O$1001,0),1)&gt;=100000,INDEX($V$1005:$AE$1005,1,MATCH(COLUMNS($V$1006:V1006),$V$1006:$AE$1006,0))&gt;=100000), " ",IF(INDEX($V$2:$AE$1001,MATCH(ROWS($O$2:O565),$O$2:$O$1001,0),MATCH(COLUMNS($V$1006:V1006),$V$1006:$AE$1006,0)), HYPERLINK("#",""), HYPERLINK(CONCATENATE("#Metadata!", ADDRESS(INDEX($Q$2:$Q$1001,MATCH(ROWS($O$2:O565),$O$2:$O$1001,0),0), INDEX($V$1004:$AE$1004,1,MATCH(COLUMNS($V$1006:V1006),$V$1006:$AE$1006,0)))),"Fix")))</f>
        <v>0</v>
      </c>
      <c r="C565" s="4">
        <f>IF(OR(INDEX($P$2:$P$1001,MATCH(ROWS($O$2:O565),$O$2:$O$1001,0),1)&gt;=100000,INDEX($V$1005:$AE$1005,1,MATCH(COLUMNS($V$1006:W1006),$V$1006:$AE$1006,0))&gt;=100000), " ",IF(INDEX($V$2:$AE$1001,MATCH(ROWS($O$2:O565),$O$2:$O$1001,0),MATCH(COLUMNS($V$1006:W1006),$V$1006:$AE$1006,0)), HYPERLINK("#",""), HYPERLINK(CONCATENATE("#Metadata!", ADDRESS(INDEX($Q$2:$Q$1001,MATCH(ROWS($O$2:O565),$O$2:$O$1001,0),0), INDEX($V$1004:$AE$1004,1,MATCH(COLUMNS($V$1006:W1006),$V$1006:$AE$1006,0)))),"Fix")))</f>
        <v>0</v>
      </c>
      <c r="D565" s="4">
        <f>IF(OR(INDEX($P$2:$P$1001,MATCH(ROWS($O$2:O565),$O$2:$O$1001,0),1)&gt;=100000,INDEX($V$1005:$AE$1005,1,MATCH(COLUMNS($V$1006:X1006),$V$1006:$AE$1006,0))&gt;=100000), " ",IF(INDEX($V$2:$AE$1001,MATCH(ROWS($O$2:O565),$O$2:$O$1001,0),MATCH(COLUMNS($V$1006:X1006),$V$1006:$AE$1006,0)), HYPERLINK("#",""), HYPERLINK(CONCATENATE("#Metadata!", ADDRESS(INDEX($Q$2:$Q$1001,MATCH(ROWS($O$2:O565),$O$2:$O$1001,0),0), INDEX($V$1004:$AE$1004,1,MATCH(COLUMNS($V$1006:X1006),$V$1006:$AE$1006,0)))),"Fix")))</f>
        <v>0</v>
      </c>
      <c r="E565" s="4">
        <f>IF(OR(INDEX($P$2:$P$1001,MATCH(ROWS($O$2:O565),$O$2:$O$1001,0),1)&gt;=100000,INDEX($V$1005:$AE$1005,1,MATCH(COLUMNS($V$1006:Y1006),$V$1006:$AE$1006,0))&gt;=100000), " ",IF(INDEX($V$2:$AE$1001,MATCH(ROWS($O$2:O565),$O$2:$O$1001,0),MATCH(COLUMNS($V$1006:Y1006),$V$1006:$AE$1006,0)), HYPERLINK("#",""), HYPERLINK(CONCATENATE("#Metadata!", ADDRESS(INDEX($Q$2:$Q$1001,MATCH(ROWS($O$2:O565),$O$2:$O$1001,0),0), INDEX($V$1004:$AE$1004,1,MATCH(COLUMNS($V$1006:Y1006),$V$1006:$AE$1006,0)))),"Fix")))</f>
        <v>0</v>
      </c>
      <c r="F565" s="4">
        <f>IF(OR(INDEX($P$2:$P$1001,MATCH(ROWS($O$2:O565),$O$2:$O$1001,0),1)&gt;=100000,INDEX($V$1005:$AE$1005,1,MATCH(COLUMNS($V$1006:Z1006),$V$1006:$AE$1006,0))&gt;=100000), " ",IF(INDEX($V$2:$AE$1001,MATCH(ROWS($O$2:O565),$O$2:$O$1001,0),MATCH(COLUMNS($V$1006:Z1006),$V$1006:$AE$1006,0)), HYPERLINK("#",""), HYPERLINK(CONCATENATE("#Metadata!", ADDRESS(INDEX($Q$2:$Q$1001,MATCH(ROWS($O$2:O565),$O$2:$O$1001,0),0), INDEX($V$1004:$AE$1004,1,MATCH(COLUMNS($V$1006:Z1006),$V$1006:$AE$1006,0)))),"Fix")))</f>
        <v>0</v>
      </c>
      <c r="G565" s="4">
        <f>IF(OR(INDEX($P$2:$P$1001,MATCH(ROWS($O$2:O565),$O$2:$O$1001,0),1)&gt;=100000,INDEX($V$1005:$AE$1005,1,MATCH(COLUMNS($V$1006:AA1006),$V$1006:$AE$1006,0))&gt;=100000), " ",IF(INDEX($V$2:$AE$1001,MATCH(ROWS($O$2:O565),$O$2:$O$1001,0),MATCH(COLUMNS($V$1006:AA1006),$V$1006:$AE$1006,0)), HYPERLINK("#",""), HYPERLINK(CONCATENATE("#Metadata!", ADDRESS(INDEX($Q$2:$Q$1001,MATCH(ROWS($O$2:O565),$O$2:$O$1001,0),0), INDEX($V$1004:$AE$1004,1,MATCH(COLUMNS($V$1006:AA1006),$V$1006:$AE$1006,0)))),"Fix")))</f>
        <v>0</v>
      </c>
      <c r="H565" s="4">
        <f>IF(OR(INDEX($P$2:$P$1001,MATCH(ROWS($O$2:O565),$O$2:$O$1001,0),1)&gt;=100000,INDEX($V$1005:$AE$1005,1,MATCH(COLUMNS($V$1006:AB1006),$V$1006:$AE$1006,0))&gt;=100000), " ",IF(INDEX($V$2:$AE$1001,MATCH(ROWS($O$2:O565),$O$2:$O$1001,0),MATCH(COLUMNS($V$1006:AB1006),$V$1006:$AE$1006,0)), HYPERLINK("#",""), HYPERLINK(CONCATENATE("#Metadata!", ADDRESS(INDEX($Q$2:$Q$1001,MATCH(ROWS($O$2:O565),$O$2:$O$1001,0),0), INDEX($V$1004:$AE$1004,1,MATCH(COLUMNS($V$1006:AB1006),$V$1006:$AE$1006,0)))),"Fix")))</f>
        <v>0</v>
      </c>
      <c r="I565" s="4">
        <f>IF(OR(INDEX($P$2:$P$1001,MATCH(ROWS($O$2:O565),$O$2:$O$1001,0),1)&gt;=100000,INDEX($V$1005:$AE$1005,1,MATCH(COLUMNS($V$1006:AC1006),$V$1006:$AE$1006,0))&gt;=100000), " ",IF(INDEX($V$2:$AE$1001,MATCH(ROWS($O$2:O565),$O$2:$O$1001,0),MATCH(COLUMNS($V$1006:AC1006),$V$1006:$AE$1006,0)), HYPERLINK("#",""), HYPERLINK(CONCATENATE("#Metadata!", ADDRESS(INDEX($Q$2:$Q$1001,MATCH(ROWS($O$2:O565),$O$2:$O$1001,0),0), INDEX($V$1004:$AE$1004,1,MATCH(COLUMNS($V$1006:AC1006),$V$1006:$AE$1006,0)))),"Fix")))</f>
        <v>0</v>
      </c>
      <c r="J565" s="4">
        <f>IF(OR(INDEX($P$2:$P$1001,MATCH(ROWS($O$2:O565),$O$2:$O$1001,0),1)&gt;=100000,INDEX($V$1005:$AE$1005,1,MATCH(COLUMNS($V$1006:AD1006),$V$1006:$AE$1006,0))&gt;=100000), " ",IF(INDEX($V$2:$AE$1001,MATCH(ROWS($O$2:O565),$O$2:$O$1001,0),MATCH(COLUMNS($V$1006:AD1006),$V$1006:$AE$1006,0)), HYPERLINK("#",""), HYPERLINK(CONCATENATE("#Metadata!", ADDRESS(INDEX($Q$2:$Q$1001,MATCH(ROWS($O$2:O565),$O$2:$O$1001,0),0), INDEX($V$1004:$AE$1004,1,MATCH(COLUMNS($V$1006:AD1006),$V$1006:$AE$1006,0)))),"Fix")))</f>
        <v>0</v>
      </c>
      <c r="K565" s="4">
        <f>IF(OR(INDEX($P$2:$P$1001,MATCH(ROWS($O$2:O565),$O$2:$O$1001,0),1)&gt;=100000,INDEX($V$1005:$AE$1005,1,MATCH(COLUMNS($V$1006:AE1006),$V$1006:$AE$1006,0))&gt;=100000), " ",IF(INDEX($V$2:$AE$1001,MATCH(ROWS($O$2:O565),$O$2:$O$1001,0),MATCH(COLUMNS($V$1006:AE1006),$V$1006:$AE$1006,0)), HYPERLINK("#",""), HYPERLINK(CONCATENATE("#Metadata!", ADDRESS(INDEX($Q$2:$Q$1001,MATCH(ROWS($O$2:O565),$O$2:$O$1001,0),0), INDEX($V$1004:$AE$1004,1,MATCH(COLUMNS($V$1006:AE1006),$V$1006:$AE$1006,0)))),"Fix")))</f>
        <v>0</v>
      </c>
      <c r="O565">
        <v>0</v>
      </c>
      <c r="P565">
        <v>0</v>
      </c>
      <c r="Q565">
        <v>0</v>
      </c>
      <c r="R565">
        <f>IF(S565,TRUE,AND(V565:AE565))</f>
        <v>0</v>
      </c>
      <c r="S565">
        <f>COUNTBLANK(Metadata!B565:K565)=COLUMNS(Metadata!B565:K565)</f>
        <v>0</v>
      </c>
      <c r="T565">
        <v>0</v>
      </c>
      <c r="V565">
        <f>AND(IF(Metadata!B565="",FALSE,TRUE),COUNTIF(Metadata!B:B, Metadata!B565) = 1,NOT(ISERROR(SUMPRODUCT(SEARCH(MID(Metadata!B565,ROW(INDIRECT("1:"&amp;LEN(Metadata!B565))), 1),"0123456789abcdefghijklmnopqrstuvwxyzABCDEFGHIJKLMNOPQRSTUVWXYZ.")))))</f>
        <v>0</v>
      </c>
      <c r="W565">
        <f>AND(IF(Metadata!C565="",FALSE,TRUE),exact(Metadata!C565,"urban biome"))</f>
        <v>0</v>
      </c>
      <c r="X565">
        <f>AND(IF(Metadata!D565="",FALSE,TRUE),exact(Metadata!D565,"animal-associated habitat"))</f>
        <v>0</v>
      </c>
      <c r="Y565">
        <f>OR(AND(IF(Metadata!E565="",FALSE,TRUE),OR(exact(Metadata!E565,"not applicable"),exact(Metadata!E565,"missing: not collected"),exact(Metadata!E565,"missing: not provided"),exact(Metadata!E565,"missing: restricted access"))),AND(IF(Metadata!E565="",FALSE,ISNUMBER(VALUE(Metadata!E565))),Metadata!E565&gt;0))</f>
        <v>0</v>
      </c>
      <c r="Z565">
        <f>AND(IF(Metadata!F565="",FALSE,TRUE),exact(Metadata!F565,"weeks"))</f>
        <v>0</v>
      </c>
      <c r="AA565">
        <f>AND(IF(Metadata!G565="",FALSE,TRUE),exact(Metadata!G565,"mouse"))</f>
        <v>0</v>
      </c>
      <c r="AB565">
        <f>AND(IF(Metadata!H565="",FALSE,TRUE),exact(Metadata!H565,"Mus musculus"))</f>
        <v>0</v>
      </c>
      <c r="AC565">
        <f>AND(IF(Metadata!I565="",FALSE,TRUE),exact(Metadata!I565,"10090"))</f>
        <v>0</v>
      </c>
      <c r="AD565">
        <f>OR(AND(IF(Metadata!J565="",FALSE,TRUE),OR(exact(Metadata!J565,"not applicable"),exact(Metadata!J565,"missing: not collected"),exact(Metadata!J565,"missing: not provided"),exact(Metadata!J565,"missing: restricted access"))),AND(IF(Metadata!J565="",FALSE,ISNUMBER(VALUE(Metadata!J565))),Metadata!J565&gt;0))</f>
        <v>0</v>
      </c>
      <c r="AE565">
        <f>AND(IF(Metadata!K565="",FALSE,TRUE),exact(Metadata!K565,"g"))</f>
        <v>0</v>
      </c>
    </row>
    <row r="566" spans="1:31">
      <c r="A566" s="5">
        <f>IF(B566=" "," ",HYPERLINK(CONCATENATE("#metadata!",ADDRESS(INDEX($Q$2:$Q$1001,MATCH(ROWS($O$2:O566),$O$2:$O$1001,0),0),1)),INDEX($T$2:$T$1001,MATCH(ROWS($O$2:O566),$O$2:$O$1001,0),0)))</f>
        <v>0</v>
      </c>
      <c r="B566" s="4">
        <f>IF(OR(INDEX($P$2:$P$1001,MATCH(ROWS($O$2:O566),$O$2:$O$1001,0),1)&gt;=100000,INDEX($V$1005:$AE$1005,1,MATCH(COLUMNS($V$1006:V1006),$V$1006:$AE$1006,0))&gt;=100000), " ",IF(INDEX($V$2:$AE$1001,MATCH(ROWS($O$2:O566),$O$2:$O$1001,0),MATCH(COLUMNS($V$1006:V1006),$V$1006:$AE$1006,0)), HYPERLINK("#",""), HYPERLINK(CONCATENATE("#Metadata!", ADDRESS(INDEX($Q$2:$Q$1001,MATCH(ROWS($O$2:O566),$O$2:$O$1001,0),0), INDEX($V$1004:$AE$1004,1,MATCH(COLUMNS($V$1006:V1006),$V$1006:$AE$1006,0)))),"Fix")))</f>
        <v>0</v>
      </c>
      <c r="C566" s="4">
        <f>IF(OR(INDEX($P$2:$P$1001,MATCH(ROWS($O$2:O566),$O$2:$O$1001,0),1)&gt;=100000,INDEX($V$1005:$AE$1005,1,MATCH(COLUMNS($V$1006:W1006),$V$1006:$AE$1006,0))&gt;=100000), " ",IF(INDEX($V$2:$AE$1001,MATCH(ROWS($O$2:O566),$O$2:$O$1001,0),MATCH(COLUMNS($V$1006:W1006),$V$1006:$AE$1006,0)), HYPERLINK("#",""), HYPERLINK(CONCATENATE("#Metadata!", ADDRESS(INDEX($Q$2:$Q$1001,MATCH(ROWS($O$2:O566),$O$2:$O$1001,0),0), INDEX($V$1004:$AE$1004,1,MATCH(COLUMNS($V$1006:W1006),$V$1006:$AE$1006,0)))),"Fix")))</f>
        <v>0</v>
      </c>
      <c r="D566" s="4">
        <f>IF(OR(INDEX($P$2:$P$1001,MATCH(ROWS($O$2:O566),$O$2:$O$1001,0),1)&gt;=100000,INDEX($V$1005:$AE$1005,1,MATCH(COLUMNS($V$1006:X1006),$V$1006:$AE$1006,0))&gt;=100000), " ",IF(INDEX($V$2:$AE$1001,MATCH(ROWS($O$2:O566),$O$2:$O$1001,0),MATCH(COLUMNS($V$1006:X1006),$V$1006:$AE$1006,0)), HYPERLINK("#",""), HYPERLINK(CONCATENATE("#Metadata!", ADDRESS(INDEX($Q$2:$Q$1001,MATCH(ROWS($O$2:O566),$O$2:$O$1001,0),0), INDEX($V$1004:$AE$1004,1,MATCH(COLUMNS($V$1006:X1006),$V$1006:$AE$1006,0)))),"Fix")))</f>
        <v>0</v>
      </c>
      <c r="E566" s="4">
        <f>IF(OR(INDEX($P$2:$P$1001,MATCH(ROWS($O$2:O566),$O$2:$O$1001,0),1)&gt;=100000,INDEX($V$1005:$AE$1005,1,MATCH(COLUMNS($V$1006:Y1006),$V$1006:$AE$1006,0))&gt;=100000), " ",IF(INDEX($V$2:$AE$1001,MATCH(ROWS($O$2:O566),$O$2:$O$1001,0),MATCH(COLUMNS($V$1006:Y1006),$V$1006:$AE$1006,0)), HYPERLINK("#",""), HYPERLINK(CONCATENATE("#Metadata!", ADDRESS(INDEX($Q$2:$Q$1001,MATCH(ROWS($O$2:O566),$O$2:$O$1001,0),0), INDEX($V$1004:$AE$1004,1,MATCH(COLUMNS($V$1006:Y1006),$V$1006:$AE$1006,0)))),"Fix")))</f>
        <v>0</v>
      </c>
      <c r="F566" s="4">
        <f>IF(OR(INDEX($P$2:$P$1001,MATCH(ROWS($O$2:O566),$O$2:$O$1001,0),1)&gt;=100000,INDEX($V$1005:$AE$1005,1,MATCH(COLUMNS($V$1006:Z1006),$V$1006:$AE$1006,0))&gt;=100000), " ",IF(INDEX($V$2:$AE$1001,MATCH(ROWS($O$2:O566),$O$2:$O$1001,0),MATCH(COLUMNS($V$1006:Z1006),$V$1006:$AE$1006,0)), HYPERLINK("#",""), HYPERLINK(CONCATENATE("#Metadata!", ADDRESS(INDEX($Q$2:$Q$1001,MATCH(ROWS($O$2:O566),$O$2:$O$1001,0),0), INDEX($V$1004:$AE$1004,1,MATCH(COLUMNS($V$1006:Z1006),$V$1006:$AE$1006,0)))),"Fix")))</f>
        <v>0</v>
      </c>
      <c r="G566" s="4">
        <f>IF(OR(INDEX($P$2:$P$1001,MATCH(ROWS($O$2:O566),$O$2:$O$1001,0),1)&gt;=100000,INDEX($V$1005:$AE$1005,1,MATCH(COLUMNS($V$1006:AA1006),$V$1006:$AE$1006,0))&gt;=100000), " ",IF(INDEX($V$2:$AE$1001,MATCH(ROWS($O$2:O566),$O$2:$O$1001,0),MATCH(COLUMNS($V$1006:AA1006),$V$1006:$AE$1006,0)), HYPERLINK("#",""), HYPERLINK(CONCATENATE("#Metadata!", ADDRESS(INDEX($Q$2:$Q$1001,MATCH(ROWS($O$2:O566),$O$2:$O$1001,0),0), INDEX($V$1004:$AE$1004,1,MATCH(COLUMNS($V$1006:AA1006),$V$1006:$AE$1006,0)))),"Fix")))</f>
        <v>0</v>
      </c>
      <c r="H566" s="4">
        <f>IF(OR(INDEX($P$2:$P$1001,MATCH(ROWS($O$2:O566),$O$2:$O$1001,0),1)&gt;=100000,INDEX($V$1005:$AE$1005,1,MATCH(COLUMNS($V$1006:AB1006),$V$1006:$AE$1006,0))&gt;=100000), " ",IF(INDEX($V$2:$AE$1001,MATCH(ROWS($O$2:O566),$O$2:$O$1001,0),MATCH(COLUMNS($V$1006:AB1006),$V$1006:$AE$1006,0)), HYPERLINK("#",""), HYPERLINK(CONCATENATE("#Metadata!", ADDRESS(INDEX($Q$2:$Q$1001,MATCH(ROWS($O$2:O566),$O$2:$O$1001,0),0), INDEX($V$1004:$AE$1004,1,MATCH(COLUMNS($V$1006:AB1006),$V$1006:$AE$1006,0)))),"Fix")))</f>
        <v>0</v>
      </c>
      <c r="I566" s="4">
        <f>IF(OR(INDEX($P$2:$P$1001,MATCH(ROWS($O$2:O566),$O$2:$O$1001,0),1)&gt;=100000,INDEX($V$1005:$AE$1005,1,MATCH(COLUMNS($V$1006:AC1006),$V$1006:$AE$1006,0))&gt;=100000), " ",IF(INDEX($V$2:$AE$1001,MATCH(ROWS($O$2:O566),$O$2:$O$1001,0),MATCH(COLUMNS($V$1006:AC1006),$V$1006:$AE$1006,0)), HYPERLINK("#",""), HYPERLINK(CONCATENATE("#Metadata!", ADDRESS(INDEX($Q$2:$Q$1001,MATCH(ROWS($O$2:O566),$O$2:$O$1001,0),0), INDEX($V$1004:$AE$1004,1,MATCH(COLUMNS($V$1006:AC1006),$V$1006:$AE$1006,0)))),"Fix")))</f>
        <v>0</v>
      </c>
      <c r="J566" s="4">
        <f>IF(OR(INDEX($P$2:$P$1001,MATCH(ROWS($O$2:O566),$O$2:$O$1001,0),1)&gt;=100000,INDEX($V$1005:$AE$1005,1,MATCH(COLUMNS($V$1006:AD1006),$V$1006:$AE$1006,0))&gt;=100000), " ",IF(INDEX($V$2:$AE$1001,MATCH(ROWS($O$2:O566),$O$2:$O$1001,0),MATCH(COLUMNS($V$1006:AD1006),$V$1006:$AE$1006,0)), HYPERLINK("#",""), HYPERLINK(CONCATENATE("#Metadata!", ADDRESS(INDEX($Q$2:$Q$1001,MATCH(ROWS($O$2:O566),$O$2:$O$1001,0),0), INDEX($V$1004:$AE$1004,1,MATCH(COLUMNS($V$1006:AD1006),$V$1006:$AE$1006,0)))),"Fix")))</f>
        <v>0</v>
      </c>
      <c r="K566" s="4">
        <f>IF(OR(INDEX($P$2:$P$1001,MATCH(ROWS($O$2:O566),$O$2:$O$1001,0),1)&gt;=100000,INDEX($V$1005:$AE$1005,1,MATCH(COLUMNS($V$1006:AE1006),$V$1006:$AE$1006,0))&gt;=100000), " ",IF(INDEX($V$2:$AE$1001,MATCH(ROWS($O$2:O566),$O$2:$O$1001,0),MATCH(COLUMNS($V$1006:AE1006),$V$1006:$AE$1006,0)), HYPERLINK("#",""), HYPERLINK(CONCATENATE("#Metadata!", ADDRESS(INDEX($Q$2:$Q$1001,MATCH(ROWS($O$2:O566),$O$2:$O$1001,0),0), INDEX($V$1004:$AE$1004,1,MATCH(COLUMNS($V$1006:AE1006),$V$1006:$AE$1006,0)))),"Fix")))</f>
        <v>0</v>
      </c>
      <c r="O566">
        <v>0</v>
      </c>
      <c r="P566">
        <v>0</v>
      </c>
      <c r="Q566">
        <v>0</v>
      </c>
      <c r="R566">
        <f>IF(S566,TRUE,AND(V566:AE566))</f>
        <v>0</v>
      </c>
      <c r="S566">
        <f>COUNTBLANK(Metadata!B566:K566)=COLUMNS(Metadata!B566:K566)</f>
        <v>0</v>
      </c>
      <c r="T566">
        <v>0</v>
      </c>
      <c r="V566">
        <f>AND(IF(Metadata!B566="",FALSE,TRUE),COUNTIF(Metadata!B:B, Metadata!B566) = 1,NOT(ISERROR(SUMPRODUCT(SEARCH(MID(Metadata!B566,ROW(INDIRECT("1:"&amp;LEN(Metadata!B566))), 1),"0123456789abcdefghijklmnopqrstuvwxyzABCDEFGHIJKLMNOPQRSTUVWXYZ.")))))</f>
        <v>0</v>
      </c>
      <c r="W566">
        <f>AND(IF(Metadata!C566="",FALSE,TRUE),exact(Metadata!C566,"urban biome"))</f>
        <v>0</v>
      </c>
      <c r="X566">
        <f>AND(IF(Metadata!D566="",FALSE,TRUE),exact(Metadata!D566,"animal-associated habitat"))</f>
        <v>0</v>
      </c>
      <c r="Y566">
        <f>OR(AND(IF(Metadata!E566="",FALSE,TRUE),OR(exact(Metadata!E566,"not applicable"),exact(Metadata!E566,"missing: not collected"),exact(Metadata!E566,"missing: not provided"),exact(Metadata!E566,"missing: restricted access"))),AND(IF(Metadata!E566="",FALSE,ISNUMBER(VALUE(Metadata!E566))),Metadata!E566&gt;0))</f>
        <v>0</v>
      </c>
      <c r="Z566">
        <f>AND(IF(Metadata!F566="",FALSE,TRUE),exact(Metadata!F566,"weeks"))</f>
        <v>0</v>
      </c>
      <c r="AA566">
        <f>AND(IF(Metadata!G566="",FALSE,TRUE),exact(Metadata!G566,"mouse"))</f>
        <v>0</v>
      </c>
      <c r="AB566">
        <f>AND(IF(Metadata!H566="",FALSE,TRUE),exact(Metadata!H566,"Mus musculus"))</f>
        <v>0</v>
      </c>
      <c r="AC566">
        <f>AND(IF(Metadata!I566="",FALSE,TRUE),exact(Metadata!I566,"10090"))</f>
        <v>0</v>
      </c>
      <c r="AD566">
        <f>OR(AND(IF(Metadata!J566="",FALSE,TRUE),OR(exact(Metadata!J566,"not applicable"),exact(Metadata!J566,"missing: not collected"),exact(Metadata!J566,"missing: not provided"),exact(Metadata!J566,"missing: restricted access"))),AND(IF(Metadata!J566="",FALSE,ISNUMBER(VALUE(Metadata!J566))),Metadata!J566&gt;0))</f>
        <v>0</v>
      </c>
      <c r="AE566">
        <f>AND(IF(Metadata!K566="",FALSE,TRUE),exact(Metadata!K566,"g"))</f>
        <v>0</v>
      </c>
    </row>
    <row r="567" spans="1:31">
      <c r="A567" s="5">
        <f>IF(B567=" "," ",HYPERLINK(CONCATENATE("#metadata!",ADDRESS(INDEX($Q$2:$Q$1001,MATCH(ROWS($O$2:O567),$O$2:$O$1001,0),0),1)),INDEX($T$2:$T$1001,MATCH(ROWS($O$2:O567),$O$2:$O$1001,0),0)))</f>
        <v>0</v>
      </c>
      <c r="B567" s="4">
        <f>IF(OR(INDEX($P$2:$P$1001,MATCH(ROWS($O$2:O567),$O$2:$O$1001,0),1)&gt;=100000,INDEX($V$1005:$AE$1005,1,MATCH(COLUMNS($V$1006:V1006),$V$1006:$AE$1006,0))&gt;=100000), " ",IF(INDEX($V$2:$AE$1001,MATCH(ROWS($O$2:O567),$O$2:$O$1001,0),MATCH(COLUMNS($V$1006:V1006),$V$1006:$AE$1006,0)), HYPERLINK("#",""), HYPERLINK(CONCATENATE("#Metadata!", ADDRESS(INDEX($Q$2:$Q$1001,MATCH(ROWS($O$2:O567),$O$2:$O$1001,0),0), INDEX($V$1004:$AE$1004,1,MATCH(COLUMNS($V$1006:V1006),$V$1006:$AE$1006,0)))),"Fix")))</f>
        <v>0</v>
      </c>
      <c r="C567" s="4">
        <f>IF(OR(INDEX($P$2:$P$1001,MATCH(ROWS($O$2:O567),$O$2:$O$1001,0),1)&gt;=100000,INDEX($V$1005:$AE$1005,1,MATCH(COLUMNS($V$1006:W1006),$V$1006:$AE$1006,0))&gt;=100000), " ",IF(INDEX($V$2:$AE$1001,MATCH(ROWS($O$2:O567),$O$2:$O$1001,0),MATCH(COLUMNS($V$1006:W1006),$V$1006:$AE$1006,0)), HYPERLINK("#",""), HYPERLINK(CONCATENATE("#Metadata!", ADDRESS(INDEX($Q$2:$Q$1001,MATCH(ROWS($O$2:O567),$O$2:$O$1001,0),0), INDEX($V$1004:$AE$1004,1,MATCH(COLUMNS($V$1006:W1006),$V$1006:$AE$1006,0)))),"Fix")))</f>
        <v>0</v>
      </c>
      <c r="D567" s="4">
        <f>IF(OR(INDEX($P$2:$P$1001,MATCH(ROWS($O$2:O567),$O$2:$O$1001,0),1)&gt;=100000,INDEX($V$1005:$AE$1005,1,MATCH(COLUMNS($V$1006:X1006),$V$1006:$AE$1006,0))&gt;=100000), " ",IF(INDEX($V$2:$AE$1001,MATCH(ROWS($O$2:O567),$O$2:$O$1001,0),MATCH(COLUMNS($V$1006:X1006),$V$1006:$AE$1006,0)), HYPERLINK("#",""), HYPERLINK(CONCATENATE("#Metadata!", ADDRESS(INDEX($Q$2:$Q$1001,MATCH(ROWS($O$2:O567),$O$2:$O$1001,0),0), INDEX($V$1004:$AE$1004,1,MATCH(COLUMNS($V$1006:X1006),$V$1006:$AE$1006,0)))),"Fix")))</f>
        <v>0</v>
      </c>
      <c r="E567" s="4">
        <f>IF(OR(INDEX($P$2:$P$1001,MATCH(ROWS($O$2:O567),$O$2:$O$1001,0),1)&gt;=100000,INDEX($V$1005:$AE$1005,1,MATCH(COLUMNS($V$1006:Y1006),$V$1006:$AE$1006,0))&gt;=100000), " ",IF(INDEX($V$2:$AE$1001,MATCH(ROWS($O$2:O567),$O$2:$O$1001,0),MATCH(COLUMNS($V$1006:Y1006),$V$1006:$AE$1006,0)), HYPERLINK("#",""), HYPERLINK(CONCATENATE("#Metadata!", ADDRESS(INDEX($Q$2:$Q$1001,MATCH(ROWS($O$2:O567),$O$2:$O$1001,0),0), INDEX($V$1004:$AE$1004,1,MATCH(COLUMNS($V$1006:Y1006),$V$1006:$AE$1006,0)))),"Fix")))</f>
        <v>0</v>
      </c>
      <c r="F567" s="4">
        <f>IF(OR(INDEX($P$2:$P$1001,MATCH(ROWS($O$2:O567),$O$2:$O$1001,0),1)&gt;=100000,INDEX($V$1005:$AE$1005,1,MATCH(COLUMNS($V$1006:Z1006),$V$1006:$AE$1006,0))&gt;=100000), " ",IF(INDEX($V$2:$AE$1001,MATCH(ROWS($O$2:O567),$O$2:$O$1001,0),MATCH(COLUMNS($V$1006:Z1006),$V$1006:$AE$1006,0)), HYPERLINK("#",""), HYPERLINK(CONCATENATE("#Metadata!", ADDRESS(INDEX($Q$2:$Q$1001,MATCH(ROWS($O$2:O567),$O$2:$O$1001,0),0), INDEX($V$1004:$AE$1004,1,MATCH(COLUMNS($V$1006:Z1006),$V$1006:$AE$1006,0)))),"Fix")))</f>
        <v>0</v>
      </c>
      <c r="G567" s="4">
        <f>IF(OR(INDEX($P$2:$P$1001,MATCH(ROWS($O$2:O567),$O$2:$O$1001,0),1)&gt;=100000,INDEX($V$1005:$AE$1005,1,MATCH(COLUMNS($V$1006:AA1006),$V$1006:$AE$1006,0))&gt;=100000), " ",IF(INDEX($V$2:$AE$1001,MATCH(ROWS($O$2:O567),$O$2:$O$1001,0),MATCH(COLUMNS($V$1006:AA1006),$V$1006:$AE$1006,0)), HYPERLINK("#",""), HYPERLINK(CONCATENATE("#Metadata!", ADDRESS(INDEX($Q$2:$Q$1001,MATCH(ROWS($O$2:O567),$O$2:$O$1001,0),0), INDEX($V$1004:$AE$1004,1,MATCH(COLUMNS($V$1006:AA1006),$V$1006:$AE$1006,0)))),"Fix")))</f>
        <v>0</v>
      </c>
      <c r="H567" s="4">
        <f>IF(OR(INDEX($P$2:$P$1001,MATCH(ROWS($O$2:O567),$O$2:$O$1001,0),1)&gt;=100000,INDEX($V$1005:$AE$1005,1,MATCH(COLUMNS($V$1006:AB1006),$V$1006:$AE$1006,0))&gt;=100000), " ",IF(INDEX($V$2:$AE$1001,MATCH(ROWS($O$2:O567),$O$2:$O$1001,0),MATCH(COLUMNS($V$1006:AB1006),$V$1006:$AE$1006,0)), HYPERLINK("#",""), HYPERLINK(CONCATENATE("#Metadata!", ADDRESS(INDEX($Q$2:$Q$1001,MATCH(ROWS($O$2:O567),$O$2:$O$1001,0),0), INDEX($V$1004:$AE$1004,1,MATCH(COLUMNS($V$1006:AB1006),$V$1006:$AE$1006,0)))),"Fix")))</f>
        <v>0</v>
      </c>
      <c r="I567" s="4">
        <f>IF(OR(INDEX($P$2:$P$1001,MATCH(ROWS($O$2:O567),$O$2:$O$1001,0),1)&gt;=100000,INDEX($V$1005:$AE$1005,1,MATCH(COLUMNS($V$1006:AC1006),$V$1006:$AE$1006,0))&gt;=100000), " ",IF(INDEX($V$2:$AE$1001,MATCH(ROWS($O$2:O567),$O$2:$O$1001,0),MATCH(COLUMNS($V$1006:AC1006),$V$1006:$AE$1006,0)), HYPERLINK("#",""), HYPERLINK(CONCATENATE("#Metadata!", ADDRESS(INDEX($Q$2:$Q$1001,MATCH(ROWS($O$2:O567),$O$2:$O$1001,0),0), INDEX($V$1004:$AE$1004,1,MATCH(COLUMNS($V$1006:AC1006),$V$1006:$AE$1006,0)))),"Fix")))</f>
        <v>0</v>
      </c>
      <c r="J567" s="4">
        <f>IF(OR(INDEX($P$2:$P$1001,MATCH(ROWS($O$2:O567),$O$2:$O$1001,0),1)&gt;=100000,INDEX($V$1005:$AE$1005,1,MATCH(COLUMNS($V$1006:AD1006),$V$1006:$AE$1006,0))&gt;=100000), " ",IF(INDEX($V$2:$AE$1001,MATCH(ROWS($O$2:O567),$O$2:$O$1001,0),MATCH(COLUMNS($V$1006:AD1006),$V$1006:$AE$1006,0)), HYPERLINK("#",""), HYPERLINK(CONCATENATE("#Metadata!", ADDRESS(INDEX($Q$2:$Q$1001,MATCH(ROWS($O$2:O567),$O$2:$O$1001,0),0), INDEX($V$1004:$AE$1004,1,MATCH(COLUMNS($V$1006:AD1006),$V$1006:$AE$1006,0)))),"Fix")))</f>
        <v>0</v>
      </c>
      <c r="K567" s="4">
        <f>IF(OR(INDEX($P$2:$P$1001,MATCH(ROWS($O$2:O567),$O$2:$O$1001,0),1)&gt;=100000,INDEX($V$1005:$AE$1005,1,MATCH(COLUMNS($V$1006:AE1006),$V$1006:$AE$1006,0))&gt;=100000), " ",IF(INDEX($V$2:$AE$1001,MATCH(ROWS($O$2:O567),$O$2:$O$1001,0),MATCH(COLUMNS($V$1006:AE1006),$V$1006:$AE$1006,0)), HYPERLINK("#",""), HYPERLINK(CONCATENATE("#Metadata!", ADDRESS(INDEX($Q$2:$Q$1001,MATCH(ROWS($O$2:O567),$O$2:$O$1001,0),0), INDEX($V$1004:$AE$1004,1,MATCH(COLUMNS($V$1006:AE1006),$V$1006:$AE$1006,0)))),"Fix")))</f>
        <v>0</v>
      </c>
      <c r="O567">
        <v>0</v>
      </c>
      <c r="P567">
        <v>0</v>
      </c>
      <c r="Q567">
        <v>0</v>
      </c>
      <c r="R567">
        <f>IF(S567,TRUE,AND(V567:AE567))</f>
        <v>0</v>
      </c>
      <c r="S567">
        <f>COUNTBLANK(Metadata!B567:K567)=COLUMNS(Metadata!B567:K567)</f>
        <v>0</v>
      </c>
      <c r="T567">
        <v>0</v>
      </c>
      <c r="V567">
        <f>AND(IF(Metadata!B567="",FALSE,TRUE),COUNTIF(Metadata!B:B, Metadata!B567) = 1,NOT(ISERROR(SUMPRODUCT(SEARCH(MID(Metadata!B567,ROW(INDIRECT("1:"&amp;LEN(Metadata!B567))), 1),"0123456789abcdefghijklmnopqrstuvwxyzABCDEFGHIJKLMNOPQRSTUVWXYZ.")))))</f>
        <v>0</v>
      </c>
      <c r="W567">
        <f>AND(IF(Metadata!C567="",FALSE,TRUE),exact(Metadata!C567,"urban biome"))</f>
        <v>0</v>
      </c>
      <c r="X567">
        <f>AND(IF(Metadata!D567="",FALSE,TRUE),exact(Metadata!D567,"animal-associated habitat"))</f>
        <v>0</v>
      </c>
      <c r="Y567">
        <f>OR(AND(IF(Metadata!E567="",FALSE,TRUE),OR(exact(Metadata!E567,"not applicable"),exact(Metadata!E567,"missing: not collected"),exact(Metadata!E567,"missing: not provided"),exact(Metadata!E567,"missing: restricted access"))),AND(IF(Metadata!E567="",FALSE,ISNUMBER(VALUE(Metadata!E567))),Metadata!E567&gt;0))</f>
        <v>0</v>
      </c>
      <c r="Z567">
        <f>AND(IF(Metadata!F567="",FALSE,TRUE),exact(Metadata!F567,"weeks"))</f>
        <v>0</v>
      </c>
      <c r="AA567">
        <f>AND(IF(Metadata!G567="",FALSE,TRUE),exact(Metadata!G567,"mouse"))</f>
        <v>0</v>
      </c>
      <c r="AB567">
        <f>AND(IF(Metadata!H567="",FALSE,TRUE),exact(Metadata!H567,"Mus musculus"))</f>
        <v>0</v>
      </c>
      <c r="AC567">
        <f>AND(IF(Metadata!I567="",FALSE,TRUE),exact(Metadata!I567,"10090"))</f>
        <v>0</v>
      </c>
      <c r="AD567">
        <f>OR(AND(IF(Metadata!J567="",FALSE,TRUE),OR(exact(Metadata!J567,"not applicable"),exact(Metadata!J567,"missing: not collected"),exact(Metadata!J567,"missing: not provided"),exact(Metadata!J567,"missing: restricted access"))),AND(IF(Metadata!J567="",FALSE,ISNUMBER(VALUE(Metadata!J567))),Metadata!J567&gt;0))</f>
        <v>0</v>
      </c>
      <c r="AE567">
        <f>AND(IF(Metadata!K567="",FALSE,TRUE),exact(Metadata!K567,"g"))</f>
        <v>0</v>
      </c>
    </row>
    <row r="568" spans="1:31">
      <c r="A568" s="5">
        <f>IF(B568=" "," ",HYPERLINK(CONCATENATE("#metadata!",ADDRESS(INDEX($Q$2:$Q$1001,MATCH(ROWS($O$2:O568),$O$2:$O$1001,0),0),1)),INDEX($T$2:$T$1001,MATCH(ROWS($O$2:O568),$O$2:$O$1001,0),0)))</f>
        <v>0</v>
      </c>
      <c r="B568" s="4">
        <f>IF(OR(INDEX($P$2:$P$1001,MATCH(ROWS($O$2:O568),$O$2:$O$1001,0),1)&gt;=100000,INDEX($V$1005:$AE$1005,1,MATCH(COLUMNS($V$1006:V1006),$V$1006:$AE$1006,0))&gt;=100000), " ",IF(INDEX($V$2:$AE$1001,MATCH(ROWS($O$2:O568),$O$2:$O$1001,0),MATCH(COLUMNS($V$1006:V1006),$V$1006:$AE$1006,0)), HYPERLINK("#",""), HYPERLINK(CONCATENATE("#Metadata!", ADDRESS(INDEX($Q$2:$Q$1001,MATCH(ROWS($O$2:O568),$O$2:$O$1001,0),0), INDEX($V$1004:$AE$1004,1,MATCH(COLUMNS($V$1006:V1006),$V$1006:$AE$1006,0)))),"Fix")))</f>
        <v>0</v>
      </c>
      <c r="C568" s="4">
        <f>IF(OR(INDEX($P$2:$P$1001,MATCH(ROWS($O$2:O568),$O$2:$O$1001,0),1)&gt;=100000,INDEX($V$1005:$AE$1005,1,MATCH(COLUMNS($V$1006:W1006),$V$1006:$AE$1006,0))&gt;=100000), " ",IF(INDEX($V$2:$AE$1001,MATCH(ROWS($O$2:O568),$O$2:$O$1001,0),MATCH(COLUMNS($V$1006:W1006),$V$1006:$AE$1006,0)), HYPERLINK("#",""), HYPERLINK(CONCATENATE("#Metadata!", ADDRESS(INDEX($Q$2:$Q$1001,MATCH(ROWS($O$2:O568),$O$2:$O$1001,0),0), INDEX($V$1004:$AE$1004,1,MATCH(COLUMNS($V$1006:W1006),$V$1006:$AE$1006,0)))),"Fix")))</f>
        <v>0</v>
      </c>
      <c r="D568" s="4">
        <f>IF(OR(INDEX($P$2:$P$1001,MATCH(ROWS($O$2:O568),$O$2:$O$1001,0),1)&gt;=100000,INDEX($V$1005:$AE$1005,1,MATCH(COLUMNS($V$1006:X1006),$V$1006:$AE$1006,0))&gt;=100000), " ",IF(INDEX($V$2:$AE$1001,MATCH(ROWS($O$2:O568),$O$2:$O$1001,0),MATCH(COLUMNS($V$1006:X1006),$V$1006:$AE$1006,0)), HYPERLINK("#",""), HYPERLINK(CONCATENATE("#Metadata!", ADDRESS(INDEX($Q$2:$Q$1001,MATCH(ROWS($O$2:O568),$O$2:$O$1001,0),0), INDEX($V$1004:$AE$1004,1,MATCH(COLUMNS($V$1006:X1006),$V$1006:$AE$1006,0)))),"Fix")))</f>
        <v>0</v>
      </c>
      <c r="E568" s="4">
        <f>IF(OR(INDEX($P$2:$P$1001,MATCH(ROWS($O$2:O568),$O$2:$O$1001,0),1)&gt;=100000,INDEX($V$1005:$AE$1005,1,MATCH(COLUMNS($V$1006:Y1006),$V$1006:$AE$1006,0))&gt;=100000), " ",IF(INDEX($V$2:$AE$1001,MATCH(ROWS($O$2:O568),$O$2:$O$1001,0),MATCH(COLUMNS($V$1006:Y1006),$V$1006:$AE$1006,0)), HYPERLINK("#",""), HYPERLINK(CONCATENATE("#Metadata!", ADDRESS(INDEX($Q$2:$Q$1001,MATCH(ROWS($O$2:O568),$O$2:$O$1001,0),0), INDEX($V$1004:$AE$1004,1,MATCH(COLUMNS($V$1006:Y1006),$V$1006:$AE$1006,0)))),"Fix")))</f>
        <v>0</v>
      </c>
      <c r="F568" s="4">
        <f>IF(OR(INDEX($P$2:$P$1001,MATCH(ROWS($O$2:O568),$O$2:$O$1001,0),1)&gt;=100000,INDEX($V$1005:$AE$1005,1,MATCH(COLUMNS($V$1006:Z1006),$V$1006:$AE$1006,0))&gt;=100000), " ",IF(INDEX($V$2:$AE$1001,MATCH(ROWS($O$2:O568),$O$2:$O$1001,0),MATCH(COLUMNS($V$1006:Z1006),$V$1006:$AE$1006,0)), HYPERLINK("#",""), HYPERLINK(CONCATENATE("#Metadata!", ADDRESS(INDEX($Q$2:$Q$1001,MATCH(ROWS($O$2:O568),$O$2:$O$1001,0),0), INDEX($V$1004:$AE$1004,1,MATCH(COLUMNS($V$1006:Z1006),$V$1006:$AE$1006,0)))),"Fix")))</f>
        <v>0</v>
      </c>
      <c r="G568" s="4">
        <f>IF(OR(INDEX($P$2:$P$1001,MATCH(ROWS($O$2:O568),$O$2:$O$1001,0),1)&gt;=100000,INDEX($V$1005:$AE$1005,1,MATCH(COLUMNS($V$1006:AA1006),$V$1006:$AE$1006,0))&gt;=100000), " ",IF(INDEX($V$2:$AE$1001,MATCH(ROWS($O$2:O568),$O$2:$O$1001,0),MATCH(COLUMNS($V$1006:AA1006),$V$1006:$AE$1006,0)), HYPERLINK("#",""), HYPERLINK(CONCATENATE("#Metadata!", ADDRESS(INDEX($Q$2:$Q$1001,MATCH(ROWS($O$2:O568),$O$2:$O$1001,0),0), INDEX($V$1004:$AE$1004,1,MATCH(COLUMNS($V$1006:AA1006),$V$1006:$AE$1006,0)))),"Fix")))</f>
        <v>0</v>
      </c>
      <c r="H568" s="4">
        <f>IF(OR(INDEX($P$2:$P$1001,MATCH(ROWS($O$2:O568),$O$2:$O$1001,0),1)&gt;=100000,INDEX($V$1005:$AE$1005,1,MATCH(COLUMNS($V$1006:AB1006),$V$1006:$AE$1006,0))&gt;=100000), " ",IF(INDEX($V$2:$AE$1001,MATCH(ROWS($O$2:O568),$O$2:$O$1001,0),MATCH(COLUMNS($V$1006:AB1006),$V$1006:$AE$1006,0)), HYPERLINK("#",""), HYPERLINK(CONCATENATE("#Metadata!", ADDRESS(INDEX($Q$2:$Q$1001,MATCH(ROWS($O$2:O568),$O$2:$O$1001,0),0), INDEX($V$1004:$AE$1004,1,MATCH(COLUMNS($V$1006:AB1006),$V$1006:$AE$1006,0)))),"Fix")))</f>
        <v>0</v>
      </c>
      <c r="I568" s="4">
        <f>IF(OR(INDEX($P$2:$P$1001,MATCH(ROWS($O$2:O568),$O$2:$O$1001,0),1)&gt;=100000,INDEX($V$1005:$AE$1005,1,MATCH(COLUMNS($V$1006:AC1006),$V$1006:$AE$1006,0))&gt;=100000), " ",IF(INDEX($V$2:$AE$1001,MATCH(ROWS($O$2:O568),$O$2:$O$1001,0),MATCH(COLUMNS($V$1006:AC1006),$V$1006:$AE$1006,0)), HYPERLINK("#",""), HYPERLINK(CONCATENATE("#Metadata!", ADDRESS(INDEX($Q$2:$Q$1001,MATCH(ROWS($O$2:O568),$O$2:$O$1001,0),0), INDEX($V$1004:$AE$1004,1,MATCH(COLUMNS($V$1006:AC1006),$V$1006:$AE$1006,0)))),"Fix")))</f>
        <v>0</v>
      </c>
      <c r="J568" s="4">
        <f>IF(OR(INDEX($P$2:$P$1001,MATCH(ROWS($O$2:O568),$O$2:$O$1001,0),1)&gt;=100000,INDEX($V$1005:$AE$1005,1,MATCH(COLUMNS($V$1006:AD1006),$V$1006:$AE$1006,0))&gt;=100000), " ",IF(INDEX($V$2:$AE$1001,MATCH(ROWS($O$2:O568),$O$2:$O$1001,0),MATCH(COLUMNS($V$1006:AD1006),$V$1006:$AE$1006,0)), HYPERLINK("#",""), HYPERLINK(CONCATENATE("#Metadata!", ADDRESS(INDEX($Q$2:$Q$1001,MATCH(ROWS($O$2:O568),$O$2:$O$1001,0),0), INDEX($V$1004:$AE$1004,1,MATCH(COLUMNS($V$1006:AD1006),$V$1006:$AE$1006,0)))),"Fix")))</f>
        <v>0</v>
      </c>
      <c r="K568" s="4">
        <f>IF(OR(INDEX($P$2:$P$1001,MATCH(ROWS($O$2:O568),$O$2:$O$1001,0),1)&gt;=100000,INDEX($V$1005:$AE$1005,1,MATCH(COLUMNS($V$1006:AE1006),$V$1006:$AE$1006,0))&gt;=100000), " ",IF(INDEX($V$2:$AE$1001,MATCH(ROWS($O$2:O568),$O$2:$O$1001,0),MATCH(COLUMNS($V$1006:AE1006),$V$1006:$AE$1006,0)), HYPERLINK("#",""), HYPERLINK(CONCATENATE("#Metadata!", ADDRESS(INDEX($Q$2:$Q$1001,MATCH(ROWS($O$2:O568),$O$2:$O$1001,0),0), INDEX($V$1004:$AE$1004,1,MATCH(COLUMNS($V$1006:AE1006),$V$1006:$AE$1006,0)))),"Fix")))</f>
        <v>0</v>
      </c>
      <c r="O568">
        <v>0</v>
      </c>
      <c r="P568">
        <v>0</v>
      </c>
      <c r="Q568">
        <v>0</v>
      </c>
      <c r="R568">
        <f>IF(S568,TRUE,AND(V568:AE568))</f>
        <v>0</v>
      </c>
      <c r="S568">
        <f>COUNTBLANK(Metadata!B568:K568)=COLUMNS(Metadata!B568:K568)</f>
        <v>0</v>
      </c>
      <c r="T568">
        <v>0</v>
      </c>
      <c r="V568">
        <f>AND(IF(Metadata!B568="",FALSE,TRUE),COUNTIF(Metadata!B:B, Metadata!B568) = 1,NOT(ISERROR(SUMPRODUCT(SEARCH(MID(Metadata!B568,ROW(INDIRECT("1:"&amp;LEN(Metadata!B568))), 1),"0123456789abcdefghijklmnopqrstuvwxyzABCDEFGHIJKLMNOPQRSTUVWXYZ.")))))</f>
        <v>0</v>
      </c>
      <c r="W568">
        <f>AND(IF(Metadata!C568="",FALSE,TRUE),exact(Metadata!C568,"urban biome"))</f>
        <v>0</v>
      </c>
      <c r="X568">
        <f>AND(IF(Metadata!D568="",FALSE,TRUE),exact(Metadata!D568,"animal-associated habitat"))</f>
        <v>0</v>
      </c>
      <c r="Y568">
        <f>OR(AND(IF(Metadata!E568="",FALSE,TRUE),OR(exact(Metadata!E568,"not applicable"),exact(Metadata!E568,"missing: not collected"),exact(Metadata!E568,"missing: not provided"),exact(Metadata!E568,"missing: restricted access"))),AND(IF(Metadata!E568="",FALSE,ISNUMBER(VALUE(Metadata!E568))),Metadata!E568&gt;0))</f>
        <v>0</v>
      </c>
      <c r="Z568">
        <f>AND(IF(Metadata!F568="",FALSE,TRUE),exact(Metadata!F568,"weeks"))</f>
        <v>0</v>
      </c>
      <c r="AA568">
        <f>AND(IF(Metadata!G568="",FALSE,TRUE),exact(Metadata!G568,"mouse"))</f>
        <v>0</v>
      </c>
      <c r="AB568">
        <f>AND(IF(Metadata!H568="",FALSE,TRUE),exact(Metadata!H568,"Mus musculus"))</f>
        <v>0</v>
      </c>
      <c r="AC568">
        <f>AND(IF(Metadata!I568="",FALSE,TRUE),exact(Metadata!I568,"10090"))</f>
        <v>0</v>
      </c>
      <c r="AD568">
        <f>OR(AND(IF(Metadata!J568="",FALSE,TRUE),OR(exact(Metadata!J568,"not applicable"),exact(Metadata!J568,"missing: not collected"),exact(Metadata!J568,"missing: not provided"),exact(Metadata!J568,"missing: restricted access"))),AND(IF(Metadata!J568="",FALSE,ISNUMBER(VALUE(Metadata!J568))),Metadata!J568&gt;0))</f>
        <v>0</v>
      </c>
      <c r="AE568">
        <f>AND(IF(Metadata!K568="",FALSE,TRUE),exact(Metadata!K568,"g"))</f>
        <v>0</v>
      </c>
    </row>
    <row r="569" spans="1:31">
      <c r="A569" s="5">
        <f>IF(B569=" "," ",HYPERLINK(CONCATENATE("#metadata!",ADDRESS(INDEX($Q$2:$Q$1001,MATCH(ROWS($O$2:O569),$O$2:$O$1001,0),0),1)),INDEX($T$2:$T$1001,MATCH(ROWS($O$2:O569),$O$2:$O$1001,0),0)))</f>
        <v>0</v>
      </c>
      <c r="B569" s="4">
        <f>IF(OR(INDEX($P$2:$P$1001,MATCH(ROWS($O$2:O569),$O$2:$O$1001,0),1)&gt;=100000,INDEX($V$1005:$AE$1005,1,MATCH(COLUMNS($V$1006:V1006),$V$1006:$AE$1006,0))&gt;=100000), " ",IF(INDEX($V$2:$AE$1001,MATCH(ROWS($O$2:O569),$O$2:$O$1001,0),MATCH(COLUMNS($V$1006:V1006),$V$1006:$AE$1006,0)), HYPERLINK("#",""), HYPERLINK(CONCATENATE("#Metadata!", ADDRESS(INDEX($Q$2:$Q$1001,MATCH(ROWS($O$2:O569),$O$2:$O$1001,0),0), INDEX($V$1004:$AE$1004,1,MATCH(COLUMNS($V$1006:V1006),$V$1006:$AE$1006,0)))),"Fix")))</f>
        <v>0</v>
      </c>
      <c r="C569" s="4">
        <f>IF(OR(INDEX($P$2:$P$1001,MATCH(ROWS($O$2:O569),$O$2:$O$1001,0),1)&gt;=100000,INDEX($V$1005:$AE$1005,1,MATCH(COLUMNS($V$1006:W1006),$V$1006:$AE$1006,0))&gt;=100000), " ",IF(INDEX($V$2:$AE$1001,MATCH(ROWS($O$2:O569),$O$2:$O$1001,0),MATCH(COLUMNS($V$1006:W1006),$V$1006:$AE$1006,0)), HYPERLINK("#",""), HYPERLINK(CONCATENATE("#Metadata!", ADDRESS(INDEX($Q$2:$Q$1001,MATCH(ROWS($O$2:O569),$O$2:$O$1001,0),0), INDEX($V$1004:$AE$1004,1,MATCH(COLUMNS($V$1006:W1006),$V$1006:$AE$1006,0)))),"Fix")))</f>
        <v>0</v>
      </c>
      <c r="D569" s="4">
        <f>IF(OR(INDEX($P$2:$P$1001,MATCH(ROWS($O$2:O569),$O$2:$O$1001,0),1)&gt;=100000,INDEX($V$1005:$AE$1005,1,MATCH(COLUMNS($V$1006:X1006),$V$1006:$AE$1006,0))&gt;=100000), " ",IF(INDEX($V$2:$AE$1001,MATCH(ROWS($O$2:O569),$O$2:$O$1001,0),MATCH(COLUMNS($V$1006:X1006),$V$1006:$AE$1006,0)), HYPERLINK("#",""), HYPERLINK(CONCATENATE("#Metadata!", ADDRESS(INDEX($Q$2:$Q$1001,MATCH(ROWS($O$2:O569),$O$2:$O$1001,0),0), INDEX($V$1004:$AE$1004,1,MATCH(COLUMNS($V$1006:X1006),$V$1006:$AE$1006,0)))),"Fix")))</f>
        <v>0</v>
      </c>
      <c r="E569" s="4">
        <f>IF(OR(INDEX($P$2:$P$1001,MATCH(ROWS($O$2:O569),$O$2:$O$1001,0),1)&gt;=100000,INDEX($V$1005:$AE$1005,1,MATCH(COLUMNS($V$1006:Y1006),$V$1006:$AE$1006,0))&gt;=100000), " ",IF(INDEX($V$2:$AE$1001,MATCH(ROWS($O$2:O569),$O$2:$O$1001,0),MATCH(COLUMNS($V$1006:Y1006),$V$1006:$AE$1006,0)), HYPERLINK("#",""), HYPERLINK(CONCATENATE("#Metadata!", ADDRESS(INDEX($Q$2:$Q$1001,MATCH(ROWS($O$2:O569),$O$2:$O$1001,0),0), INDEX($V$1004:$AE$1004,1,MATCH(COLUMNS($V$1006:Y1006),$V$1006:$AE$1006,0)))),"Fix")))</f>
        <v>0</v>
      </c>
      <c r="F569" s="4">
        <f>IF(OR(INDEX($P$2:$P$1001,MATCH(ROWS($O$2:O569),$O$2:$O$1001,0),1)&gt;=100000,INDEX($V$1005:$AE$1005,1,MATCH(COLUMNS($V$1006:Z1006),$V$1006:$AE$1006,0))&gt;=100000), " ",IF(INDEX($V$2:$AE$1001,MATCH(ROWS($O$2:O569),$O$2:$O$1001,0),MATCH(COLUMNS($V$1006:Z1006),$V$1006:$AE$1006,0)), HYPERLINK("#",""), HYPERLINK(CONCATENATE("#Metadata!", ADDRESS(INDEX($Q$2:$Q$1001,MATCH(ROWS($O$2:O569),$O$2:$O$1001,0),0), INDEX($V$1004:$AE$1004,1,MATCH(COLUMNS($V$1006:Z1006),$V$1006:$AE$1006,0)))),"Fix")))</f>
        <v>0</v>
      </c>
      <c r="G569" s="4">
        <f>IF(OR(INDEX($P$2:$P$1001,MATCH(ROWS($O$2:O569),$O$2:$O$1001,0),1)&gt;=100000,INDEX($V$1005:$AE$1005,1,MATCH(COLUMNS($V$1006:AA1006),$V$1006:$AE$1006,0))&gt;=100000), " ",IF(INDEX($V$2:$AE$1001,MATCH(ROWS($O$2:O569),$O$2:$O$1001,0),MATCH(COLUMNS($V$1006:AA1006),$V$1006:$AE$1006,0)), HYPERLINK("#",""), HYPERLINK(CONCATENATE("#Metadata!", ADDRESS(INDEX($Q$2:$Q$1001,MATCH(ROWS($O$2:O569),$O$2:$O$1001,0),0), INDEX($V$1004:$AE$1004,1,MATCH(COLUMNS($V$1006:AA1006),$V$1006:$AE$1006,0)))),"Fix")))</f>
        <v>0</v>
      </c>
      <c r="H569" s="4">
        <f>IF(OR(INDEX($P$2:$P$1001,MATCH(ROWS($O$2:O569),$O$2:$O$1001,0),1)&gt;=100000,INDEX($V$1005:$AE$1005,1,MATCH(COLUMNS($V$1006:AB1006),$V$1006:$AE$1006,0))&gt;=100000), " ",IF(INDEX($V$2:$AE$1001,MATCH(ROWS($O$2:O569),$O$2:$O$1001,0),MATCH(COLUMNS($V$1006:AB1006),$V$1006:$AE$1006,0)), HYPERLINK("#",""), HYPERLINK(CONCATENATE("#Metadata!", ADDRESS(INDEX($Q$2:$Q$1001,MATCH(ROWS($O$2:O569),$O$2:$O$1001,0),0), INDEX($V$1004:$AE$1004,1,MATCH(COLUMNS($V$1006:AB1006),$V$1006:$AE$1006,0)))),"Fix")))</f>
        <v>0</v>
      </c>
      <c r="I569" s="4">
        <f>IF(OR(INDEX($P$2:$P$1001,MATCH(ROWS($O$2:O569),$O$2:$O$1001,0),1)&gt;=100000,INDEX($V$1005:$AE$1005,1,MATCH(COLUMNS($V$1006:AC1006),$V$1006:$AE$1006,0))&gt;=100000), " ",IF(INDEX($V$2:$AE$1001,MATCH(ROWS($O$2:O569),$O$2:$O$1001,0),MATCH(COLUMNS($V$1006:AC1006),$V$1006:$AE$1006,0)), HYPERLINK("#",""), HYPERLINK(CONCATENATE("#Metadata!", ADDRESS(INDEX($Q$2:$Q$1001,MATCH(ROWS($O$2:O569),$O$2:$O$1001,0),0), INDEX($V$1004:$AE$1004,1,MATCH(COLUMNS($V$1006:AC1006),$V$1006:$AE$1006,0)))),"Fix")))</f>
        <v>0</v>
      </c>
      <c r="J569" s="4">
        <f>IF(OR(INDEX($P$2:$P$1001,MATCH(ROWS($O$2:O569),$O$2:$O$1001,0),1)&gt;=100000,INDEX($V$1005:$AE$1005,1,MATCH(COLUMNS($V$1006:AD1006),$V$1006:$AE$1006,0))&gt;=100000), " ",IF(INDEX($V$2:$AE$1001,MATCH(ROWS($O$2:O569),$O$2:$O$1001,0),MATCH(COLUMNS($V$1006:AD1006),$V$1006:$AE$1006,0)), HYPERLINK("#",""), HYPERLINK(CONCATENATE("#Metadata!", ADDRESS(INDEX($Q$2:$Q$1001,MATCH(ROWS($O$2:O569),$O$2:$O$1001,0),0), INDEX($V$1004:$AE$1004,1,MATCH(COLUMNS($V$1006:AD1006),$V$1006:$AE$1006,0)))),"Fix")))</f>
        <v>0</v>
      </c>
      <c r="K569" s="4">
        <f>IF(OR(INDEX($P$2:$P$1001,MATCH(ROWS($O$2:O569),$O$2:$O$1001,0),1)&gt;=100000,INDEX($V$1005:$AE$1005,1,MATCH(COLUMNS($V$1006:AE1006),$V$1006:$AE$1006,0))&gt;=100000), " ",IF(INDEX($V$2:$AE$1001,MATCH(ROWS($O$2:O569),$O$2:$O$1001,0),MATCH(COLUMNS($V$1006:AE1006),$V$1006:$AE$1006,0)), HYPERLINK("#",""), HYPERLINK(CONCATENATE("#Metadata!", ADDRESS(INDEX($Q$2:$Q$1001,MATCH(ROWS($O$2:O569),$O$2:$O$1001,0),0), INDEX($V$1004:$AE$1004,1,MATCH(COLUMNS($V$1006:AE1006),$V$1006:$AE$1006,0)))),"Fix")))</f>
        <v>0</v>
      </c>
      <c r="O569">
        <v>0</v>
      </c>
      <c r="P569">
        <v>0</v>
      </c>
      <c r="Q569">
        <v>0</v>
      </c>
      <c r="R569">
        <f>IF(S569,TRUE,AND(V569:AE569))</f>
        <v>0</v>
      </c>
      <c r="S569">
        <f>COUNTBLANK(Metadata!B569:K569)=COLUMNS(Metadata!B569:K569)</f>
        <v>0</v>
      </c>
      <c r="T569">
        <v>0</v>
      </c>
      <c r="V569">
        <f>AND(IF(Metadata!B569="",FALSE,TRUE),COUNTIF(Metadata!B:B, Metadata!B569) = 1,NOT(ISERROR(SUMPRODUCT(SEARCH(MID(Metadata!B569,ROW(INDIRECT("1:"&amp;LEN(Metadata!B569))), 1),"0123456789abcdefghijklmnopqrstuvwxyzABCDEFGHIJKLMNOPQRSTUVWXYZ.")))))</f>
        <v>0</v>
      </c>
      <c r="W569">
        <f>AND(IF(Metadata!C569="",FALSE,TRUE),exact(Metadata!C569,"urban biome"))</f>
        <v>0</v>
      </c>
      <c r="X569">
        <f>AND(IF(Metadata!D569="",FALSE,TRUE),exact(Metadata!D569,"animal-associated habitat"))</f>
        <v>0</v>
      </c>
      <c r="Y569">
        <f>OR(AND(IF(Metadata!E569="",FALSE,TRUE),OR(exact(Metadata!E569,"not applicable"),exact(Metadata!E569,"missing: not collected"),exact(Metadata!E569,"missing: not provided"),exact(Metadata!E569,"missing: restricted access"))),AND(IF(Metadata!E569="",FALSE,ISNUMBER(VALUE(Metadata!E569))),Metadata!E569&gt;0))</f>
        <v>0</v>
      </c>
      <c r="Z569">
        <f>AND(IF(Metadata!F569="",FALSE,TRUE),exact(Metadata!F569,"weeks"))</f>
        <v>0</v>
      </c>
      <c r="AA569">
        <f>AND(IF(Metadata!G569="",FALSE,TRUE),exact(Metadata!G569,"mouse"))</f>
        <v>0</v>
      </c>
      <c r="AB569">
        <f>AND(IF(Metadata!H569="",FALSE,TRUE),exact(Metadata!H569,"Mus musculus"))</f>
        <v>0</v>
      </c>
      <c r="AC569">
        <f>AND(IF(Metadata!I569="",FALSE,TRUE),exact(Metadata!I569,"10090"))</f>
        <v>0</v>
      </c>
      <c r="AD569">
        <f>OR(AND(IF(Metadata!J569="",FALSE,TRUE),OR(exact(Metadata!J569,"not applicable"),exact(Metadata!J569,"missing: not collected"),exact(Metadata!J569,"missing: not provided"),exact(Metadata!J569,"missing: restricted access"))),AND(IF(Metadata!J569="",FALSE,ISNUMBER(VALUE(Metadata!J569))),Metadata!J569&gt;0))</f>
        <v>0</v>
      </c>
      <c r="AE569">
        <f>AND(IF(Metadata!K569="",FALSE,TRUE),exact(Metadata!K569,"g"))</f>
        <v>0</v>
      </c>
    </row>
    <row r="570" spans="1:31">
      <c r="A570" s="5">
        <f>IF(B570=" "," ",HYPERLINK(CONCATENATE("#metadata!",ADDRESS(INDEX($Q$2:$Q$1001,MATCH(ROWS($O$2:O570),$O$2:$O$1001,0),0),1)),INDEX($T$2:$T$1001,MATCH(ROWS($O$2:O570),$O$2:$O$1001,0),0)))</f>
        <v>0</v>
      </c>
      <c r="B570" s="4">
        <f>IF(OR(INDEX($P$2:$P$1001,MATCH(ROWS($O$2:O570),$O$2:$O$1001,0),1)&gt;=100000,INDEX($V$1005:$AE$1005,1,MATCH(COLUMNS($V$1006:V1006),$V$1006:$AE$1006,0))&gt;=100000), " ",IF(INDEX($V$2:$AE$1001,MATCH(ROWS($O$2:O570),$O$2:$O$1001,0),MATCH(COLUMNS($V$1006:V1006),$V$1006:$AE$1006,0)), HYPERLINK("#",""), HYPERLINK(CONCATENATE("#Metadata!", ADDRESS(INDEX($Q$2:$Q$1001,MATCH(ROWS($O$2:O570),$O$2:$O$1001,0),0), INDEX($V$1004:$AE$1004,1,MATCH(COLUMNS($V$1006:V1006),$V$1006:$AE$1006,0)))),"Fix")))</f>
        <v>0</v>
      </c>
      <c r="C570" s="4">
        <f>IF(OR(INDEX($P$2:$P$1001,MATCH(ROWS($O$2:O570),$O$2:$O$1001,0),1)&gt;=100000,INDEX($V$1005:$AE$1005,1,MATCH(COLUMNS($V$1006:W1006),$V$1006:$AE$1006,0))&gt;=100000), " ",IF(INDEX($V$2:$AE$1001,MATCH(ROWS($O$2:O570),$O$2:$O$1001,0),MATCH(COLUMNS($V$1006:W1006),$V$1006:$AE$1006,0)), HYPERLINK("#",""), HYPERLINK(CONCATENATE("#Metadata!", ADDRESS(INDEX($Q$2:$Q$1001,MATCH(ROWS($O$2:O570),$O$2:$O$1001,0),0), INDEX($V$1004:$AE$1004,1,MATCH(COLUMNS($V$1006:W1006),$V$1006:$AE$1006,0)))),"Fix")))</f>
        <v>0</v>
      </c>
      <c r="D570" s="4">
        <f>IF(OR(INDEX($P$2:$P$1001,MATCH(ROWS($O$2:O570),$O$2:$O$1001,0),1)&gt;=100000,INDEX($V$1005:$AE$1005,1,MATCH(COLUMNS($V$1006:X1006),$V$1006:$AE$1006,0))&gt;=100000), " ",IF(INDEX($V$2:$AE$1001,MATCH(ROWS($O$2:O570),$O$2:$O$1001,0),MATCH(COLUMNS($V$1006:X1006),$V$1006:$AE$1006,0)), HYPERLINK("#",""), HYPERLINK(CONCATENATE("#Metadata!", ADDRESS(INDEX($Q$2:$Q$1001,MATCH(ROWS($O$2:O570),$O$2:$O$1001,0),0), INDEX($V$1004:$AE$1004,1,MATCH(COLUMNS($V$1006:X1006),$V$1006:$AE$1006,0)))),"Fix")))</f>
        <v>0</v>
      </c>
      <c r="E570" s="4">
        <f>IF(OR(INDEX($P$2:$P$1001,MATCH(ROWS($O$2:O570),$O$2:$O$1001,0),1)&gt;=100000,INDEX($V$1005:$AE$1005,1,MATCH(COLUMNS($V$1006:Y1006),$V$1006:$AE$1006,0))&gt;=100000), " ",IF(INDEX($V$2:$AE$1001,MATCH(ROWS($O$2:O570),$O$2:$O$1001,0),MATCH(COLUMNS($V$1006:Y1006),$V$1006:$AE$1006,0)), HYPERLINK("#",""), HYPERLINK(CONCATENATE("#Metadata!", ADDRESS(INDEX($Q$2:$Q$1001,MATCH(ROWS($O$2:O570),$O$2:$O$1001,0),0), INDEX($V$1004:$AE$1004,1,MATCH(COLUMNS($V$1006:Y1006),$V$1006:$AE$1006,0)))),"Fix")))</f>
        <v>0</v>
      </c>
      <c r="F570" s="4">
        <f>IF(OR(INDEX($P$2:$P$1001,MATCH(ROWS($O$2:O570),$O$2:$O$1001,0),1)&gt;=100000,INDEX($V$1005:$AE$1005,1,MATCH(COLUMNS($V$1006:Z1006),$V$1006:$AE$1006,0))&gt;=100000), " ",IF(INDEX($V$2:$AE$1001,MATCH(ROWS($O$2:O570),$O$2:$O$1001,0),MATCH(COLUMNS($V$1006:Z1006),$V$1006:$AE$1006,0)), HYPERLINK("#",""), HYPERLINK(CONCATENATE("#Metadata!", ADDRESS(INDEX($Q$2:$Q$1001,MATCH(ROWS($O$2:O570),$O$2:$O$1001,0),0), INDEX($V$1004:$AE$1004,1,MATCH(COLUMNS($V$1006:Z1006),$V$1006:$AE$1006,0)))),"Fix")))</f>
        <v>0</v>
      </c>
      <c r="G570" s="4">
        <f>IF(OR(INDEX($P$2:$P$1001,MATCH(ROWS($O$2:O570),$O$2:$O$1001,0),1)&gt;=100000,INDEX($V$1005:$AE$1005,1,MATCH(COLUMNS($V$1006:AA1006),$V$1006:$AE$1006,0))&gt;=100000), " ",IF(INDEX($V$2:$AE$1001,MATCH(ROWS($O$2:O570),$O$2:$O$1001,0),MATCH(COLUMNS($V$1006:AA1006),$V$1006:$AE$1006,0)), HYPERLINK("#",""), HYPERLINK(CONCATENATE("#Metadata!", ADDRESS(INDEX($Q$2:$Q$1001,MATCH(ROWS($O$2:O570),$O$2:$O$1001,0),0), INDEX($V$1004:$AE$1004,1,MATCH(COLUMNS($V$1006:AA1006),$V$1006:$AE$1006,0)))),"Fix")))</f>
        <v>0</v>
      </c>
      <c r="H570" s="4">
        <f>IF(OR(INDEX($P$2:$P$1001,MATCH(ROWS($O$2:O570),$O$2:$O$1001,0),1)&gt;=100000,INDEX($V$1005:$AE$1005,1,MATCH(COLUMNS($V$1006:AB1006),$V$1006:$AE$1006,0))&gt;=100000), " ",IF(INDEX($V$2:$AE$1001,MATCH(ROWS($O$2:O570),$O$2:$O$1001,0),MATCH(COLUMNS($V$1006:AB1006),$V$1006:$AE$1006,0)), HYPERLINK("#",""), HYPERLINK(CONCATENATE("#Metadata!", ADDRESS(INDEX($Q$2:$Q$1001,MATCH(ROWS($O$2:O570),$O$2:$O$1001,0),0), INDEX($V$1004:$AE$1004,1,MATCH(COLUMNS($V$1006:AB1006),$V$1006:$AE$1006,0)))),"Fix")))</f>
        <v>0</v>
      </c>
      <c r="I570" s="4">
        <f>IF(OR(INDEX($P$2:$P$1001,MATCH(ROWS($O$2:O570),$O$2:$O$1001,0),1)&gt;=100000,INDEX($V$1005:$AE$1005,1,MATCH(COLUMNS($V$1006:AC1006),$V$1006:$AE$1006,0))&gt;=100000), " ",IF(INDEX($V$2:$AE$1001,MATCH(ROWS($O$2:O570),$O$2:$O$1001,0),MATCH(COLUMNS($V$1006:AC1006),$V$1006:$AE$1006,0)), HYPERLINK("#",""), HYPERLINK(CONCATENATE("#Metadata!", ADDRESS(INDEX($Q$2:$Q$1001,MATCH(ROWS($O$2:O570),$O$2:$O$1001,0),0), INDEX($V$1004:$AE$1004,1,MATCH(COLUMNS($V$1006:AC1006),$V$1006:$AE$1006,0)))),"Fix")))</f>
        <v>0</v>
      </c>
      <c r="J570" s="4">
        <f>IF(OR(INDEX($P$2:$P$1001,MATCH(ROWS($O$2:O570),$O$2:$O$1001,0),1)&gt;=100000,INDEX($V$1005:$AE$1005,1,MATCH(COLUMNS($V$1006:AD1006),$V$1006:$AE$1006,0))&gt;=100000), " ",IF(INDEX($V$2:$AE$1001,MATCH(ROWS($O$2:O570),$O$2:$O$1001,0),MATCH(COLUMNS($V$1006:AD1006),$V$1006:$AE$1006,0)), HYPERLINK("#",""), HYPERLINK(CONCATENATE("#Metadata!", ADDRESS(INDEX($Q$2:$Q$1001,MATCH(ROWS($O$2:O570),$O$2:$O$1001,0),0), INDEX($V$1004:$AE$1004,1,MATCH(COLUMNS($V$1006:AD1006),$V$1006:$AE$1006,0)))),"Fix")))</f>
        <v>0</v>
      </c>
      <c r="K570" s="4">
        <f>IF(OR(INDEX($P$2:$P$1001,MATCH(ROWS($O$2:O570),$O$2:$O$1001,0),1)&gt;=100000,INDEX($V$1005:$AE$1005,1,MATCH(COLUMNS($V$1006:AE1006),$V$1006:$AE$1006,0))&gt;=100000), " ",IF(INDEX($V$2:$AE$1001,MATCH(ROWS($O$2:O570),$O$2:$O$1001,0),MATCH(COLUMNS($V$1006:AE1006),$V$1006:$AE$1006,0)), HYPERLINK("#",""), HYPERLINK(CONCATENATE("#Metadata!", ADDRESS(INDEX($Q$2:$Q$1001,MATCH(ROWS($O$2:O570),$O$2:$O$1001,0),0), INDEX($V$1004:$AE$1004,1,MATCH(COLUMNS($V$1006:AE1006),$V$1006:$AE$1006,0)))),"Fix")))</f>
        <v>0</v>
      </c>
      <c r="O570">
        <v>0</v>
      </c>
      <c r="P570">
        <v>0</v>
      </c>
      <c r="Q570">
        <v>0</v>
      </c>
      <c r="R570">
        <f>IF(S570,TRUE,AND(V570:AE570))</f>
        <v>0</v>
      </c>
      <c r="S570">
        <f>COUNTBLANK(Metadata!B570:K570)=COLUMNS(Metadata!B570:K570)</f>
        <v>0</v>
      </c>
      <c r="T570">
        <v>0</v>
      </c>
      <c r="V570">
        <f>AND(IF(Metadata!B570="",FALSE,TRUE),COUNTIF(Metadata!B:B, Metadata!B570) = 1,NOT(ISERROR(SUMPRODUCT(SEARCH(MID(Metadata!B570,ROW(INDIRECT("1:"&amp;LEN(Metadata!B570))), 1),"0123456789abcdefghijklmnopqrstuvwxyzABCDEFGHIJKLMNOPQRSTUVWXYZ.")))))</f>
        <v>0</v>
      </c>
      <c r="W570">
        <f>AND(IF(Metadata!C570="",FALSE,TRUE),exact(Metadata!C570,"urban biome"))</f>
        <v>0</v>
      </c>
      <c r="X570">
        <f>AND(IF(Metadata!D570="",FALSE,TRUE),exact(Metadata!D570,"animal-associated habitat"))</f>
        <v>0</v>
      </c>
      <c r="Y570">
        <f>OR(AND(IF(Metadata!E570="",FALSE,TRUE),OR(exact(Metadata!E570,"not applicable"),exact(Metadata!E570,"missing: not collected"),exact(Metadata!E570,"missing: not provided"),exact(Metadata!E570,"missing: restricted access"))),AND(IF(Metadata!E570="",FALSE,ISNUMBER(VALUE(Metadata!E570))),Metadata!E570&gt;0))</f>
        <v>0</v>
      </c>
      <c r="Z570">
        <f>AND(IF(Metadata!F570="",FALSE,TRUE),exact(Metadata!F570,"weeks"))</f>
        <v>0</v>
      </c>
      <c r="AA570">
        <f>AND(IF(Metadata!G570="",FALSE,TRUE),exact(Metadata!G570,"mouse"))</f>
        <v>0</v>
      </c>
      <c r="AB570">
        <f>AND(IF(Metadata!H570="",FALSE,TRUE),exact(Metadata!H570,"Mus musculus"))</f>
        <v>0</v>
      </c>
      <c r="AC570">
        <f>AND(IF(Metadata!I570="",FALSE,TRUE),exact(Metadata!I570,"10090"))</f>
        <v>0</v>
      </c>
      <c r="AD570">
        <f>OR(AND(IF(Metadata!J570="",FALSE,TRUE),OR(exact(Metadata!J570,"not applicable"),exact(Metadata!J570,"missing: not collected"),exact(Metadata!J570,"missing: not provided"),exact(Metadata!J570,"missing: restricted access"))),AND(IF(Metadata!J570="",FALSE,ISNUMBER(VALUE(Metadata!J570))),Metadata!J570&gt;0))</f>
        <v>0</v>
      </c>
      <c r="AE570">
        <f>AND(IF(Metadata!K570="",FALSE,TRUE),exact(Metadata!K570,"g"))</f>
        <v>0</v>
      </c>
    </row>
    <row r="571" spans="1:31">
      <c r="A571" s="5">
        <f>IF(B571=" "," ",HYPERLINK(CONCATENATE("#metadata!",ADDRESS(INDEX($Q$2:$Q$1001,MATCH(ROWS($O$2:O571),$O$2:$O$1001,0),0),1)),INDEX($T$2:$T$1001,MATCH(ROWS($O$2:O571),$O$2:$O$1001,0),0)))</f>
        <v>0</v>
      </c>
      <c r="B571" s="4">
        <f>IF(OR(INDEX($P$2:$P$1001,MATCH(ROWS($O$2:O571),$O$2:$O$1001,0),1)&gt;=100000,INDEX($V$1005:$AE$1005,1,MATCH(COLUMNS($V$1006:V1006),$V$1006:$AE$1006,0))&gt;=100000), " ",IF(INDEX($V$2:$AE$1001,MATCH(ROWS($O$2:O571),$O$2:$O$1001,0),MATCH(COLUMNS($V$1006:V1006),$V$1006:$AE$1006,0)), HYPERLINK("#",""), HYPERLINK(CONCATENATE("#Metadata!", ADDRESS(INDEX($Q$2:$Q$1001,MATCH(ROWS($O$2:O571),$O$2:$O$1001,0),0), INDEX($V$1004:$AE$1004,1,MATCH(COLUMNS($V$1006:V1006),$V$1006:$AE$1006,0)))),"Fix")))</f>
        <v>0</v>
      </c>
      <c r="C571" s="4">
        <f>IF(OR(INDEX($P$2:$P$1001,MATCH(ROWS($O$2:O571),$O$2:$O$1001,0),1)&gt;=100000,INDEX($V$1005:$AE$1005,1,MATCH(COLUMNS($V$1006:W1006),$V$1006:$AE$1006,0))&gt;=100000), " ",IF(INDEX($V$2:$AE$1001,MATCH(ROWS($O$2:O571),$O$2:$O$1001,0),MATCH(COLUMNS($V$1006:W1006),$V$1006:$AE$1006,0)), HYPERLINK("#",""), HYPERLINK(CONCATENATE("#Metadata!", ADDRESS(INDEX($Q$2:$Q$1001,MATCH(ROWS($O$2:O571),$O$2:$O$1001,0),0), INDEX($V$1004:$AE$1004,1,MATCH(COLUMNS($V$1006:W1006),$V$1006:$AE$1006,0)))),"Fix")))</f>
        <v>0</v>
      </c>
      <c r="D571" s="4">
        <f>IF(OR(INDEX($P$2:$P$1001,MATCH(ROWS($O$2:O571),$O$2:$O$1001,0),1)&gt;=100000,INDEX($V$1005:$AE$1005,1,MATCH(COLUMNS($V$1006:X1006),$V$1006:$AE$1006,0))&gt;=100000), " ",IF(INDEX($V$2:$AE$1001,MATCH(ROWS($O$2:O571),$O$2:$O$1001,0),MATCH(COLUMNS($V$1006:X1006),$V$1006:$AE$1006,0)), HYPERLINK("#",""), HYPERLINK(CONCATENATE("#Metadata!", ADDRESS(INDEX($Q$2:$Q$1001,MATCH(ROWS($O$2:O571),$O$2:$O$1001,0),0), INDEX($V$1004:$AE$1004,1,MATCH(COLUMNS($V$1006:X1006),$V$1006:$AE$1006,0)))),"Fix")))</f>
        <v>0</v>
      </c>
      <c r="E571" s="4">
        <f>IF(OR(INDEX($P$2:$P$1001,MATCH(ROWS($O$2:O571),$O$2:$O$1001,0),1)&gt;=100000,INDEX($V$1005:$AE$1005,1,MATCH(COLUMNS($V$1006:Y1006),$V$1006:$AE$1006,0))&gt;=100000), " ",IF(INDEX($V$2:$AE$1001,MATCH(ROWS($O$2:O571),$O$2:$O$1001,0),MATCH(COLUMNS($V$1006:Y1006),$V$1006:$AE$1006,0)), HYPERLINK("#",""), HYPERLINK(CONCATENATE("#Metadata!", ADDRESS(INDEX($Q$2:$Q$1001,MATCH(ROWS($O$2:O571),$O$2:$O$1001,0),0), INDEX($V$1004:$AE$1004,1,MATCH(COLUMNS($V$1006:Y1006),$V$1006:$AE$1006,0)))),"Fix")))</f>
        <v>0</v>
      </c>
      <c r="F571" s="4">
        <f>IF(OR(INDEX($P$2:$P$1001,MATCH(ROWS($O$2:O571),$O$2:$O$1001,0),1)&gt;=100000,INDEX($V$1005:$AE$1005,1,MATCH(COLUMNS($V$1006:Z1006),$V$1006:$AE$1006,0))&gt;=100000), " ",IF(INDEX($V$2:$AE$1001,MATCH(ROWS($O$2:O571),$O$2:$O$1001,0),MATCH(COLUMNS($V$1006:Z1006),$V$1006:$AE$1006,0)), HYPERLINK("#",""), HYPERLINK(CONCATENATE("#Metadata!", ADDRESS(INDEX($Q$2:$Q$1001,MATCH(ROWS($O$2:O571),$O$2:$O$1001,0),0), INDEX($V$1004:$AE$1004,1,MATCH(COLUMNS($V$1006:Z1006),$V$1006:$AE$1006,0)))),"Fix")))</f>
        <v>0</v>
      </c>
      <c r="G571" s="4">
        <f>IF(OR(INDEX($P$2:$P$1001,MATCH(ROWS($O$2:O571),$O$2:$O$1001,0),1)&gt;=100000,INDEX($V$1005:$AE$1005,1,MATCH(COLUMNS($V$1006:AA1006),$V$1006:$AE$1006,0))&gt;=100000), " ",IF(INDEX($V$2:$AE$1001,MATCH(ROWS($O$2:O571),$O$2:$O$1001,0),MATCH(COLUMNS($V$1006:AA1006),$V$1006:$AE$1006,0)), HYPERLINK("#",""), HYPERLINK(CONCATENATE("#Metadata!", ADDRESS(INDEX($Q$2:$Q$1001,MATCH(ROWS($O$2:O571),$O$2:$O$1001,0),0), INDEX($V$1004:$AE$1004,1,MATCH(COLUMNS($V$1006:AA1006),$V$1006:$AE$1006,0)))),"Fix")))</f>
        <v>0</v>
      </c>
      <c r="H571" s="4">
        <f>IF(OR(INDEX($P$2:$P$1001,MATCH(ROWS($O$2:O571),$O$2:$O$1001,0),1)&gt;=100000,INDEX($V$1005:$AE$1005,1,MATCH(COLUMNS($V$1006:AB1006),$V$1006:$AE$1006,0))&gt;=100000), " ",IF(INDEX($V$2:$AE$1001,MATCH(ROWS($O$2:O571),$O$2:$O$1001,0),MATCH(COLUMNS($V$1006:AB1006),$V$1006:$AE$1006,0)), HYPERLINK("#",""), HYPERLINK(CONCATENATE("#Metadata!", ADDRESS(INDEX($Q$2:$Q$1001,MATCH(ROWS($O$2:O571),$O$2:$O$1001,0),0), INDEX($V$1004:$AE$1004,1,MATCH(COLUMNS($V$1006:AB1006),$V$1006:$AE$1006,0)))),"Fix")))</f>
        <v>0</v>
      </c>
      <c r="I571" s="4">
        <f>IF(OR(INDEX($P$2:$P$1001,MATCH(ROWS($O$2:O571),$O$2:$O$1001,0),1)&gt;=100000,INDEX($V$1005:$AE$1005,1,MATCH(COLUMNS($V$1006:AC1006),$V$1006:$AE$1006,0))&gt;=100000), " ",IF(INDEX($V$2:$AE$1001,MATCH(ROWS($O$2:O571),$O$2:$O$1001,0),MATCH(COLUMNS($V$1006:AC1006),$V$1006:$AE$1006,0)), HYPERLINK("#",""), HYPERLINK(CONCATENATE("#Metadata!", ADDRESS(INDEX($Q$2:$Q$1001,MATCH(ROWS($O$2:O571),$O$2:$O$1001,0),0), INDEX($V$1004:$AE$1004,1,MATCH(COLUMNS($V$1006:AC1006),$V$1006:$AE$1006,0)))),"Fix")))</f>
        <v>0</v>
      </c>
      <c r="J571" s="4">
        <f>IF(OR(INDEX($P$2:$P$1001,MATCH(ROWS($O$2:O571),$O$2:$O$1001,0),1)&gt;=100000,INDEX($V$1005:$AE$1005,1,MATCH(COLUMNS($V$1006:AD1006),$V$1006:$AE$1006,0))&gt;=100000), " ",IF(INDEX($V$2:$AE$1001,MATCH(ROWS($O$2:O571),$O$2:$O$1001,0),MATCH(COLUMNS($V$1006:AD1006),$V$1006:$AE$1006,0)), HYPERLINK("#",""), HYPERLINK(CONCATENATE("#Metadata!", ADDRESS(INDEX($Q$2:$Q$1001,MATCH(ROWS($O$2:O571),$O$2:$O$1001,0),0), INDEX($V$1004:$AE$1004,1,MATCH(COLUMNS($V$1006:AD1006),$V$1006:$AE$1006,0)))),"Fix")))</f>
        <v>0</v>
      </c>
      <c r="K571" s="4">
        <f>IF(OR(INDEX($P$2:$P$1001,MATCH(ROWS($O$2:O571),$O$2:$O$1001,0),1)&gt;=100000,INDEX($V$1005:$AE$1005,1,MATCH(COLUMNS($V$1006:AE1006),$V$1006:$AE$1006,0))&gt;=100000), " ",IF(INDEX($V$2:$AE$1001,MATCH(ROWS($O$2:O571),$O$2:$O$1001,0),MATCH(COLUMNS($V$1006:AE1006),$V$1006:$AE$1006,0)), HYPERLINK("#",""), HYPERLINK(CONCATENATE("#Metadata!", ADDRESS(INDEX($Q$2:$Q$1001,MATCH(ROWS($O$2:O571),$O$2:$O$1001,0),0), INDEX($V$1004:$AE$1004,1,MATCH(COLUMNS($V$1006:AE1006),$V$1006:$AE$1006,0)))),"Fix")))</f>
        <v>0</v>
      </c>
      <c r="O571">
        <v>0</v>
      </c>
      <c r="P571">
        <v>0</v>
      </c>
      <c r="Q571">
        <v>0</v>
      </c>
      <c r="R571">
        <f>IF(S571,TRUE,AND(V571:AE571))</f>
        <v>0</v>
      </c>
      <c r="S571">
        <f>COUNTBLANK(Metadata!B571:K571)=COLUMNS(Metadata!B571:K571)</f>
        <v>0</v>
      </c>
      <c r="T571">
        <v>0</v>
      </c>
      <c r="V571">
        <f>AND(IF(Metadata!B571="",FALSE,TRUE),COUNTIF(Metadata!B:B, Metadata!B571) = 1,NOT(ISERROR(SUMPRODUCT(SEARCH(MID(Metadata!B571,ROW(INDIRECT("1:"&amp;LEN(Metadata!B571))), 1),"0123456789abcdefghijklmnopqrstuvwxyzABCDEFGHIJKLMNOPQRSTUVWXYZ.")))))</f>
        <v>0</v>
      </c>
      <c r="W571">
        <f>AND(IF(Metadata!C571="",FALSE,TRUE),exact(Metadata!C571,"urban biome"))</f>
        <v>0</v>
      </c>
      <c r="X571">
        <f>AND(IF(Metadata!D571="",FALSE,TRUE),exact(Metadata!D571,"animal-associated habitat"))</f>
        <v>0</v>
      </c>
      <c r="Y571">
        <f>OR(AND(IF(Metadata!E571="",FALSE,TRUE),OR(exact(Metadata!E571,"not applicable"),exact(Metadata!E571,"missing: not collected"),exact(Metadata!E571,"missing: not provided"),exact(Metadata!E571,"missing: restricted access"))),AND(IF(Metadata!E571="",FALSE,ISNUMBER(VALUE(Metadata!E571))),Metadata!E571&gt;0))</f>
        <v>0</v>
      </c>
      <c r="Z571">
        <f>AND(IF(Metadata!F571="",FALSE,TRUE),exact(Metadata!F571,"weeks"))</f>
        <v>0</v>
      </c>
      <c r="AA571">
        <f>AND(IF(Metadata!G571="",FALSE,TRUE),exact(Metadata!G571,"mouse"))</f>
        <v>0</v>
      </c>
      <c r="AB571">
        <f>AND(IF(Metadata!H571="",FALSE,TRUE),exact(Metadata!H571,"Mus musculus"))</f>
        <v>0</v>
      </c>
      <c r="AC571">
        <f>AND(IF(Metadata!I571="",FALSE,TRUE),exact(Metadata!I571,"10090"))</f>
        <v>0</v>
      </c>
      <c r="AD571">
        <f>OR(AND(IF(Metadata!J571="",FALSE,TRUE),OR(exact(Metadata!J571,"not applicable"),exact(Metadata!J571,"missing: not collected"),exact(Metadata!J571,"missing: not provided"),exact(Metadata!J571,"missing: restricted access"))),AND(IF(Metadata!J571="",FALSE,ISNUMBER(VALUE(Metadata!J571))),Metadata!J571&gt;0))</f>
        <v>0</v>
      </c>
      <c r="AE571">
        <f>AND(IF(Metadata!K571="",FALSE,TRUE),exact(Metadata!K571,"g"))</f>
        <v>0</v>
      </c>
    </row>
    <row r="572" spans="1:31">
      <c r="A572" s="5">
        <f>IF(B572=" "," ",HYPERLINK(CONCATENATE("#metadata!",ADDRESS(INDEX($Q$2:$Q$1001,MATCH(ROWS($O$2:O572),$O$2:$O$1001,0),0),1)),INDEX($T$2:$T$1001,MATCH(ROWS($O$2:O572),$O$2:$O$1001,0),0)))</f>
        <v>0</v>
      </c>
      <c r="B572" s="4">
        <f>IF(OR(INDEX($P$2:$P$1001,MATCH(ROWS($O$2:O572),$O$2:$O$1001,0),1)&gt;=100000,INDEX($V$1005:$AE$1005,1,MATCH(COLUMNS($V$1006:V1006),$V$1006:$AE$1006,0))&gt;=100000), " ",IF(INDEX($V$2:$AE$1001,MATCH(ROWS($O$2:O572),$O$2:$O$1001,0),MATCH(COLUMNS($V$1006:V1006),$V$1006:$AE$1006,0)), HYPERLINK("#",""), HYPERLINK(CONCATENATE("#Metadata!", ADDRESS(INDEX($Q$2:$Q$1001,MATCH(ROWS($O$2:O572),$O$2:$O$1001,0),0), INDEX($V$1004:$AE$1004,1,MATCH(COLUMNS($V$1006:V1006),$V$1006:$AE$1006,0)))),"Fix")))</f>
        <v>0</v>
      </c>
      <c r="C572" s="4">
        <f>IF(OR(INDEX($P$2:$P$1001,MATCH(ROWS($O$2:O572),$O$2:$O$1001,0),1)&gt;=100000,INDEX($V$1005:$AE$1005,1,MATCH(COLUMNS($V$1006:W1006),$V$1006:$AE$1006,0))&gt;=100000), " ",IF(INDEX($V$2:$AE$1001,MATCH(ROWS($O$2:O572),$O$2:$O$1001,0),MATCH(COLUMNS($V$1006:W1006),$V$1006:$AE$1006,0)), HYPERLINK("#",""), HYPERLINK(CONCATENATE("#Metadata!", ADDRESS(INDEX($Q$2:$Q$1001,MATCH(ROWS($O$2:O572),$O$2:$O$1001,0),0), INDEX($V$1004:$AE$1004,1,MATCH(COLUMNS($V$1006:W1006),$V$1006:$AE$1006,0)))),"Fix")))</f>
        <v>0</v>
      </c>
      <c r="D572" s="4">
        <f>IF(OR(INDEX($P$2:$P$1001,MATCH(ROWS($O$2:O572),$O$2:$O$1001,0),1)&gt;=100000,INDEX($V$1005:$AE$1005,1,MATCH(COLUMNS($V$1006:X1006),$V$1006:$AE$1006,0))&gt;=100000), " ",IF(INDEX($V$2:$AE$1001,MATCH(ROWS($O$2:O572),$O$2:$O$1001,0),MATCH(COLUMNS($V$1006:X1006),$V$1006:$AE$1006,0)), HYPERLINK("#",""), HYPERLINK(CONCATENATE("#Metadata!", ADDRESS(INDEX($Q$2:$Q$1001,MATCH(ROWS($O$2:O572),$O$2:$O$1001,0),0), INDEX($V$1004:$AE$1004,1,MATCH(COLUMNS($V$1006:X1006),$V$1006:$AE$1006,0)))),"Fix")))</f>
        <v>0</v>
      </c>
      <c r="E572" s="4">
        <f>IF(OR(INDEX($P$2:$P$1001,MATCH(ROWS($O$2:O572),$O$2:$O$1001,0),1)&gt;=100000,INDEX($V$1005:$AE$1005,1,MATCH(COLUMNS($V$1006:Y1006),$V$1006:$AE$1006,0))&gt;=100000), " ",IF(INDEX($V$2:$AE$1001,MATCH(ROWS($O$2:O572),$O$2:$O$1001,0),MATCH(COLUMNS($V$1006:Y1006),$V$1006:$AE$1006,0)), HYPERLINK("#",""), HYPERLINK(CONCATENATE("#Metadata!", ADDRESS(INDEX($Q$2:$Q$1001,MATCH(ROWS($O$2:O572),$O$2:$O$1001,0),0), INDEX($V$1004:$AE$1004,1,MATCH(COLUMNS($V$1006:Y1006),$V$1006:$AE$1006,0)))),"Fix")))</f>
        <v>0</v>
      </c>
      <c r="F572" s="4">
        <f>IF(OR(INDEX($P$2:$P$1001,MATCH(ROWS($O$2:O572),$O$2:$O$1001,0),1)&gt;=100000,INDEX($V$1005:$AE$1005,1,MATCH(COLUMNS($V$1006:Z1006),$V$1006:$AE$1006,0))&gt;=100000), " ",IF(INDEX($V$2:$AE$1001,MATCH(ROWS($O$2:O572),$O$2:$O$1001,0),MATCH(COLUMNS($V$1006:Z1006),$V$1006:$AE$1006,0)), HYPERLINK("#",""), HYPERLINK(CONCATENATE("#Metadata!", ADDRESS(INDEX($Q$2:$Q$1001,MATCH(ROWS($O$2:O572),$O$2:$O$1001,0),0), INDEX($V$1004:$AE$1004,1,MATCH(COLUMNS($V$1006:Z1006),$V$1006:$AE$1006,0)))),"Fix")))</f>
        <v>0</v>
      </c>
      <c r="G572" s="4">
        <f>IF(OR(INDEX($P$2:$P$1001,MATCH(ROWS($O$2:O572),$O$2:$O$1001,0),1)&gt;=100000,INDEX($V$1005:$AE$1005,1,MATCH(COLUMNS($V$1006:AA1006),$V$1006:$AE$1006,0))&gt;=100000), " ",IF(INDEX($V$2:$AE$1001,MATCH(ROWS($O$2:O572),$O$2:$O$1001,0),MATCH(COLUMNS($V$1006:AA1006),$V$1006:$AE$1006,0)), HYPERLINK("#",""), HYPERLINK(CONCATENATE("#Metadata!", ADDRESS(INDEX($Q$2:$Q$1001,MATCH(ROWS($O$2:O572),$O$2:$O$1001,0),0), INDEX($V$1004:$AE$1004,1,MATCH(COLUMNS($V$1006:AA1006),$V$1006:$AE$1006,0)))),"Fix")))</f>
        <v>0</v>
      </c>
      <c r="H572" s="4">
        <f>IF(OR(INDEX($P$2:$P$1001,MATCH(ROWS($O$2:O572),$O$2:$O$1001,0),1)&gt;=100000,INDEX($V$1005:$AE$1005,1,MATCH(COLUMNS($V$1006:AB1006),$V$1006:$AE$1006,0))&gt;=100000), " ",IF(INDEX($V$2:$AE$1001,MATCH(ROWS($O$2:O572),$O$2:$O$1001,0),MATCH(COLUMNS($V$1006:AB1006),$V$1006:$AE$1006,0)), HYPERLINK("#",""), HYPERLINK(CONCATENATE("#Metadata!", ADDRESS(INDEX($Q$2:$Q$1001,MATCH(ROWS($O$2:O572),$O$2:$O$1001,0),0), INDEX($V$1004:$AE$1004,1,MATCH(COLUMNS($V$1006:AB1006),$V$1006:$AE$1006,0)))),"Fix")))</f>
        <v>0</v>
      </c>
      <c r="I572" s="4">
        <f>IF(OR(INDEX($P$2:$P$1001,MATCH(ROWS($O$2:O572),$O$2:$O$1001,0),1)&gt;=100000,INDEX($V$1005:$AE$1005,1,MATCH(COLUMNS($V$1006:AC1006),$V$1006:$AE$1006,0))&gt;=100000), " ",IF(INDEX($V$2:$AE$1001,MATCH(ROWS($O$2:O572),$O$2:$O$1001,0),MATCH(COLUMNS($V$1006:AC1006),$V$1006:$AE$1006,0)), HYPERLINK("#",""), HYPERLINK(CONCATENATE("#Metadata!", ADDRESS(INDEX($Q$2:$Q$1001,MATCH(ROWS($O$2:O572),$O$2:$O$1001,0),0), INDEX($V$1004:$AE$1004,1,MATCH(COLUMNS($V$1006:AC1006),$V$1006:$AE$1006,0)))),"Fix")))</f>
        <v>0</v>
      </c>
      <c r="J572" s="4">
        <f>IF(OR(INDEX($P$2:$P$1001,MATCH(ROWS($O$2:O572),$O$2:$O$1001,0),1)&gt;=100000,INDEX($V$1005:$AE$1005,1,MATCH(COLUMNS($V$1006:AD1006),$V$1006:$AE$1006,0))&gt;=100000), " ",IF(INDEX($V$2:$AE$1001,MATCH(ROWS($O$2:O572),$O$2:$O$1001,0),MATCH(COLUMNS($V$1006:AD1006),$V$1006:$AE$1006,0)), HYPERLINK("#",""), HYPERLINK(CONCATENATE("#Metadata!", ADDRESS(INDEX($Q$2:$Q$1001,MATCH(ROWS($O$2:O572),$O$2:$O$1001,0),0), INDEX($V$1004:$AE$1004,1,MATCH(COLUMNS($V$1006:AD1006),$V$1006:$AE$1006,0)))),"Fix")))</f>
        <v>0</v>
      </c>
      <c r="K572" s="4">
        <f>IF(OR(INDEX($P$2:$P$1001,MATCH(ROWS($O$2:O572),$O$2:$O$1001,0),1)&gt;=100000,INDEX($V$1005:$AE$1005,1,MATCH(COLUMNS($V$1006:AE1006),$V$1006:$AE$1006,0))&gt;=100000), " ",IF(INDEX($V$2:$AE$1001,MATCH(ROWS($O$2:O572),$O$2:$O$1001,0),MATCH(COLUMNS($V$1006:AE1006),$V$1006:$AE$1006,0)), HYPERLINK("#",""), HYPERLINK(CONCATENATE("#Metadata!", ADDRESS(INDEX($Q$2:$Q$1001,MATCH(ROWS($O$2:O572),$O$2:$O$1001,0),0), INDEX($V$1004:$AE$1004,1,MATCH(COLUMNS($V$1006:AE1006),$V$1006:$AE$1006,0)))),"Fix")))</f>
        <v>0</v>
      </c>
      <c r="O572">
        <v>0</v>
      </c>
      <c r="P572">
        <v>0</v>
      </c>
      <c r="Q572">
        <v>0</v>
      </c>
      <c r="R572">
        <f>IF(S572,TRUE,AND(V572:AE572))</f>
        <v>0</v>
      </c>
      <c r="S572">
        <f>COUNTBLANK(Metadata!B572:K572)=COLUMNS(Metadata!B572:K572)</f>
        <v>0</v>
      </c>
      <c r="T572">
        <v>0</v>
      </c>
      <c r="V572">
        <f>AND(IF(Metadata!B572="",FALSE,TRUE),COUNTIF(Metadata!B:B, Metadata!B572) = 1,NOT(ISERROR(SUMPRODUCT(SEARCH(MID(Metadata!B572,ROW(INDIRECT("1:"&amp;LEN(Metadata!B572))), 1),"0123456789abcdefghijklmnopqrstuvwxyzABCDEFGHIJKLMNOPQRSTUVWXYZ.")))))</f>
        <v>0</v>
      </c>
      <c r="W572">
        <f>AND(IF(Metadata!C572="",FALSE,TRUE),exact(Metadata!C572,"urban biome"))</f>
        <v>0</v>
      </c>
      <c r="X572">
        <f>AND(IF(Metadata!D572="",FALSE,TRUE),exact(Metadata!D572,"animal-associated habitat"))</f>
        <v>0</v>
      </c>
      <c r="Y572">
        <f>OR(AND(IF(Metadata!E572="",FALSE,TRUE),OR(exact(Metadata!E572,"not applicable"),exact(Metadata!E572,"missing: not collected"),exact(Metadata!E572,"missing: not provided"),exact(Metadata!E572,"missing: restricted access"))),AND(IF(Metadata!E572="",FALSE,ISNUMBER(VALUE(Metadata!E572))),Metadata!E572&gt;0))</f>
        <v>0</v>
      </c>
      <c r="Z572">
        <f>AND(IF(Metadata!F572="",FALSE,TRUE),exact(Metadata!F572,"weeks"))</f>
        <v>0</v>
      </c>
      <c r="AA572">
        <f>AND(IF(Metadata!G572="",FALSE,TRUE),exact(Metadata!G572,"mouse"))</f>
        <v>0</v>
      </c>
      <c r="AB572">
        <f>AND(IF(Metadata!H572="",FALSE,TRUE),exact(Metadata!H572,"Mus musculus"))</f>
        <v>0</v>
      </c>
      <c r="AC572">
        <f>AND(IF(Metadata!I572="",FALSE,TRUE),exact(Metadata!I572,"10090"))</f>
        <v>0</v>
      </c>
      <c r="AD572">
        <f>OR(AND(IF(Metadata!J572="",FALSE,TRUE),OR(exact(Metadata!J572,"not applicable"),exact(Metadata!J572,"missing: not collected"),exact(Metadata!J572,"missing: not provided"),exact(Metadata!J572,"missing: restricted access"))),AND(IF(Metadata!J572="",FALSE,ISNUMBER(VALUE(Metadata!J572))),Metadata!J572&gt;0))</f>
        <v>0</v>
      </c>
      <c r="AE572">
        <f>AND(IF(Metadata!K572="",FALSE,TRUE),exact(Metadata!K572,"g"))</f>
        <v>0</v>
      </c>
    </row>
    <row r="573" spans="1:31">
      <c r="A573" s="5">
        <f>IF(B573=" "," ",HYPERLINK(CONCATENATE("#metadata!",ADDRESS(INDEX($Q$2:$Q$1001,MATCH(ROWS($O$2:O573),$O$2:$O$1001,0),0),1)),INDEX($T$2:$T$1001,MATCH(ROWS($O$2:O573),$O$2:$O$1001,0),0)))</f>
        <v>0</v>
      </c>
      <c r="B573" s="4">
        <f>IF(OR(INDEX($P$2:$P$1001,MATCH(ROWS($O$2:O573),$O$2:$O$1001,0),1)&gt;=100000,INDEX($V$1005:$AE$1005,1,MATCH(COLUMNS($V$1006:V1006),$V$1006:$AE$1006,0))&gt;=100000), " ",IF(INDEX($V$2:$AE$1001,MATCH(ROWS($O$2:O573),$O$2:$O$1001,0),MATCH(COLUMNS($V$1006:V1006),$V$1006:$AE$1006,0)), HYPERLINK("#",""), HYPERLINK(CONCATENATE("#Metadata!", ADDRESS(INDEX($Q$2:$Q$1001,MATCH(ROWS($O$2:O573),$O$2:$O$1001,0),0), INDEX($V$1004:$AE$1004,1,MATCH(COLUMNS($V$1006:V1006),$V$1006:$AE$1006,0)))),"Fix")))</f>
        <v>0</v>
      </c>
      <c r="C573" s="4">
        <f>IF(OR(INDEX($P$2:$P$1001,MATCH(ROWS($O$2:O573),$O$2:$O$1001,0),1)&gt;=100000,INDEX($V$1005:$AE$1005,1,MATCH(COLUMNS($V$1006:W1006),$V$1006:$AE$1006,0))&gt;=100000), " ",IF(INDEX($V$2:$AE$1001,MATCH(ROWS($O$2:O573),$O$2:$O$1001,0),MATCH(COLUMNS($V$1006:W1006),$V$1006:$AE$1006,0)), HYPERLINK("#",""), HYPERLINK(CONCATENATE("#Metadata!", ADDRESS(INDEX($Q$2:$Q$1001,MATCH(ROWS($O$2:O573),$O$2:$O$1001,0),0), INDEX($V$1004:$AE$1004,1,MATCH(COLUMNS($V$1006:W1006),$V$1006:$AE$1006,0)))),"Fix")))</f>
        <v>0</v>
      </c>
      <c r="D573" s="4">
        <f>IF(OR(INDEX($P$2:$P$1001,MATCH(ROWS($O$2:O573),$O$2:$O$1001,0),1)&gt;=100000,INDEX($V$1005:$AE$1005,1,MATCH(COLUMNS($V$1006:X1006),$V$1006:$AE$1006,0))&gt;=100000), " ",IF(INDEX($V$2:$AE$1001,MATCH(ROWS($O$2:O573),$O$2:$O$1001,0),MATCH(COLUMNS($V$1006:X1006),$V$1006:$AE$1006,0)), HYPERLINK("#",""), HYPERLINK(CONCATENATE("#Metadata!", ADDRESS(INDEX($Q$2:$Q$1001,MATCH(ROWS($O$2:O573),$O$2:$O$1001,0),0), INDEX($V$1004:$AE$1004,1,MATCH(COLUMNS($V$1006:X1006),$V$1006:$AE$1006,0)))),"Fix")))</f>
        <v>0</v>
      </c>
      <c r="E573" s="4">
        <f>IF(OR(INDEX($P$2:$P$1001,MATCH(ROWS($O$2:O573),$O$2:$O$1001,0),1)&gt;=100000,INDEX($V$1005:$AE$1005,1,MATCH(COLUMNS($V$1006:Y1006),$V$1006:$AE$1006,0))&gt;=100000), " ",IF(INDEX($V$2:$AE$1001,MATCH(ROWS($O$2:O573),$O$2:$O$1001,0),MATCH(COLUMNS($V$1006:Y1006),$V$1006:$AE$1006,0)), HYPERLINK("#",""), HYPERLINK(CONCATENATE("#Metadata!", ADDRESS(INDEX($Q$2:$Q$1001,MATCH(ROWS($O$2:O573),$O$2:$O$1001,0),0), INDEX($V$1004:$AE$1004,1,MATCH(COLUMNS($V$1006:Y1006),$V$1006:$AE$1006,0)))),"Fix")))</f>
        <v>0</v>
      </c>
      <c r="F573" s="4">
        <f>IF(OR(INDEX($P$2:$P$1001,MATCH(ROWS($O$2:O573),$O$2:$O$1001,0),1)&gt;=100000,INDEX($V$1005:$AE$1005,1,MATCH(COLUMNS($V$1006:Z1006),$V$1006:$AE$1006,0))&gt;=100000), " ",IF(INDEX($V$2:$AE$1001,MATCH(ROWS($O$2:O573),$O$2:$O$1001,0),MATCH(COLUMNS($V$1006:Z1006),$V$1006:$AE$1006,0)), HYPERLINK("#",""), HYPERLINK(CONCATENATE("#Metadata!", ADDRESS(INDEX($Q$2:$Q$1001,MATCH(ROWS($O$2:O573),$O$2:$O$1001,0),0), INDEX($V$1004:$AE$1004,1,MATCH(COLUMNS($V$1006:Z1006),$V$1006:$AE$1006,0)))),"Fix")))</f>
        <v>0</v>
      </c>
      <c r="G573" s="4">
        <f>IF(OR(INDEX($P$2:$P$1001,MATCH(ROWS($O$2:O573),$O$2:$O$1001,0),1)&gt;=100000,INDEX($V$1005:$AE$1005,1,MATCH(COLUMNS($V$1006:AA1006),$V$1006:$AE$1006,0))&gt;=100000), " ",IF(INDEX($V$2:$AE$1001,MATCH(ROWS($O$2:O573),$O$2:$O$1001,0),MATCH(COLUMNS($V$1006:AA1006),$V$1006:$AE$1006,0)), HYPERLINK("#",""), HYPERLINK(CONCATENATE("#Metadata!", ADDRESS(INDEX($Q$2:$Q$1001,MATCH(ROWS($O$2:O573),$O$2:$O$1001,0),0), INDEX($V$1004:$AE$1004,1,MATCH(COLUMNS($V$1006:AA1006),$V$1006:$AE$1006,0)))),"Fix")))</f>
        <v>0</v>
      </c>
      <c r="H573" s="4">
        <f>IF(OR(INDEX($P$2:$P$1001,MATCH(ROWS($O$2:O573),$O$2:$O$1001,0),1)&gt;=100000,INDEX($V$1005:$AE$1005,1,MATCH(COLUMNS($V$1006:AB1006),$V$1006:$AE$1006,0))&gt;=100000), " ",IF(INDEX($V$2:$AE$1001,MATCH(ROWS($O$2:O573),$O$2:$O$1001,0),MATCH(COLUMNS($V$1006:AB1006),$V$1006:$AE$1006,0)), HYPERLINK("#",""), HYPERLINK(CONCATENATE("#Metadata!", ADDRESS(INDEX($Q$2:$Q$1001,MATCH(ROWS($O$2:O573),$O$2:$O$1001,0),0), INDEX($V$1004:$AE$1004,1,MATCH(COLUMNS($V$1006:AB1006),$V$1006:$AE$1006,0)))),"Fix")))</f>
        <v>0</v>
      </c>
      <c r="I573" s="4">
        <f>IF(OR(INDEX($P$2:$P$1001,MATCH(ROWS($O$2:O573),$O$2:$O$1001,0),1)&gt;=100000,INDEX($V$1005:$AE$1005,1,MATCH(COLUMNS($V$1006:AC1006),$V$1006:$AE$1006,0))&gt;=100000), " ",IF(INDEX($V$2:$AE$1001,MATCH(ROWS($O$2:O573),$O$2:$O$1001,0),MATCH(COLUMNS($V$1006:AC1006),$V$1006:$AE$1006,0)), HYPERLINK("#",""), HYPERLINK(CONCATENATE("#Metadata!", ADDRESS(INDEX($Q$2:$Q$1001,MATCH(ROWS($O$2:O573),$O$2:$O$1001,0),0), INDEX($V$1004:$AE$1004,1,MATCH(COLUMNS($V$1006:AC1006),$V$1006:$AE$1006,0)))),"Fix")))</f>
        <v>0</v>
      </c>
      <c r="J573" s="4">
        <f>IF(OR(INDEX($P$2:$P$1001,MATCH(ROWS($O$2:O573),$O$2:$O$1001,0),1)&gt;=100000,INDEX($V$1005:$AE$1005,1,MATCH(COLUMNS($V$1006:AD1006),$V$1006:$AE$1006,0))&gt;=100000), " ",IF(INDEX($V$2:$AE$1001,MATCH(ROWS($O$2:O573),$O$2:$O$1001,0),MATCH(COLUMNS($V$1006:AD1006),$V$1006:$AE$1006,0)), HYPERLINK("#",""), HYPERLINK(CONCATENATE("#Metadata!", ADDRESS(INDEX($Q$2:$Q$1001,MATCH(ROWS($O$2:O573),$O$2:$O$1001,0),0), INDEX($V$1004:$AE$1004,1,MATCH(COLUMNS($V$1006:AD1006),$V$1006:$AE$1006,0)))),"Fix")))</f>
        <v>0</v>
      </c>
      <c r="K573" s="4">
        <f>IF(OR(INDEX($P$2:$P$1001,MATCH(ROWS($O$2:O573),$O$2:$O$1001,0),1)&gt;=100000,INDEX($V$1005:$AE$1005,1,MATCH(COLUMNS($V$1006:AE1006),$V$1006:$AE$1006,0))&gt;=100000), " ",IF(INDEX($V$2:$AE$1001,MATCH(ROWS($O$2:O573),$O$2:$O$1001,0),MATCH(COLUMNS($V$1006:AE1006),$V$1006:$AE$1006,0)), HYPERLINK("#",""), HYPERLINK(CONCATENATE("#Metadata!", ADDRESS(INDEX($Q$2:$Q$1001,MATCH(ROWS($O$2:O573),$O$2:$O$1001,0),0), INDEX($V$1004:$AE$1004,1,MATCH(COLUMNS($V$1006:AE1006),$V$1006:$AE$1006,0)))),"Fix")))</f>
        <v>0</v>
      </c>
      <c r="O573">
        <v>0</v>
      </c>
      <c r="P573">
        <v>0</v>
      </c>
      <c r="Q573">
        <v>0</v>
      </c>
      <c r="R573">
        <f>IF(S573,TRUE,AND(V573:AE573))</f>
        <v>0</v>
      </c>
      <c r="S573">
        <f>COUNTBLANK(Metadata!B573:K573)=COLUMNS(Metadata!B573:K573)</f>
        <v>0</v>
      </c>
      <c r="T573">
        <v>0</v>
      </c>
      <c r="V573">
        <f>AND(IF(Metadata!B573="",FALSE,TRUE),COUNTIF(Metadata!B:B, Metadata!B573) = 1,NOT(ISERROR(SUMPRODUCT(SEARCH(MID(Metadata!B573,ROW(INDIRECT("1:"&amp;LEN(Metadata!B573))), 1),"0123456789abcdefghijklmnopqrstuvwxyzABCDEFGHIJKLMNOPQRSTUVWXYZ.")))))</f>
        <v>0</v>
      </c>
      <c r="W573">
        <f>AND(IF(Metadata!C573="",FALSE,TRUE),exact(Metadata!C573,"urban biome"))</f>
        <v>0</v>
      </c>
      <c r="X573">
        <f>AND(IF(Metadata!D573="",FALSE,TRUE),exact(Metadata!D573,"animal-associated habitat"))</f>
        <v>0</v>
      </c>
      <c r="Y573">
        <f>OR(AND(IF(Metadata!E573="",FALSE,TRUE),OR(exact(Metadata!E573,"not applicable"),exact(Metadata!E573,"missing: not collected"),exact(Metadata!E573,"missing: not provided"),exact(Metadata!E573,"missing: restricted access"))),AND(IF(Metadata!E573="",FALSE,ISNUMBER(VALUE(Metadata!E573))),Metadata!E573&gt;0))</f>
        <v>0</v>
      </c>
      <c r="Z573">
        <f>AND(IF(Metadata!F573="",FALSE,TRUE),exact(Metadata!F573,"weeks"))</f>
        <v>0</v>
      </c>
      <c r="AA573">
        <f>AND(IF(Metadata!G573="",FALSE,TRUE),exact(Metadata!G573,"mouse"))</f>
        <v>0</v>
      </c>
      <c r="AB573">
        <f>AND(IF(Metadata!H573="",FALSE,TRUE),exact(Metadata!H573,"Mus musculus"))</f>
        <v>0</v>
      </c>
      <c r="AC573">
        <f>AND(IF(Metadata!I573="",FALSE,TRUE),exact(Metadata!I573,"10090"))</f>
        <v>0</v>
      </c>
      <c r="AD573">
        <f>OR(AND(IF(Metadata!J573="",FALSE,TRUE),OR(exact(Metadata!J573,"not applicable"),exact(Metadata!J573,"missing: not collected"),exact(Metadata!J573,"missing: not provided"),exact(Metadata!J573,"missing: restricted access"))),AND(IF(Metadata!J573="",FALSE,ISNUMBER(VALUE(Metadata!J573))),Metadata!J573&gt;0))</f>
        <v>0</v>
      </c>
      <c r="AE573">
        <f>AND(IF(Metadata!K573="",FALSE,TRUE),exact(Metadata!K573,"g"))</f>
        <v>0</v>
      </c>
    </row>
    <row r="574" spans="1:31">
      <c r="A574" s="5">
        <f>IF(B574=" "," ",HYPERLINK(CONCATENATE("#metadata!",ADDRESS(INDEX($Q$2:$Q$1001,MATCH(ROWS($O$2:O574),$O$2:$O$1001,0),0),1)),INDEX($T$2:$T$1001,MATCH(ROWS($O$2:O574),$O$2:$O$1001,0),0)))</f>
        <v>0</v>
      </c>
      <c r="B574" s="4">
        <f>IF(OR(INDEX($P$2:$P$1001,MATCH(ROWS($O$2:O574),$O$2:$O$1001,0),1)&gt;=100000,INDEX($V$1005:$AE$1005,1,MATCH(COLUMNS($V$1006:V1006),$V$1006:$AE$1006,0))&gt;=100000), " ",IF(INDEX($V$2:$AE$1001,MATCH(ROWS($O$2:O574),$O$2:$O$1001,0),MATCH(COLUMNS($V$1006:V1006),$V$1006:$AE$1006,0)), HYPERLINK("#",""), HYPERLINK(CONCATENATE("#Metadata!", ADDRESS(INDEX($Q$2:$Q$1001,MATCH(ROWS($O$2:O574),$O$2:$O$1001,0),0), INDEX($V$1004:$AE$1004,1,MATCH(COLUMNS($V$1006:V1006),$V$1006:$AE$1006,0)))),"Fix")))</f>
        <v>0</v>
      </c>
      <c r="C574" s="4">
        <f>IF(OR(INDEX($P$2:$P$1001,MATCH(ROWS($O$2:O574),$O$2:$O$1001,0),1)&gt;=100000,INDEX($V$1005:$AE$1005,1,MATCH(COLUMNS($V$1006:W1006),$V$1006:$AE$1006,0))&gt;=100000), " ",IF(INDEX($V$2:$AE$1001,MATCH(ROWS($O$2:O574),$O$2:$O$1001,0),MATCH(COLUMNS($V$1006:W1006),$V$1006:$AE$1006,0)), HYPERLINK("#",""), HYPERLINK(CONCATENATE("#Metadata!", ADDRESS(INDEX($Q$2:$Q$1001,MATCH(ROWS($O$2:O574),$O$2:$O$1001,0),0), INDEX($V$1004:$AE$1004,1,MATCH(COLUMNS($V$1006:W1006),$V$1006:$AE$1006,0)))),"Fix")))</f>
        <v>0</v>
      </c>
      <c r="D574" s="4">
        <f>IF(OR(INDEX($P$2:$P$1001,MATCH(ROWS($O$2:O574),$O$2:$O$1001,0),1)&gt;=100000,INDEX($V$1005:$AE$1005,1,MATCH(COLUMNS($V$1006:X1006),$V$1006:$AE$1006,0))&gt;=100000), " ",IF(INDEX($V$2:$AE$1001,MATCH(ROWS($O$2:O574),$O$2:$O$1001,0),MATCH(COLUMNS($V$1006:X1006),$V$1006:$AE$1006,0)), HYPERLINK("#",""), HYPERLINK(CONCATENATE("#Metadata!", ADDRESS(INDEX($Q$2:$Q$1001,MATCH(ROWS($O$2:O574),$O$2:$O$1001,0),0), INDEX($V$1004:$AE$1004,1,MATCH(COLUMNS($V$1006:X1006),$V$1006:$AE$1006,0)))),"Fix")))</f>
        <v>0</v>
      </c>
      <c r="E574" s="4">
        <f>IF(OR(INDEX($P$2:$P$1001,MATCH(ROWS($O$2:O574),$O$2:$O$1001,0),1)&gt;=100000,INDEX($V$1005:$AE$1005,1,MATCH(COLUMNS($V$1006:Y1006),$V$1006:$AE$1006,0))&gt;=100000), " ",IF(INDEX($V$2:$AE$1001,MATCH(ROWS($O$2:O574),$O$2:$O$1001,0),MATCH(COLUMNS($V$1006:Y1006),$V$1006:$AE$1006,0)), HYPERLINK("#",""), HYPERLINK(CONCATENATE("#Metadata!", ADDRESS(INDEX($Q$2:$Q$1001,MATCH(ROWS($O$2:O574),$O$2:$O$1001,0),0), INDEX($V$1004:$AE$1004,1,MATCH(COLUMNS($V$1006:Y1006),$V$1006:$AE$1006,0)))),"Fix")))</f>
        <v>0</v>
      </c>
      <c r="F574" s="4">
        <f>IF(OR(INDEX($P$2:$P$1001,MATCH(ROWS($O$2:O574),$O$2:$O$1001,0),1)&gt;=100000,INDEX($V$1005:$AE$1005,1,MATCH(COLUMNS($V$1006:Z1006),$V$1006:$AE$1006,0))&gt;=100000), " ",IF(INDEX($V$2:$AE$1001,MATCH(ROWS($O$2:O574),$O$2:$O$1001,0),MATCH(COLUMNS($V$1006:Z1006),$V$1006:$AE$1006,0)), HYPERLINK("#",""), HYPERLINK(CONCATENATE("#Metadata!", ADDRESS(INDEX($Q$2:$Q$1001,MATCH(ROWS($O$2:O574),$O$2:$O$1001,0),0), INDEX($V$1004:$AE$1004,1,MATCH(COLUMNS($V$1006:Z1006),$V$1006:$AE$1006,0)))),"Fix")))</f>
        <v>0</v>
      </c>
      <c r="G574" s="4">
        <f>IF(OR(INDEX($P$2:$P$1001,MATCH(ROWS($O$2:O574),$O$2:$O$1001,0),1)&gt;=100000,INDEX($V$1005:$AE$1005,1,MATCH(COLUMNS($V$1006:AA1006),$V$1006:$AE$1006,0))&gt;=100000), " ",IF(INDEX($V$2:$AE$1001,MATCH(ROWS($O$2:O574),$O$2:$O$1001,0),MATCH(COLUMNS($V$1006:AA1006),$V$1006:$AE$1006,0)), HYPERLINK("#",""), HYPERLINK(CONCATENATE("#Metadata!", ADDRESS(INDEX($Q$2:$Q$1001,MATCH(ROWS($O$2:O574),$O$2:$O$1001,0),0), INDEX($V$1004:$AE$1004,1,MATCH(COLUMNS($V$1006:AA1006),$V$1006:$AE$1006,0)))),"Fix")))</f>
        <v>0</v>
      </c>
      <c r="H574" s="4">
        <f>IF(OR(INDEX($P$2:$P$1001,MATCH(ROWS($O$2:O574),$O$2:$O$1001,0),1)&gt;=100000,INDEX($V$1005:$AE$1005,1,MATCH(COLUMNS($V$1006:AB1006),$V$1006:$AE$1006,0))&gt;=100000), " ",IF(INDEX($V$2:$AE$1001,MATCH(ROWS($O$2:O574),$O$2:$O$1001,0),MATCH(COLUMNS($V$1006:AB1006),$V$1006:$AE$1006,0)), HYPERLINK("#",""), HYPERLINK(CONCATENATE("#Metadata!", ADDRESS(INDEX($Q$2:$Q$1001,MATCH(ROWS($O$2:O574),$O$2:$O$1001,0),0), INDEX($V$1004:$AE$1004,1,MATCH(COLUMNS($V$1006:AB1006),$V$1006:$AE$1006,0)))),"Fix")))</f>
        <v>0</v>
      </c>
      <c r="I574" s="4">
        <f>IF(OR(INDEX($P$2:$P$1001,MATCH(ROWS($O$2:O574),$O$2:$O$1001,0),1)&gt;=100000,INDEX($V$1005:$AE$1005,1,MATCH(COLUMNS($V$1006:AC1006),$V$1006:$AE$1006,0))&gt;=100000), " ",IF(INDEX($V$2:$AE$1001,MATCH(ROWS($O$2:O574),$O$2:$O$1001,0),MATCH(COLUMNS($V$1006:AC1006),$V$1006:$AE$1006,0)), HYPERLINK("#",""), HYPERLINK(CONCATENATE("#Metadata!", ADDRESS(INDEX($Q$2:$Q$1001,MATCH(ROWS($O$2:O574),$O$2:$O$1001,0),0), INDEX($V$1004:$AE$1004,1,MATCH(COLUMNS($V$1006:AC1006),$V$1006:$AE$1006,0)))),"Fix")))</f>
        <v>0</v>
      </c>
      <c r="J574" s="4">
        <f>IF(OR(INDEX($P$2:$P$1001,MATCH(ROWS($O$2:O574),$O$2:$O$1001,0),1)&gt;=100000,INDEX($V$1005:$AE$1005,1,MATCH(COLUMNS($V$1006:AD1006),$V$1006:$AE$1006,0))&gt;=100000), " ",IF(INDEX($V$2:$AE$1001,MATCH(ROWS($O$2:O574),$O$2:$O$1001,0),MATCH(COLUMNS($V$1006:AD1006),$V$1006:$AE$1006,0)), HYPERLINK("#",""), HYPERLINK(CONCATENATE("#Metadata!", ADDRESS(INDEX($Q$2:$Q$1001,MATCH(ROWS($O$2:O574),$O$2:$O$1001,0),0), INDEX($V$1004:$AE$1004,1,MATCH(COLUMNS($V$1006:AD1006),$V$1006:$AE$1006,0)))),"Fix")))</f>
        <v>0</v>
      </c>
      <c r="K574" s="4">
        <f>IF(OR(INDEX($P$2:$P$1001,MATCH(ROWS($O$2:O574),$O$2:$O$1001,0),1)&gt;=100000,INDEX($V$1005:$AE$1005,1,MATCH(COLUMNS($V$1006:AE1006),$V$1006:$AE$1006,0))&gt;=100000), " ",IF(INDEX($V$2:$AE$1001,MATCH(ROWS($O$2:O574),$O$2:$O$1001,0),MATCH(COLUMNS($V$1006:AE1006),$V$1006:$AE$1006,0)), HYPERLINK("#",""), HYPERLINK(CONCATENATE("#Metadata!", ADDRESS(INDEX($Q$2:$Q$1001,MATCH(ROWS($O$2:O574),$O$2:$O$1001,0),0), INDEX($V$1004:$AE$1004,1,MATCH(COLUMNS($V$1006:AE1006),$V$1006:$AE$1006,0)))),"Fix")))</f>
        <v>0</v>
      </c>
      <c r="O574">
        <v>0</v>
      </c>
      <c r="P574">
        <v>0</v>
      </c>
      <c r="Q574">
        <v>0</v>
      </c>
      <c r="R574">
        <f>IF(S574,TRUE,AND(V574:AE574))</f>
        <v>0</v>
      </c>
      <c r="S574">
        <f>COUNTBLANK(Metadata!B574:K574)=COLUMNS(Metadata!B574:K574)</f>
        <v>0</v>
      </c>
      <c r="T574">
        <v>0</v>
      </c>
      <c r="V574">
        <f>AND(IF(Metadata!B574="",FALSE,TRUE),COUNTIF(Metadata!B:B, Metadata!B574) = 1,NOT(ISERROR(SUMPRODUCT(SEARCH(MID(Metadata!B574,ROW(INDIRECT("1:"&amp;LEN(Metadata!B574))), 1),"0123456789abcdefghijklmnopqrstuvwxyzABCDEFGHIJKLMNOPQRSTUVWXYZ.")))))</f>
        <v>0</v>
      </c>
      <c r="W574">
        <f>AND(IF(Metadata!C574="",FALSE,TRUE),exact(Metadata!C574,"urban biome"))</f>
        <v>0</v>
      </c>
      <c r="X574">
        <f>AND(IF(Metadata!D574="",FALSE,TRUE),exact(Metadata!D574,"animal-associated habitat"))</f>
        <v>0</v>
      </c>
      <c r="Y574">
        <f>OR(AND(IF(Metadata!E574="",FALSE,TRUE),OR(exact(Metadata!E574,"not applicable"),exact(Metadata!E574,"missing: not collected"),exact(Metadata!E574,"missing: not provided"),exact(Metadata!E574,"missing: restricted access"))),AND(IF(Metadata!E574="",FALSE,ISNUMBER(VALUE(Metadata!E574))),Metadata!E574&gt;0))</f>
        <v>0</v>
      </c>
      <c r="Z574">
        <f>AND(IF(Metadata!F574="",FALSE,TRUE),exact(Metadata!F574,"weeks"))</f>
        <v>0</v>
      </c>
      <c r="AA574">
        <f>AND(IF(Metadata!G574="",FALSE,TRUE),exact(Metadata!G574,"mouse"))</f>
        <v>0</v>
      </c>
      <c r="AB574">
        <f>AND(IF(Metadata!H574="",FALSE,TRUE),exact(Metadata!H574,"Mus musculus"))</f>
        <v>0</v>
      </c>
      <c r="AC574">
        <f>AND(IF(Metadata!I574="",FALSE,TRUE),exact(Metadata!I574,"10090"))</f>
        <v>0</v>
      </c>
      <c r="AD574">
        <f>OR(AND(IF(Metadata!J574="",FALSE,TRUE),OR(exact(Metadata!J574,"not applicable"),exact(Metadata!J574,"missing: not collected"),exact(Metadata!J574,"missing: not provided"),exact(Metadata!J574,"missing: restricted access"))),AND(IF(Metadata!J574="",FALSE,ISNUMBER(VALUE(Metadata!J574))),Metadata!J574&gt;0))</f>
        <v>0</v>
      </c>
      <c r="AE574">
        <f>AND(IF(Metadata!K574="",FALSE,TRUE),exact(Metadata!K574,"g"))</f>
        <v>0</v>
      </c>
    </row>
    <row r="575" spans="1:31">
      <c r="A575" s="5">
        <f>IF(B575=" "," ",HYPERLINK(CONCATENATE("#metadata!",ADDRESS(INDEX($Q$2:$Q$1001,MATCH(ROWS($O$2:O575),$O$2:$O$1001,0),0),1)),INDEX($T$2:$T$1001,MATCH(ROWS($O$2:O575),$O$2:$O$1001,0),0)))</f>
        <v>0</v>
      </c>
      <c r="B575" s="4">
        <f>IF(OR(INDEX($P$2:$P$1001,MATCH(ROWS($O$2:O575),$O$2:$O$1001,0),1)&gt;=100000,INDEX($V$1005:$AE$1005,1,MATCH(COLUMNS($V$1006:V1006),$V$1006:$AE$1006,0))&gt;=100000), " ",IF(INDEX($V$2:$AE$1001,MATCH(ROWS($O$2:O575),$O$2:$O$1001,0),MATCH(COLUMNS($V$1006:V1006),$V$1006:$AE$1006,0)), HYPERLINK("#",""), HYPERLINK(CONCATENATE("#Metadata!", ADDRESS(INDEX($Q$2:$Q$1001,MATCH(ROWS($O$2:O575),$O$2:$O$1001,0),0), INDEX($V$1004:$AE$1004,1,MATCH(COLUMNS($V$1006:V1006),$V$1006:$AE$1006,0)))),"Fix")))</f>
        <v>0</v>
      </c>
      <c r="C575" s="4">
        <f>IF(OR(INDEX($P$2:$P$1001,MATCH(ROWS($O$2:O575),$O$2:$O$1001,0),1)&gt;=100000,INDEX($V$1005:$AE$1005,1,MATCH(COLUMNS($V$1006:W1006),$V$1006:$AE$1006,0))&gt;=100000), " ",IF(INDEX($V$2:$AE$1001,MATCH(ROWS($O$2:O575),$O$2:$O$1001,0),MATCH(COLUMNS($V$1006:W1006),$V$1006:$AE$1006,0)), HYPERLINK("#",""), HYPERLINK(CONCATENATE("#Metadata!", ADDRESS(INDEX($Q$2:$Q$1001,MATCH(ROWS($O$2:O575),$O$2:$O$1001,0),0), INDEX($V$1004:$AE$1004,1,MATCH(COLUMNS($V$1006:W1006),$V$1006:$AE$1006,0)))),"Fix")))</f>
        <v>0</v>
      </c>
      <c r="D575" s="4">
        <f>IF(OR(INDEX($P$2:$P$1001,MATCH(ROWS($O$2:O575),$O$2:$O$1001,0),1)&gt;=100000,INDEX($V$1005:$AE$1005,1,MATCH(COLUMNS($V$1006:X1006),$V$1006:$AE$1006,0))&gt;=100000), " ",IF(INDEX($V$2:$AE$1001,MATCH(ROWS($O$2:O575),$O$2:$O$1001,0),MATCH(COLUMNS($V$1006:X1006),$V$1006:$AE$1006,0)), HYPERLINK("#",""), HYPERLINK(CONCATENATE("#Metadata!", ADDRESS(INDEX($Q$2:$Q$1001,MATCH(ROWS($O$2:O575),$O$2:$O$1001,0),0), INDEX($V$1004:$AE$1004,1,MATCH(COLUMNS($V$1006:X1006),$V$1006:$AE$1006,0)))),"Fix")))</f>
        <v>0</v>
      </c>
      <c r="E575" s="4">
        <f>IF(OR(INDEX($P$2:$P$1001,MATCH(ROWS($O$2:O575),$O$2:$O$1001,0),1)&gt;=100000,INDEX($V$1005:$AE$1005,1,MATCH(COLUMNS($V$1006:Y1006),$V$1006:$AE$1006,0))&gt;=100000), " ",IF(INDEX($V$2:$AE$1001,MATCH(ROWS($O$2:O575),$O$2:$O$1001,0),MATCH(COLUMNS($V$1006:Y1006),$V$1006:$AE$1006,0)), HYPERLINK("#",""), HYPERLINK(CONCATENATE("#Metadata!", ADDRESS(INDEX($Q$2:$Q$1001,MATCH(ROWS($O$2:O575),$O$2:$O$1001,0),0), INDEX($V$1004:$AE$1004,1,MATCH(COLUMNS($V$1006:Y1006),$V$1006:$AE$1006,0)))),"Fix")))</f>
        <v>0</v>
      </c>
      <c r="F575" s="4">
        <f>IF(OR(INDEX($P$2:$P$1001,MATCH(ROWS($O$2:O575),$O$2:$O$1001,0),1)&gt;=100000,INDEX($V$1005:$AE$1005,1,MATCH(COLUMNS($V$1006:Z1006),$V$1006:$AE$1006,0))&gt;=100000), " ",IF(INDEX($V$2:$AE$1001,MATCH(ROWS($O$2:O575),$O$2:$O$1001,0),MATCH(COLUMNS($V$1006:Z1006),$V$1006:$AE$1006,0)), HYPERLINK("#",""), HYPERLINK(CONCATENATE("#Metadata!", ADDRESS(INDEX($Q$2:$Q$1001,MATCH(ROWS($O$2:O575),$O$2:$O$1001,0),0), INDEX($V$1004:$AE$1004,1,MATCH(COLUMNS($V$1006:Z1006),$V$1006:$AE$1006,0)))),"Fix")))</f>
        <v>0</v>
      </c>
      <c r="G575" s="4">
        <f>IF(OR(INDEX($P$2:$P$1001,MATCH(ROWS($O$2:O575),$O$2:$O$1001,0),1)&gt;=100000,INDEX($V$1005:$AE$1005,1,MATCH(COLUMNS($V$1006:AA1006),$V$1006:$AE$1006,0))&gt;=100000), " ",IF(INDEX($V$2:$AE$1001,MATCH(ROWS($O$2:O575),$O$2:$O$1001,0),MATCH(COLUMNS($V$1006:AA1006),$V$1006:$AE$1006,0)), HYPERLINK("#",""), HYPERLINK(CONCATENATE("#Metadata!", ADDRESS(INDEX($Q$2:$Q$1001,MATCH(ROWS($O$2:O575),$O$2:$O$1001,0),0), INDEX($V$1004:$AE$1004,1,MATCH(COLUMNS($V$1006:AA1006),$V$1006:$AE$1006,0)))),"Fix")))</f>
        <v>0</v>
      </c>
      <c r="H575" s="4">
        <f>IF(OR(INDEX($P$2:$P$1001,MATCH(ROWS($O$2:O575),$O$2:$O$1001,0),1)&gt;=100000,INDEX($V$1005:$AE$1005,1,MATCH(COLUMNS($V$1006:AB1006),$V$1006:$AE$1006,0))&gt;=100000), " ",IF(INDEX($V$2:$AE$1001,MATCH(ROWS($O$2:O575),$O$2:$O$1001,0),MATCH(COLUMNS($V$1006:AB1006),$V$1006:$AE$1006,0)), HYPERLINK("#",""), HYPERLINK(CONCATENATE("#Metadata!", ADDRESS(INDEX($Q$2:$Q$1001,MATCH(ROWS($O$2:O575),$O$2:$O$1001,0),0), INDEX($V$1004:$AE$1004,1,MATCH(COLUMNS($V$1006:AB1006),$V$1006:$AE$1006,0)))),"Fix")))</f>
        <v>0</v>
      </c>
      <c r="I575" s="4">
        <f>IF(OR(INDEX($P$2:$P$1001,MATCH(ROWS($O$2:O575),$O$2:$O$1001,0),1)&gt;=100000,INDEX($V$1005:$AE$1005,1,MATCH(COLUMNS($V$1006:AC1006),$V$1006:$AE$1006,0))&gt;=100000), " ",IF(INDEX($V$2:$AE$1001,MATCH(ROWS($O$2:O575),$O$2:$O$1001,0),MATCH(COLUMNS($V$1006:AC1006),$V$1006:$AE$1006,0)), HYPERLINK("#",""), HYPERLINK(CONCATENATE("#Metadata!", ADDRESS(INDEX($Q$2:$Q$1001,MATCH(ROWS($O$2:O575),$O$2:$O$1001,0),0), INDEX($V$1004:$AE$1004,1,MATCH(COLUMNS($V$1006:AC1006),$V$1006:$AE$1006,0)))),"Fix")))</f>
        <v>0</v>
      </c>
      <c r="J575" s="4">
        <f>IF(OR(INDEX($P$2:$P$1001,MATCH(ROWS($O$2:O575),$O$2:$O$1001,0),1)&gt;=100000,INDEX($V$1005:$AE$1005,1,MATCH(COLUMNS($V$1006:AD1006),$V$1006:$AE$1006,0))&gt;=100000), " ",IF(INDEX($V$2:$AE$1001,MATCH(ROWS($O$2:O575),$O$2:$O$1001,0),MATCH(COLUMNS($V$1006:AD1006),$V$1006:$AE$1006,0)), HYPERLINK("#",""), HYPERLINK(CONCATENATE("#Metadata!", ADDRESS(INDEX($Q$2:$Q$1001,MATCH(ROWS($O$2:O575),$O$2:$O$1001,0),0), INDEX($V$1004:$AE$1004,1,MATCH(COLUMNS($V$1006:AD1006),$V$1006:$AE$1006,0)))),"Fix")))</f>
        <v>0</v>
      </c>
      <c r="K575" s="4">
        <f>IF(OR(INDEX($P$2:$P$1001,MATCH(ROWS($O$2:O575),$O$2:$O$1001,0),1)&gt;=100000,INDEX($V$1005:$AE$1005,1,MATCH(COLUMNS($V$1006:AE1006),$V$1006:$AE$1006,0))&gt;=100000), " ",IF(INDEX($V$2:$AE$1001,MATCH(ROWS($O$2:O575),$O$2:$O$1001,0),MATCH(COLUMNS($V$1006:AE1006),$V$1006:$AE$1006,0)), HYPERLINK("#",""), HYPERLINK(CONCATENATE("#Metadata!", ADDRESS(INDEX($Q$2:$Q$1001,MATCH(ROWS($O$2:O575),$O$2:$O$1001,0),0), INDEX($V$1004:$AE$1004,1,MATCH(COLUMNS($V$1006:AE1006),$V$1006:$AE$1006,0)))),"Fix")))</f>
        <v>0</v>
      </c>
      <c r="O575">
        <v>0</v>
      </c>
      <c r="P575">
        <v>0</v>
      </c>
      <c r="Q575">
        <v>0</v>
      </c>
      <c r="R575">
        <f>IF(S575,TRUE,AND(V575:AE575))</f>
        <v>0</v>
      </c>
      <c r="S575">
        <f>COUNTBLANK(Metadata!B575:K575)=COLUMNS(Metadata!B575:K575)</f>
        <v>0</v>
      </c>
      <c r="T575">
        <v>0</v>
      </c>
      <c r="V575">
        <f>AND(IF(Metadata!B575="",FALSE,TRUE),COUNTIF(Metadata!B:B, Metadata!B575) = 1,NOT(ISERROR(SUMPRODUCT(SEARCH(MID(Metadata!B575,ROW(INDIRECT("1:"&amp;LEN(Metadata!B575))), 1),"0123456789abcdefghijklmnopqrstuvwxyzABCDEFGHIJKLMNOPQRSTUVWXYZ.")))))</f>
        <v>0</v>
      </c>
      <c r="W575">
        <f>AND(IF(Metadata!C575="",FALSE,TRUE),exact(Metadata!C575,"urban biome"))</f>
        <v>0</v>
      </c>
      <c r="X575">
        <f>AND(IF(Metadata!D575="",FALSE,TRUE),exact(Metadata!D575,"animal-associated habitat"))</f>
        <v>0</v>
      </c>
      <c r="Y575">
        <f>OR(AND(IF(Metadata!E575="",FALSE,TRUE),OR(exact(Metadata!E575,"not applicable"),exact(Metadata!E575,"missing: not collected"),exact(Metadata!E575,"missing: not provided"),exact(Metadata!E575,"missing: restricted access"))),AND(IF(Metadata!E575="",FALSE,ISNUMBER(VALUE(Metadata!E575))),Metadata!E575&gt;0))</f>
        <v>0</v>
      </c>
      <c r="Z575">
        <f>AND(IF(Metadata!F575="",FALSE,TRUE),exact(Metadata!F575,"weeks"))</f>
        <v>0</v>
      </c>
      <c r="AA575">
        <f>AND(IF(Metadata!G575="",FALSE,TRUE),exact(Metadata!G575,"mouse"))</f>
        <v>0</v>
      </c>
      <c r="AB575">
        <f>AND(IF(Metadata!H575="",FALSE,TRUE),exact(Metadata!H575,"Mus musculus"))</f>
        <v>0</v>
      </c>
      <c r="AC575">
        <f>AND(IF(Metadata!I575="",FALSE,TRUE),exact(Metadata!I575,"10090"))</f>
        <v>0</v>
      </c>
      <c r="AD575">
        <f>OR(AND(IF(Metadata!J575="",FALSE,TRUE),OR(exact(Metadata!J575,"not applicable"),exact(Metadata!J575,"missing: not collected"),exact(Metadata!J575,"missing: not provided"),exact(Metadata!J575,"missing: restricted access"))),AND(IF(Metadata!J575="",FALSE,ISNUMBER(VALUE(Metadata!J575))),Metadata!J575&gt;0))</f>
        <v>0</v>
      </c>
      <c r="AE575">
        <f>AND(IF(Metadata!K575="",FALSE,TRUE),exact(Metadata!K575,"g"))</f>
        <v>0</v>
      </c>
    </row>
    <row r="576" spans="1:31">
      <c r="A576" s="5">
        <f>IF(B576=" "," ",HYPERLINK(CONCATENATE("#metadata!",ADDRESS(INDEX($Q$2:$Q$1001,MATCH(ROWS($O$2:O576),$O$2:$O$1001,0),0),1)),INDEX($T$2:$T$1001,MATCH(ROWS($O$2:O576),$O$2:$O$1001,0),0)))</f>
        <v>0</v>
      </c>
      <c r="B576" s="4">
        <f>IF(OR(INDEX($P$2:$P$1001,MATCH(ROWS($O$2:O576),$O$2:$O$1001,0),1)&gt;=100000,INDEX($V$1005:$AE$1005,1,MATCH(COLUMNS($V$1006:V1006),$V$1006:$AE$1006,0))&gt;=100000), " ",IF(INDEX($V$2:$AE$1001,MATCH(ROWS($O$2:O576),$O$2:$O$1001,0),MATCH(COLUMNS($V$1006:V1006),$V$1006:$AE$1006,0)), HYPERLINK("#",""), HYPERLINK(CONCATENATE("#Metadata!", ADDRESS(INDEX($Q$2:$Q$1001,MATCH(ROWS($O$2:O576),$O$2:$O$1001,0),0), INDEX($V$1004:$AE$1004,1,MATCH(COLUMNS($V$1006:V1006),$V$1006:$AE$1006,0)))),"Fix")))</f>
        <v>0</v>
      </c>
      <c r="C576" s="4">
        <f>IF(OR(INDEX($P$2:$P$1001,MATCH(ROWS($O$2:O576),$O$2:$O$1001,0),1)&gt;=100000,INDEX($V$1005:$AE$1005,1,MATCH(COLUMNS($V$1006:W1006),$V$1006:$AE$1006,0))&gt;=100000), " ",IF(INDEX($V$2:$AE$1001,MATCH(ROWS($O$2:O576),$O$2:$O$1001,0),MATCH(COLUMNS($V$1006:W1006),$V$1006:$AE$1006,0)), HYPERLINK("#",""), HYPERLINK(CONCATENATE("#Metadata!", ADDRESS(INDEX($Q$2:$Q$1001,MATCH(ROWS($O$2:O576),$O$2:$O$1001,0),0), INDEX($V$1004:$AE$1004,1,MATCH(COLUMNS($V$1006:W1006),$V$1006:$AE$1006,0)))),"Fix")))</f>
        <v>0</v>
      </c>
      <c r="D576" s="4">
        <f>IF(OR(INDEX($P$2:$P$1001,MATCH(ROWS($O$2:O576),$O$2:$O$1001,0),1)&gt;=100000,INDEX($V$1005:$AE$1005,1,MATCH(COLUMNS($V$1006:X1006),$V$1006:$AE$1006,0))&gt;=100000), " ",IF(INDEX($V$2:$AE$1001,MATCH(ROWS($O$2:O576),$O$2:$O$1001,0),MATCH(COLUMNS($V$1006:X1006),$V$1006:$AE$1006,0)), HYPERLINK("#",""), HYPERLINK(CONCATENATE("#Metadata!", ADDRESS(INDEX($Q$2:$Q$1001,MATCH(ROWS($O$2:O576),$O$2:$O$1001,0),0), INDEX($V$1004:$AE$1004,1,MATCH(COLUMNS($V$1006:X1006),$V$1006:$AE$1006,0)))),"Fix")))</f>
        <v>0</v>
      </c>
      <c r="E576" s="4">
        <f>IF(OR(INDEX($P$2:$P$1001,MATCH(ROWS($O$2:O576),$O$2:$O$1001,0),1)&gt;=100000,INDEX($V$1005:$AE$1005,1,MATCH(COLUMNS($V$1006:Y1006),$V$1006:$AE$1006,0))&gt;=100000), " ",IF(INDEX($V$2:$AE$1001,MATCH(ROWS($O$2:O576),$O$2:$O$1001,0),MATCH(COLUMNS($V$1006:Y1006),$V$1006:$AE$1006,0)), HYPERLINK("#",""), HYPERLINK(CONCATENATE("#Metadata!", ADDRESS(INDEX($Q$2:$Q$1001,MATCH(ROWS($O$2:O576),$O$2:$O$1001,0),0), INDEX($V$1004:$AE$1004,1,MATCH(COLUMNS($V$1006:Y1006),$V$1006:$AE$1006,0)))),"Fix")))</f>
        <v>0</v>
      </c>
      <c r="F576" s="4">
        <f>IF(OR(INDEX($P$2:$P$1001,MATCH(ROWS($O$2:O576),$O$2:$O$1001,0),1)&gt;=100000,INDEX($V$1005:$AE$1005,1,MATCH(COLUMNS($V$1006:Z1006),$V$1006:$AE$1006,0))&gt;=100000), " ",IF(INDEX($V$2:$AE$1001,MATCH(ROWS($O$2:O576),$O$2:$O$1001,0),MATCH(COLUMNS($V$1006:Z1006),$V$1006:$AE$1006,0)), HYPERLINK("#",""), HYPERLINK(CONCATENATE("#Metadata!", ADDRESS(INDEX($Q$2:$Q$1001,MATCH(ROWS($O$2:O576),$O$2:$O$1001,0),0), INDEX($V$1004:$AE$1004,1,MATCH(COLUMNS($V$1006:Z1006),$V$1006:$AE$1006,0)))),"Fix")))</f>
        <v>0</v>
      </c>
      <c r="G576" s="4">
        <f>IF(OR(INDEX($P$2:$P$1001,MATCH(ROWS($O$2:O576),$O$2:$O$1001,0),1)&gt;=100000,INDEX($V$1005:$AE$1005,1,MATCH(COLUMNS($V$1006:AA1006),$V$1006:$AE$1006,0))&gt;=100000), " ",IF(INDEX($V$2:$AE$1001,MATCH(ROWS($O$2:O576),$O$2:$O$1001,0),MATCH(COLUMNS($V$1006:AA1006),$V$1006:$AE$1006,0)), HYPERLINK("#",""), HYPERLINK(CONCATENATE("#Metadata!", ADDRESS(INDEX($Q$2:$Q$1001,MATCH(ROWS($O$2:O576),$O$2:$O$1001,0),0), INDEX($V$1004:$AE$1004,1,MATCH(COLUMNS($V$1006:AA1006),$V$1006:$AE$1006,0)))),"Fix")))</f>
        <v>0</v>
      </c>
      <c r="H576" s="4">
        <f>IF(OR(INDEX($P$2:$P$1001,MATCH(ROWS($O$2:O576),$O$2:$O$1001,0),1)&gt;=100000,INDEX($V$1005:$AE$1005,1,MATCH(COLUMNS($V$1006:AB1006),$V$1006:$AE$1006,0))&gt;=100000), " ",IF(INDEX($V$2:$AE$1001,MATCH(ROWS($O$2:O576),$O$2:$O$1001,0),MATCH(COLUMNS($V$1006:AB1006),$V$1006:$AE$1006,0)), HYPERLINK("#",""), HYPERLINK(CONCATENATE("#Metadata!", ADDRESS(INDEX($Q$2:$Q$1001,MATCH(ROWS($O$2:O576),$O$2:$O$1001,0),0), INDEX($V$1004:$AE$1004,1,MATCH(COLUMNS($V$1006:AB1006),$V$1006:$AE$1006,0)))),"Fix")))</f>
        <v>0</v>
      </c>
      <c r="I576" s="4">
        <f>IF(OR(INDEX($P$2:$P$1001,MATCH(ROWS($O$2:O576),$O$2:$O$1001,0),1)&gt;=100000,INDEX($V$1005:$AE$1005,1,MATCH(COLUMNS($V$1006:AC1006),$V$1006:$AE$1006,0))&gt;=100000), " ",IF(INDEX($V$2:$AE$1001,MATCH(ROWS($O$2:O576),$O$2:$O$1001,0),MATCH(COLUMNS($V$1006:AC1006),$V$1006:$AE$1006,0)), HYPERLINK("#",""), HYPERLINK(CONCATENATE("#Metadata!", ADDRESS(INDEX($Q$2:$Q$1001,MATCH(ROWS($O$2:O576),$O$2:$O$1001,0),0), INDEX($V$1004:$AE$1004,1,MATCH(COLUMNS($V$1006:AC1006),$V$1006:$AE$1006,0)))),"Fix")))</f>
        <v>0</v>
      </c>
      <c r="J576" s="4">
        <f>IF(OR(INDEX($P$2:$P$1001,MATCH(ROWS($O$2:O576),$O$2:$O$1001,0),1)&gt;=100000,INDEX($V$1005:$AE$1005,1,MATCH(COLUMNS($V$1006:AD1006),$V$1006:$AE$1006,0))&gt;=100000), " ",IF(INDEX($V$2:$AE$1001,MATCH(ROWS($O$2:O576),$O$2:$O$1001,0),MATCH(COLUMNS($V$1006:AD1006),$V$1006:$AE$1006,0)), HYPERLINK("#",""), HYPERLINK(CONCATENATE("#Metadata!", ADDRESS(INDEX($Q$2:$Q$1001,MATCH(ROWS($O$2:O576),$O$2:$O$1001,0),0), INDEX($V$1004:$AE$1004,1,MATCH(COLUMNS($V$1006:AD1006),$V$1006:$AE$1006,0)))),"Fix")))</f>
        <v>0</v>
      </c>
      <c r="K576" s="4">
        <f>IF(OR(INDEX($P$2:$P$1001,MATCH(ROWS($O$2:O576),$O$2:$O$1001,0),1)&gt;=100000,INDEX($V$1005:$AE$1005,1,MATCH(COLUMNS($V$1006:AE1006),$V$1006:$AE$1006,0))&gt;=100000), " ",IF(INDEX($V$2:$AE$1001,MATCH(ROWS($O$2:O576),$O$2:$O$1001,0),MATCH(COLUMNS($V$1006:AE1006),$V$1006:$AE$1006,0)), HYPERLINK("#",""), HYPERLINK(CONCATENATE("#Metadata!", ADDRESS(INDEX($Q$2:$Q$1001,MATCH(ROWS($O$2:O576),$O$2:$O$1001,0),0), INDEX($V$1004:$AE$1004,1,MATCH(COLUMNS($V$1006:AE1006),$V$1006:$AE$1006,0)))),"Fix")))</f>
        <v>0</v>
      </c>
      <c r="O576">
        <v>0</v>
      </c>
      <c r="P576">
        <v>0</v>
      </c>
      <c r="Q576">
        <v>0</v>
      </c>
      <c r="R576">
        <f>IF(S576,TRUE,AND(V576:AE576))</f>
        <v>0</v>
      </c>
      <c r="S576">
        <f>COUNTBLANK(Metadata!B576:K576)=COLUMNS(Metadata!B576:K576)</f>
        <v>0</v>
      </c>
      <c r="T576">
        <v>0</v>
      </c>
      <c r="V576">
        <f>AND(IF(Metadata!B576="",FALSE,TRUE),COUNTIF(Metadata!B:B, Metadata!B576) = 1,NOT(ISERROR(SUMPRODUCT(SEARCH(MID(Metadata!B576,ROW(INDIRECT("1:"&amp;LEN(Metadata!B576))), 1),"0123456789abcdefghijklmnopqrstuvwxyzABCDEFGHIJKLMNOPQRSTUVWXYZ.")))))</f>
        <v>0</v>
      </c>
      <c r="W576">
        <f>AND(IF(Metadata!C576="",FALSE,TRUE),exact(Metadata!C576,"urban biome"))</f>
        <v>0</v>
      </c>
      <c r="X576">
        <f>AND(IF(Metadata!D576="",FALSE,TRUE),exact(Metadata!D576,"animal-associated habitat"))</f>
        <v>0</v>
      </c>
      <c r="Y576">
        <f>OR(AND(IF(Metadata!E576="",FALSE,TRUE),OR(exact(Metadata!E576,"not applicable"),exact(Metadata!E576,"missing: not collected"),exact(Metadata!E576,"missing: not provided"),exact(Metadata!E576,"missing: restricted access"))),AND(IF(Metadata!E576="",FALSE,ISNUMBER(VALUE(Metadata!E576))),Metadata!E576&gt;0))</f>
        <v>0</v>
      </c>
      <c r="Z576">
        <f>AND(IF(Metadata!F576="",FALSE,TRUE),exact(Metadata!F576,"weeks"))</f>
        <v>0</v>
      </c>
      <c r="AA576">
        <f>AND(IF(Metadata!G576="",FALSE,TRUE),exact(Metadata!G576,"mouse"))</f>
        <v>0</v>
      </c>
      <c r="AB576">
        <f>AND(IF(Metadata!H576="",FALSE,TRUE),exact(Metadata!H576,"Mus musculus"))</f>
        <v>0</v>
      </c>
      <c r="AC576">
        <f>AND(IF(Metadata!I576="",FALSE,TRUE),exact(Metadata!I576,"10090"))</f>
        <v>0</v>
      </c>
      <c r="AD576">
        <f>OR(AND(IF(Metadata!J576="",FALSE,TRUE),OR(exact(Metadata!J576,"not applicable"),exact(Metadata!J576,"missing: not collected"),exact(Metadata!J576,"missing: not provided"),exact(Metadata!J576,"missing: restricted access"))),AND(IF(Metadata!J576="",FALSE,ISNUMBER(VALUE(Metadata!J576))),Metadata!J576&gt;0))</f>
        <v>0</v>
      </c>
      <c r="AE576">
        <f>AND(IF(Metadata!K576="",FALSE,TRUE),exact(Metadata!K576,"g"))</f>
        <v>0</v>
      </c>
    </row>
    <row r="577" spans="1:31">
      <c r="A577" s="5">
        <f>IF(B577=" "," ",HYPERLINK(CONCATENATE("#metadata!",ADDRESS(INDEX($Q$2:$Q$1001,MATCH(ROWS($O$2:O577),$O$2:$O$1001,0),0),1)),INDEX($T$2:$T$1001,MATCH(ROWS($O$2:O577),$O$2:$O$1001,0),0)))</f>
        <v>0</v>
      </c>
      <c r="B577" s="4">
        <f>IF(OR(INDEX($P$2:$P$1001,MATCH(ROWS($O$2:O577),$O$2:$O$1001,0),1)&gt;=100000,INDEX($V$1005:$AE$1005,1,MATCH(COLUMNS($V$1006:V1006),$V$1006:$AE$1006,0))&gt;=100000), " ",IF(INDEX($V$2:$AE$1001,MATCH(ROWS($O$2:O577),$O$2:$O$1001,0),MATCH(COLUMNS($V$1006:V1006),$V$1006:$AE$1006,0)), HYPERLINK("#",""), HYPERLINK(CONCATENATE("#Metadata!", ADDRESS(INDEX($Q$2:$Q$1001,MATCH(ROWS($O$2:O577),$O$2:$O$1001,0),0), INDEX($V$1004:$AE$1004,1,MATCH(COLUMNS($V$1006:V1006),$V$1006:$AE$1006,0)))),"Fix")))</f>
        <v>0</v>
      </c>
      <c r="C577" s="4">
        <f>IF(OR(INDEX($P$2:$P$1001,MATCH(ROWS($O$2:O577),$O$2:$O$1001,0),1)&gt;=100000,INDEX($V$1005:$AE$1005,1,MATCH(COLUMNS($V$1006:W1006),$V$1006:$AE$1006,0))&gt;=100000), " ",IF(INDEX($V$2:$AE$1001,MATCH(ROWS($O$2:O577),$O$2:$O$1001,0),MATCH(COLUMNS($V$1006:W1006),$V$1006:$AE$1006,0)), HYPERLINK("#",""), HYPERLINK(CONCATENATE("#Metadata!", ADDRESS(INDEX($Q$2:$Q$1001,MATCH(ROWS($O$2:O577),$O$2:$O$1001,0),0), INDEX($V$1004:$AE$1004,1,MATCH(COLUMNS($V$1006:W1006),$V$1006:$AE$1006,0)))),"Fix")))</f>
        <v>0</v>
      </c>
      <c r="D577" s="4">
        <f>IF(OR(INDEX($P$2:$P$1001,MATCH(ROWS($O$2:O577),$O$2:$O$1001,0),1)&gt;=100000,INDEX($V$1005:$AE$1005,1,MATCH(COLUMNS($V$1006:X1006),$V$1006:$AE$1006,0))&gt;=100000), " ",IF(INDEX($V$2:$AE$1001,MATCH(ROWS($O$2:O577),$O$2:$O$1001,0),MATCH(COLUMNS($V$1006:X1006),$V$1006:$AE$1006,0)), HYPERLINK("#",""), HYPERLINK(CONCATENATE("#Metadata!", ADDRESS(INDEX($Q$2:$Q$1001,MATCH(ROWS($O$2:O577),$O$2:$O$1001,0),0), INDEX($V$1004:$AE$1004,1,MATCH(COLUMNS($V$1006:X1006),$V$1006:$AE$1006,0)))),"Fix")))</f>
        <v>0</v>
      </c>
      <c r="E577" s="4">
        <f>IF(OR(INDEX($P$2:$P$1001,MATCH(ROWS($O$2:O577),$O$2:$O$1001,0),1)&gt;=100000,INDEX($V$1005:$AE$1005,1,MATCH(COLUMNS($V$1006:Y1006),$V$1006:$AE$1006,0))&gt;=100000), " ",IF(INDEX($V$2:$AE$1001,MATCH(ROWS($O$2:O577),$O$2:$O$1001,0),MATCH(COLUMNS($V$1006:Y1006),$V$1006:$AE$1006,0)), HYPERLINK("#",""), HYPERLINK(CONCATENATE("#Metadata!", ADDRESS(INDEX($Q$2:$Q$1001,MATCH(ROWS($O$2:O577),$O$2:$O$1001,0),0), INDEX($V$1004:$AE$1004,1,MATCH(COLUMNS($V$1006:Y1006),$V$1006:$AE$1006,0)))),"Fix")))</f>
        <v>0</v>
      </c>
      <c r="F577" s="4">
        <f>IF(OR(INDEX($P$2:$P$1001,MATCH(ROWS($O$2:O577),$O$2:$O$1001,0),1)&gt;=100000,INDEX($V$1005:$AE$1005,1,MATCH(COLUMNS($V$1006:Z1006),$V$1006:$AE$1006,0))&gt;=100000), " ",IF(INDEX($V$2:$AE$1001,MATCH(ROWS($O$2:O577),$O$2:$O$1001,0),MATCH(COLUMNS($V$1006:Z1006),$V$1006:$AE$1006,0)), HYPERLINK("#",""), HYPERLINK(CONCATENATE("#Metadata!", ADDRESS(INDEX($Q$2:$Q$1001,MATCH(ROWS($O$2:O577),$O$2:$O$1001,0),0), INDEX($V$1004:$AE$1004,1,MATCH(COLUMNS($V$1006:Z1006),$V$1006:$AE$1006,0)))),"Fix")))</f>
        <v>0</v>
      </c>
      <c r="G577" s="4">
        <f>IF(OR(INDEX($P$2:$P$1001,MATCH(ROWS($O$2:O577),$O$2:$O$1001,0),1)&gt;=100000,INDEX($V$1005:$AE$1005,1,MATCH(COLUMNS($V$1006:AA1006),$V$1006:$AE$1006,0))&gt;=100000), " ",IF(INDEX($V$2:$AE$1001,MATCH(ROWS($O$2:O577),$O$2:$O$1001,0),MATCH(COLUMNS($V$1006:AA1006),$V$1006:$AE$1006,0)), HYPERLINK("#",""), HYPERLINK(CONCATENATE("#Metadata!", ADDRESS(INDEX($Q$2:$Q$1001,MATCH(ROWS($O$2:O577),$O$2:$O$1001,0),0), INDEX($V$1004:$AE$1004,1,MATCH(COLUMNS($V$1006:AA1006),$V$1006:$AE$1006,0)))),"Fix")))</f>
        <v>0</v>
      </c>
      <c r="H577" s="4">
        <f>IF(OR(INDEX($P$2:$P$1001,MATCH(ROWS($O$2:O577),$O$2:$O$1001,0),1)&gt;=100000,INDEX($V$1005:$AE$1005,1,MATCH(COLUMNS($V$1006:AB1006),$V$1006:$AE$1006,0))&gt;=100000), " ",IF(INDEX($V$2:$AE$1001,MATCH(ROWS($O$2:O577),$O$2:$O$1001,0),MATCH(COLUMNS($V$1006:AB1006),$V$1006:$AE$1006,0)), HYPERLINK("#",""), HYPERLINK(CONCATENATE("#Metadata!", ADDRESS(INDEX($Q$2:$Q$1001,MATCH(ROWS($O$2:O577),$O$2:$O$1001,0),0), INDEX($V$1004:$AE$1004,1,MATCH(COLUMNS($V$1006:AB1006),$V$1006:$AE$1006,0)))),"Fix")))</f>
        <v>0</v>
      </c>
      <c r="I577" s="4">
        <f>IF(OR(INDEX($P$2:$P$1001,MATCH(ROWS($O$2:O577),$O$2:$O$1001,0),1)&gt;=100000,INDEX($V$1005:$AE$1005,1,MATCH(COLUMNS($V$1006:AC1006),$V$1006:$AE$1006,0))&gt;=100000), " ",IF(INDEX($V$2:$AE$1001,MATCH(ROWS($O$2:O577),$O$2:$O$1001,0),MATCH(COLUMNS($V$1006:AC1006),$V$1006:$AE$1006,0)), HYPERLINK("#",""), HYPERLINK(CONCATENATE("#Metadata!", ADDRESS(INDEX($Q$2:$Q$1001,MATCH(ROWS($O$2:O577),$O$2:$O$1001,0),0), INDEX($V$1004:$AE$1004,1,MATCH(COLUMNS($V$1006:AC1006),$V$1006:$AE$1006,0)))),"Fix")))</f>
        <v>0</v>
      </c>
      <c r="J577" s="4">
        <f>IF(OR(INDEX($P$2:$P$1001,MATCH(ROWS($O$2:O577),$O$2:$O$1001,0),1)&gt;=100000,INDEX($V$1005:$AE$1005,1,MATCH(COLUMNS($V$1006:AD1006),$V$1006:$AE$1006,0))&gt;=100000), " ",IF(INDEX($V$2:$AE$1001,MATCH(ROWS($O$2:O577),$O$2:$O$1001,0),MATCH(COLUMNS($V$1006:AD1006),$V$1006:$AE$1006,0)), HYPERLINK("#",""), HYPERLINK(CONCATENATE("#Metadata!", ADDRESS(INDEX($Q$2:$Q$1001,MATCH(ROWS($O$2:O577),$O$2:$O$1001,0),0), INDEX($V$1004:$AE$1004,1,MATCH(COLUMNS($V$1006:AD1006),$V$1006:$AE$1006,0)))),"Fix")))</f>
        <v>0</v>
      </c>
      <c r="K577" s="4">
        <f>IF(OR(INDEX($P$2:$P$1001,MATCH(ROWS($O$2:O577),$O$2:$O$1001,0),1)&gt;=100000,INDEX($V$1005:$AE$1005,1,MATCH(COLUMNS($V$1006:AE1006),$V$1006:$AE$1006,0))&gt;=100000), " ",IF(INDEX($V$2:$AE$1001,MATCH(ROWS($O$2:O577),$O$2:$O$1001,0),MATCH(COLUMNS($V$1006:AE1006),$V$1006:$AE$1006,0)), HYPERLINK("#",""), HYPERLINK(CONCATENATE("#Metadata!", ADDRESS(INDEX($Q$2:$Q$1001,MATCH(ROWS($O$2:O577),$O$2:$O$1001,0),0), INDEX($V$1004:$AE$1004,1,MATCH(COLUMNS($V$1006:AE1006),$V$1006:$AE$1006,0)))),"Fix")))</f>
        <v>0</v>
      </c>
      <c r="O577">
        <v>0</v>
      </c>
      <c r="P577">
        <v>0</v>
      </c>
      <c r="Q577">
        <v>0</v>
      </c>
      <c r="R577">
        <f>IF(S577,TRUE,AND(V577:AE577))</f>
        <v>0</v>
      </c>
      <c r="S577">
        <f>COUNTBLANK(Metadata!B577:K577)=COLUMNS(Metadata!B577:K577)</f>
        <v>0</v>
      </c>
      <c r="T577">
        <v>0</v>
      </c>
      <c r="V577">
        <f>AND(IF(Metadata!B577="",FALSE,TRUE),COUNTIF(Metadata!B:B, Metadata!B577) = 1,NOT(ISERROR(SUMPRODUCT(SEARCH(MID(Metadata!B577,ROW(INDIRECT("1:"&amp;LEN(Metadata!B577))), 1),"0123456789abcdefghijklmnopqrstuvwxyzABCDEFGHIJKLMNOPQRSTUVWXYZ.")))))</f>
        <v>0</v>
      </c>
      <c r="W577">
        <f>AND(IF(Metadata!C577="",FALSE,TRUE),exact(Metadata!C577,"urban biome"))</f>
        <v>0</v>
      </c>
      <c r="X577">
        <f>AND(IF(Metadata!D577="",FALSE,TRUE),exact(Metadata!D577,"animal-associated habitat"))</f>
        <v>0</v>
      </c>
      <c r="Y577">
        <f>OR(AND(IF(Metadata!E577="",FALSE,TRUE),OR(exact(Metadata!E577,"not applicable"),exact(Metadata!E577,"missing: not collected"),exact(Metadata!E577,"missing: not provided"),exact(Metadata!E577,"missing: restricted access"))),AND(IF(Metadata!E577="",FALSE,ISNUMBER(VALUE(Metadata!E577))),Metadata!E577&gt;0))</f>
        <v>0</v>
      </c>
      <c r="Z577">
        <f>AND(IF(Metadata!F577="",FALSE,TRUE),exact(Metadata!F577,"weeks"))</f>
        <v>0</v>
      </c>
      <c r="AA577">
        <f>AND(IF(Metadata!G577="",FALSE,TRUE),exact(Metadata!G577,"mouse"))</f>
        <v>0</v>
      </c>
      <c r="AB577">
        <f>AND(IF(Metadata!H577="",FALSE,TRUE),exact(Metadata!H577,"Mus musculus"))</f>
        <v>0</v>
      </c>
      <c r="AC577">
        <f>AND(IF(Metadata!I577="",FALSE,TRUE),exact(Metadata!I577,"10090"))</f>
        <v>0</v>
      </c>
      <c r="AD577">
        <f>OR(AND(IF(Metadata!J577="",FALSE,TRUE),OR(exact(Metadata!J577,"not applicable"),exact(Metadata!J577,"missing: not collected"),exact(Metadata!J577,"missing: not provided"),exact(Metadata!J577,"missing: restricted access"))),AND(IF(Metadata!J577="",FALSE,ISNUMBER(VALUE(Metadata!J577))),Metadata!J577&gt;0))</f>
        <v>0</v>
      </c>
      <c r="AE577">
        <f>AND(IF(Metadata!K577="",FALSE,TRUE),exact(Metadata!K577,"g"))</f>
        <v>0</v>
      </c>
    </row>
    <row r="578" spans="1:31">
      <c r="A578" s="5">
        <f>IF(B578=" "," ",HYPERLINK(CONCATENATE("#metadata!",ADDRESS(INDEX($Q$2:$Q$1001,MATCH(ROWS($O$2:O578),$O$2:$O$1001,0),0),1)),INDEX($T$2:$T$1001,MATCH(ROWS($O$2:O578),$O$2:$O$1001,0),0)))</f>
        <v>0</v>
      </c>
      <c r="B578" s="4">
        <f>IF(OR(INDEX($P$2:$P$1001,MATCH(ROWS($O$2:O578),$O$2:$O$1001,0),1)&gt;=100000,INDEX($V$1005:$AE$1005,1,MATCH(COLUMNS($V$1006:V1006),$V$1006:$AE$1006,0))&gt;=100000), " ",IF(INDEX($V$2:$AE$1001,MATCH(ROWS($O$2:O578),$O$2:$O$1001,0),MATCH(COLUMNS($V$1006:V1006),$V$1006:$AE$1006,0)), HYPERLINK("#",""), HYPERLINK(CONCATENATE("#Metadata!", ADDRESS(INDEX($Q$2:$Q$1001,MATCH(ROWS($O$2:O578),$O$2:$O$1001,0),0), INDEX($V$1004:$AE$1004,1,MATCH(COLUMNS($V$1006:V1006),$V$1006:$AE$1006,0)))),"Fix")))</f>
        <v>0</v>
      </c>
      <c r="C578" s="4">
        <f>IF(OR(INDEX($P$2:$P$1001,MATCH(ROWS($O$2:O578),$O$2:$O$1001,0),1)&gt;=100000,INDEX($V$1005:$AE$1005,1,MATCH(COLUMNS($V$1006:W1006),$V$1006:$AE$1006,0))&gt;=100000), " ",IF(INDEX($V$2:$AE$1001,MATCH(ROWS($O$2:O578),$O$2:$O$1001,0),MATCH(COLUMNS($V$1006:W1006),$V$1006:$AE$1006,0)), HYPERLINK("#",""), HYPERLINK(CONCATENATE("#Metadata!", ADDRESS(INDEX($Q$2:$Q$1001,MATCH(ROWS($O$2:O578),$O$2:$O$1001,0),0), INDEX($V$1004:$AE$1004,1,MATCH(COLUMNS($V$1006:W1006),$V$1006:$AE$1006,0)))),"Fix")))</f>
        <v>0</v>
      </c>
      <c r="D578" s="4">
        <f>IF(OR(INDEX($P$2:$P$1001,MATCH(ROWS($O$2:O578),$O$2:$O$1001,0),1)&gt;=100000,INDEX($V$1005:$AE$1005,1,MATCH(COLUMNS($V$1006:X1006),$V$1006:$AE$1006,0))&gt;=100000), " ",IF(INDEX($V$2:$AE$1001,MATCH(ROWS($O$2:O578),$O$2:$O$1001,0),MATCH(COLUMNS($V$1006:X1006),$V$1006:$AE$1006,0)), HYPERLINK("#",""), HYPERLINK(CONCATENATE("#Metadata!", ADDRESS(INDEX($Q$2:$Q$1001,MATCH(ROWS($O$2:O578),$O$2:$O$1001,0),0), INDEX($V$1004:$AE$1004,1,MATCH(COLUMNS($V$1006:X1006),$V$1006:$AE$1006,0)))),"Fix")))</f>
        <v>0</v>
      </c>
      <c r="E578" s="4">
        <f>IF(OR(INDEX($P$2:$P$1001,MATCH(ROWS($O$2:O578),$O$2:$O$1001,0),1)&gt;=100000,INDEX($V$1005:$AE$1005,1,MATCH(COLUMNS($V$1006:Y1006),$V$1006:$AE$1006,0))&gt;=100000), " ",IF(INDEX($V$2:$AE$1001,MATCH(ROWS($O$2:O578),$O$2:$O$1001,0),MATCH(COLUMNS($V$1006:Y1006),$V$1006:$AE$1006,0)), HYPERLINK("#",""), HYPERLINK(CONCATENATE("#Metadata!", ADDRESS(INDEX($Q$2:$Q$1001,MATCH(ROWS($O$2:O578),$O$2:$O$1001,0),0), INDEX($V$1004:$AE$1004,1,MATCH(COLUMNS($V$1006:Y1006),$V$1006:$AE$1006,0)))),"Fix")))</f>
        <v>0</v>
      </c>
      <c r="F578" s="4">
        <f>IF(OR(INDEX($P$2:$P$1001,MATCH(ROWS($O$2:O578),$O$2:$O$1001,0),1)&gt;=100000,INDEX($V$1005:$AE$1005,1,MATCH(COLUMNS($V$1006:Z1006),$V$1006:$AE$1006,0))&gt;=100000), " ",IF(INDEX($V$2:$AE$1001,MATCH(ROWS($O$2:O578),$O$2:$O$1001,0),MATCH(COLUMNS($V$1006:Z1006),$V$1006:$AE$1006,0)), HYPERLINK("#",""), HYPERLINK(CONCATENATE("#Metadata!", ADDRESS(INDEX($Q$2:$Q$1001,MATCH(ROWS($O$2:O578),$O$2:$O$1001,0),0), INDEX($V$1004:$AE$1004,1,MATCH(COLUMNS($V$1006:Z1006),$V$1006:$AE$1006,0)))),"Fix")))</f>
        <v>0</v>
      </c>
      <c r="G578" s="4">
        <f>IF(OR(INDEX($P$2:$P$1001,MATCH(ROWS($O$2:O578),$O$2:$O$1001,0),1)&gt;=100000,INDEX($V$1005:$AE$1005,1,MATCH(COLUMNS($V$1006:AA1006),$V$1006:$AE$1006,0))&gt;=100000), " ",IF(INDEX($V$2:$AE$1001,MATCH(ROWS($O$2:O578),$O$2:$O$1001,0),MATCH(COLUMNS($V$1006:AA1006),$V$1006:$AE$1006,0)), HYPERLINK("#",""), HYPERLINK(CONCATENATE("#Metadata!", ADDRESS(INDEX($Q$2:$Q$1001,MATCH(ROWS($O$2:O578),$O$2:$O$1001,0),0), INDEX($V$1004:$AE$1004,1,MATCH(COLUMNS($V$1006:AA1006),$V$1006:$AE$1006,0)))),"Fix")))</f>
        <v>0</v>
      </c>
      <c r="H578" s="4">
        <f>IF(OR(INDEX($P$2:$P$1001,MATCH(ROWS($O$2:O578),$O$2:$O$1001,0),1)&gt;=100000,INDEX($V$1005:$AE$1005,1,MATCH(COLUMNS($V$1006:AB1006),$V$1006:$AE$1006,0))&gt;=100000), " ",IF(INDEX($V$2:$AE$1001,MATCH(ROWS($O$2:O578),$O$2:$O$1001,0),MATCH(COLUMNS($V$1006:AB1006),$V$1006:$AE$1006,0)), HYPERLINK("#",""), HYPERLINK(CONCATENATE("#Metadata!", ADDRESS(INDEX($Q$2:$Q$1001,MATCH(ROWS($O$2:O578),$O$2:$O$1001,0),0), INDEX($V$1004:$AE$1004,1,MATCH(COLUMNS($V$1006:AB1006),$V$1006:$AE$1006,0)))),"Fix")))</f>
        <v>0</v>
      </c>
      <c r="I578" s="4">
        <f>IF(OR(INDEX($P$2:$P$1001,MATCH(ROWS($O$2:O578),$O$2:$O$1001,0),1)&gt;=100000,INDEX($V$1005:$AE$1005,1,MATCH(COLUMNS($V$1006:AC1006),$V$1006:$AE$1006,0))&gt;=100000), " ",IF(INDEX($V$2:$AE$1001,MATCH(ROWS($O$2:O578),$O$2:$O$1001,0),MATCH(COLUMNS($V$1006:AC1006),$V$1006:$AE$1006,0)), HYPERLINK("#",""), HYPERLINK(CONCATENATE("#Metadata!", ADDRESS(INDEX($Q$2:$Q$1001,MATCH(ROWS($O$2:O578),$O$2:$O$1001,0),0), INDEX($V$1004:$AE$1004,1,MATCH(COLUMNS($V$1006:AC1006),$V$1006:$AE$1006,0)))),"Fix")))</f>
        <v>0</v>
      </c>
      <c r="J578" s="4">
        <f>IF(OR(INDEX($P$2:$P$1001,MATCH(ROWS($O$2:O578),$O$2:$O$1001,0),1)&gt;=100000,INDEX($V$1005:$AE$1005,1,MATCH(COLUMNS($V$1006:AD1006),$V$1006:$AE$1006,0))&gt;=100000), " ",IF(INDEX($V$2:$AE$1001,MATCH(ROWS($O$2:O578),$O$2:$O$1001,0),MATCH(COLUMNS($V$1006:AD1006),$V$1006:$AE$1006,0)), HYPERLINK("#",""), HYPERLINK(CONCATENATE("#Metadata!", ADDRESS(INDEX($Q$2:$Q$1001,MATCH(ROWS($O$2:O578),$O$2:$O$1001,0),0), INDEX($V$1004:$AE$1004,1,MATCH(COLUMNS($V$1006:AD1006),$V$1006:$AE$1006,0)))),"Fix")))</f>
        <v>0</v>
      </c>
      <c r="K578" s="4">
        <f>IF(OR(INDEX($P$2:$P$1001,MATCH(ROWS($O$2:O578),$O$2:$O$1001,0),1)&gt;=100000,INDEX($V$1005:$AE$1005,1,MATCH(COLUMNS($V$1006:AE1006),$V$1006:$AE$1006,0))&gt;=100000), " ",IF(INDEX($V$2:$AE$1001,MATCH(ROWS($O$2:O578),$O$2:$O$1001,0),MATCH(COLUMNS($V$1006:AE1006),$V$1006:$AE$1006,0)), HYPERLINK("#",""), HYPERLINK(CONCATENATE("#Metadata!", ADDRESS(INDEX($Q$2:$Q$1001,MATCH(ROWS($O$2:O578),$O$2:$O$1001,0),0), INDEX($V$1004:$AE$1004,1,MATCH(COLUMNS($V$1006:AE1006),$V$1006:$AE$1006,0)))),"Fix")))</f>
        <v>0</v>
      </c>
      <c r="O578">
        <v>0</v>
      </c>
      <c r="P578">
        <v>0</v>
      </c>
      <c r="Q578">
        <v>0</v>
      </c>
      <c r="R578">
        <f>IF(S578,TRUE,AND(V578:AE578))</f>
        <v>0</v>
      </c>
      <c r="S578">
        <f>COUNTBLANK(Metadata!B578:K578)=COLUMNS(Metadata!B578:K578)</f>
        <v>0</v>
      </c>
      <c r="T578">
        <v>0</v>
      </c>
      <c r="V578">
        <f>AND(IF(Metadata!B578="",FALSE,TRUE),COUNTIF(Metadata!B:B, Metadata!B578) = 1,NOT(ISERROR(SUMPRODUCT(SEARCH(MID(Metadata!B578,ROW(INDIRECT("1:"&amp;LEN(Metadata!B578))), 1),"0123456789abcdefghijklmnopqrstuvwxyzABCDEFGHIJKLMNOPQRSTUVWXYZ.")))))</f>
        <v>0</v>
      </c>
      <c r="W578">
        <f>AND(IF(Metadata!C578="",FALSE,TRUE),exact(Metadata!C578,"urban biome"))</f>
        <v>0</v>
      </c>
      <c r="X578">
        <f>AND(IF(Metadata!D578="",FALSE,TRUE),exact(Metadata!D578,"animal-associated habitat"))</f>
        <v>0</v>
      </c>
      <c r="Y578">
        <f>OR(AND(IF(Metadata!E578="",FALSE,TRUE),OR(exact(Metadata!E578,"not applicable"),exact(Metadata!E578,"missing: not collected"),exact(Metadata!E578,"missing: not provided"),exact(Metadata!E578,"missing: restricted access"))),AND(IF(Metadata!E578="",FALSE,ISNUMBER(VALUE(Metadata!E578))),Metadata!E578&gt;0))</f>
        <v>0</v>
      </c>
      <c r="Z578">
        <f>AND(IF(Metadata!F578="",FALSE,TRUE),exact(Metadata!F578,"weeks"))</f>
        <v>0</v>
      </c>
      <c r="AA578">
        <f>AND(IF(Metadata!G578="",FALSE,TRUE),exact(Metadata!G578,"mouse"))</f>
        <v>0</v>
      </c>
      <c r="AB578">
        <f>AND(IF(Metadata!H578="",FALSE,TRUE),exact(Metadata!H578,"Mus musculus"))</f>
        <v>0</v>
      </c>
      <c r="AC578">
        <f>AND(IF(Metadata!I578="",FALSE,TRUE),exact(Metadata!I578,"10090"))</f>
        <v>0</v>
      </c>
      <c r="AD578">
        <f>OR(AND(IF(Metadata!J578="",FALSE,TRUE),OR(exact(Metadata!J578,"not applicable"),exact(Metadata!J578,"missing: not collected"),exact(Metadata!J578,"missing: not provided"),exact(Metadata!J578,"missing: restricted access"))),AND(IF(Metadata!J578="",FALSE,ISNUMBER(VALUE(Metadata!J578))),Metadata!J578&gt;0))</f>
        <v>0</v>
      </c>
      <c r="AE578">
        <f>AND(IF(Metadata!K578="",FALSE,TRUE),exact(Metadata!K578,"g"))</f>
        <v>0</v>
      </c>
    </row>
    <row r="579" spans="1:31">
      <c r="A579" s="5">
        <f>IF(B579=" "," ",HYPERLINK(CONCATENATE("#metadata!",ADDRESS(INDEX($Q$2:$Q$1001,MATCH(ROWS($O$2:O579),$O$2:$O$1001,0),0),1)),INDEX($T$2:$T$1001,MATCH(ROWS($O$2:O579),$O$2:$O$1001,0),0)))</f>
        <v>0</v>
      </c>
      <c r="B579" s="4">
        <f>IF(OR(INDEX($P$2:$P$1001,MATCH(ROWS($O$2:O579),$O$2:$O$1001,0),1)&gt;=100000,INDEX($V$1005:$AE$1005,1,MATCH(COLUMNS($V$1006:V1006),$V$1006:$AE$1006,0))&gt;=100000), " ",IF(INDEX($V$2:$AE$1001,MATCH(ROWS($O$2:O579),$O$2:$O$1001,0),MATCH(COLUMNS($V$1006:V1006),$V$1006:$AE$1006,0)), HYPERLINK("#",""), HYPERLINK(CONCATENATE("#Metadata!", ADDRESS(INDEX($Q$2:$Q$1001,MATCH(ROWS($O$2:O579),$O$2:$O$1001,0),0), INDEX($V$1004:$AE$1004,1,MATCH(COLUMNS($V$1006:V1006),$V$1006:$AE$1006,0)))),"Fix")))</f>
        <v>0</v>
      </c>
      <c r="C579" s="4">
        <f>IF(OR(INDEX($P$2:$P$1001,MATCH(ROWS($O$2:O579),$O$2:$O$1001,0),1)&gt;=100000,INDEX($V$1005:$AE$1005,1,MATCH(COLUMNS($V$1006:W1006),$V$1006:$AE$1006,0))&gt;=100000), " ",IF(INDEX($V$2:$AE$1001,MATCH(ROWS($O$2:O579),$O$2:$O$1001,0),MATCH(COLUMNS($V$1006:W1006),$V$1006:$AE$1006,0)), HYPERLINK("#",""), HYPERLINK(CONCATENATE("#Metadata!", ADDRESS(INDEX($Q$2:$Q$1001,MATCH(ROWS($O$2:O579),$O$2:$O$1001,0),0), INDEX($V$1004:$AE$1004,1,MATCH(COLUMNS($V$1006:W1006),$V$1006:$AE$1006,0)))),"Fix")))</f>
        <v>0</v>
      </c>
      <c r="D579" s="4">
        <f>IF(OR(INDEX($P$2:$P$1001,MATCH(ROWS($O$2:O579),$O$2:$O$1001,0),1)&gt;=100000,INDEX($V$1005:$AE$1005,1,MATCH(COLUMNS($V$1006:X1006),$V$1006:$AE$1006,0))&gt;=100000), " ",IF(INDEX($V$2:$AE$1001,MATCH(ROWS($O$2:O579),$O$2:$O$1001,0),MATCH(COLUMNS($V$1006:X1006),$V$1006:$AE$1006,0)), HYPERLINK("#",""), HYPERLINK(CONCATENATE("#Metadata!", ADDRESS(INDEX($Q$2:$Q$1001,MATCH(ROWS($O$2:O579),$O$2:$O$1001,0),0), INDEX($V$1004:$AE$1004,1,MATCH(COLUMNS($V$1006:X1006),$V$1006:$AE$1006,0)))),"Fix")))</f>
        <v>0</v>
      </c>
      <c r="E579" s="4">
        <f>IF(OR(INDEX($P$2:$P$1001,MATCH(ROWS($O$2:O579),$O$2:$O$1001,0),1)&gt;=100000,INDEX($V$1005:$AE$1005,1,MATCH(COLUMNS($V$1006:Y1006),$V$1006:$AE$1006,0))&gt;=100000), " ",IF(INDEX($V$2:$AE$1001,MATCH(ROWS($O$2:O579),$O$2:$O$1001,0),MATCH(COLUMNS($V$1006:Y1006),$V$1006:$AE$1006,0)), HYPERLINK("#",""), HYPERLINK(CONCATENATE("#Metadata!", ADDRESS(INDEX($Q$2:$Q$1001,MATCH(ROWS($O$2:O579),$O$2:$O$1001,0),0), INDEX($V$1004:$AE$1004,1,MATCH(COLUMNS($V$1006:Y1006),$V$1006:$AE$1006,0)))),"Fix")))</f>
        <v>0</v>
      </c>
      <c r="F579" s="4">
        <f>IF(OR(INDEX($P$2:$P$1001,MATCH(ROWS($O$2:O579),$O$2:$O$1001,0),1)&gt;=100000,INDEX($V$1005:$AE$1005,1,MATCH(COLUMNS($V$1006:Z1006),$V$1006:$AE$1006,0))&gt;=100000), " ",IF(INDEX($V$2:$AE$1001,MATCH(ROWS($O$2:O579),$O$2:$O$1001,0),MATCH(COLUMNS($V$1006:Z1006),$V$1006:$AE$1006,0)), HYPERLINK("#",""), HYPERLINK(CONCATENATE("#Metadata!", ADDRESS(INDEX($Q$2:$Q$1001,MATCH(ROWS($O$2:O579),$O$2:$O$1001,0),0), INDEX($V$1004:$AE$1004,1,MATCH(COLUMNS($V$1006:Z1006),$V$1006:$AE$1006,0)))),"Fix")))</f>
        <v>0</v>
      </c>
      <c r="G579" s="4">
        <f>IF(OR(INDEX($P$2:$P$1001,MATCH(ROWS($O$2:O579),$O$2:$O$1001,0),1)&gt;=100000,INDEX($V$1005:$AE$1005,1,MATCH(COLUMNS($V$1006:AA1006),$V$1006:$AE$1006,0))&gt;=100000), " ",IF(INDEX($V$2:$AE$1001,MATCH(ROWS($O$2:O579),$O$2:$O$1001,0),MATCH(COLUMNS($V$1006:AA1006),$V$1006:$AE$1006,0)), HYPERLINK("#",""), HYPERLINK(CONCATENATE("#Metadata!", ADDRESS(INDEX($Q$2:$Q$1001,MATCH(ROWS($O$2:O579),$O$2:$O$1001,0),0), INDEX($V$1004:$AE$1004,1,MATCH(COLUMNS($V$1006:AA1006),$V$1006:$AE$1006,0)))),"Fix")))</f>
        <v>0</v>
      </c>
      <c r="H579" s="4">
        <f>IF(OR(INDEX($P$2:$P$1001,MATCH(ROWS($O$2:O579),$O$2:$O$1001,0),1)&gt;=100000,INDEX($V$1005:$AE$1005,1,MATCH(COLUMNS($V$1006:AB1006),$V$1006:$AE$1006,0))&gt;=100000), " ",IF(INDEX($V$2:$AE$1001,MATCH(ROWS($O$2:O579),$O$2:$O$1001,0),MATCH(COLUMNS($V$1006:AB1006),$V$1006:$AE$1006,0)), HYPERLINK("#",""), HYPERLINK(CONCATENATE("#Metadata!", ADDRESS(INDEX($Q$2:$Q$1001,MATCH(ROWS($O$2:O579),$O$2:$O$1001,0),0), INDEX($V$1004:$AE$1004,1,MATCH(COLUMNS($V$1006:AB1006),$V$1006:$AE$1006,0)))),"Fix")))</f>
        <v>0</v>
      </c>
      <c r="I579" s="4">
        <f>IF(OR(INDEX($P$2:$P$1001,MATCH(ROWS($O$2:O579),$O$2:$O$1001,0),1)&gt;=100000,INDEX($V$1005:$AE$1005,1,MATCH(COLUMNS($V$1006:AC1006),$V$1006:$AE$1006,0))&gt;=100000), " ",IF(INDEX($V$2:$AE$1001,MATCH(ROWS($O$2:O579),$O$2:$O$1001,0),MATCH(COLUMNS($V$1006:AC1006),$V$1006:$AE$1006,0)), HYPERLINK("#",""), HYPERLINK(CONCATENATE("#Metadata!", ADDRESS(INDEX($Q$2:$Q$1001,MATCH(ROWS($O$2:O579),$O$2:$O$1001,0),0), INDEX($V$1004:$AE$1004,1,MATCH(COLUMNS($V$1006:AC1006),$V$1006:$AE$1006,0)))),"Fix")))</f>
        <v>0</v>
      </c>
      <c r="J579" s="4">
        <f>IF(OR(INDEX($P$2:$P$1001,MATCH(ROWS($O$2:O579),$O$2:$O$1001,0),1)&gt;=100000,INDEX($V$1005:$AE$1005,1,MATCH(COLUMNS($V$1006:AD1006),$V$1006:$AE$1006,0))&gt;=100000), " ",IF(INDEX($V$2:$AE$1001,MATCH(ROWS($O$2:O579),$O$2:$O$1001,0),MATCH(COLUMNS($V$1006:AD1006),$V$1006:$AE$1006,0)), HYPERLINK("#",""), HYPERLINK(CONCATENATE("#Metadata!", ADDRESS(INDEX($Q$2:$Q$1001,MATCH(ROWS($O$2:O579),$O$2:$O$1001,0),0), INDEX($V$1004:$AE$1004,1,MATCH(COLUMNS($V$1006:AD1006),$V$1006:$AE$1006,0)))),"Fix")))</f>
        <v>0</v>
      </c>
      <c r="K579" s="4">
        <f>IF(OR(INDEX($P$2:$P$1001,MATCH(ROWS($O$2:O579),$O$2:$O$1001,0),1)&gt;=100000,INDEX($V$1005:$AE$1005,1,MATCH(COLUMNS($V$1006:AE1006),$V$1006:$AE$1006,0))&gt;=100000), " ",IF(INDEX($V$2:$AE$1001,MATCH(ROWS($O$2:O579),$O$2:$O$1001,0),MATCH(COLUMNS($V$1006:AE1006),$V$1006:$AE$1006,0)), HYPERLINK("#",""), HYPERLINK(CONCATENATE("#Metadata!", ADDRESS(INDEX($Q$2:$Q$1001,MATCH(ROWS($O$2:O579),$O$2:$O$1001,0),0), INDEX($V$1004:$AE$1004,1,MATCH(COLUMNS($V$1006:AE1006),$V$1006:$AE$1006,0)))),"Fix")))</f>
        <v>0</v>
      </c>
      <c r="O579">
        <v>0</v>
      </c>
      <c r="P579">
        <v>0</v>
      </c>
      <c r="Q579">
        <v>0</v>
      </c>
      <c r="R579">
        <f>IF(S579,TRUE,AND(V579:AE579))</f>
        <v>0</v>
      </c>
      <c r="S579">
        <f>COUNTBLANK(Metadata!B579:K579)=COLUMNS(Metadata!B579:K579)</f>
        <v>0</v>
      </c>
      <c r="T579">
        <v>0</v>
      </c>
      <c r="V579">
        <f>AND(IF(Metadata!B579="",FALSE,TRUE),COUNTIF(Metadata!B:B, Metadata!B579) = 1,NOT(ISERROR(SUMPRODUCT(SEARCH(MID(Metadata!B579,ROW(INDIRECT("1:"&amp;LEN(Metadata!B579))), 1),"0123456789abcdefghijklmnopqrstuvwxyzABCDEFGHIJKLMNOPQRSTUVWXYZ.")))))</f>
        <v>0</v>
      </c>
      <c r="W579">
        <f>AND(IF(Metadata!C579="",FALSE,TRUE),exact(Metadata!C579,"urban biome"))</f>
        <v>0</v>
      </c>
      <c r="X579">
        <f>AND(IF(Metadata!D579="",FALSE,TRUE),exact(Metadata!D579,"animal-associated habitat"))</f>
        <v>0</v>
      </c>
      <c r="Y579">
        <f>OR(AND(IF(Metadata!E579="",FALSE,TRUE),OR(exact(Metadata!E579,"not applicable"),exact(Metadata!E579,"missing: not collected"),exact(Metadata!E579,"missing: not provided"),exact(Metadata!E579,"missing: restricted access"))),AND(IF(Metadata!E579="",FALSE,ISNUMBER(VALUE(Metadata!E579))),Metadata!E579&gt;0))</f>
        <v>0</v>
      </c>
      <c r="Z579">
        <f>AND(IF(Metadata!F579="",FALSE,TRUE),exact(Metadata!F579,"weeks"))</f>
        <v>0</v>
      </c>
      <c r="AA579">
        <f>AND(IF(Metadata!G579="",FALSE,TRUE),exact(Metadata!G579,"mouse"))</f>
        <v>0</v>
      </c>
      <c r="AB579">
        <f>AND(IF(Metadata!H579="",FALSE,TRUE),exact(Metadata!H579,"Mus musculus"))</f>
        <v>0</v>
      </c>
      <c r="AC579">
        <f>AND(IF(Metadata!I579="",FALSE,TRUE),exact(Metadata!I579,"10090"))</f>
        <v>0</v>
      </c>
      <c r="AD579">
        <f>OR(AND(IF(Metadata!J579="",FALSE,TRUE),OR(exact(Metadata!J579,"not applicable"),exact(Metadata!J579,"missing: not collected"),exact(Metadata!J579,"missing: not provided"),exact(Metadata!J579,"missing: restricted access"))),AND(IF(Metadata!J579="",FALSE,ISNUMBER(VALUE(Metadata!J579))),Metadata!J579&gt;0))</f>
        <v>0</v>
      </c>
      <c r="AE579">
        <f>AND(IF(Metadata!K579="",FALSE,TRUE),exact(Metadata!K579,"g"))</f>
        <v>0</v>
      </c>
    </row>
    <row r="580" spans="1:31">
      <c r="A580" s="5">
        <f>IF(B580=" "," ",HYPERLINK(CONCATENATE("#metadata!",ADDRESS(INDEX($Q$2:$Q$1001,MATCH(ROWS($O$2:O580),$O$2:$O$1001,0),0),1)),INDEX($T$2:$T$1001,MATCH(ROWS($O$2:O580),$O$2:$O$1001,0),0)))</f>
        <v>0</v>
      </c>
      <c r="B580" s="4">
        <f>IF(OR(INDEX($P$2:$P$1001,MATCH(ROWS($O$2:O580),$O$2:$O$1001,0),1)&gt;=100000,INDEX($V$1005:$AE$1005,1,MATCH(COLUMNS($V$1006:V1006),$V$1006:$AE$1006,0))&gt;=100000), " ",IF(INDEX($V$2:$AE$1001,MATCH(ROWS($O$2:O580),$O$2:$O$1001,0),MATCH(COLUMNS($V$1006:V1006),$V$1006:$AE$1006,0)), HYPERLINK("#",""), HYPERLINK(CONCATENATE("#Metadata!", ADDRESS(INDEX($Q$2:$Q$1001,MATCH(ROWS($O$2:O580),$O$2:$O$1001,0),0), INDEX($V$1004:$AE$1004,1,MATCH(COLUMNS($V$1006:V1006),$V$1006:$AE$1006,0)))),"Fix")))</f>
        <v>0</v>
      </c>
      <c r="C580" s="4">
        <f>IF(OR(INDEX($P$2:$P$1001,MATCH(ROWS($O$2:O580),$O$2:$O$1001,0),1)&gt;=100000,INDEX($V$1005:$AE$1005,1,MATCH(COLUMNS($V$1006:W1006),$V$1006:$AE$1006,0))&gt;=100000), " ",IF(INDEX($V$2:$AE$1001,MATCH(ROWS($O$2:O580),$O$2:$O$1001,0),MATCH(COLUMNS($V$1006:W1006),$V$1006:$AE$1006,0)), HYPERLINK("#",""), HYPERLINK(CONCATENATE("#Metadata!", ADDRESS(INDEX($Q$2:$Q$1001,MATCH(ROWS($O$2:O580),$O$2:$O$1001,0),0), INDEX($V$1004:$AE$1004,1,MATCH(COLUMNS($V$1006:W1006),$V$1006:$AE$1006,0)))),"Fix")))</f>
        <v>0</v>
      </c>
      <c r="D580" s="4">
        <f>IF(OR(INDEX($P$2:$P$1001,MATCH(ROWS($O$2:O580),$O$2:$O$1001,0),1)&gt;=100000,INDEX($V$1005:$AE$1005,1,MATCH(COLUMNS($V$1006:X1006),$V$1006:$AE$1006,0))&gt;=100000), " ",IF(INDEX($V$2:$AE$1001,MATCH(ROWS($O$2:O580),$O$2:$O$1001,0),MATCH(COLUMNS($V$1006:X1006),$V$1006:$AE$1006,0)), HYPERLINK("#",""), HYPERLINK(CONCATENATE("#Metadata!", ADDRESS(INDEX($Q$2:$Q$1001,MATCH(ROWS($O$2:O580),$O$2:$O$1001,0),0), INDEX($V$1004:$AE$1004,1,MATCH(COLUMNS($V$1006:X1006),$V$1006:$AE$1006,0)))),"Fix")))</f>
        <v>0</v>
      </c>
      <c r="E580" s="4">
        <f>IF(OR(INDEX($P$2:$P$1001,MATCH(ROWS($O$2:O580),$O$2:$O$1001,0),1)&gt;=100000,INDEX($V$1005:$AE$1005,1,MATCH(COLUMNS($V$1006:Y1006),$V$1006:$AE$1006,0))&gt;=100000), " ",IF(INDEX($V$2:$AE$1001,MATCH(ROWS($O$2:O580),$O$2:$O$1001,0),MATCH(COLUMNS($V$1006:Y1006),$V$1006:$AE$1006,0)), HYPERLINK("#",""), HYPERLINK(CONCATENATE("#Metadata!", ADDRESS(INDEX($Q$2:$Q$1001,MATCH(ROWS($O$2:O580),$O$2:$O$1001,0),0), INDEX($V$1004:$AE$1004,1,MATCH(COLUMNS($V$1006:Y1006),$V$1006:$AE$1006,0)))),"Fix")))</f>
        <v>0</v>
      </c>
      <c r="F580" s="4">
        <f>IF(OR(INDEX($P$2:$P$1001,MATCH(ROWS($O$2:O580),$O$2:$O$1001,0),1)&gt;=100000,INDEX($V$1005:$AE$1005,1,MATCH(COLUMNS($V$1006:Z1006),$V$1006:$AE$1006,0))&gt;=100000), " ",IF(INDEX($V$2:$AE$1001,MATCH(ROWS($O$2:O580),$O$2:$O$1001,0),MATCH(COLUMNS($V$1006:Z1006),$V$1006:$AE$1006,0)), HYPERLINK("#",""), HYPERLINK(CONCATENATE("#Metadata!", ADDRESS(INDEX($Q$2:$Q$1001,MATCH(ROWS($O$2:O580),$O$2:$O$1001,0),0), INDEX($V$1004:$AE$1004,1,MATCH(COLUMNS($V$1006:Z1006),$V$1006:$AE$1006,0)))),"Fix")))</f>
        <v>0</v>
      </c>
      <c r="G580" s="4">
        <f>IF(OR(INDEX($P$2:$P$1001,MATCH(ROWS($O$2:O580),$O$2:$O$1001,0),1)&gt;=100000,INDEX($V$1005:$AE$1005,1,MATCH(COLUMNS($V$1006:AA1006),$V$1006:$AE$1006,0))&gt;=100000), " ",IF(INDEX($V$2:$AE$1001,MATCH(ROWS($O$2:O580),$O$2:$O$1001,0),MATCH(COLUMNS($V$1006:AA1006),$V$1006:$AE$1006,0)), HYPERLINK("#",""), HYPERLINK(CONCATENATE("#Metadata!", ADDRESS(INDEX($Q$2:$Q$1001,MATCH(ROWS($O$2:O580),$O$2:$O$1001,0),0), INDEX($V$1004:$AE$1004,1,MATCH(COLUMNS($V$1006:AA1006),$V$1006:$AE$1006,0)))),"Fix")))</f>
        <v>0</v>
      </c>
      <c r="H580" s="4">
        <f>IF(OR(INDEX($P$2:$P$1001,MATCH(ROWS($O$2:O580),$O$2:$O$1001,0),1)&gt;=100000,INDEX($V$1005:$AE$1005,1,MATCH(COLUMNS($V$1006:AB1006),$V$1006:$AE$1006,0))&gt;=100000), " ",IF(INDEX($V$2:$AE$1001,MATCH(ROWS($O$2:O580),$O$2:$O$1001,0),MATCH(COLUMNS($V$1006:AB1006),$V$1006:$AE$1006,0)), HYPERLINK("#",""), HYPERLINK(CONCATENATE("#Metadata!", ADDRESS(INDEX($Q$2:$Q$1001,MATCH(ROWS($O$2:O580),$O$2:$O$1001,0),0), INDEX($V$1004:$AE$1004,1,MATCH(COLUMNS($V$1006:AB1006),$V$1006:$AE$1006,0)))),"Fix")))</f>
        <v>0</v>
      </c>
      <c r="I580" s="4">
        <f>IF(OR(INDEX($P$2:$P$1001,MATCH(ROWS($O$2:O580),$O$2:$O$1001,0),1)&gt;=100000,INDEX($V$1005:$AE$1005,1,MATCH(COLUMNS($V$1006:AC1006),$V$1006:$AE$1006,0))&gt;=100000), " ",IF(INDEX($V$2:$AE$1001,MATCH(ROWS($O$2:O580),$O$2:$O$1001,0),MATCH(COLUMNS($V$1006:AC1006),$V$1006:$AE$1006,0)), HYPERLINK("#",""), HYPERLINK(CONCATENATE("#Metadata!", ADDRESS(INDEX($Q$2:$Q$1001,MATCH(ROWS($O$2:O580),$O$2:$O$1001,0),0), INDEX($V$1004:$AE$1004,1,MATCH(COLUMNS($V$1006:AC1006),$V$1006:$AE$1006,0)))),"Fix")))</f>
        <v>0</v>
      </c>
      <c r="J580" s="4">
        <f>IF(OR(INDEX($P$2:$P$1001,MATCH(ROWS($O$2:O580),$O$2:$O$1001,0),1)&gt;=100000,INDEX($V$1005:$AE$1005,1,MATCH(COLUMNS($V$1006:AD1006),$V$1006:$AE$1006,0))&gt;=100000), " ",IF(INDEX($V$2:$AE$1001,MATCH(ROWS($O$2:O580),$O$2:$O$1001,0),MATCH(COLUMNS($V$1006:AD1006),$V$1006:$AE$1006,0)), HYPERLINK("#",""), HYPERLINK(CONCATENATE("#Metadata!", ADDRESS(INDEX($Q$2:$Q$1001,MATCH(ROWS($O$2:O580),$O$2:$O$1001,0),0), INDEX($V$1004:$AE$1004,1,MATCH(COLUMNS($V$1006:AD1006),$V$1006:$AE$1006,0)))),"Fix")))</f>
        <v>0</v>
      </c>
      <c r="K580" s="4">
        <f>IF(OR(INDEX($P$2:$P$1001,MATCH(ROWS($O$2:O580),$O$2:$O$1001,0),1)&gt;=100000,INDEX($V$1005:$AE$1005,1,MATCH(COLUMNS($V$1006:AE1006),$V$1006:$AE$1006,0))&gt;=100000), " ",IF(INDEX($V$2:$AE$1001,MATCH(ROWS($O$2:O580),$O$2:$O$1001,0),MATCH(COLUMNS($V$1006:AE1006),$V$1006:$AE$1006,0)), HYPERLINK("#",""), HYPERLINK(CONCATENATE("#Metadata!", ADDRESS(INDEX($Q$2:$Q$1001,MATCH(ROWS($O$2:O580),$O$2:$O$1001,0),0), INDEX($V$1004:$AE$1004,1,MATCH(COLUMNS($V$1006:AE1006),$V$1006:$AE$1006,0)))),"Fix")))</f>
        <v>0</v>
      </c>
      <c r="O580">
        <v>0</v>
      </c>
      <c r="P580">
        <v>0</v>
      </c>
      <c r="Q580">
        <v>0</v>
      </c>
      <c r="R580">
        <f>IF(S580,TRUE,AND(V580:AE580))</f>
        <v>0</v>
      </c>
      <c r="S580">
        <f>COUNTBLANK(Metadata!B580:K580)=COLUMNS(Metadata!B580:K580)</f>
        <v>0</v>
      </c>
      <c r="T580">
        <v>0</v>
      </c>
      <c r="V580">
        <f>AND(IF(Metadata!B580="",FALSE,TRUE),COUNTIF(Metadata!B:B, Metadata!B580) = 1,NOT(ISERROR(SUMPRODUCT(SEARCH(MID(Metadata!B580,ROW(INDIRECT("1:"&amp;LEN(Metadata!B580))), 1),"0123456789abcdefghijklmnopqrstuvwxyzABCDEFGHIJKLMNOPQRSTUVWXYZ.")))))</f>
        <v>0</v>
      </c>
      <c r="W580">
        <f>AND(IF(Metadata!C580="",FALSE,TRUE),exact(Metadata!C580,"urban biome"))</f>
        <v>0</v>
      </c>
      <c r="X580">
        <f>AND(IF(Metadata!D580="",FALSE,TRUE),exact(Metadata!D580,"animal-associated habitat"))</f>
        <v>0</v>
      </c>
      <c r="Y580">
        <f>OR(AND(IF(Metadata!E580="",FALSE,TRUE),OR(exact(Metadata!E580,"not applicable"),exact(Metadata!E580,"missing: not collected"),exact(Metadata!E580,"missing: not provided"),exact(Metadata!E580,"missing: restricted access"))),AND(IF(Metadata!E580="",FALSE,ISNUMBER(VALUE(Metadata!E580))),Metadata!E580&gt;0))</f>
        <v>0</v>
      </c>
      <c r="Z580">
        <f>AND(IF(Metadata!F580="",FALSE,TRUE),exact(Metadata!F580,"weeks"))</f>
        <v>0</v>
      </c>
      <c r="AA580">
        <f>AND(IF(Metadata!G580="",FALSE,TRUE),exact(Metadata!G580,"mouse"))</f>
        <v>0</v>
      </c>
      <c r="AB580">
        <f>AND(IF(Metadata!H580="",FALSE,TRUE),exact(Metadata!H580,"Mus musculus"))</f>
        <v>0</v>
      </c>
      <c r="AC580">
        <f>AND(IF(Metadata!I580="",FALSE,TRUE),exact(Metadata!I580,"10090"))</f>
        <v>0</v>
      </c>
      <c r="AD580">
        <f>OR(AND(IF(Metadata!J580="",FALSE,TRUE),OR(exact(Metadata!J580,"not applicable"),exact(Metadata!J580,"missing: not collected"),exact(Metadata!J580,"missing: not provided"),exact(Metadata!J580,"missing: restricted access"))),AND(IF(Metadata!J580="",FALSE,ISNUMBER(VALUE(Metadata!J580))),Metadata!J580&gt;0))</f>
        <v>0</v>
      </c>
      <c r="AE580">
        <f>AND(IF(Metadata!K580="",FALSE,TRUE),exact(Metadata!K580,"g"))</f>
        <v>0</v>
      </c>
    </row>
    <row r="581" spans="1:31">
      <c r="A581" s="5">
        <f>IF(B581=" "," ",HYPERLINK(CONCATENATE("#metadata!",ADDRESS(INDEX($Q$2:$Q$1001,MATCH(ROWS($O$2:O581),$O$2:$O$1001,0),0),1)),INDEX($T$2:$T$1001,MATCH(ROWS($O$2:O581),$O$2:$O$1001,0),0)))</f>
        <v>0</v>
      </c>
      <c r="B581" s="4">
        <f>IF(OR(INDEX($P$2:$P$1001,MATCH(ROWS($O$2:O581),$O$2:$O$1001,0),1)&gt;=100000,INDEX($V$1005:$AE$1005,1,MATCH(COLUMNS($V$1006:V1006),$V$1006:$AE$1006,0))&gt;=100000), " ",IF(INDEX($V$2:$AE$1001,MATCH(ROWS($O$2:O581),$O$2:$O$1001,0),MATCH(COLUMNS($V$1006:V1006),$V$1006:$AE$1006,0)), HYPERLINK("#",""), HYPERLINK(CONCATENATE("#Metadata!", ADDRESS(INDEX($Q$2:$Q$1001,MATCH(ROWS($O$2:O581),$O$2:$O$1001,0),0), INDEX($V$1004:$AE$1004,1,MATCH(COLUMNS($V$1006:V1006),$V$1006:$AE$1006,0)))),"Fix")))</f>
        <v>0</v>
      </c>
      <c r="C581" s="4">
        <f>IF(OR(INDEX($P$2:$P$1001,MATCH(ROWS($O$2:O581),$O$2:$O$1001,0),1)&gt;=100000,INDEX($V$1005:$AE$1005,1,MATCH(COLUMNS($V$1006:W1006),$V$1006:$AE$1006,0))&gt;=100000), " ",IF(INDEX($V$2:$AE$1001,MATCH(ROWS($O$2:O581),$O$2:$O$1001,0),MATCH(COLUMNS($V$1006:W1006),$V$1006:$AE$1006,0)), HYPERLINK("#",""), HYPERLINK(CONCATENATE("#Metadata!", ADDRESS(INDEX($Q$2:$Q$1001,MATCH(ROWS($O$2:O581),$O$2:$O$1001,0),0), INDEX($V$1004:$AE$1004,1,MATCH(COLUMNS($V$1006:W1006),$V$1006:$AE$1006,0)))),"Fix")))</f>
        <v>0</v>
      </c>
      <c r="D581" s="4">
        <f>IF(OR(INDEX($P$2:$P$1001,MATCH(ROWS($O$2:O581),$O$2:$O$1001,0),1)&gt;=100000,INDEX($V$1005:$AE$1005,1,MATCH(COLUMNS($V$1006:X1006),$V$1006:$AE$1006,0))&gt;=100000), " ",IF(INDEX($V$2:$AE$1001,MATCH(ROWS($O$2:O581),$O$2:$O$1001,0),MATCH(COLUMNS($V$1006:X1006),$V$1006:$AE$1006,0)), HYPERLINK("#",""), HYPERLINK(CONCATENATE("#Metadata!", ADDRESS(INDEX($Q$2:$Q$1001,MATCH(ROWS($O$2:O581),$O$2:$O$1001,0),0), INDEX($V$1004:$AE$1004,1,MATCH(COLUMNS($V$1006:X1006),$V$1006:$AE$1006,0)))),"Fix")))</f>
        <v>0</v>
      </c>
      <c r="E581" s="4">
        <f>IF(OR(INDEX($P$2:$P$1001,MATCH(ROWS($O$2:O581),$O$2:$O$1001,0),1)&gt;=100000,INDEX($V$1005:$AE$1005,1,MATCH(COLUMNS($V$1006:Y1006),$V$1006:$AE$1006,0))&gt;=100000), " ",IF(INDEX($V$2:$AE$1001,MATCH(ROWS($O$2:O581),$O$2:$O$1001,0),MATCH(COLUMNS($V$1006:Y1006),$V$1006:$AE$1006,0)), HYPERLINK("#",""), HYPERLINK(CONCATENATE("#Metadata!", ADDRESS(INDEX($Q$2:$Q$1001,MATCH(ROWS($O$2:O581),$O$2:$O$1001,0),0), INDEX($V$1004:$AE$1004,1,MATCH(COLUMNS($V$1006:Y1006),$V$1006:$AE$1006,0)))),"Fix")))</f>
        <v>0</v>
      </c>
      <c r="F581" s="4">
        <f>IF(OR(INDEX($P$2:$P$1001,MATCH(ROWS($O$2:O581),$O$2:$O$1001,0),1)&gt;=100000,INDEX($V$1005:$AE$1005,1,MATCH(COLUMNS($V$1006:Z1006),$V$1006:$AE$1006,0))&gt;=100000), " ",IF(INDEX($V$2:$AE$1001,MATCH(ROWS($O$2:O581),$O$2:$O$1001,0),MATCH(COLUMNS($V$1006:Z1006),$V$1006:$AE$1006,0)), HYPERLINK("#",""), HYPERLINK(CONCATENATE("#Metadata!", ADDRESS(INDEX($Q$2:$Q$1001,MATCH(ROWS($O$2:O581),$O$2:$O$1001,0),0), INDEX($V$1004:$AE$1004,1,MATCH(COLUMNS($V$1006:Z1006),$V$1006:$AE$1006,0)))),"Fix")))</f>
        <v>0</v>
      </c>
      <c r="G581" s="4">
        <f>IF(OR(INDEX($P$2:$P$1001,MATCH(ROWS($O$2:O581),$O$2:$O$1001,0),1)&gt;=100000,INDEX($V$1005:$AE$1005,1,MATCH(COLUMNS($V$1006:AA1006),$V$1006:$AE$1006,0))&gt;=100000), " ",IF(INDEX($V$2:$AE$1001,MATCH(ROWS($O$2:O581),$O$2:$O$1001,0),MATCH(COLUMNS($V$1006:AA1006),$V$1006:$AE$1006,0)), HYPERLINK("#",""), HYPERLINK(CONCATENATE("#Metadata!", ADDRESS(INDEX($Q$2:$Q$1001,MATCH(ROWS($O$2:O581),$O$2:$O$1001,0),0), INDEX($V$1004:$AE$1004,1,MATCH(COLUMNS($V$1006:AA1006),$V$1006:$AE$1006,0)))),"Fix")))</f>
        <v>0</v>
      </c>
      <c r="H581" s="4">
        <f>IF(OR(INDEX($P$2:$P$1001,MATCH(ROWS($O$2:O581),$O$2:$O$1001,0),1)&gt;=100000,INDEX($V$1005:$AE$1005,1,MATCH(COLUMNS($V$1006:AB1006),$V$1006:$AE$1006,0))&gt;=100000), " ",IF(INDEX($V$2:$AE$1001,MATCH(ROWS($O$2:O581),$O$2:$O$1001,0),MATCH(COLUMNS($V$1006:AB1006),$V$1006:$AE$1006,0)), HYPERLINK("#",""), HYPERLINK(CONCATENATE("#Metadata!", ADDRESS(INDEX($Q$2:$Q$1001,MATCH(ROWS($O$2:O581),$O$2:$O$1001,0),0), INDEX($V$1004:$AE$1004,1,MATCH(COLUMNS($V$1006:AB1006),$V$1006:$AE$1006,0)))),"Fix")))</f>
        <v>0</v>
      </c>
      <c r="I581" s="4">
        <f>IF(OR(INDEX($P$2:$P$1001,MATCH(ROWS($O$2:O581),$O$2:$O$1001,0),1)&gt;=100000,INDEX($V$1005:$AE$1005,1,MATCH(COLUMNS($V$1006:AC1006),$V$1006:$AE$1006,0))&gt;=100000), " ",IF(INDEX($V$2:$AE$1001,MATCH(ROWS($O$2:O581),$O$2:$O$1001,0),MATCH(COLUMNS($V$1006:AC1006),$V$1006:$AE$1006,0)), HYPERLINK("#",""), HYPERLINK(CONCATENATE("#Metadata!", ADDRESS(INDEX($Q$2:$Q$1001,MATCH(ROWS($O$2:O581),$O$2:$O$1001,0),0), INDEX($V$1004:$AE$1004,1,MATCH(COLUMNS($V$1006:AC1006),$V$1006:$AE$1006,0)))),"Fix")))</f>
        <v>0</v>
      </c>
      <c r="J581" s="4">
        <f>IF(OR(INDEX($P$2:$P$1001,MATCH(ROWS($O$2:O581),$O$2:$O$1001,0),1)&gt;=100000,INDEX($V$1005:$AE$1005,1,MATCH(COLUMNS($V$1006:AD1006),$V$1006:$AE$1006,0))&gt;=100000), " ",IF(INDEX($V$2:$AE$1001,MATCH(ROWS($O$2:O581),$O$2:$O$1001,0),MATCH(COLUMNS($V$1006:AD1006),$V$1006:$AE$1006,0)), HYPERLINK("#",""), HYPERLINK(CONCATENATE("#Metadata!", ADDRESS(INDEX($Q$2:$Q$1001,MATCH(ROWS($O$2:O581),$O$2:$O$1001,0),0), INDEX($V$1004:$AE$1004,1,MATCH(COLUMNS($V$1006:AD1006),$V$1006:$AE$1006,0)))),"Fix")))</f>
        <v>0</v>
      </c>
      <c r="K581" s="4">
        <f>IF(OR(INDEX($P$2:$P$1001,MATCH(ROWS($O$2:O581),$O$2:$O$1001,0),1)&gt;=100000,INDEX($V$1005:$AE$1005,1,MATCH(COLUMNS($V$1006:AE1006),$V$1006:$AE$1006,0))&gt;=100000), " ",IF(INDEX($V$2:$AE$1001,MATCH(ROWS($O$2:O581),$O$2:$O$1001,0),MATCH(COLUMNS($V$1006:AE1006),$V$1006:$AE$1006,0)), HYPERLINK("#",""), HYPERLINK(CONCATENATE("#Metadata!", ADDRESS(INDEX($Q$2:$Q$1001,MATCH(ROWS($O$2:O581),$O$2:$O$1001,0),0), INDEX($V$1004:$AE$1004,1,MATCH(COLUMNS($V$1006:AE1006),$V$1006:$AE$1006,0)))),"Fix")))</f>
        <v>0</v>
      </c>
      <c r="O581">
        <v>0</v>
      </c>
      <c r="P581">
        <v>0</v>
      </c>
      <c r="Q581">
        <v>0</v>
      </c>
      <c r="R581">
        <f>IF(S581,TRUE,AND(V581:AE581))</f>
        <v>0</v>
      </c>
      <c r="S581">
        <f>COUNTBLANK(Metadata!B581:K581)=COLUMNS(Metadata!B581:K581)</f>
        <v>0</v>
      </c>
      <c r="T581">
        <v>0</v>
      </c>
      <c r="V581">
        <f>AND(IF(Metadata!B581="",FALSE,TRUE),COUNTIF(Metadata!B:B, Metadata!B581) = 1,NOT(ISERROR(SUMPRODUCT(SEARCH(MID(Metadata!B581,ROW(INDIRECT("1:"&amp;LEN(Metadata!B581))), 1),"0123456789abcdefghijklmnopqrstuvwxyzABCDEFGHIJKLMNOPQRSTUVWXYZ.")))))</f>
        <v>0</v>
      </c>
      <c r="W581">
        <f>AND(IF(Metadata!C581="",FALSE,TRUE),exact(Metadata!C581,"urban biome"))</f>
        <v>0</v>
      </c>
      <c r="X581">
        <f>AND(IF(Metadata!D581="",FALSE,TRUE),exact(Metadata!D581,"animal-associated habitat"))</f>
        <v>0</v>
      </c>
      <c r="Y581">
        <f>OR(AND(IF(Metadata!E581="",FALSE,TRUE),OR(exact(Metadata!E581,"not applicable"),exact(Metadata!E581,"missing: not collected"),exact(Metadata!E581,"missing: not provided"),exact(Metadata!E581,"missing: restricted access"))),AND(IF(Metadata!E581="",FALSE,ISNUMBER(VALUE(Metadata!E581))),Metadata!E581&gt;0))</f>
        <v>0</v>
      </c>
      <c r="Z581">
        <f>AND(IF(Metadata!F581="",FALSE,TRUE),exact(Metadata!F581,"weeks"))</f>
        <v>0</v>
      </c>
      <c r="AA581">
        <f>AND(IF(Metadata!G581="",FALSE,TRUE),exact(Metadata!G581,"mouse"))</f>
        <v>0</v>
      </c>
      <c r="AB581">
        <f>AND(IF(Metadata!H581="",FALSE,TRUE),exact(Metadata!H581,"Mus musculus"))</f>
        <v>0</v>
      </c>
      <c r="AC581">
        <f>AND(IF(Metadata!I581="",FALSE,TRUE),exact(Metadata!I581,"10090"))</f>
        <v>0</v>
      </c>
      <c r="AD581">
        <f>OR(AND(IF(Metadata!J581="",FALSE,TRUE),OR(exact(Metadata!J581,"not applicable"),exact(Metadata!J581,"missing: not collected"),exact(Metadata!J581,"missing: not provided"),exact(Metadata!J581,"missing: restricted access"))),AND(IF(Metadata!J581="",FALSE,ISNUMBER(VALUE(Metadata!J581))),Metadata!J581&gt;0))</f>
        <v>0</v>
      </c>
      <c r="AE581">
        <f>AND(IF(Metadata!K581="",FALSE,TRUE),exact(Metadata!K581,"g"))</f>
        <v>0</v>
      </c>
    </row>
    <row r="582" spans="1:31">
      <c r="A582" s="5">
        <f>IF(B582=" "," ",HYPERLINK(CONCATENATE("#metadata!",ADDRESS(INDEX($Q$2:$Q$1001,MATCH(ROWS($O$2:O582),$O$2:$O$1001,0),0),1)),INDEX($T$2:$T$1001,MATCH(ROWS($O$2:O582),$O$2:$O$1001,0),0)))</f>
        <v>0</v>
      </c>
      <c r="B582" s="4">
        <f>IF(OR(INDEX($P$2:$P$1001,MATCH(ROWS($O$2:O582),$O$2:$O$1001,0),1)&gt;=100000,INDEX($V$1005:$AE$1005,1,MATCH(COLUMNS($V$1006:V1006),$V$1006:$AE$1006,0))&gt;=100000), " ",IF(INDEX($V$2:$AE$1001,MATCH(ROWS($O$2:O582),$O$2:$O$1001,0),MATCH(COLUMNS($V$1006:V1006),$V$1006:$AE$1006,0)), HYPERLINK("#",""), HYPERLINK(CONCATENATE("#Metadata!", ADDRESS(INDEX($Q$2:$Q$1001,MATCH(ROWS($O$2:O582),$O$2:$O$1001,0),0), INDEX($V$1004:$AE$1004,1,MATCH(COLUMNS($V$1006:V1006),$V$1006:$AE$1006,0)))),"Fix")))</f>
        <v>0</v>
      </c>
      <c r="C582" s="4">
        <f>IF(OR(INDEX($P$2:$P$1001,MATCH(ROWS($O$2:O582),$O$2:$O$1001,0),1)&gt;=100000,INDEX($V$1005:$AE$1005,1,MATCH(COLUMNS($V$1006:W1006),$V$1006:$AE$1006,0))&gt;=100000), " ",IF(INDEX($V$2:$AE$1001,MATCH(ROWS($O$2:O582),$O$2:$O$1001,0),MATCH(COLUMNS($V$1006:W1006),$V$1006:$AE$1006,0)), HYPERLINK("#",""), HYPERLINK(CONCATENATE("#Metadata!", ADDRESS(INDEX($Q$2:$Q$1001,MATCH(ROWS($O$2:O582),$O$2:$O$1001,0),0), INDEX($V$1004:$AE$1004,1,MATCH(COLUMNS($V$1006:W1006),$V$1006:$AE$1006,0)))),"Fix")))</f>
        <v>0</v>
      </c>
      <c r="D582" s="4">
        <f>IF(OR(INDEX($P$2:$P$1001,MATCH(ROWS($O$2:O582),$O$2:$O$1001,0),1)&gt;=100000,INDEX($V$1005:$AE$1005,1,MATCH(COLUMNS($V$1006:X1006),$V$1006:$AE$1006,0))&gt;=100000), " ",IF(INDEX($V$2:$AE$1001,MATCH(ROWS($O$2:O582),$O$2:$O$1001,0),MATCH(COLUMNS($V$1006:X1006),$V$1006:$AE$1006,0)), HYPERLINK("#",""), HYPERLINK(CONCATENATE("#Metadata!", ADDRESS(INDEX($Q$2:$Q$1001,MATCH(ROWS($O$2:O582),$O$2:$O$1001,0),0), INDEX($V$1004:$AE$1004,1,MATCH(COLUMNS($V$1006:X1006),$V$1006:$AE$1006,0)))),"Fix")))</f>
        <v>0</v>
      </c>
      <c r="E582" s="4">
        <f>IF(OR(INDEX($P$2:$P$1001,MATCH(ROWS($O$2:O582),$O$2:$O$1001,0),1)&gt;=100000,INDEX($V$1005:$AE$1005,1,MATCH(COLUMNS($V$1006:Y1006),$V$1006:$AE$1006,0))&gt;=100000), " ",IF(INDEX($V$2:$AE$1001,MATCH(ROWS($O$2:O582),$O$2:$O$1001,0),MATCH(COLUMNS($V$1006:Y1006),$V$1006:$AE$1006,0)), HYPERLINK("#",""), HYPERLINK(CONCATENATE("#Metadata!", ADDRESS(INDEX($Q$2:$Q$1001,MATCH(ROWS($O$2:O582),$O$2:$O$1001,0),0), INDEX($V$1004:$AE$1004,1,MATCH(COLUMNS($V$1006:Y1006),$V$1006:$AE$1006,0)))),"Fix")))</f>
        <v>0</v>
      </c>
      <c r="F582" s="4">
        <f>IF(OR(INDEX($P$2:$P$1001,MATCH(ROWS($O$2:O582),$O$2:$O$1001,0),1)&gt;=100000,INDEX($V$1005:$AE$1005,1,MATCH(COLUMNS($V$1006:Z1006),$V$1006:$AE$1006,0))&gt;=100000), " ",IF(INDEX($V$2:$AE$1001,MATCH(ROWS($O$2:O582),$O$2:$O$1001,0),MATCH(COLUMNS($V$1006:Z1006),$V$1006:$AE$1006,0)), HYPERLINK("#",""), HYPERLINK(CONCATENATE("#Metadata!", ADDRESS(INDEX($Q$2:$Q$1001,MATCH(ROWS($O$2:O582),$O$2:$O$1001,0),0), INDEX($V$1004:$AE$1004,1,MATCH(COLUMNS($V$1006:Z1006),$V$1006:$AE$1006,0)))),"Fix")))</f>
        <v>0</v>
      </c>
      <c r="G582" s="4">
        <f>IF(OR(INDEX($P$2:$P$1001,MATCH(ROWS($O$2:O582),$O$2:$O$1001,0),1)&gt;=100000,INDEX($V$1005:$AE$1005,1,MATCH(COLUMNS($V$1006:AA1006),$V$1006:$AE$1006,0))&gt;=100000), " ",IF(INDEX($V$2:$AE$1001,MATCH(ROWS($O$2:O582),$O$2:$O$1001,0),MATCH(COLUMNS($V$1006:AA1006),$V$1006:$AE$1006,0)), HYPERLINK("#",""), HYPERLINK(CONCATENATE("#Metadata!", ADDRESS(INDEX($Q$2:$Q$1001,MATCH(ROWS($O$2:O582),$O$2:$O$1001,0),0), INDEX($V$1004:$AE$1004,1,MATCH(COLUMNS($V$1006:AA1006),$V$1006:$AE$1006,0)))),"Fix")))</f>
        <v>0</v>
      </c>
      <c r="H582" s="4">
        <f>IF(OR(INDEX($P$2:$P$1001,MATCH(ROWS($O$2:O582),$O$2:$O$1001,0),1)&gt;=100000,INDEX($V$1005:$AE$1005,1,MATCH(COLUMNS($V$1006:AB1006),$V$1006:$AE$1006,0))&gt;=100000), " ",IF(INDEX($V$2:$AE$1001,MATCH(ROWS($O$2:O582),$O$2:$O$1001,0),MATCH(COLUMNS($V$1006:AB1006),$V$1006:$AE$1006,0)), HYPERLINK("#",""), HYPERLINK(CONCATENATE("#Metadata!", ADDRESS(INDEX($Q$2:$Q$1001,MATCH(ROWS($O$2:O582),$O$2:$O$1001,0),0), INDEX($V$1004:$AE$1004,1,MATCH(COLUMNS($V$1006:AB1006),$V$1006:$AE$1006,0)))),"Fix")))</f>
        <v>0</v>
      </c>
      <c r="I582" s="4">
        <f>IF(OR(INDEX($P$2:$P$1001,MATCH(ROWS($O$2:O582),$O$2:$O$1001,0),1)&gt;=100000,INDEX($V$1005:$AE$1005,1,MATCH(COLUMNS($V$1006:AC1006),$V$1006:$AE$1006,0))&gt;=100000), " ",IF(INDEX($V$2:$AE$1001,MATCH(ROWS($O$2:O582),$O$2:$O$1001,0),MATCH(COLUMNS($V$1006:AC1006),$V$1006:$AE$1006,0)), HYPERLINK("#",""), HYPERLINK(CONCATENATE("#Metadata!", ADDRESS(INDEX($Q$2:$Q$1001,MATCH(ROWS($O$2:O582),$O$2:$O$1001,0),0), INDEX($V$1004:$AE$1004,1,MATCH(COLUMNS($V$1006:AC1006),$V$1006:$AE$1006,0)))),"Fix")))</f>
        <v>0</v>
      </c>
      <c r="J582" s="4">
        <f>IF(OR(INDEX($P$2:$P$1001,MATCH(ROWS($O$2:O582),$O$2:$O$1001,0),1)&gt;=100000,INDEX($V$1005:$AE$1005,1,MATCH(COLUMNS($V$1006:AD1006),$V$1006:$AE$1006,0))&gt;=100000), " ",IF(INDEX($V$2:$AE$1001,MATCH(ROWS($O$2:O582),$O$2:$O$1001,0),MATCH(COLUMNS($V$1006:AD1006),$V$1006:$AE$1006,0)), HYPERLINK("#",""), HYPERLINK(CONCATENATE("#Metadata!", ADDRESS(INDEX($Q$2:$Q$1001,MATCH(ROWS($O$2:O582),$O$2:$O$1001,0),0), INDEX($V$1004:$AE$1004,1,MATCH(COLUMNS($V$1006:AD1006),$V$1006:$AE$1006,0)))),"Fix")))</f>
        <v>0</v>
      </c>
      <c r="K582" s="4">
        <f>IF(OR(INDEX($P$2:$P$1001,MATCH(ROWS($O$2:O582),$O$2:$O$1001,0),1)&gt;=100000,INDEX($V$1005:$AE$1005,1,MATCH(COLUMNS($V$1006:AE1006),$V$1006:$AE$1006,0))&gt;=100000), " ",IF(INDEX($V$2:$AE$1001,MATCH(ROWS($O$2:O582),$O$2:$O$1001,0),MATCH(COLUMNS($V$1006:AE1006),$V$1006:$AE$1006,0)), HYPERLINK("#",""), HYPERLINK(CONCATENATE("#Metadata!", ADDRESS(INDEX($Q$2:$Q$1001,MATCH(ROWS($O$2:O582),$O$2:$O$1001,0),0), INDEX($V$1004:$AE$1004,1,MATCH(COLUMNS($V$1006:AE1006),$V$1006:$AE$1006,0)))),"Fix")))</f>
        <v>0</v>
      </c>
      <c r="O582">
        <v>0</v>
      </c>
      <c r="P582">
        <v>0</v>
      </c>
      <c r="Q582">
        <v>0</v>
      </c>
      <c r="R582">
        <f>IF(S582,TRUE,AND(V582:AE582))</f>
        <v>0</v>
      </c>
      <c r="S582">
        <f>COUNTBLANK(Metadata!B582:K582)=COLUMNS(Metadata!B582:K582)</f>
        <v>0</v>
      </c>
      <c r="T582">
        <v>0</v>
      </c>
      <c r="V582">
        <f>AND(IF(Metadata!B582="",FALSE,TRUE),COUNTIF(Metadata!B:B, Metadata!B582) = 1,NOT(ISERROR(SUMPRODUCT(SEARCH(MID(Metadata!B582,ROW(INDIRECT("1:"&amp;LEN(Metadata!B582))), 1),"0123456789abcdefghijklmnopqrstuvwxyzABCDEFGHIJKLMNOPQRSTUVWXYZ.")))))</f>
        <v>0</v>
      </c>
      <c r="W582">
        <f>AND(IF(Metadata!C582="",FALSE,TRUE),exact(Metadata!C582,"urban biome"))</f>
        <v>0</v>
      </c>
      <c r="X582">
        <f>AND(IF(Metadata!D582="",FALSE,TRUE),exact(Metadata!D582,"animal-associated habitat"))</f>
        <v>0</v>
      </c>
      <c r="Y582">
        <f>OR(AND(IF(Metadata!E582="",FALSE,TRUE),OR(exact(Metadata!E582,"not applicable"),exact(Metadata!E582,"missing: not collected"),exact(Metadata!E582,"missing: not provided"),exact(Metadata!E582,"missing: restricted access"))),AND(IF(Metadata!E582="",FALSE,ISNUMBER(VALUE(Metadata!E582))),Metadata!E582&gt;0))</f>
        <v>0</v>
      </c>
      <c r="Z582">
        <f>AND(IF(Metadata!F582="",FALSE,TRUE),exact(Metadata!F582,"weeks"))</f>
        <v>0</v>
      </c>
      <c r="AA582">
        <f>AND(IF(Metadata!G582="",FALSE,TRUE),exact(Metadata!G582,"mouse"))</f>
        <v>0</v>
      </c>
      <c r="AB582">
        <f>AND(IF(Metadata!H582="",FALSE,TRUE),exact(Metadata!H582,"Mus musculus"))</f>
        <v>0</v>
      </c>
      <c r="AC582">
        <f>AND(IF(Metadata!I582="",FALSE,TRUE),exact(Metadata!I582,"10090"))</f>
        <v>0</v>
      </c>
      <c r="AD582">
        <f>OR(AND(IF(Metadata!J582="",FALSE,TRUE),OR(exact(Metadata!J582,"not applicable"),exact(Metadata!J582,"missing: not collected"),exact(Metadata!J582,"missing: not provided"),exact(Metadata!J582,"missing: restricted access"))),AND(IF(Metadata!J582="",FALSE,ISNUMBER(VALUE(Metadata!J582))),Metadata!J582&gt;0))</f>
        <v>0</v>
      </c>
      <c r="AE582">
        <f>AND(IF(Metadata!K582="",FALSE,TRUE),exact(Metadata!K582,"g"))</f>
        <v>0</v>
      </c>
    </row>
    <row r="583" spans="1:31">
      <c r="A583" s="5">
        <f>IF(B583=" "," ",HYPERLINK(CONCATENATE("#metadata!",ADDRESS(INDEX($Q$2:$Q$1001,MATCH(ROWS($O$2:O583),$O$2:$O$1001,0),0),1)),INDEX($T$2:$T$1001,MATCH(ROWS($O$2:O583),$O$2:$O$1001,0),0)))</f>
        <v>0</v>
      </c>
      <c r="B583" s="4">
        <f>IF(OR(INDEX($P$2:$P$1001,MATCH(ROWS($O$2:O583),$O$2:$O$1001,0),1)&gt;=100000,INDEX($V$1005:$AE$1005,1,MATCH(COLUMNS($V$1006:V1006),$V$1006:$AE$1006,0))&gt;=100000), " ",IF(INDEX($V$2:$AE$1001,MATCH(ROWS($O$2:O583),$O$2:$O$1001,0),MATCH(COLUMNS($V$1006:V1006),$V$1006:$AE$1006,0)), HYPERLINK("#",""), HYPERLINK(CONCATENATE("#Metadata!", ADDRESS(INDEX($Q$2:$Q$1001,MATCH(ROWS($O$2:O583),$O$2:$O$1001,0),0), INDEX($V$1004:$AE$1004,1,MATCH(COLUMNS($V$1006:V1006),$V$1006:$AE$1006,0)))),"Fix")))</f>
        <v>0</v>
      </c>
      <c r="C583" s="4">
        <f>IF(OR(INDEX($P$2:$P$1001,MATCH(ROWS($O$2:O583),$O$2:$O$1001,0),1)&gt;=100000,INDEX($V$1005:$AE$1005,1,MATCH(COLUMNS($V$1006:W1006),$V$1006:$AE$1006,0))&gt;=100000), " ",IF(INDEX($V$2:$AE$1001,MATCH(ROWS($O$2:O583),$O$2:$O$1001,0),MATCH(COLUMNS($V$1006:W1006),$V$1006:$AE$1006,0)), HYPERLINK("#",""), HYPERLINK(CONCATENATE("#Metadata!", ADDRESS(INDEX($Q$2:$Q$1001,MATCH(ROWS($O$2:O583),$O$2:$O$1001,0),0), INDEX($V$1004:$AE$1004,1,MATCH(COLUMNS($V$1006:W1006),$V$1006:$AE$1006,0)))),"Fix")))</f>
        <v>0</v>
      </c>
      <c r="D583" s="4">
        <f>IF(OR(INDEX($P$2:$P$1001,MATCH(ROWS($O$2:O583),$O$2:$O$1001,0),1)&gt;=100000,INDEX($V$1005:$AE$1005,1,MATCH(COLUMNS($V$1006:X1006),$V$1006:$AE$1006,0))&gt;=100000), " ",IF(INDEX($V$2:$AE$1001,MATCH(ROWS($O$2:O583),$O$2:$O$1001,0),MATCH(COLUMNS($V$1006:X1006),$V$1006:$AE$1006,0)), HYPERLINK("#",""), HYPERLINK(CONCATENATE("#Metadata!", ADDRESS(INDEX($Q$2:$Q$1001,MATCH(ROWS($O$2:O583),$O$2:$O$1001,0),0), INDEX($V$1004:$AE$1004,1,MATCH(COLUMNS($V$1006:X1006),$V$1006:$AE$1006,0)))),"Fix")))</f>
        <v>0</v>
      </c>
      <c r="E583" s="4">
        <f>IF(OR(INDEX($P$2:$P$1001,MATCH(ROWS($O$2:O583),$O$2:$O$1001,0),1)&gt;=100000,INDEX($V$1005:$AE$1005,1,MATCH(COLUMNS($V$1006:Y1006),$V$1006:$AE$1006,0))&gt;=100000), " ",IF(INDEX($V$2:$AE$1001,MATCH(ROWS($O$2:O583),$O$2:$O$1001,0),MATCH(COLUMNS($V$1006:Y1006),$V$1006:$AE$1006,0)), HYPERLINK("#",""), HYPERLINK(CONCATENATE("#Metadata!", ADDRESS(INDEX($Q$2:$Q$1001,MATCH(ROWS($O$2:O583),$O$2:$O$1001,0),0), INDEX($V$1004:$AE$1004,1,MATCH(COLUMNS($V$1006:Y1006),$V$1006:$AE$1006,0)))),"Fix")))</f>
        <v>0</v>
      </c>
      <c r="F583" s="4">
        <f>IF(OR(INDEX($P$2:$P$1001,MATCH(ROWS($O$2:O583),$O$2:$O$1001,0),1)&gt;=100000,INDEX($V$1005:$AE$1005,1,MATCH(COLUMNS($V$1006:Z1006),$V$1006:$AE$1006,0))&gt;=100000), " ",IF(INDEX($V$2:$AE$1001,MATCH(ROWS($O$2:O583),$O$2:$O$1001,0),MATCH(COLUMNS($V$1006:Z1006),$V$1006:$AE$1006,0)), HYPERLINK("#",""), HYPERLINK(CONCATENATE("#Metadata!", ADDRESS(INDEX($Q$2:$Q$1001,MATCH(ROWS($O$2:O583),$O$2:$O$1001,0),0), INDEX($V$1004:$AE$1004,1,MATCH(COLUMNS($V$1006:Z1006),$V$1006:$AE$1006,0)))),"Fix")))</f>
        <v>0</v>
      </c>
      <c r="G583" s="4">
        <f>IF(OR(INDEX($P$2:$P$1001,MATCH(ROWS($O$2:O583),$O$2:$O$1001,0),1)&gt;=100000,INDEX($V$1005:$AE$1005,1,MATCH(COLUMNS($V$1006:AA1006),$V$1006:$AE$1006,0))&gt;=100000), " ",IF(INDEX($V$2:$AE$1001,MATCH(ROWS($O$2:O583),$O$2:$O$1001,0),MATCH(COLUMNS($V$1006:AA1006),$V$1006:$AE$1006,0)), HYPERLINK("#",""), HYPERLINK(CONCATENATE("#Metadata!", ADDRESS(INDEX($Q$2:$Q$1001,MATCH(ROWS($O$2:O583),$O$2:$O$1001,0),0), INDEX($V$1004:$AE$1004,1,MATCH(COLUMNS($V$1006:AA1006),$V$1006:$AE$1006,0)))),"Fix")))</f>
        <v>0</v>
      </c>
      <c r="H583" s="4">
        <f>IF(OR(INDEX($P$2:$P$1001,MATCH(ROWS($O$2:O583),$O$2:$O$1001,0),1)&gt;=100000,INDEX($V$1005:$AE$1005,1,MATCH(COLUMNS($V$1006:AB1006),$V$1006:$AE$1006,0))&gt;=100000), " ",IF(INDEX($V$2:$AE$1001,MATCH(ROWS($O$2:O583),$O$2:$O$1001,0),MATCH(COLUMNS($V$1006:AB1006),$V$1006:$AE$1006,0)), HYPERLINK("#",""), HYPERLINK(CONCATENATE("#Metadata!", ADDRESS(INDEX($Q$2:$Q$1001,MATCH(ROWS($O$2:O583),$O$2:$O$1001,0),0), INDEX($V$1004:$AE$1004,1,MATCH(COLUMNS($V$1006:AB1006),$V$1006:$AE$1006,0)))),"Fix")))</f>
        <v>0</v>
      </c>
      <c r="I583" s="4">
        <f>IF(OR(INDEX($P$2:$P$1001,MATCH(ROWS($O$2:O583),$O$2:$O$1001,0),1)&gt;=100000,INDEX($V$1005:$AE$1005,1,MATCH(COLUMNS($V$1006:AC1006),$V$1006:$AE$1006,0))&gt;=100000), " ",IF(INDEX($V$2:$AE$1001,MATCH(ROWS($O$2:O583),$O$2:$O$1001,0),MATCH(COLUMNS($V$1006:AC1006),$V$1006:$AE$1006,0)), HYPERLINK("#",""), HYPERLINK(CONCATENATE("#Metadata!", ADDRESS(INDEX($Q$2:$Q$1001,MATCH(ROWS($O$2:O583),$O$2:$O$1001,0),0), INDEX($V$1004:$AE$1004,1,MATCH(COLUMNS($V$1006:AC1006),$V$1006:$AE$1006,0)))),"Fix")))</f>
        <v>0</v>
      </c>
      <c r="J583" s="4">
        <f>IF(OR(INDEX($P$2:$P$1001,MATCH(ROWS($O$2:O583),$O$2:$O$1001,0),1)&gt;=100000,INDEX($V$1005:$AE$1005,1,MATCH(COLUMNS($V$1006:AD1006),$V$1006:$AE$1006,0))&gt;=100000), " ",IF(INDEX($V$2:$AE$1001,MATCH(ROWS($O$2:O583),$O$2:$O$1001,0),MATCH(COLUMNS($V$1006:AD1006),$V$1006:$AE$1006,0)), HYPERLINK("#",""), HYPERLINK(CONCATENATE("#Metadata!", ADDRESS(INDEX($Q$2:$Q$1001,MATCH(ROWS($O$2:O583),$O$2:$O$1001,0),0), INDEX($V$1004:$AE$1004,1,MATCH(COLUMNS($V$1006:AD1006),$V$1006:$AE$1006,0)))),"Fix")))</f>
        <v>0</v>
      </c>
      <c r="K583" s="4">
        <f>IF(OR(INDEX($P$2:$P$1001,MATCH(ROWS($O$2:O583),$O$2:$O$1001,0),1)&gt;=100000,INDEX($V$1005:$AE$1005,1,MATCH(COLUMNS($V$1006:AE1006),$V$1006:$AE$1006,0))&gt;=100000), " ",IF(INDEX($V$2:$AE$1001,MATCH(ROWS($O$2:O583),$O$2:$O$1001,0),MATCH(COLUMNS($V$1006:AE1006),$V$1006:$AE$1006,0)), HYPERLINK("#",""), HYPERLINK(CONCATENATE("#Metadata!", ADDRESS(INDEX($Q$2:$Q$1001,MATCH(ROWS($O$2:O583),$O$2:$O$1001,0),0), INDEX($V$1004:$AE$1004,1,MATCH(COLUMNS($V$1006:AE1006),$V$1006:$AE$1006,0)))),"Fix")))</f>
        <v>0</v>
      </c>
      <c r="O583">
        <v>0</v>
      </c>
      <c r="P583">
        <v>0</v>
      </c>
      <c r="Q583">
        <v>0</v>
      </c>
      <c r="R583">
        <f>IF(S583,TRUE,AND(V583:AE583))</f>
        <v>0</v>
      </c>
      <c r="S583">
        <f>COUNTBLANK(Metadata!B583:K583)=COLUMNS(Metadata!B583:K583)</f>
        <v>0</v>
      </c>
      <c r="T583">
        <v>0</v>
      </c>
      <c r="V583">
        <f>AND(IF(Metadata!B583="",FALSE,TRUE),COUNTIF(Metadata!B:B, Metadata!B583) = 1,NOT(ISERROR(SUMPRODUCT(SEARCH(MID(Metadata!B583,ROW(INDIRECT("1:"&amp;LEN(Metadata!B583))), 1),"0123456789abcdefghijklmnopqrstuvwxyzABCDEFGHIJKLMNOPQRSTUVWXYZ.")))))</f>
        <v>0</v>
      </c>
      <c r="W583">
        <f>AND(IF(Metadata!C583="",FALSE,TRUE),exact(Metadata!C583,"urban biome"))</f>
        <v>0</v>
      </c>
      <c r="X583">
        <f>AND(IF(Metadata!D583="",FALSE,TRUE),exact(Metadata!D583,"animal-associated habitat"))</f>
        <v>0</v>
      </c>
      <c r="Y583">
        <f>OR(AND(IF(Metadata!E583="",FALSE,TRUE),OR(exact(Metadata!E583,"not applicable"),exact(Metadata!E583,"missing: not collected"),exact(Metadata!E583,"missing: not provided"),exact(Metadata!E583,"missing: restricted access"))),AND(IF(Metadata!E583="",FALSE,ISNUMBER(VALUE(Metadata!E583))),Metadata!E583&gt;0))</f>
        <v>0</v>
      </c>
      <c r="Z583">
        <f>AND(IF(Metadata!F583="",FALSE,TRUE),exact(Metadata!F583,"weeks"))</f>
        <v>0</v>
      </c>
      <c r="AA583">
        <f>AND(IF(Metadata!G583="",FALSE,TRUE),exact(Metadata!G583,"mouse"))</f>
        <v>0</v>
      </c>
      <c r="AB583">
        <f>AND(IF(Metadata!H583="",FALSE,TRUE),exact(Metadata!H583,"Mus musculus"))</f>
        <v>0</v>
      </c>
      <c r="AC583">
        <f>AND(IF(Metadata!I583="",FALSE,TRUE),exact(Metadata!I583,"10090"))</f>
        <v>0</v>
      </c>
      <c r="AD583">
        <f>OR(AND(IF(Metadata!J583="",FALSE,TRUE),OR(exact(Metadata!J583,"not applicable"),exact(Metadata!J583,"missing: not collected"),exact(Metadata!J583,"missing: not provided"),exact(Metadata!J583,"missing: restricted access"))),AND(IF(Metadata!J583="",FALSE,ISNUMBER(VALUE(Metadata!J583))),Metadata!J583&gt;0))</f>
        <v>0</v>
      </c>
      <c r="AE583">
        <f>AND(IF(Metadata!K583="",FALSE,TRUE),exact(Metadata!K583,"g"))</f>
        <v>0</v>
      </c>
    </row>
    <row r="584" spans="1:31">
      <c r="A584" s="5">
        <f>IF(B584=" "," ",HYPERLINK(CONCATENATE("#metadata!",ADDRESS(INDEX($Q$2:$Q$1001,MATCH(ROWS($O$2:O584),$O$2:$O$1001,0),0),1)),INDEX($T$2:$T$1001,MATCH(ROWS($O$2:O584),$O$2:$O$1001,0),0)))</f>
        <v>0</v>
      </c>
      <c r="B584" s="4">
        <f>IF(OR(INDEX($P$2:$P$1001,MATCH(ROWS($O$2:O584),$O$2:$O$1001,0),1)&gt;=100000,INDEX($V$1005:$AE$1005,1,MATCH(COLUMNS($V$1006:V1006),$V$1006:$AE$1006,0))&gt;=100000), " ",IF(INDEX($V$2:$AE$1001,MATCH(ROWS($O$2:O584),$O$2:$O$1001,0),MATCH(COLUMNS($V$1006:V1006),$V$1006:$AE$1006,0)), HYPERLINK("#",""), HYPERLINK(CONCATENATE("#Metadata!", ADDRESS(INDEX($Q$2:$Q$1001,MATCH(ROWS($O$2:O584),$O$2:$O$1001,0),0), INDEX($V$1004:$AE$1004,1,MATCH(COLUMNS($V$1006:V1006),$V$1006:$AE$1006,0)))),"Fix")))</f>
        <v>0</v>
      </c>
      <c r="C584" s="4">
        <f>IF(OR(INDEX($P$2:$P$1001,MATCH(ROWS($O$2:O584),$O$2:$O$1001,0),1)&gt;=100000,INDEX($V$1005:$AE$1005,1,MATCH(COLUMNS($V$1006:W1006),$V$1006:$AE$1006,0))&gt;=100000), " ",IF(INDEX($V$2:$AE$1001,MATCH(ROWS($O$2:O584),$O$2:$O$1001,0),MATCH(COLUMNS($V$1006:W1006),$V$1006:$AE$1006,0)), HYPERLINK("#",""), HYPERLINK(CONCATENATE("#Metadata!", ADDRESS(INDEX($Q$2:$Q$1001,MATCH(ROWS($O$2:O584),$O$2:$O$1001,0),0), INDEX($V$1004:$AE$1004,1,MATCH(COLUMNS($V$1006:W1006),$V$1006:$AE$1006,0)))),"Fix")))</f>
        <v>0</v>
      </c>
      <c r="D584" s="4">
        <f>IF(OR(INDEX($P$2:$P$1001,MATCH(ROWS($O$2:O584),$O$2:$O$1001,0),1)&gt;=100000,INDEX($V$1005:$AE$1005,1,MATCH(COLUMNS($V$1006:X1006),$V$1006:$AE$1006,0))&gt;=100000), " ",IF(INDEX($V$2:$AE$1001,MATCH(ROWS($O$2:O584),$O$2:$O$1001,0),MATCH(COLUMNS($V$1006:X1006),$V$1006:$AE$1006,0)), HYPERLINK("#",""), HYPERLINK(CONCATENATE("#Metadata!", ADDRESS(INDEX($Q$2:$Q$1001,MATCH(ROWS($O$2:O584),$O$2:$O$1001,0),0), INDEX($V$1004:$AE$1004,1,MATCH(COLUMNS($V$1006:X1006),$V$1006:$AE$1006,0)))),"Fix")))</f>
        <v>0</v>
      </c>
      <c r="E584" s="4">
        <f>IF(OR(INDEX($P$2:$P$1001,MATCH(ROWS($O$2:O584),$O$2:$O$1001,0),1)&gt;=100000,INDEX($V$1005:$AE$1005,1,MATCH(COLUMNS($V$1006:Y1006),$V$1006:$AE$1006,0))&gt;=100000), " ",IF(INDEX($V$2:$AE$1001,MATCH(ROWS($O$2:O584),$O$2:$O$1001,0),MATCH(COLUMNS($V$1006:Y1006),$V$1006:$AE$1006,0)), HYPERLINK("#",""), HYPERLINK(CONCATENATE("#Metadata!", ADDRESS(INDEX($Q$2:$Q$1001,MATCH(ROWS($O$2:O584),$O$2:$O$1001,0),0), INDEX($V$1004:$AE$1004,1,MATCH(COLUMNS($V$1006:Y1006),$V$1006:$AE$1006,0)))),"Fix")))</f>
        <v>0</v>
      </c>
      <c r="F584" s="4">
        <f>IF(OR(INDEX($P$2:$P$1001,MATCH(ROWS($O$2:O584),$O$2:$O$1001,0),1)&gt;=100000,INDEX($V$1005:$AE$1005,1,MATCH(COLUMNS($V$1006:Z1006),$V$1006:$AE$1006,0))&gt;=100000), " ",IF(INDEX($V$2:$AE$1001,MATCH(ROWS($O$2:O584),$O$2:$O$1001,0),MATCH(COLUMNS($V$1006:Z1006),$V$1006:$AE$1006,0)), HYPERLINK("#",""), HYPERLINK(CONCATENATE("#Metadata!", ADDRESS(INDEX($Q$2:$Q$1001,MATCH(ROWS($O$2:O584),$O$2:$O$1001,0),0), INDEX($V$1004:$AE$1004,1,MATCH(COLUMNS($V$1006:Z1006),$V$1006:$AE$1006,0)))),"Fix")))</f>
        <v>0</v>
      </c>
      <c r="G584" s="4">
        <f>IF(OR(INDEX($P$2:$P$1001,MATCH(ROWS($O$2:O584),$O$2:$O$1001,0),1)&gt;=100000,INDEX($V$1005:$AE$1005,1,MATCH(COLUMNS($V$1006:AA1006),$V$1006:$AE$1006,0))&gt;=100000), " ",IF(INDEX($V$2:$AE$1001,MATCH(ROWS($O$2:O584),$O$2:$O$1001,0),MATCH(COLUMNS($V$1006:AA1006),$V$1006:$AE$1006,0)), HYPERLINK("#",""), HYPERLINK(CONCATENATE("#Metadata!", ADDRESS(INDEX($Q$2:$Q$1001,MATCH(ROWS($O$2:O584),$O$2:$O$1001,0),0), INDEX($V$1004:$AE$1004,1,MATCH(COLUMNS($V$1006:AA1006),$V$1006:$AE$1006,0)))),"Fix")))</f>
        <v>0</v>
      </c>
      <c r="H584" s="4">
        <f>IF(OR(INDEX($P$2:$P$1001,MATCH(ROWS($O$2:O584),$O$2:$O$1001,0),1)&gt;=100000,INDEX($V$1005:$AE$1005,1,MATCH(COLUMNS($V$1006:AB1006),$V$1006:$AE$1006,0))&gt;=100000), " ",IF(INDEX($V$2:$AE$1001,MATCH(ROWS($O$2:O584),$O$2:$O$1001,0),MATCH(COLUMNS($V$1006:AB1006),$V$1006:$AE$1006,0)), HYPERLINK("#",""), HYPERLINK(CONCATENATE("#Metadata!", ADDRESS(INDEX($Q$2:$Q$1001,MATCH(ROWS($O$2:O584),$O$2:$O$1001,0),0), INDEX($V$1004:$AE$1004,1,MATCH(COLUMNS($V$1006:AB1006),$V$1006:$AE$1006,0)))),"Fix")))</f>
        <v>0</v>
      </c>
      <c r="I584" s="4">
        <f>IF(OR(INDEX($P$2:$P$1001,MATCH(ROWS($O$2:O584),$O$2:$O$1001,0),1)&gt;=100000,INDEX($V$1005:$AE$1005,1,MATCH(COLUMNS($V$1006:AC1006),$V$1006:$AE$1006,0))&gt;=100000), " ",IF(INDEX($V$2:$AE$1001,MATCH(ROWS($O$2:O584),$O$2:$O$1001,0),MATCH(COLUMNS($V$1006:AC1006),$V$1006:$AE$1006,0)), HYPERLINK("#",""), HYPERLINK(CONCATENATE("#Metadata!", ADDRESS(INDEX($Q$2:$Q$1001,MATCH(ROWS($O$2:O584),$O$2:$O$1001,0),0), INDEX($V$1004:$AE$1004,1,MATCH(COLUMNS($V$1006:AC1006),$V$1006:$AE$1006,0)))),"Fix")))</f>
        <v>0</v>
      </c>
      <c r="J584" s="4">
        <f>IF(OR(INDEX($P$2:$P$1001,MATCH(ROWS($O$2:O584),$O$2:$O$1001,0),1)&gt;=100000,INDEX($V$1005:$AE$1005,1,MATCH(COLUMNS($V$1006:AD1006),$V$1006:$AE$1006,0))&gt;=100000), " ",IF(INDEX($V$2:$AE$1001,MATCH(ROWS($O$2:O584),$O$2:$O$1001,0),MATCH(COLUMNS($V$1006:AD1006),$V$1006:$AE$1006,0)), HYPERLINK("#",""), HYPERLINK(CONCATENATE("#Metadata!", ADDRESS(INDEX($Q$2:$Q$1001,MATCH(ROWS($O$2:O584),$O$2:$O$1001,0),0), INDEX($V$1004:$AE$1004,1,MATCH(COLUMNS($V$1006:AD1006),$V$1006:$AE$1006,0)))),"Fix")))</f>
        <v>0</v>
      </c>
      <c r="K584" s="4">
        <f>IF(OR(INDEX($P$2:$P$1001,MATCH(ROWS($O$2:O584),$O$2:$O$1001,0),1)&gt;=100000,INDEX($V$1005:$AE$1005,1,MATCH(COLUMNS($V$1006:AE1006),$V$1006:$AE$1006,0))&gt;=100000), " ",IF(INDEX($V$2:$AE$1001,MATCH(ROWS($O$2:O584),$O$2:$O$1001,0),MATCH(COLUMNS($V$1006:AE1006),$V$1006:$AE$1006,0)), HYPERLINK("#",""), HYPERLINK(CONCATENATE("#Metadata!", ADDRESS(INDEX($Q$2:$Q$1001,MATCH(ROWS($O$2:O584),$O$2:$O$1001,0),0), INDEX($V$1004:$AE$1004,1,MATCH(COLUMNS($V$1006:AE1006),$V$1006:$AE$1006,0)))),"Fix")))</f>
        <v>0</v>
      </c>
      <c r="O584">
        <v>0</v>
      </c>
      <c r="P584">
        <v>0</v>
      </c>
      <c r="Q584">
        <v>0</v>
      </c>
      <c r="R584">
        <f>IF(S584,TRUE,AND(V584:AE584))</f>
        <v>0</v>
      </c>
      <c r="S584">
        <f>COUNTBLANK(Metadata!B584:K584)=COLUMNS(Metadata!B584:K584)</f>
        <v>0</v>
      </c>
      <c r="T584">
        <v>0</v>
      </c>
      <c r="V584">
        <f>AND(IF(Metadata!B584="",FALSE,TRUE),COUNTIF(Metadata!B:B, Metadata!B584) = 1,NOT(ISERROR(SUMPRODUCT(SEARCH(MID(Metadata!B584,ROW(INDIRECT("1:"&amp;LEN(Metadata!B584))), 1),"0123456789abcdefghijklmnopqrstuvwxyzABCDEFGHIJKLMNOPQRSTUVWXYZ.")))))</f>
        <v>0</v>
      </c>
      <c r="W584">
        <f>AND(IF(Metadata!C584="",FALSE,TRUE),exact(Metadata!C584,"urban biome"))</f>
        <v>0</v>
      </c>
      <c r="X584">
        <f>AND(IF(Metadata!D584="",FALSE,TRUE),exact(Metadata!D584,"animal-associated habitat"))</f>
        <v>0</v>
      </c>
      <c r="Y584">
        <f>OR(AND(IF(Metadata!E584="",FALSE,TRUE),OR(exact(Metadata!E584,"not applicable"),exact(Metadata!E584,"missing: not collected"),exact(Metadata!E584,"missing: not provided"),exact(Metadata!E584,"missing: restricted access"))),AND(IF(Metadata!E584="",FALSE,ISNUMBER(VALUE(Metadata!E584))),Metadata!E584&gt;0))</f>
        <v>0</v>
      </c>
      <c r="Z584">
        <f>AND(IF(Metadata!F584="",FALSE,TRUE),exact(Metadata!F584,"weeks"))</f>
        <v>0</v>
      </c>
      <c r="AA584">
        <f>AND(IF(Metadata!G584="",FALSE,TRUE),exact(Metadata!G584,"mouse"))</f>
        <v>0</v>
      </c>
      <c r="AB584">
        <f>AND(IF(Metadata!H584="",FALSE,TRUE),exact(Metadata!H584,"Mus musculus"))</f>
        <v>0</v>
      </c>
      <c r="AC584">
        <f>AND(IF(Metadata!I584="",FALSE,TRUE),exact(Metadata!I584,"10090"))</f>
        <v>0</v>
      </c>
      <c r="AD584">
        <f>OR(AND(IF(Metadata!J584="",FALSE,TRUE),OR(exact(Metadata!J584,"not applicable"),exact(Metadata!J584,"missing: not collected"),exact(Metadata!J584,"missing: not provided"),exact(Metadata!J584,"missing: restricted access"))),AND(IF(Metadata!J584="",FALSE,ISNUMBER(VALUE(Metadata!J584))),Metadata!J584&gt;0))</f>
        <v>0</v>
      </c>
      <c r="AE584">
        <f>AND(IF(Metadata!K584="",FALSE,TRUE),exact(Metadata!K584,"g"))</f>
        <v>0</v>
      </c>
    </row>
    <row r="585" spans="1:31">
      <c r="A585" s="5">
        <f>IF(B585=" "," ",HYPERLINK(CONCATENATE("#metadata!",ADDRESS(INDEX($Q$2:$Q$1001,MATCH(ROWS($O$2:O585),$O$2:$O$1001,0),0),1)),INDEX($T$2:$T$1001,MATCH(ROWS($O$2:O585),$O$2:$O$1001,0),0)))</f>
        <v>0</v>
      </c>
      <c r="B585" s="4">
        <f>IF(OR(INDEX($P$2:$P$1001,MATCH(ROWS($O$2:O585),$O$2:$O$1001,0),1)&gt;=100000,INDEX($V$1005:$AE$1005,1,MATCH(COLUMNS($V$1006:V1006),$V$1006:$AE$1006,0))&gt;=100000), " ",IF(INDEX($V$2:$AE$1001,MATCH(ROWS($O$2:O585),$O$2:$O$1001,0),MATCH(COLUMNS($V$1006:V1006),$V$1006:$AE$1006,0)), HYPERLINK("#",""), HYPERLINK(CONCATENATE("#Metadata!", ADDRESS(INDEX($Q$2:$Q$1001,MATCH(ROWS($O$2:O585),$O$2:$O$1001,0),0), INDEX($V$1004:$AE$1004,1,MATCH(COLUMNS($V$1006:V1006),$V$1006:$AE$1006,0)))),"Fix")))</f>
        <v>0</v>
      </c>
      <c r="C585" s="4">
        <f>IF(OR(INDEX($P$2:$P$1001,MATCH(ROWS($O$2:O585),$O$2:$O$1001,0),1)&gt;=100000,INDEX($V$1005:$AE$1005,1,MATCH(COLUMNS($V$1006:W1006),$V$1006:$AE$1006,0))&gt;=100000), " ",IF(INDEX($V$2:$AE$1001,MATCH(ROWS($O$2:O585),$O$2:$O$1001,0),MATCH(COLUMNS($V$1006:W1006),$V$1006:$AE$1006,0)), HYPERLINK("#",""), HYPERLINK(CONCATENATE("#Metadata!", ADDRESS(INDEX($Q$2:$Q$1001,MATCH(ROWS($O$2:O585),$O$2:$O$1001,0),0), INDEX($V$1004:$AE$1004,1,MATCH(COLUMNS($V$1006:W1006),$V$1006:$AE$1006,0)))),"Fix")))</f>
        <v>0</v>
      </c>
      <c r="D585" s="4">
        <f>IF(OR(INDEX($P$2:$P$1001,MATCH(ROWS($O$2:O585),$O$2:$O$1001,0),1)&gt;=100000,INDEX($V$1005:$AE$1005,1,MATCH(COLUMNS($V$1006:X1006),$V$1006:$AE$1006,0))&gt;=100000), " ",IF(INDEX($V$2:$AE$1001,MATCH(ROWS($O$2:O585),$O$2:$O$1001,0),MATCH(COLUMNS($V$1006:X1006),$V$1006:$AE$1006,0)), HYPERLINK("#",""), HYPERLINK(CONCATENATE("#Metadata!", ADDRESS(INDEX($Q$2:$Q$1001,MATCH(ROWS($O$2:O585),$O$2:$O$1001,0),0), INDEX($V$1004:$AE$1004,1,MATCH(COLUMNS($V$1006:X1006),$V$1006:$AE$1006,0)))),"Fix")))</f>
        <v>0</v>
      </c>
      <c r="E585" s="4">
        <f>IF(OR(INDEX($P$2:$P$1001,MATCH(ROWS($O$2:O585),$O$2:$O$1001,0),1)&gt;=100000,INDEX($V$1005:$AE$1005,1,MATCH(COLUMNS($V$1006:Y1006),$V$1006:$AE$1006,0))&gt;=100000), " ",IF(INDEX($V$2:$AE$1001,MATCH(ROWS($O$2:O585),$O$2:$O$1001,0),MATCH(COLUMNS($V$1006:Y1006),$V$1006:$AE$1006,0)), HYPERLINK("#",""), HYPERLINK(CONCATENATE("#Metadata!", ADDRESS(INDEX($Q$2:$Q$1001,MATCH(ROWS($O$2:O585),$O$2:$O$1001,0),0), INDEX($V$1004:$AE$1004,1,MATCH(COLUMNS($V$1006:Y1006),$V$1006:$AE$1006,0)))),"Fix")))</f>
        <v>0</v>
      </c>
      <c r="F585" s="4">
        <f>IF(OR(INDEX($P$2:$P$1001,MATCH(ROWS($O$2:O585),$O$2:$O$1001,0),1)&gt;=100000,INDEX($V$1005:$AE$1005,1,MATCH(COLUMNS($V$1006:Z1006),$V$1006:$AE$1006,0))&gt;=100000), " ",IF(INDEX($V$2:$AE$1001,MATCH(ROWS($O$2:O585),$O$2:$O$1001,0),MATCH(COLUMNS($V$1006:Z1006),$V$1006:$AE$1006,0)), HYPERLINK("#",""), HYPERLINK(CONCATENATE("#Metadata!", ADDRESS(INDEX($Q$2:$Q$1001,MATCH(ROWS($O$2:O585),$O$2:$O$1001,0),0), INDEX($V$1004:$AE$1004,1,MATCH(COLUMNS($V$1006:Z1006),$V$1006:$AE$1006,0)))),"Fix")))</f>
        <v>0</v>
      </c>
      <c r="G585" s="4">
        <f>IF(OR(INDEX($P$2:$P$1001,MATCH(ROWS($O$2:O585),$O$2:$O$1001,0),1)&gt;=100000,INDEX($V$1005:$AE$1005,1,MATCH(COLUMNS($V$1006:AA1006),$V$1006:$AE$1006,0))&gt;=100000), " ",IF(INDEX($V$2:$AE$1001,MATCH(ROWS($O$2:O585),$O$2:$O$1001,0),MATCH(COLUMNS($V$1006:AA1006),$V$1006:$AE$1006,0)), HYPERLINK("#",""), HYPERLINK(CONCATENATE("#Metadata!", ADDRESS(INDEX($Q$2:$Q$1001,MATCH(ROWS($O$2:O585),$O$2:$O$1001,0),0), INDEX($V$1004:$AE$1004,1,MATCH(COLUMNS($V$1006:AA1006),$V$1006:$AE$1006,0)))),"Fix")))</f>
        <v>0</v>
      </c>
      <c r="H585" s="4">
        <f>IF(OR(INDEX($P$2:$P$1001,MATCH(ROWS($O$2:O585),$O$2:$O$1001,0),1)&gt;=100000,INDEX($V$1005:$AE$1005,1,MATCH(COLUMNS($V$1006:AB1006),$V$1006:$AE$1006,0))&gt;=100000), " ",IF(INDEX($V$2:$AE$1001,MATCH(ROWS($O$2:O585),$O$2:$O$1001,0),MATCH(COLUMNS($V$1006:AB1006),$V$1006:$AE$1006,0)), HYPERLINK("#",""), HYPERLINK(CONCATENATE("#Metadata!", ADDRESS(INDEX($Q$2:$Q$1001,MATCH(ROWS($O$2:O585),$O$2:$O$1001,0),0), INDEX($V$1004:$AE$1004,1,MATCH(COLUMNS($V$1006:AB1006),$V$1006:$AE$1006,0)))),"Fix")))</f>
        <v>0</v>
      </c>
      <c r="I585" s="4">
        <f>IF(OR(INDEX($P$2:$P$1001,MATCH(ROWS($O$2:O585),$O$2:$O$1001,0),1)&gt;=100000,INDEX($V$1005:$AE$1005,1,MATCH(COLUMNS($V$1006:AC1006),$V$1006:$AE$1006,0))&gt;=100000), " ",IF(INDEX($V$2:$AE$1001,MATCH(ROWS($O$2:O585),$O$2:$O$1001,0),MATCH(COLUMNS($V$1006:AC1006),$V$1006:$AE$1006,0)), HYPERLINK("#",""), HYPERLINK(CONCATENATE("#Metadata!", ADDRESS(INDEX($Q$2:$Q$1001,MATCH(ROWS($O$2:O585),$O$2:$O$1001,0),0), INDEX($V$1004:$AE$1004,1,MATCH(COLUMNS($V$1006:AC1006),$V$1006:$AE$1006,0)))),"Fix")))</f>
        <v>0</v>
      </c>
      <c r="J585" s="4">
        <f>IF(OR(INDEX($P$2:$P$1001,MATCH(ROWS($O$2:O585),$O$2:$O$1001,0),1)&gt;=100000,INDEX($V$1005:$AE$1005,1,MATCH(COLUMNS($V$1006:AD1006),$V$1006:$AE$1006,0))&gt;=100000), " ",IF(INDEX($V$2:$AE$1001,MATCH(ROWS($O$2:O585),$O$2:$O$1001,0),MATCH(COLUMNS($V$1006:AD1006),$V$1006:$AE$1006,0)), HYPERLINK("#",""), HYPERLINK(CONCATENATE("#Metadata!", ADDRESS(INDEX($Q$2:$Q$1001,MATCH(ROWS($O$2:O585),$O$2:$O$1001,0),0), INDEX($V$1004:$AE$1004,1,MATCH(COLUMNS($V$1006:AD1006),$V$1006:$AE$1006,0)))),"Fix")))</f>
        <v>0</v>
      </c>
      <c r="K585" s="4">
        <f>IF(OR(INDEX($P$2:$P$1001,MATCH(ROWS($O$2:O585),$O$2:$O$1001,0),1)&gt;=100000,INDEX($V$1005:$AE$1005,1,MATCH(COLUMNS($V$1006:AE1006),$V$1006:$AE$1006,0))&gt;=100000), " ",IF(INDEX($V$2:$AE$1001,MATCH(ROWS($O$2:O585),$O$2:$O$1001,0),MATCH(COLUMNS($V$1006:AE1006),$V$1006:$AE$1006,0)), HYPERLINK("#",""), HYPERLINK(CONCATENATE("#Metadata!", ADDRESS(INDEX($Q$2:$Q$1001,MATCH(ROWS($O$2:O585),$O$2:$O$1001,0),0), INDEX($V$1004:$AE$1004,1,MATCH(COLUMNS($V$1006:AE1006),$V$1006:$AE$1006,0)))),"Fix")))</f>
        <v>0</v>
      </c>
      <c r="O585">
        <v>0</v>
      </c>
      <c r="P585">
        <v>0</v>
      </c>
      <c r="Q585">
        <v>0</v>
      </c>
      <c r="R585">
        <f>IF(S585,TRUE,AND(V585:AE585))</f>
        <v>0</v>
      </c>
      <c r="S585">
        <f>COUNTBLANK(Metadata!B585:K585)=COLUMNS(Metadata!B585:K585)</f>
        <v>0</v>
      </c>
      <c r="T585">
        <v>0</v>
      </c>
      <c r="V585">
        <f>AND(IF(Metadata!B585="",FALSE,TRUE),COUNTIF(Metadata!B:B, Metadata!B585) = 1,NOT(ISERROR(SUMPRODUCT(SEARCH(MID(Metadata!B585,ROW(INDIRECT("1:"&amp;LEN(Metadata!B585))), 1),"0123456789abcdefghijklmnopqrstuvwxyzABCDEFGHIJKLMNOPQRSTUVWXYZ.")))))</f>
        <v>0</v>
      </c>
      <c r="W585">
        <f>AND(IF(Metadata!C585="",FALSE,TRUE),exact(Metadata!C585,"urban biome"))</f>
        <v>0</v>
      </c>
      <c r="X585">
        <f>AND(IF(Metadata!D585="",FALSE,TRUE),exact(Metadata!D585,"animal-associated habitat"))</f>
        <v>0</v>
      </c>
      <c r="Y585">
        <f>OR(AND(IF(Metadata!E585="",FALSE,TRUE),OR(exact(Metadata!E585,"not applicable"),exact(Metadata!E585,"missing: not collected"),exact(Metadata!E585,"missing: not provided"),exact(Metadata!E585,"missing: restricted access"))),AND(IF(Metadata!E585="",FALSE,ISNUMBER(VALUE(Metadata!E585))),Metadata!E585&gt;0))</f>
        <v>0</v>
      </c>
      <c r="Z585">
        <f>AND(IF(Metadata!F585="",FALSE,TRUE),exact(Metadata!F585,"weeks"))</f>
        <v>0</v>
      </c>
      <c r="AA585">
        <f>AND(IF(Metadata!G585="",FALSE,TRUE),exact(Metadata!G585,"mouse"))</f>
        <v>0</v>
      </c>
      <c r="AB585">
        <f>AND(IF(Metadata!H585="",FALSE,TRUE),exact(Metadata!H585,"Mus musculus"))</f>
        <v>0</v>
      </c>
      <c r="AC585">
        <f>AND(IF(Metadata!I585="",FALSE,TRUE),exact(Metadata!I585,"10090"))</f>
        <v>0</v>
      </c>
      <c r="AD585">
        <f>OR(AND(IF(Metadata!J585="",FALSE,TRUE),OR(exact(Metadata!J585,"not applicable"),exact(Metadata!J585,"missing: not collected"),exact(Metadata!J585,"missing: not provided"),exact(Metadata!J585,"missing: restricted access"))),AND(IF(Metadata!J585="",FALSE,ISNUMBER(VALUE(Metadata!J585))),Metadata!J585&gt;0))</f>
        <v>0</v>
      </c>
      <c r="AE585">
        <f>AND(IF(Metadata!K585="",FALSE,TRUE),exact(Metadata!K585,"g"))</f>
        <v>0</v>
      </c>
    </row>
    <row r="586" spans="1:31">
      <c r="A586" s="5">
        <f>IF(B586=" "," ",HYPERLINK(CONCATENATE("#metadata!",ADDRESS(INDEX($Q$2:$Q$1001,MATCH(ROWS($O$2:O586),$O$2:$O$1001,0),0),1)),INDEX($T$2:$T$1001,MATCH(ROWS($O$2:O586),$O$2:$O$1001,0),0)))</f>
        <v>0</v>
      </c>
      <c r="B586" s="4">
        <f>IF(OR(INDEX($P$2:$P$1001,MATCH(ROWS($O$2:O586),$O$2:$O$1001,0),1)&gt;=100000,INDEX($V$1005:$AE$1005,1,MATCH(COLUMNS($V$1006:V1006),$V$1006:$AE$1006,0))&gt;=100000), " ",IF(INDEX($V$2:$AE$1001,MATCH(ROWS($O$2:O586),$O$2:$O$1001,0),MATCH(COLUMNS($V$1006:V1006),$V$1006:$AE$1006,0)), HYPERLINK("#",""), HYPERLINK(CONCATENATE("#Metadata!", ADDRESS(INDEX($Q$2:$Q$1001,MATCH(ROWS($O$2:O586),$O$2:$O$1001,0),0), INDEX($V$1004:$AE$1004,1,MATCH(COLUMNS($V$1006:V1006),$V$1006:$AE$1006,0)))),"Fix")))</f>
        <v>0</v>
      </c>
      <c r="C586" s="4">
        <f>IF(OR(INDEX($P$2:$P$1001,MATCH(ROWS($O$2:O586),$O$2:$O$1001,0),1)&gt;=100000,INDEX($V$1005:$AE$1005,1,MATCH(COLUMNS($V$1006:W1006),$V$1006:$AE$1006,0))&gt;=100000), " ",IF(INDEX($V$2:$AE$1001,MATCH(ROWS($O$2:O586),$O$2:$O$1001,0),MATCH(COLUMNS($V$1006:W1006),$V$1006:$AE$1006,0)), HYPERLINK("#",""), HYPERLINK(CONCATENATE("#Metadata!", ADDRESS(INDEX($Q$2:$Q$1001,MATCH(ROWS($O$2:O586),$O$2:$O$1001,0),0), INDEX($V$1004:$AE$1004,1,MATCH(COLUMNS($V$1006:W1006),$V$1006:$AE$1006,0)))),"Fix")))</f>
        <v>0</v>
      </c>
      <c r="D586" s="4">
        <f>IF(OR(INDEX($P$2:$P$1001,MATCH(ROWS($O$2:O586),$O$2:$O$1001,0),1)&gt;=100000,INDEX($V$1005:$AE$1005,1,MATCH(COLUMNS($V$1006:X1006),$V$1006:$AE$1006,0))&gt;=100000), " ",IF(INDEX($V$2:$AE$1001,MATCH(ROWS($O$2:O586),$O$2:$O$1001,0),MATCH(COLUMNS($V$1006:X1006),$V$1006:$AE$1006,0)), HYPERLINK("#",""), HYPERLINK(CONCATENATE("#Metadata!", ADDRESS(INDEX($Q$2:$Q$1001,MATCH(ROWS($O$2:O586),$O$2:$O$1001,0),0), INDEX($V$1004:$AE$1004,1,MATCH(COLUMNS($V$1006:X1006),$V$1006:$AE$1006,0)))),"Fix")))</f>
        <v>0</v>
      </c>
      <c r="E586" s="4">
        <f>IF(OR(INDEX($P$2:$P$1001,MATCH(ROWS($O$2:O586),$O$2:$O$1001,0),1)&gt;=100000,INDEX($V$1005:$AE$1005,1,MATCH(COLUMNS($V$1006:Y1006),$V$1006:$AE$1006,0))&gt;=100000), " ",IF(INDEX($V$2:$AE$1001,MATCH(ROWS($O$2:O586),$O$2:$O$1001,0),MATCH(COLUMNS($V$1006:Y1006),$V$1006:$AE$1006,0)), HYPERLINK("#",""), HYPERLINK(CONCATENATE("#Metadata!", ADDRESS(INDEX($Q$2:$Q$1001,MATCH(ROWS($O$2:O586),$O$2:$O$1001,0),0), INDEX($V$1004:$AE$1004,1,MATCH(COLUMNS($V$1006:Y1006),$V$1006:$AE$1006,0)))),"Fix")))</f>
        <v>0</v>
      </c>
      <c r="F586" s="4">
        <f>IF(OR(INDEX($P$2:$P$1001,MATCH(ROWS($O$2:O586),$O$2:$O$1001,0),1)&gt;=100000,INDEX($V$1005:$AE$1005,1,MATCH(COLUMNS($V$1006:Z1006),$V$1006:$AE$1006,0))&gt;=100000), " ",IF(INDEX($V$2:$AE$1001,MATCH(ROWS($O$2:O586),$O$2:$O$1001,0),MATCH(COLUMNS($V$1006:Z1006),$V$1006:$AE$1006,0)), HYPERLINK("#",""), HYPERLINK(CONCATENATE("#Metadata!", ADDRESS(INDEX($Q$2:$Q$1001,MATCH(ROWS($O$2:O586),$O$2:$O$1001,0),0), INDEX($V$1004:$AE$1004,1,MATCH(COLUMNS($V$1006:Z1006),$V$1006:$AE$1006,0)))),"Fix")))</f>
        <v>0</v>
      </c>
      <c r="G586" s="4">
        <f>IF(OR(INDEX($P$2:$P$1001,MATCH(ROWS($O$2:O586),$O$2:$O$1001,0),1)&gt;=100000,INDEX($V$1005:$AE$1005,1,MATCH(COLUMNS($V$1006:AA1006),$V$1006:$AE$1006,0))&gt;=100000), " ",IF(INDEX($V$2:$AE$1001,MATCH(ROWS($O$2:O586),$O$2:$O$1001,0),MATCH(COLUMNS($V$1006:AA1006),$V$1006:$AE$1006,0)), HYPERLINK("#",""), HYPERLINK(CONCATENATE("#Metadata!", ADDRESS(INDEX($Q$2:$Q$1001,MATCH(ROWS($O$2:O586),$O$2:$O$1001,0),0), INDEX($V$1004:$AE$1004,1,MATCH(COLUMNS($V$1006:AA1006),$V$1006:$AE$1006,0)))),"Fix")))</f>
        <v>0</v>
      </c>
      <c r="H586" s="4">
        <f>IF(OR(INDEX($P$2:$P$1001,MATCH(ROWS($O$2:O586),$O$2:$O$1001,0),1)&gt;=100000,INDEX($V$1005:$AE$1005,1,MATCH(COLUMNS($V$1006:AB1006),$V$1006:$AE$1006,0))&gt;=100000), " ",IF(INDEX($V$2:$AE$1001,MATCH(ROWS($O$2:O586),$O$2:$O$1001,0),MATCH(COLUMNS($V$1006:AB1006),$V$1006:$AE$1006,0)), HYPERLINK("#",""), HYPERLINK(CONCATENATE("#Metadata!", ADDRESS(INDEX($Q$2:$Q$1001,MATCH(ROWS($O$2:O586),$O$2:$O$1001,0),0), INDEX($V$1004:$AE$1004,1,MATCH(COLUMNS($V$1006:AB1006),$V$1006:$AE$1006,0)))),"Fix")))</f>
        <v>0</v>
      </c>
      <c r="I586" s="4">
        <f>IF(OR(INDEX($P$2:$P$1001,MATCH(ROWS($O$2:O586),$O$2:$O$1001,0),1)&gt;=100000,INDEX($V$1005:$AE$1005,1,MATCH(COLUMNS($V$1006:AC1006),$V$1006:$AE$1006,0))&gt;=100000), " ",IF(INDEX($V$2:$AE$1001,MATCH(ROWS($O$2:O586),$O$2:$O$1001,0),MATCH(COLUMNS($V$1006:AC1006),$V$1006:$AE$1006,0)), HYPERLINK("#",""), HYPERLINK(CONCATENATE("#Metadata!", ADDRESS(INDEX($Q$2:$Q$1001,MATCH(ROWS($O$2:O586),$O$2:$O$1001,0),0), INDEX($V$1004:$AE$1004,1,MATCH(COLUMNS($V$1006:AC1006),$V$1006:$AE$1006,0)))),"Fix")))</f>
        <v>0</v>
      </c>
      <c r="J586" s="4">
        <f>IF(OR(INDEX($P$2:$P$1001,MATCH(ROWS($O$2:O586),$O$2:$O$1001,0),1)&gt;=100000,INDEX($V$1005:$AE$1005,1,MATCH(COLUMNS($V$1006:AD1006),$V$1006:$AE$1006,0))&gt;=100000), " ",IF(INDEX($V$2:$AE$1001,MATCH(ROWS($O$2:O586),$O$2:$O$1001,0),MATCH(COLUMNS($V$1006:AD1006),$V$1006:$AE$1006,0)), HYPERLINK("#",""), HYPERLINK(CONCATENATE("#Metadata!", ADDRESS(INDEX($Q$2:$Q$1001,MATCH(ROWS($O$2:O586),$O$2:$O$1001,0),0), INDEX($V$1004:$AE$1004,1,MATCH(COLUMNS($V$1006:AD1006),$V$1006:$AE$1006,0)))),"Fix")))</f>
        <v>0</v>
      </c>
      <c r="K586" s="4">
        <f>IF(OR(INDEX($P$2:$P$1001,MATCH(ROWS($O$2:O586),$O$2:$O$1001,0),1)&gt;=100000,INDEX($V$1005:$AE$1005,1,MATCH(COLUMNS($V$1006:AE1006),$V$1006:$AE$1006,0))&gt;=100000), " ",IF(INDEX($V$2:$AE$1001,MATCH(ROWS($O$2:O586),$O$2:$O$1001,0),MATCH(COLUMNS($V$1006:AE1006),$V$1006:$AE$1006,0)), HYPERLINK("#",""), HYPERLINK(CONCATENATE("#Metadata!", ADDRESS(INDEX($Q$2:$Q$1001,MATCH(ROWS($O$2:O586),$O$2:$O$1001,0),0), INDEX($V$1004:$AE$1004,1,MATCH(COLUMNS($V$1006:AE1006),$V$1006:$AE$1006,0)))),"Fix")))</f>
        <v>0</v>
      </c>
      <c r="O586">
        <v>0</v>
      </c>
      <c r="P586">
        <v>0</v>
      </c>
      <c r="Q586">
        <v>0</v>
      </c>
      <c r="R586">
        <f>IF(S586,TRUE,AND(V586:AE586))</f>
        <v>0</v>
      </c>
      <c r="S586">
        <f>COUNTBLANK(Metadata!B586:K586)=COLUMNS(Metadata!B586:K586)</f>
        <v>0</v>
      </c>
      <c r="T586">
        <v>0</v>
      </c>
      <c r="V586">
        <f>AND(IF(Metadata!B586="",FALSE,TRUE),COUNTIF(Metadata!B:B, Metadata!B586) = 1,NOT(ISERROR(SUMPRODUCT(SEARCH(MID(Metadata!B586,ROW(INDIRECT("1:"&amp;LEN(Metadata!B586))), 1),"0123456789abcdefghijklmnopqrstuvwxyzABCDEFGHIJKLMNOPQRSTUVWXYZ.")))))</f>
        <v>0</v>
      </c>
      <c r="W586">
        <f>AND(IF(Metadata!C586="",FALSE,TRUE),exact(Metadata!C586,"urban biome"))</f>
        <v>0</v>
      </c>
      <c r="X586">
        <f>AND(IF(Metadata!D586="",FALSE,TRUE),exact(Metadata!D586,"animal-associated habitat"))</f>
        <v>0</v>
      </c>
      <c r="Y586">
        <f>OR(AND(IF(Metadata!E586="",FALSE,TRUE),OR(exact(Metadata!E586,"not applicable"),exact(Metadata!E586,"missing: not collected"),exact(Metadata!E586,"missing: not provided"),exact(Metadata!E586,"missing: restricted access"))),AND(IF(Metadata!E586="",FALSE,ISNUMBER(VALUE(Metadata!E586))),Metadata!E586&gt;0))</f>
        <v>0</v>
      </c>
      <c r="Z586">
        <f>AND(IF(Metadata!F586="",FALSE,TRUE),exact(Metadata!F586,"weeks"))</f>
        <v>0</v>
      </c>
      <c r="AA586">
        <f>AND(IF(Metadata!G586="",FALSE,TRUE),exact(Metadata!G586,"mouse"))</f>
        <v>0</v>
      </c>
      <c r="AB586">
        <f>AND(IF(Metadata!H586="",FALSE,TRUE),exact(Metadata!H586,"Mus musculus"))</f>
        <v>0</v>
      </c>
      <c r="AC586">
        <f>AND(IF(Metadata!I586="",FALSE,TRUE),exact(Metadata!I586,"10090"))</f>
        <v>0</v>
      </c>
      <c r="AD586">
        <f>OR(AND(IF(Metadata!J586="",FALSE,TRUE),OR(exact(Metadata!J586,"not applicable"),exact(Metadata!J586,"missing: not collected"),exact(Metadata!J586,"missing: not provided"),exact(Metadata!J586,"missing: restricted access"))),AND(IF(Metadata!J586="",FALSE,ISNUMBER(VALUE(Metadata!J586))),Metadata!J586&gt;0))</f>
        <v>0</v>
      </c>
      <c r="AE586">
        <f>AND(IF(Metadata!K586="",FALSE,TRUE),exact(Metadata!K586,"g"))</f>
        <v>0</v>
      </c>
    </row>
    <row r="587" spans="1:31">
      <c r="A587" s="5">
        <f>IF(B587=" "," ",HYPERLINK(CONCATENATE("#metadata!",ADDRESS(INDEX($Q$2:$Q$1001,MATCH(ROWS($O$2:O587),$O$2:$O$1001,0),0),1)),INDEX($T$2:$T$1001,MATCH(ROWS($O$2:O587),$O$2:$O$1001,0),0)))</f>
        <v>0</v>
      </c>
      <c r="B587" s="4">
        <f>IF(OR(INDEX($P$2:$P$1001,MATCH(ROWS($O$2:O587),$O$2:$O$1001,0),1)&gt;=100000,INDEX($V$1005:$AE$1005,1,MATCH(COLUMNS($V$1006:V1006),$V$1006:$AE$1006,0))&gt;=100000), " ",IF(INDEX($V$2:$AE$1001,MATCH(ROWS($O$2:O587),$O$2:$O$1001,0),MATCH(COLUMNS($V$1006:V1006),$V$1006:$AE$1006,0)), HYPERLINK("#",""), HYPERLINK(CONCATENATE("#Metadata!", ADDRESS(INDEX($Q$2:$Q$1001,MATCH(ROWS($O$2:O587),$O$2:$O$1001,0),0), INDEX($V$1004:$AE$1004,1,MATCH(COLUMNS($V$1006:V1006),$V$1006:$AE$1006,0)))),"Fix")))</f>
        <v>0</v>
      </c>
      <c r="C587" s="4">
        <f>IF(OR(INDEX($P$2:$P$1001,MATCH(ROWS($O$2:O587),$O$2:$O$1001,0),1)&gt;=100000,INDEX($V$1005:$AE$1005,1,MATCH(COLUMNS($V$1006:W1006),$V$1006:$AE$1006,0))&gt;=100000), " ",IF(INDEX($V$2:$AE$1001,MATCH(ROWS($O$2:O587),$O$2:$O$1001,0),MATCH(COLUMNS($V$1006:W1006),$V$1006:$AE$1006,0)), HYPERLINK("#",""), HYPERLINK(CONCATENATE("#Metadata!", ADDRESS(INDEX($Q$2:$Q$1001,MATCH(ROWS($O$2:O587),$O$2:$O$1001,0),0), INDEX($V$1004:$AE$1004,1,MATCH(COLUMNS($V$1006:W1006),$V$1006:$AE$1006,0)))),"Fix")))</f>
        <v>0</v>
      </c>
      <c r="D587" s="4">
        <f>IF(OR(INDEX($P$2:$P$1001,MATCH(ROWS($O$2:O587),$O$2:$O$1001,0),1)&gt;=100000,INDEX($V$1005:$AE$1005,1,MATCH(COLUMNS($V$1006:X1006),$V$1006:$AE$1006,0))&gt;=100000), " ",IF(INDEX($V$2:$AE$1001,MATCH(ROWS($O$2:O587),$O$2:$O$1001,0),MATCH(COLUMNS($V$1006:X1006),$V$1006:$AE$1006,0)), HYPERLINK("#",""), HYPERLINK(CONCATENATE("#Metadata!", ADDRESS(INDEX($Q$2:$Q$1001,MATCH(ROWS($O$2:O587),$O$2:$O$1001,0),0), INDEX($V$1004:$AE$1004,1,MATCH(COLUMNS($V$1006:X1006),$V$1006:$AE$1006,0)))),"Fix")))</f>
        <v>0</v>
      </c>
      <c r="E587" s="4">
        <f>IF(OR(INDEX($P$2:$P$1001,MATCH(ROWS($O$2:O587),$O$2:$O$1001,0),1)&gt;=100000,INDEX($V$1005:$AE$1005,1,MATCH(COLUMNS($V$1006:Y1006),$V$1006:$AE$1006,0))&gt;=100000), " ",IF(INDEX($V$2:$AE$1001,MATCH(ROWS($O$2:O587),$O$2:$O$1001,0),MATCH(COLUMNS($V$1006:Y1006),$V$1006:$AE$1006,0)), HYPERLINK("#",""), HYPERLINK(CONCATENATE("#Metadata!", ADDRESS(INDEX($Q$2:$Q$1001,MATCH(ROWS($O$2:O587),$O$2:$O$1001,0),0), INDEX($V$1004:$AE$1004,1,MATCH(COLUMNS($V$1006:Y1006),$V$1006:$AE$1006,0)))),"Fix")))</f>
        <v>0</v>
      </c>
      <c r="F587" s="4">
        <f>IF(OR(INDEX($P$2:$P$1001,MATCH(ROWS($O$2:O587),$O$2:$O$1001,0),1)&gt;=100000,INDEX($V$1005:$AE$1005,1,MATCH(COLUMNS($V$1006:Z1006),$V$1006:$AE$1006,0))&gt;=100000), " ",IF(INDEX($V$2:$AE$1001,MATCH(ROWS($O$2:O587),$O$2:$O$1001,0),MATCH(COLUMNS($V$1006:Z1006),$V$1006:$AE$1006,0)), HYPERLINK("#",""), HYPERLINK(CONCATENATE("#Metadata!", ADDRESS(INDEX($Q$2:$Q$1001,MATCH(ROWS($O$2:O587),$O$2:$O$1001,0),0), INDEX($V$1004:$AE$1004,1,MATCH(COLUMNS($V$1006:Z1006),$V$1006:$AE$1006,0)))),"Fix")))</f>
        <v>0</v>
      </c>
      <c r="G587" s="4">
        <f>IF(OR(INDEX($P$2:$P$1001,MATCH(ROWS($O$2:O587),$O$2:$O$1001,0),1)&gt;=100000,INDEX($V$1005:$AE$1005,1,MATCH(COLUMNS($V$1006:AA1006),$V$1006:$AE$1006,0))&gt;=100000), " ",IF(INDEX($V$2:$AE$1001,MATCH(ROWS($O$2:O587),$O$2:$O$1001,0),MATCH(COLUMNS($V$1006:AA1006),$V$1006:$AE$1006,0)), HYPERLINK("#",""), HYPERLINK(CONCATENATE("#Metadata!", ADDRESS(INDEX($Q$2:$Q$1001,MATCH(ROWS($O$2:O587),$O$2:$O$1001,0),0), INDEX($V$1004:$AE$1004,1,MATCH(COLUMNS($V$1006:AA1006),$V$1006:$AE$1006,0)))),"Fix")))</f>
        <v>0</v>
      </c>
      <c r="H587" s="4">
        <f>IF(OR(INDEX($P$2:$P$1001,MATCH(ROWS($O$2:O587),$O$2:$O$1001,0),1)&gt;=100000,INDEX($V$1005:$AE$1005,1,MATCH(COLUMNS($V$1006:AB1006),$V$1006:$AE$1006,0))&gt;=100000), " ",IF(INDEX($V$2:$AE$1001,MATCH(ROWS($O$2:O587),$O$2:$O$1001,0),MATCH(COLUMNS($V$1006:AB1006),$V$1006:$AE$1006,0)), HYPERLINK("#",""), HYPERLINK(CONCATENATE("#Metadata!", ADDRESS(INDEX($Q$2:$Q$1001,MATCH(ROWS($O$2:O587),$O$2:$O$1001,0),0), INDEX($V$1004:$AE$1004,1,MATCH(COLUMNS($V$1006:AB1006),$V$1006:$AE$1006,0)))),"Fix")))</f>
        <v>0</v>
      </c>
      <c r="I587" s="4">
        <f>IF(OR(INDEX($P$2:$P$1001,MATCH(ROWS($O$2:O587),$O$2:$O$1001,0),1)&gt;=100000,INDEX($V$1005:$AE$1005,1,MATCH(COLUMNS($V$1006:AC1006),$V$1006:$AE$1006,0))&gt;=100000), " ",IF(INDEX($V$2:$AE$1001,MATCH(ROWS($O$2:O587),$O$2:$O$1001,0),MATCH(COLUMNS($V$1006:AC1006),$V$1006:$AE$1006,0)), HYPERLINK("#",""), HYPERLINK(CONCATENATE("#Metadata!", ADDRESS(INDEX($Q$2:$Q$1001,MATCH(ROWS($O$2:O587),$O$2:$O$1001,0),0), INDEX($V$1004:$AE$1004,1,MATCH(COLUMNS($V$1006:AC1006),$V$1006:$AE$1006,0)))),"Fix")))</f>
        <v>0</v>
      </c>
      <c r="J587" s="4">
        <f>IF(OR(INDEX($P$2:$P$1001,MATCH(ROWS($O$2:O587),$O$2:$O$1001,0),1)&gt;=100000,INDEX($V$1005:$AE$1005,1,MATCH(COLUMNS($V$1006:AD1006),$V$1006:$AE$1006,0))&gt;=100000), " ",IF(INDEX($V$2:$AE$1001,MATCH(ROWS($O$2:O587),$O$2:$O$1001,0),MATCH(COLUMNS($V$1006:AD1006),$V$1006:$AE$1006,0)), HYPERLINK("#",""), HYPERLINK(CONCATENATE("#Metadata!", ADDRESS(INDEX($Q$2:$Q$1001,MATCH(ROWS($O$2:O587),$O$2:$O$1001,0),0), INDEX($V$1004:$AE$1004,1,MATCH(COLUMNS($V$1006:AD1006),$V$1006:$AE$1006,0)))),"Fix")))</f>
        <v>0</v>
      </c>
      <c r="K587" s="4">
        <f>IF(OR(INDEX($P$2:$P$1001,MATCH(ROWS($O$2:O587),$O$2:$O$1001,0),1)&gt;=100000,INDEX($V$1005:$AE$1005,1,MATCH(COLUMNS($V$1006:AE1006),$V$1006:$AE$1006,0))&gt;=100000), " ",IF(INDEX($V$2:$AE$1001,MATCH(ROWS($O$2:O587),$O$2:$O$1001,0),MATCH(COLUMNS($V$1006:AE1006),$V$1006:$AE$1006,0)), HYPERLINK("#",""), HYPERLINK(CONCATENATE("#Metadata!", ADDRESS(INDEX($Q$2:$Q$1001,MATCH(ROWS($O$2:O587),$O$2:$O$1001,0),0), INDEX($V$1004:$AE$1004,1,MATCH(COLUMNS($V$1006:AE1006),$V$1006:$AE$1006,0)))),"Fix")))</f>
        <v>0</v>
      </c>
      <c r="O587">
        <v>0</v>
      </c>
      <c r="P587">
        <v>0</v>
      </c>
      <c r="Q587">
        <v>0</v>
      </c>
      <c r="R587">
        <f>IF(S587,TRUE,AND(V587:AE587))</f>
        <v>0</v>
      </c>
      <c r="S587">
        <f>COUNTBLANK(Metadata!B587:K587)=COLUMNS(Metadata!B587:K587)</f>
        <v>0</v>
      </c>
      <c r="T587">
        <v>0</v>
      </c>
      <c r="V587">
        <f>AND(IF(Metadata!B587="",FALSE,TRUE),COUNTIF(Metadata!B:B, Metadata!B587) = 1,NOT(ISERROR(SUMPRODUCT(SEARCH(MID(Metadata!B587,ROW(INDIRECT("1:"&amp;LEN(Metadata!B587))), 1),"0123456789abcdefghijklmnopqrstuvwxyzABCDEFGHIJKLMNOPQRSTUVWXYZ.")))))</f>
        <v>0</v>
      </c>
      <c r="W587">
        <f>AND(IF(Metadata!C587="",FALSE,TRUE),exact(Metadata!C587,"urban biome"))</f>
        <v>0</v>
      </c>
      <c r="X587">
        <f>AND(IF(Metadata!D587="",FALSE,TRUE),exact(Metadata!D587,"animal-associated habitat"))</f>
        <v>0</v>
      </c>
      <c r="Y587">
        <f>OR(AND(IF(Metadata!E587="",FALSE,TRUE),OR(exact(Metadata!E587,"not applicable"),exact(Metadata!E587,"missing: not collected"),exact(Metadata!E587,"missing: not provided"),exact(Metadata!E587,"missing: restricted access"))),AND(IF(Metadata!E587="",FALSE,ISNUMBER(VALUE(Metadata!E587))),Metadata!E587&gt;0))</f>
        <v>0</v>
      </c>
      <c r="Z587">
        <f>AND(IF(Metadata!F587="",FALSE,TRUE),exact(Metadata!F587,"weeks"))</f>
        <v>0</v>
      </c>
      <c r="AA587">
        <f>AND(IF(Metadata!G587="",FALSE,TRUE),exact(Metadata!G587,"mouse"))</f>
        <v>0</v>
      </c>
      <c r="AB587">
        <f>AND(IF(Metadata!H587="",FALSE,TRUE),exact(Metadata!H587,"Mus musculus"))</f>
        <v>0</v>
      </c>
      <c r="AC587">
        <f>AND(IF(Metadata!I587="",FALSE,TRUE),exact(Metadata!I587,"10090"))</f>
        <v>0</v>
      </c>
      <c r="AD587">
        <f>OR(AND(IF(Metadata!J587="",FALSE,TRUE),OR(exact(Metadata!J587,"not applicable"),exact(Metadata!J587,"missing: not collected"),exact(Metadata!J587,"missing: not provided"),exact(Metadata!J587,"missing: restricted access"))),AND(IF(Metadata!J587="",FALSE,ISNUMBER(VALUE(Metadata!J587))),Metadata!J587&gt;0))</f>
        <v>0</v>
      </c>
      <c r="AE587">
        <f>AND(IF(Metadata!K587="",FALSE,TRUE),exact(Metadata!K587,"g"))</f>
        <v>0</v>
      </c>
    </row>
    <row r="588" spans="1:31">
      <c r="A588" s="5">
        <f>IF(B588=" "," ",HYPERLINK(CONCATENATE("#metadata!",ADDRESS(INDEX($Q$2:$Q$1001,MATCH(ROWS($O$2:O588),$O$2:$O$1001,0),0),1)),INDEX($T$2:$T$1001,MATCH(ROWS($O$2:O588),$O$2:$O$1001,0),0)))</f>
        <v>0</v>
      </c>
      <c r="B588" s="4">
        <f>IF(OR(INDEX($P$2:$P$1001,MATCH(ROWS($O$2:O588),$O$2:$O$1001,0),1)&gt;=100000,INDEX($V$1005:$AE$1005,1,MATCH(COLUMNS($V$1006:V1006),$V$1006:$AE$1006,0))&gt;=100000), " ",IF(INDEX($V$2:$AE$1001,MATCH(ROWS($O$2:O588),$O$2:$O$1001,0),MATCH(COLUMNS($V$1006:V1006),$V$1006:$AE$1006,0)), HYPERLINK("#",""), HYPERLINK(CONCATENATE("#Metadata!", ADDRESS(INDEX($Q$2:$Q$1001,MATCH(ROWS($O$2:O588),$O$2:$O$1001,0),0), INDEX($V$1004:$AE$1004,1,MATCH(COLUMNS($V$1006:V1006),$V$1006:$AE$1006,0)))),"Fix")))</f>
        <v>0</v>
      </c>
      <c r="C588" s="4">
        <f>IF(OR(INDEX($P$2:$P$1001,MATCH(ROWS($O$2:O588),$O$2:$O$1001,0),1)&gt;=100000,INDEX($V$1005:$AE$1005,1,MATCH(COLUMNS($V$1006:W1006),$V$1006:$AE$1006,0))&gt;=100000), " ",IF(INDEX($V$2:$AE$1001,MATCH(ROWS($O$2:O588),$O$2:$O$1001,0),MATCH(COLUMNS($V$1006:W1006),$V$1006:$AE$1006,0)), HYPERLINK("#",""), HYPERLINK(CONCATENATE("#Metadata!", ADDRESS(INDEX($Q$2:$Q$1001,MATCH(ROWS($O$2:O588),$O$2:$O$1001,0),0), INDEX($V$1004:$AE$1004,1,MATCH(COLUMNS($V$1006:W1006),$V$1006:$AE$1006,0)))),"Fix")))</f>
        <v>0</v>
      </c>
      <c r="D588" s="4">
        <f>IF(OR(INDEX($P$2:$P$1001,MATCH(ROWS($O$2:O588),$O$2:$O$1001,0),1)&gt;=100000,INDEX($V$1005:$AE$1005,1,MATCH(COLUMNS($V$1006:X1006),$V$1006:$AE$1006,0))&gt;=100000), " ",IF(INDEX($V$2:$AE$1001,MATCH(ROWS($O$2:O588),$O$2:$O$1001,0),MATCH(COLUMNS($V$1006:X1006),$V$1006:$AE$1006,0)), HYPERLINK("#",""), HYPERLINK(CONCATENATE("#Metadata!", ADDRESS(INDEX($Q$2:$Q$1001,MATCH(ROWS($O$2:O588),$O$2:$O$1001,0),0), INDEX($V$1004:$AE$1004,1,MATCH(COLUMNS($V$1006:X1006),$V$1006:$AE$1006,0)))),"Fix")))</f>
        <v>0</v>
      </c>
      <c r="E588" s="4">
        <f>IF(OR(INDEX($P$2:$P$1001,MATCH(ROWS($O$2:O588),$O$2:$O$1001,0),1)&gt;=100000,INDEX($V$1005:$AE$1005,1,MATCH(COLUMNS($V$1006:Y1006),$V$1006:$AE$1006,0))&gt;=100000), " ",IF(INDEX($V$2:$AE$1001,MATCH(ROWS($O$2:O588),$O$2:$O$1001,0),MATCH(COLUMNS($V$1006:Y1006),$V$1006:$AE$1006,0)), HYPERLINK("#",""), HYPERLINK(CONCATENATE("#Metadata!", ADDRESS(INDEX($Q$2:$Q$1001,MATCH(ROWS($O$2:O588),$O$2:$O$1001,0),0), INDEX($V$1004:$AE$1004,1,MATCH(COLUMNS($V$1006:Y1006),$V$1006:$AE$1006,0)))),"Fix")))</f>
        <v>0</v>
      </c>
      <c r="F588" s="4">
        <f>IF(OR(INDEX($P$2:$P$1001,MATCH(ROWS($O$2:O588),$O$2:$O$1001,0),1)&gt;=100000,INDEX($V$1005:$AE$1005,1,MATCH(COLUMNS($V$1006:Z1006),$V$1006:$AE$1006,0))&gt;=100000), " ",IF(INDEX($V$2:$AE$1001,MATCH(ROWS($O$2:O588),$O$2:$O$1001,0),MATCH(COLUMNS($V$1006:Z1006),$V$1006:$AE$1006,0)), HYPERLINK("#",""), HYPERLINK(CONCATENATE("#Metadata!", ADDRESS(INDEX($Q$2:$Q$1001,MATCH(ROWS($O$2:O588),$O$2:$O$1001,0),0), INDEX($V$1004:$AE$1004,1,MATCH(COLUMNS($V$1006:Z1006),$V$1006:$AE$1006,0)))),"Fix")))</f>
        <v>0</v>
      </c>
      <c r="G588" s="4">
        <f>IF(OR(INDEX($P$2:$P$1001,MATCH(ROWS($O$2:O588),$O$2:$O$1001,0),1)&gt;=100000,INDEX($V$1005:$AE$1005,1,MATCH(COLUMNS($V$1006:AA1006),$V$1006:$AE$1006,0))&gt;=100000), " ",IF(INDEX($V$2:$AE$1001,MATCH(ROWS($O$2:O588),$O$2:$O$1001,0),MATCH(COLUMNS($V$1006:AA1006),$V$1006:$AE$1006,0)), HYPERLINK("#",""), HYPERLINK(CONCATENATE("#Metadata!", ADDRESS(INDEX($Q$2:$Q$1001,MATCH(ROWS($O$2:O588),$O$2:$O$1001,0),0), INDEX($V$1004:$AE$1004,1,MATCH(COLUMNS($V$1006:AA1006),$V$1006:$AE$1006,0)))),"Fix")))</f>
        <v>0</v>
      </c>
      <c r="H588" s="4">
        <f>IF(OR(INDEX($P$2:$P$1001,MATCH(ROWS($O$2:O588),$O$2:$O$1001,0),1)&gt;=100000,INDEX($V$1005:$AE$1005,1,MATCH(COLUMNS($V$1006:AB1006),$V$1006:$AE$1006,0))&gt;=100000), " ",IF(INDEX($V$2:$AE$1001,MATCH(ROWS($O$2:O588),$O$2:$O$1001,0),MATCH(COLUMNS($V$1006:AB1006),$V$1006:$AE$1006,0)), HYPERLINK("#",""), HYPERLINK(CONCATENATE("#Metadata!", ADDRESS(INDEX($Q$2:$Q$1001,MATCH(ROWS($O$2:O588),$O$2:$O$1001,0),0), INDEX($V$1004:$AE$1004,1,MATCH(COLUMNS($V$1006:AB1006),$V$1006:$AE$1006,0)))),"Fix")))</f>
        <v>0</v>
      </c>
      <c r="I588" s="4">
        <f>IF(OR(INDEX($P$2:$P$1001,MATCH(ROWS($O$2:O588),$O$2:$O$1001,0),1)&gt;=100000,INDEX($V$1005:$AE$1005,1,MATCH(COLUMNS($V$1006:AC1006),$V$1006:$AE$1006,0))&gt;=100000), " ",IF(INDEX($V$2:$AE$1001,MATCH(ROWS($O$2:O588),$O$2:$O$1001,0),MATCH(COLUMNS($V$1006:AC1006),$V$1006:$AE$1006,0)), HYPERLINK("#",""), HYPERLINK(CONCATENATE("#Metadata!", ADDRESS(INDEX($Q$2:$Q$1001,MATCH(ROWS($O$2:O588),$O$2:$O$1001,0),0), INDEX($V$1004:$AE$1004,1,MATCH(COLUMNS($V$1006:AC1006),$V$1006:$AE$1006,0)))),"Fix")))</f>
        <v>0</v>
      </c>
      <c r="J588" s="4">
        <f>IF(OR(INDEX($P$2:$P$1001,MATCH(ROWS($O$2:O588),$O$2:$O$1001,0),1)&gt;=100000,INDEX($V$1005:$AE$1005,1,MATCH(COLUMNS($V$1006:AD1006),$V$1006:$AE$1006,0))&gt;=100000), " ",IF(INDEX($V$2:$AE$1001,MATCH(ROWS($O$2:O588),$O$2:$O$1001,0),MATCH(COLUMNS($V$1006:AD1006),$V$1006:$AE$1006,0)), HYPERLINK("#",""), HYPERLINK(CONCATENATE("#Metadata!", ADDRESS(INDEX($Q$2:$Q$1001,MATCH(ROWS($O$2:O588),$O$2:$O$1001,0),0), INDEX($V$1004:$AE$1004,1,MATCH(COLUMNS($V$1006:AD1006),$V$1006:$AE$1006,0)))),"Fix")))</f>
        <v>0</v>
      </c>
      <c r="K588" s="4">
        <f>IF(OR(INDEX($P$2:$P$1001,MATCH(ROWS($O$2:O588),$O$2:$O$1001,0),1)&gt;=100000,INDEX($V$1005:$AE$1005,1,MATCH(COLUMNS($V$1006:AE1006),$V$1006:$AE$1006,0))&gt;=100000), " ",IF(INDEX($V$2:$AE$1001,MATCH(ROWS($O$2:O588),$O$2:$O$1001,0),MATCH(COLUMNS($V$1006:AE1006),$V$1006:$AE$1006,0)), HYPERLINK("#",""), HYPERLINK(CONCATENATE("#Metadata!", ADDRESS(INDEX($Q$2:$Q$1001,MATCH(ROWS($O$2:O588),$O$2:$O$1001,0),0), INDEX($V$1004:$AE$1004,1,MATCH(COLUMNS($V$1006:AE1006),$V$1006:$AE$1006,0)))),"Fix")))</f>
        <v>0</v>
      </c>
      <c r="O588">
        <v>0</v>
      </c>
      <c r="P588">
        <v>0</v>
      </c>
      <c r="Q588">
        <v>0</v>
      </c>
      <c r="R588">
        <f>IF(S588,TRUE,AND(V588:AE588))</f>
        <v>0</v>
      </c>
      <c r="S588">
        <f>COUNTBLANK(Metadata!B588:K588)=COLUMNS(Metadata!B588:K588)</f>
        <v>0</v>
      </c>
      <c r="T588">
        <v>0</v>
      </c>
      <c r="V588">
        <f>AND(IF(Metadata!B588="",FALSE,TRUE),COUNTIF(Metadata!B:B, Metadata!B588) = 1,NOT(ISERROR(SUMPRODUCT(SEARCH(MID(Metadata!B588,ROW(INDIRECT("1:"&amp;LEN(Metadata!B588))), 1),"0123456789abcdefghijklmnopqrstuvwxyzABCDEFGHIJKLMNOPQRSTUVWXYZ.")))))</f>
        <v>0</v>
      </c>
      <c r="W588">
        <f>AND(IF(Metadata!C588="",FALSE,TRUE),exact(Metadata!C588,"urban biome"))</f>
        <v>0</v>
      </c>
      <c r="X588">
        <f>AND(IF(Metadata!D588="",FALSE,TRUE),exact(Metadata!D588,"animal-associated habitat"))</f>
        <v>0</v>
      </c>
      <c r="Y588">
        <f>OR(AND(IF(Metadata!E588="",FALSE,TRUE),OR(exact(Metadata!E588,"not applicable"),exact(Metadata!E588,"missing: not collected"),exact(Metadata!E588,"missing: not provided"),exact(Metadata!E588,"missing: restricted access"))),AND(IF(Metadata!E588="",FALSE,ISNUMBER(VALUE(Metadata!E588))),Metadata!E588&gt;0))</f>
        <v>0</v>
      </c>
      <c r="Z588">
        <f>AND(IF(Metadata!F588="",FALSE,TRUE),exact(Metadata!F588,"weeks"))</f>
        <v>0</v>
      </c>
      <c r="AA588">
        <f>AND(IF(Metadata!G588="",FALSE,TRUE),exact(Metadata!G588,"mouse"))</f>
        <v>0</v>
      </c>
      <c r="AB588">
        <f>AND(IF(Metadata!H588="",FALSE,TRUE),exact(Metadata!H588,"Mus musculus"))</f>
        <v>0</v>
      </c>
      <c r="AC588">
        <f>AND(IF(Metadata!I588="",FALSE,TRUE),exact(Metadata!I588,"10090"))</f>
        <v>0</v>
      </c>
      <c r="AD588">
        <f>OR(AND(IF(Metadata!J588="",FALSE,TRUE),OR(exact(Metadata!J588,"not applicable"),exact(Metadata!J588,"missing: not collected"),exact(Metadata!J588,"missing: not provided"),exact(Metadata!J588,"missing: restricted access"))),AND(IF(Metadata!J588="",FALSE,ISNUMBER(VALUE(Metadata!J588))),Metadata!J588&gt;0))</f>
        <v>0</v>
      </c>
      <c r="AE588">
        <f>AND(IF(Metadata!K588="",FALSE,TRUE),exact(Metadata!K588,"g"))</f>
        <v>0</v>
      </c>
    </row>
    <row r="589" spans="1:31">
      <c r="A589" s="5">
        <f>IF(B589=" "," ",HYPERLINK(CONCATENATE("#metadata!",ADDRESS(INDEX($Q$2:$Q$1001,MATCH(ROWS($O$2:O589),$O$2:$O$1001,0),0),1)),INDEX($T$2:$T$1001,MATCH(ROWS($O$2:O589),$O$2:$O$1001,0),0)))</f>
        <v>0</v>
      </c>
      <c r="B589" s="4">
        <f>IF(OR(INDEX($P$2:$P$1001,MATCH(ROWS($O$2:O589),$O$2:$O$1001,0),1)&gt;=100000,INDEX($V$1005:$AE$1005,1,MATCH(COLUMNS($V$1006:V1006),$V$1006:$AE$1006,0))&gt;=100000), " ",IF(INDEX($V$2:$AE$1001,MATCH(ROWS($O$2:O589),$O$2:$O$1001,0),MATCH(COLUMNS($V$1006:V1006),$V$1006:$AE$1006,0)), HYPERLINK("#",""), HYPERLINK(CONCATENATE("#Metadata!", ADDRESS(INDEX($Q$2:$Q$1001,MATCH(ROWS($O$2:O589),$O$2:$O$1001,0),0), INDEX($V$1004:$AE$1004,1,MATCH(COLUMNS($V$1006:V1006),$V$1006:$AE$1006,0)))),"Fix")))</f>
        <v>0</v>
      </c>
      <c r="C589" s="4">
        <f>IF(OR(INDEX($P$2:$P$1001,MATCH(ROWS($O$2:O589),$O$2:$O$1001,0),1)&gt;=100000,INDEX($V$1005:$AE$1005,1,MATCH(COLUMNS($V$1006:W1006),$V$1006:$AE$1006,0))&gt;=100000), " ",IF(INDEX($V$2:$AE$1001,MATCH(ROWS($O$2:O589),$O$2:$O$1001,0),MATCH(COLUMNS($V$1006:W1006),$V$1006:$AE$1006,0)), HYPERLINK("#",""), HYPERLINK(CONCATENATE("#Metadata!", ADDRESS(INDEX($Q$2:$Q$1001,MATCH(ROWS($O$2:O589),$O$2:$O$1001,0),0), INDEX($V$1004:$AE$1004,1,MATCH(COLUMNS($V$1006:W1006),$V$1006:$AE$1006,0)))),"Fix")))</f>
        <v>0</v>
      </c>
      <c r="D589" s="4">
        <f>IF(OR(INDEX($P$2:$P$1001,MATCH(ROWS($O$2:O589),$O$2:$O$1001,0),1)&gt;=100000,INDEX($V$1005:$AE$1005,1,MATCH(COLUMNS($V$1006:X1006),$V$1006:$AE$1006,0))&gt;=100000), " ",IF(INDEX($V$2:$AE$1001,MATCH(ROWS($O$2:O589),$O$2:$O$1001,0),MATCH(COLUMNS($V$1006:X1006),$V$1006:$AE$1006,0)), HYPERLINK("#",""), HYPERLINK(CONCATENATE("#Metadata!", ADDRESS(INDEX($Q$2:$Q$1001,MATCH(ROWS($O$2:O589),$O$2:$O$1001,0),0), INDEX($V$1004:$AE$1004,1,MATCH(COLUMNS($V$1006:X1006),$V$1006:$AE$1006,0)))),"Fix")))</f>
        <v>0</v>
      </c>
      <c r="E589" s="4">
        <f>IF(OR(INDEX($P$2:$P$1001,MATCH(ROWS($O$2:O589),$O$2:$O$1001,0),1)&gt;=100000,INDEX($V$1005:$AE$1005,1,MATCH(COLUMNS($V$1006:Y1006),$V$1006:$AE$1006,0))&gt;=100000), " ",IF(INDEX($V$2:$AE$1001,MATCH(ROWS($O$2:O589),$O$2:$O$1001,0),MATCH(COLUMNS($V$1006:Y1006),$V$1006:$AE$1006,0)), HYPERLINK("#",""), HYPERLINK(CONCATENATE("#Metadata!", ADDRESS(INDEX($Q$2:$Q$1001,MATCH(ROWS($O$2:O589),$O$2:$O$1001,0),0), INDEX($V$1004:$AE$1004,1,MATCH(COLUMNS($V$1006:Y1006),$V$1006:$AE$1006,0)))),"Fix")))</f>
        <v>0</v>
      </c>
      <c r="F589" s="4">
        <f>IF(OR(INDEX($P$2:$P$1001,MATCH(ROWS($O$2:O589),$O$2:$O$1001,0),1)&gt;=100000,INDEX($V$1005:$AE$1005,1,MATCH(COLUMNS($V$1006:Z1006),$V$1006:$AE$1006,0))&gt;=100000), " ",IF(INDEX($V$2:$AE$1001,MATCH(ROWS($O$2:O589),$O$2:$O$1001,0),MATCH(COLUMNS($V$1006:Z1006),$V$1006:$AE$1006,0)), HYPERLINK("#",""), HYPERLINK(CONCATENATE("#Metadata!", ADDRESS(INDEX($Q$2:$Q$1001,MATCH(ROWS($O$2:O589),$O$2:$O$1001,0),0), INDEX($V$1004:$AE$1004,1,MATCH(COLUMNS($V$1006:Z1006),$V$1006:$AE$1006,0)))),"Fix")))</f>
        <v>0</v>
      </c>
      <c r="G589" s="4">
        <f>IF(OR(INDEX($P$2:$P$1001,MATCH(ROWS($O$2:O589),$O$2:$O$1001,0),1)&gt;=100000,INDEX($V$1005:$AE$1005,1,MATCH(COLUMNS($V$1006:AA1006),$V$1006:$AE$1006,0))&gt;=100000), " ",IF(INDEX($V$2:$AE$1001,MATCH(ROWS($O$2:O589),$O$2:$O$1001,0),MATCH(COLUMNS($V$1006:AA1006),$V$1006:$AE$1006,0)), HYPERLINK("#",""), HYPERLINK(CONCATENATE("#Metadata!", ADDRESS(INDEX($Q$2:$Q$1001,MATCH(ROWS($O$2:O589),$O$2:$O$1001,0),0), INDEX($V$1004:$AE$1004,1,MATCH(COLUMNS($V$1006:AA1006),$V$1006:$AE$1006,0)))),"Fix")))</f>
        <v>0</v>
      </c>
      <c r="H589" s="4">
        <f>IF(OR(INDEX($P$2:$P$1001,MATCH(ROWS($O$2:O589),$O$2:$O$1001,0),1)&gt;=100000,INDEX($V$1005:$AE$1005,1,MATCH(COLUMNS($V$1006:AB1006),$V$1006:$AE$1006,0))&gt;=100000), " ",IF(INDEX($V$2:$AE$1001,MATCH(ROWS($O$2:O589),$O$2:$O$1001,0),MATCH(COLUMNS($V$1006:AB1006),$V$1006:$AE$1006,0)), HYPERLINK("#",""), HYPERLINK(CONCATENATE("#Metadata!", ADDRESS(INDEX($Q$2:$Q$1001,MATCH(ROWS($O$2:O589),$O$2:$O$1001,0),0), INDEX($V$1004:$AE$1004,1,MATCH(COLUMNS($V$1006:AB1006),$V$1006:$AE$1006,0)))),"Fix")))</f>
        <v>0</v>
      </c>
      <c r="I589" s="4">
        <f>IF(OR(INDEX($P$2:$P$1001,MATCH(ROWS($O$2:O589),$O$2:$O$1001,0),1)&gt;=100000,INDEX($V$1005:$AE$1005,1,MATCH(COLUMNS($V$1006:AC1006),$V$1006:$AE$1006,0))&gt;=100000), " ",IF(INDEX($V$2:$AE$1001,MATCH(ROWS($O$2:O589),$O$2:$O$1001,0),MATCH(COLUMNS($V$1006:AC1006),$V$1006:$AE$1006,0)), HYPERLINK("#",""), HYPERLINK(CONCATENATE("#Metadata!", ADDRESS(INDEX($Q$2:$Q$1001,MATCH(ROWS($O$2:O589),$O$2:$O$1001,0),0), INDEX($V$1004:$AE$1004,1,MATCH(COLUMNS($V$1006:AC1006),$V$1006:$AE$1006,0)))),"Fix")))</f>
        <v>0</v>
      </c>
      <c r="J589" s="4">
        <f>IF(OR(INDEX($P$2:$P$1001,MATCH(ROWS($O$2:O589),$O$2:$O$1001,0),1)&gt;=100000,INDEX($V$1005:$AE$1005,1,MATCH(COLUMNS($V$1006:AD1006),$V$1006:$AE$1006,0))&gt;=100000), " ",IF(INDEX($V$2:$AE$1001,MATCH(ROWS($O$2:O589),$O$2:$O$1001,0),MATCH(COLUMNS($V$1006:AD1006),$V$1006:$AE$1006,0)), HYPERLINK("#",""), HYPERLINK(CONCATENATE("#Metadata!", ADDRESS(INDEX($Q$2:$Q$1001,MATCH(ROWS($O$2:O589),$O$2:$O$1001,0),0), INDEX($V$1004:$AE$1004,1,MATCH(COLUMNS($V$1006:AD1006),$V$1006:$AE$1006,0)))),"Fix")))</f>
        <v>0</v>
      </c>
      <c r="K589" s="4">
        <f>IF(OR(INDEX($P$2:$P$1001,MATCH(ROWS($O$2:O589),$O$2:$O$1001,0),1)&gt;=100000,INDEX($V$1005:$AE$1005,1,MATCH(COLUMNS($V$1006:AE1006),$V$1006:$AE$1006,0))&gt;=100000), " ",IF(INDEX($V$2:$AE$1001,MATCH(ROWS($O$2:O589),$O$2:$O$1001,0),MATCH(COLUMNS($V$1006:AE1006),$V$1006:$AE$1006,0)), HYPERLINK("#",""), HYPERLINK(CONCATENATE("#Metadata!", ADDRESS(INDEX($Q$2:$Q$1001,MATCH(ROWS($O$2:O589),$O$2:$O$1001,0),0), INDEX($V$1004:$AE$1004,1,MATCH(COLUMNS($V$1006:AE1006),$V$1006:$AE$1006,0)))),"Fix")))</f>
        <v>0</v>
      </c>
      <c r="O589">
        <v>0</v>
      </c>
      <c r="P589">
        <v>0</v>
      </c>
      <c r="Q589">
        <v>0</v>
      </c>
      <c r="R589">
        <f>IF(S589,TRUE,AND(V589:AE589))</f>
        <v>0</v>
      </c>
      <c r="S589">
        <f>COUNTBLANK(Metadata!B589:K589)=COLUMNS(Metadata!B589:K589)</f>
        <v>0</v>
      </c>
      <c r="T589">
        <v>0</v>
      </c>
      <c r="V589">
        <f>AND(IF(Metadata!B589="",FALSE,TRUE),COUNTIF(Metadata!B:B, Metadata!B589) = 1,NOT(ISERROR(SUMPRODUCT(SEARCH(MID(Metadata!B589,ROW(INDIRECT("1:"&amp;LEN(Metadata!B589))), 1),"0123456789abcdefghijklmnopqrstuvwxyzABCDEFGHIJKLMNOPQRSTUVWXYZ.")))))</f>
        <v>0</v>
      </c>
      <c r="W589">
        <f>AND(IF(Metadata!C589="",FALSE,TRUE),exact(Metadata!C589,"urban biome"))</f>
        <v>0</v>
      </c>
      <c r="X589">
        <f>AND(IF(Metadata!D589="",FALSE,TRUE),exact(Metadata!D589,"animal-associated habitat"))</f>
        <v>0</v>
      </c>
      <c r="Y589">
        <f>OR(AND(IF(Metadata!E589="",FALSE,TRUE),OR(exact(Metadata!E589,"not applicable"),exact(Metadata!E589,"missing: not collected"),exact(Metadata!E589,"missing: not provided"),exact(Metadata!E589,"missing: restricted access"))),AND(IF(Metadata!E589="",FALSE,ISNUMBER(VALUE(Metadata!E589))),Metadata!E589&gt;0))</f>
        <v>0</v>
      </c>
      <c r="Z589">
        <f>AND(IF(Metadata!F589="",FALSE,TRUE),exact(Metadata!F589,"weeks"))</f>
        <v>0</v>
      </c>
      <c r="AA589">
        <f>AND(IF(Metadata!G589="",FALSE,TRUE),exact(Metadata!G589,"mouse"))</f>
        <v>0</v>
      </c>
      <c r="AB589">
        <f>AND(IF(Metadata!H589="",FALSE,TRUE),exact(Metadata!H589,"Mus musculus"))</f>
        <v>0</v>
      </c>
      <c r="AC589">
        <f>AND(IF(Metadata!I589="",FALSE,TRUE),exact(Metadata!I589,"10090"))</f>
        <v>0</v>
      </c>
      <c r="AD589">
        <f>OR(AND(IF(Metadata!J589="",FALSE,TRUE),OR(exact(Metadata!J589,"not applicable"),exact(Metadata!J589,"missing: not collected"),exact(Metadata!J589,"missing: not provided"),exact(Metadata!J589,"missing: restricted access"))),AND(IF(Metadata!J589="",FALSE,ISNUMBER(VALUE(Metadata!J589))),Metadata!J589&gt;0))</f>
        <v>0</v>
      </c>
      <c r="AE589">
        <f>AND(IF(Metadata!K589="",FALSE,TRUE),exact(Metadata!K589,"g"))</f>
        <v>0</v>
      </c>
    </row>
    <row r="590" spans="1:31">
      <c r="A590" s="5">
        <f>IF(B590=" "," ",HYPERLINK(CONCATENATE("#metadata!",ADDRESS(INDEX($Q$2:$Q$1001,MATCH(ROWS($O$2:O590),$O$2:$O$1001,0),0),1)),INDEX($T$2:$T$1001,MATCH(ROWS($O$2:O590),$O$2:$O$1001,0),0)))</f>
        <v>0</v>
      </c>
      <c r="B590" s="4">
        <f>IF(OR(INDEX($P$2:$P$1001,MATCH(ROWS($O$2:O590),$O$2:$O$1001,0),1)&gt;=100000,INDEX($V$1005:$AE$1005,1,MATCH(COLUMNS($V$1006:V1006),$V$1006:$AE$1006,0))&gt;=100000), " ",IF(INDEX($V$2:$AE$1001,MATCH(ROWS($O$2:O590),$O$2:$O$1001,0),MATCH(COLUMNS($V$1006:V1006),$V$1006:$AE$1006,0)), HYPERLINK("#",""), HYPERLINK(CONCATENATE("#Metadata!", ADDRESS(INDEX($Q$2:$Q$1001,MATCH(ROWS($O$2:O590),$O$2:$O$1001,0),0), INDEX($V$1004:$AE$1004,1,MATCH(COLUMNS($V$1006:V1006),$V$1006:$AE$1006,0)))),"Fix")))</f>
        <v>0</v>
      </c>
      <c r="C590" s="4">
        <f>IF(OR(INDEX($P$2:$P$1001,MATCH(ROWS($O$2:O590),$O$2:$O$1001,0),1)&gt;=100000,INDEX($V$1005:$AE$1005,1,MATCH(COLUMNS($V$1006:W1006),$V$1006:$AE$1006,0))&gt;=100000), " ",IF(INDEX($V$2:$AE$1001,MATCH(ROWS($O$2:O590),$O$2:$O$1001,0),MATCH(COLUMNS($V$1006:W1006),$V$1006:$AE$1006,0)), HYPERLINK("#",""), HYPERLINK(CONCATENATE("#Metadata!", ADDRESS(INDEX($Q$2:$Q$1001,MATCH(ROWS($O$2:O590),$O$2:$O$1001,0),0), INDEX($V$1004:$AE$1004,1,MATCH(COLUMNS($V$1006:W1006),$V$1006:$AE$1006,0)))),"Fix")))</f>
        <v>0</v>
      </c>
      <c r="D590" s="4">
        <f>IF(OR(INDEX($P$2:$P$1001,MATCH(ROWS($O$2:O590),$O$2:$O$1001,0),1)&gt;=100000,INDEX($V$1005:$AE$1005,1,MATCH(COLUMNS($V$1006:X1006),$V$1006:$AE$1006,0))&gt;=100000), " ",IF(INDEX($V$2:$AE$1001,MATCH(ROWS($O$2:O590),$O$2:$O$1001,0),MATCH(COLUMNS($V$1006:X1006),$V$1006:$AE$1006,0)), HYPERLINK("#",""), HYPERLINK(CONCATENATE("#Metadata!", ADDRESS(INDEX($Q$2:$Q$1001,MATCH(ROWS($O$2:O590),$O$2:$O$1001,0),0), INDEX($V$1004:$AE$1004,1,MATCH(COLUMNS($V$1006:X1006),$V$1006:$AE$1006,0)))),"Fix")))</f>
        <v>0</v>
      </c>
      <c r="E590" s="4">
        <f>IF(OR(INDEX($P$2:$P$1001,MATCH(ROWS($O$2:O590),$O$2:$O$1001,0),1)&gt;=100000,INDEX($V$1005:$AE$1005,1,MATCH(COLUMNS($V$1006:Y1006),$V$1006:$AE$1006,0))&gt;=100000), " ",IF(INDEX($V$2:$AE$1001,MATCH(ROWS($O$2:O590),$O$2:$O$1001,0),MATCH(COLUMNS($V$1006:Y1006),$V$1006:$AE$1006,0)), HYPERLINK("#",""), HYPERLINK(CONCATENATE("#Metadata!", ADDRESS(INDEX($Q$2:$Q$1001,MATCH(ROWS($O$2:O590),$O$2:$O$1001,0),0), INDEX($V$1004:$AE$1004,1,MATCH(COLUMNS($V$1006:Y1006),$V$1006:$AE$1006,0)))),"Fix")))</f>
        <v>0</v>
      </c>
      <c r="F590" s="4">
        <f>IF(OR(INDEX($P$2:$P$1001,MATCH(ROWS($O$2:O590),$O$2:$O$1001,0),1)&gt;=100000,INDEX($V$1005:$AE$1005,1,MATCH(COLUMNS($V$1006:Z1006),$V$1006:$AE$1006,0))&gt;=100000), " ",IF(INDEX($V$2:$AE$1001,MATCH(ROWS($O$2:O590),$O$2:$O$1001,0),MATCH(COLUMNS($V$1006:Z1006),$V$1006:$AE$1006,0)), HYPERLINK("#",""), HYPERLINK(CONCATENATE("#Metadata!", ADDRESS(INDEX($Q$2:$Q$1001,MATCH(ROWS($O$2:O590),$O$2:$O$1001,0),0), INDEX($V$1004:$AE$1004,1,MATCH(COLUMNS($V$1006:Z1006),$V$1006:$AE$1006,0)))),"Fix")))</f>
        <v>0</v>
      </c>
      <c r="G590" s="4">
        <f>IF(OR(INDEX($P$2:$P$1001,MATCH(ROWS($O$2:O590),$O$2:$O$1001,0),1)&gt;=100000,INDEX($V$1005:$AE$1005,1,MATCH(COLUMNS($V$1006:AA1006),$V$1006:$AE$1006,0))&gt;=100000), " ",IF(INDEX($V$2:$AE$1001,MATCH(ROWS($O$2:O590),$O$2:$O$1001,0),MATCH(COLUMNS($V$1006:AA1006),$V$1006:$AE$1006,0)), HYPERLINK("#",""), HYPERLINK(CONCATENATE("#Metadata!", ADDRESS(INDEX($Q$2:$Q$1001,MATCH(ROWS($O$2:O590),$O$2:$O$1001,0),0), INDEX($V$1004:$AE$1004,1,MATCH(COLUMNS($V$1006:AA1006),$V$1006:$AE$1006,0)))),"Fix")))</f>
        <v>0</v>
      </c>
      <c r="H590" s="4">
        <f>IF(OR(INDEX($P$2:$P$1001,MATCH(ROWS($O$2:O590),$O$2:$O$1001,0),1)&gt;=100000,INDEX($V$1005:$AE$1005,1,MATCH(COLUMNS($V$1006:AB1006),$V$1006:$AE$1006,0))&gt;=100000), " ",IF(INDEX($V$2:$AE$1001,MATCH(ROWS($O$2:O590),$O$2:$O$1001,0),MATCH(COLUMNS($V$1006:AB1006),$V$1006:$AE$1006,0)), HYPERLINK("#",""), HYPERLINK(CONCATENATE("#Metadata!", ADDRESS(INDEX($Q$2:$Q$1001,MATCH(ROWS($O$2:O590),$O$2:$O$1001,0),0), INDEX($V$1004:$AE$1004,1,MATCH(COLUMNS($V$1006:AB1006),$V$1006:$AE$1006,0)))),"Fix")))</f>
        <v>0</v>
      </c>
      <c r="I590" s="4">
        <f>IF(OR(INDEX($P$2:$P$1001,MATCH(ROWS($O$2:O590),$O$2:$O$1001,0),1)&gt;=100000,INDEX($V$1005:$AE$1005,1,MATCH(COLUMNS($V$1006:AC1006),$V$1006:$AE$1006,0))&gt;=100000), " ",IF(INDEX($V$2:$AE$1001,MATCH(ROWS($O$2:O590),$O$2:$O$1001,0),MATCH(COLUMNS($V$1006:AC1006),$V$1006:$AE$1006,0)), HYPERLINK("#",""), HYPERLINK(CONCATENATE("#Metadata!", ADDRESS(INDEX($Q$2:$Q$1001,MATCH(ROWS($O$2:O590),$O$2:$O$1001,0),0), INDEX($V$1004:$AE$1004,1,MATCH(COLUMNS($V$1006:AC1006),$V$1006:$AE$1006,0)))),"Fix")))</f>
        <v>0</v>
      </c>
      <c r="J590" s="4">
        <f>IF(OR(INDEX($P$2:$P$1001,MATCH(ROWS($O$2:O590),$O$2:$O$1001,0),1)&gt;=100000,INDEX($V$1005:$AE$1005,1,MATCH(COLUMNS($V$1006:AD1006),$V$1006:$AE$1006,0))&gt;=100000), " ",IF(INDEX($V$2:$AE$1001,MATCH(ROWS($O$2:O590),$O$2:$O$1001,0),MATCH(COLUMNS($V$1006:AD1006),$V$1006:$AE$1006,0)), HYPERLINK("#",""), HYPERLINK(CONCATENATE("#Metadata!", ADDRESS(INDEX($Q$2:$Q$1001,MATCH(ROWS($O$2:O590),$O$2:$O$1001,0),0), INDEX($V$1004:$AE$1004,1,MATCH(COLUMNS($V$1006:AD1006),$V$1006:$AE$1006,0)))),"Fix")))</f>
        <v>0</v>
      </c>
      <c r="K590" s="4">
        <f>IF(OR(INDEX($P$2:$P$1001,MATCH(ROWS($O$2:O590),$O$2:$O$1001,0),1)&gt;=100000,INDEX($V$1005:$AE$1005,1,MATCH(COLUMNS($V$1006:AE1006),$V$1006:$AE$1006,0))&gt;=100000), " ",IF(INDEX($V$2:$AE$1001,MATCH(ROWS($O$2:O590),$O$2:$O$1001,0),MATCH(COLUMNS($V$1006:AE1006),$V$1006:$AE$1006,0)), HYPERLINK("#",""), HYPERLINK(CONCATENATE("#Metadata!", ADDRESS(INDEX($Q$2:$Q$1001,MATCH(ROWS($O$2:O590),$O$2:$O$1001,0),0), INDEX($V$1004:$AE$1004,1,MATCH(COLUMNS($V$1006:AE1006),$V$1006:$AE$1006,0)))),"Fix")))</f>
        <v>0</v>
      </c>
      <c r="O590">
        <v>0</v>
      </c>
      <c r="P590">
        <v>0</v>
      </c>
      <c r="Q590">
        <v>0</v>
      </c>
      <c r="R590">
        <f>IF(S590,TRUE,AND(V590:AE590))</f>
        <v>0</v>
      </c>
      <c r="S590">
        <f>COUNTBLANK(Metadata!B590:K590)=COLUMNS(Metadata!B590:K590)</f>
        <v>0</v>
      </c>
      <c r="T590">
        <v>0</v>
      </c>
      <c r="V590">
        <f>AND(IF(Metadata!B590="",FALSE,TRUE),COUNTIF(Metadata!B:B, Metadata!B590) = 1,NOT(ISERROR(SUMPRODUCT(SEARCH(MID(Metadata!B590,ROW(INDIRECT("1:"&amp;LEN(Metadata!B590))), 1),"0123456789abcdefghijklmnopqrstuvwxyzABCDEFGHIJKLMNOPQRSTUVWXYZ.")))))</f>
        <v>0</v>
      </c>
      <c r="W590">
        <f>AND(IF(Metadata!C590="",FALSE,TRUE),exact(Metadata!C590,"urban biome"))</f>
        <v>0</v>
      </c>
      <c r="X590">
        <f>AND(IF(Metadata!D590="",FALSE,TRUE),exact(Metadata!D590,"animal-associated habitat"))</f>
        <v>0</v>
      </c>
      <c r="Y590">
        <f>OR(AND(IF(Metadata!E590="",FALSE,TRUE),OR(exact(Metadata!E590,"not applicable"),exact(Metadata!E590,"missing: not collected"),exact(Metadata!E590,"missing: not provided"),exact(Metadata!E590,"missing: restricted access"))),AND(IF(Metadata!E590="",FALSE,ISNUMBER(VALUE(Metadata!E590))),Metadata!E590&gt;0))</f>
        <v>0</v>
      </c>
      <c r="Z590">
        <f>AND(IF(Metadata!F590="",FALSE,TRUE),exact(Metadata!F590,"weeks"))</f>
        <v>0</v>
      </c>
      <c r="AA590">
        <f>AND(IF(Metadata!G590="",FALSE,TRUE),exact(Metadata!G590,"mouse"))</f>
        <v>0</v>
      </c>
      <c r="AB590">
        <f>AND(IF(Metadata!H590="",FALSE,TRUE),exact(Metadata!H590,"Mus musculus"))</f>
        <v>0</v>
      </c>
      <c r="AC590">
        <f>AND(IF(Metadata!I590="",FALSE,TRUE),exact(Metadata!I590,"10090"))</f>
        <v>0</v>
      </c>
      <c r="AD590">
        <f>OR(AND(IF(Metadata!J590="",FALSE,TRUE),OR(exact(Metadata!J590,"not applicable"),exact(Metadata!J590,"missing: not collected"),exact(Metadata!J590,"missing: not provided"),exact(Metadata!J590,"missing: restricted access"))),AND(IF(Metadata!J590="",FALSE,ISNUMBER(VALUE(Metadata!J590))),Metadata!J590&gt;0))</f>
        <v>0</v>
      </c>
      <c r="AE590">
        <f>AND(IF(Metadata!K590="",FALSE,TRUE),exact(Metadata!K590,"g"))</f>
        <v>0</v>
      </c>
    </row>
    <row r="591" spans="1:31">
      <c r="A591" s="5">
        <f>IF(B591=" "," ",HYPERLINK(CONCATENATE("#metadata!",ADDRESS(INDEX($Q$2:$Q$1001,MATCH(ROWS($O$2:O591),$O$2:$O$1001,0),0),1)),INDEX($T$2:$T$1001,MATCH(ROWS($O$2:O591),$O$2:$O$1001,0),0)))</f>
        <v>0</v>
      </c>
      <c r="B591" s="4">
        <f>IF(OR(INDEX($P$2:$P$1001,MATCH(ROWS($O$2:O591),$O$2:$O$1001,0),1)&gt;=100000,INDEX($V$1005:$AE$1005,1,MATCH(COLUMNS($V$1006:V1006),$V$1006:$AE$1006,0))&gt;=100000), " ",IF(INDEX($V$2:$AE$1001,MATCH(ROWS($O$2:O591),$O$2:$O$1001,0),MATCH(COLUMNS($V$1006:V1006),$V$1006:$AE$1006,0)), HYPERLINK("#",""), HYPERLINK(CONCATENATE("#Metadata!", ADDRESS(INDEX($Q$2:$Q$1001,MATCH(ROWS($O$2:O591),$O$2:$O$1001,0),0), INDEX($V$1004:$AE$1004,1,MATCH(COLUMNS($V$1006:V1006),$V$1006:$AE$1006,0)))),"Fix")))</f>
        <v>0</v>
      </c>
      <c r="C591" s="4">
        <f>IF(OR(INDEX($P$2:$P$1001,MATCH(ROWS($O$2:O591),$O$2:$O$1001,0),1)&gt;=100000,INDEX($V$1005:$AE$1005,1,MATCH(COLUMNS($V$1006:W1006),$V$1006:$AE$1006,0))&gt;=100000), " ",IF(INDEX($V$2:$AE$1001,MATCH(ROWS($O$2:O591),$O$2:$O$1001,0),MATCH(COLUMNS($V$1006:W1006),$V$1006:$AE$1006,0)), HYPERLINK("#",""), HYPERLINK(CONCATENATE("#Metadata!", ADDRESS(INDEX($Q$2:$Q$1001,MATCH(ROWS($O$2:O591),$O$2:$O$1001,0),0), INDEX($V$1004:$AE$1004,1,MATCH(COLUMNS($V$1006:W1006),$V$1006:$AE$1006,0)))),"Fix")))</f>
        <v>0</v>
      </c>
      <c r="D591" s="4">
        <f>IF(OR(INDEX($P$2:$P$1001,MATCH(ROWS($O$2:O591),$O$2:$O$1001,0),1)&gt;=100000,INDEX($V$1005:$AE$1005,1,MATCH(COLUMNS($V$1006:X1006),$V$1006:$AE$1006,0))&gt;=100000), " ",IF(INDEX($V$2:$AE$1001,MATCH(ROWS($O$2:O591),$O$2:$O$1001,0),MATCH(COLUMNS($V$1006:X1006),$V$1006:$AE$1006,0)), HYPERLINK("#",""), HYPERLINK(CONCATENATE("#Metadata!", ADDRESS(INDEX($Q$2:$Q$1001,MATCH(ROWS($O$2:O591),$O$2:$O$1001,0),0), INDEX($V$1004:$AE$1004,1,MATCH(COLUMNS($V$1006:X1006),$V$1006:$AE$1006,0)))),"Fix")))</f>
        <v>0</v>
      </c>
      <c r="E591" s="4">
        <f>IF(OR(INDEX($P$2:$P$1001,MATCH(ROWS($O$2:O591),$O$2:$O$1001,0),1)&gt;=100000,INDEX($V$1005:$AE$1005,1,MATCH(COLUMNS($V$1006:Y1006),$V$1006:$AE$1006,0))&gt;=100000), " ",IF(INDEX($V$2:$AE$1001,MATCH(ROWS($O$2:O591),$O$2:$O$1001,0),MATCH(COLUMNS($V$1006:Y1006),$V$1006:$AE$1006,0)), HYPERLINK("#",""), HYPERLINK(CONCATENATE("#Metadata!", ADDRESS(INDEX($Q$2:$Q$1001,MATCH(ROWS($O$2:O591),$O$2:$O$1001,0),0), INDEX($V$1004:$AE$1004,1,MATCH(COLUMNS($V$1006:Y1006),$V$1006:$AE$1006,0)))),"Fix")))</f>
        <v>0</v>
      </c>
      <c r="F591" s="4">
        <f>IF(OR(INDEX($P$2:$P$1001,MATCH(ROWS($O$2:O591),$O$2:$O$1001,0),1)&gt;=100000,INDEX($V$1005:$AE$1005,1,MATCH(COLUMNS($V$1006:Z1006),$V$1006:$AE$1006,0))&gt;=100000), " ",IF(INDEX($V$2:$AE$1001,MATCH(ROWS($O$2:O591),$O$2:$O$1001,0),MATCH(COLUMNS($V$1006:Z1006),$V$1006:$AE$1006,0)), HYPERLINK("#",""), HYPERLINK(CONCATENATE("#Metadata!", ADDRESS(INDEX($Q$2:$Q$1001,MATCH(ROWS($O$2:O591),$O$2:$O$1001,0),0), INDEX($V$1004:$AE$1004,1,MATCH(COLUMNS($V$1006:Z1006),$V$1006:$AE$1006,0)))),"Fix")))</f>
        <v>0</v>
      </c>
      <c r="G591" s="4">
        <f>IF(OR(INDEX($P$2:$P$1001,MATCH(ROWS($O$2:O591),$O$2:$O$1001,0),1)&gt;=100000,INDEX($V$1005:$AE$1005,1,MATCH(COLUMNS($V$1006:AA1006),$V$1006:$AE$1006,0))&gt;=100000), " ",IF(INDEX($V$2:$AE$1001,MATCH(ROWS($O$2:O591),$O$2:$O$1001,0),MATCH(COLUMNS($V$1006:AA1006),$V$1006:$AE$1006,0)), HYPERLINK("#",""), HYPERLINK(CONCATENATE("#Metadata!", ADDRESS(INDEX($Q$2:$Q$1001,MATCH(ROWS($O$2:O591),$O$2:$O$1001,0),0), INDEX($V$1004:$AE$1004,1,MATCH(COLUMNS($V$1006:AA1006),$V$1006:$AE$1006,0)))),"Fix")))</f>
        <v>0</v>
      </c>
      <c r="H591" s="4">
        <f>IF(OR(INDEX($P$2:$P$1001,MATCH(ROWS($O$2:O591),$O$2:$O$1001,0),1)&gt;=100000,INDEX($V$1005:$AE$1005,1,MATCH(COLUMNS($V$1006:AB1006),$V$1006:$AE$1006,0))&gt;=100000), " ",IF(INDEX($V$2:$AE$1001,MATCH(ROWS($O$2:O591),$O$2:$O$1001,0),MATCH(COLUMNS($V$1006:AB1006),$V$1006:$AE$1006,0)), HYPERLINK("#",""), HYPERLINK(CONCATENATE("#Metadata!", ADDRESS(INDEX($Q$2:$Q$1001,MATCH(ROWS($O$2:O591),$O$2:$O$1001,0),0), INDEX($V$1004:$AE$1004,1,MATCH(COLUMNS($V$1006:AB1006),$V$1006:$AE$1006,0)))),"Fix")))</f>
        <v>0</v>
      </c>
      <c r="I591" s="4">
        <f>IF(OR(INDEX($P$2:$P$1001,MATCH(ROWS($O$2:O591),$O$2:$O$1001,0),1)&gt;=100000,INDEX($V$1005:$AE$1005,1,MATCH(COLUMNS($V$1006:AC1006),$V$1006:$AE$1006,0))&gt;=100000), " ",IF(INDEX($V$2:$AE$1001,MATCH(ROWS($O$2:O591),$O$2:$O$1001,0),MATCH(COLUMNS($V$1006:AC1006),$V$1006:$AE$1006,0)), HYPERLINK("#",""), HYPERLINK(CONCATENATE("#Metadata!", ADDRESS(INDEX($Q$2:$Q$1001,MATCH(ROWS($O$2:O591),$O$2:$O$1001,0),0), INDEX($V$1004:$AE$1004,1,MATCH(COLUMNS($V$1006:AC1006),$V$1006:$AE$1006,0)))),"Fix")))</f>
        <v>0</v>
      </c>
      <c r="J591" s="4">
        <f>IF(OR(INDEX($P$2:$P$1001,MATCH(ROWS($O$2:O591),$O$2:$O$1001,0),1)&gt;=100000,INDEX($V$1005:$AE$1005,1,MATCH(COLUMNS($V$1006:AD1006),$V$1006:$AE$1006,0))&gt;=100000), " ",IF(INDEX($V$2:$AE$1001,MATCH(ROWS($O$2:O591),$O$2:$O$1001,0),MATCH(COLUMNS($V$1006:AD1006),$V$1006:$AE$1006,0)), HYPERLINK("#",""), HYPERLINK(CONCATENATE("#Metadata!", ADDRESS(INDEX($Q$2:$Q$1001,MATCH(ROWS($O$2:O591),$O$2:$O$1001,0),0), INDEX($V$1004:$AE$1004,1,MATCH(COLUMNS($V$1006:AD1006),$V$1006:$AE$1006,0)))),"Fix")))</f>
        <v>0</v>
      </c>
      <c r="K591" s="4">
        <f>IF(OR(INDEX($P$2:$P$1001,MATCH(ROWS($O$2:O591),$O$2:$O$1001,0),1)&gt;=100000,INDEX($V$1005:$AE$1005,1,MATCH(COLUMNS($V$1006:AE1006),$V$1006:$AE$1006,0))&gt;=100000), " ",IF(INDEX($V$2:$AE$1001,MATCH(ROWS($O$2:O591),$O$2:$O$1001,0),MATCH(COLUMNS($V$1006:AE1006),$V$1006:$AE$1006,0)), HYPERLINK("#",""), HYPERLINK(CONCATENATE("#Metadata!", ADDRESS(INDEX($Q$2:$Q$1001,MATCH(ROWS($O$2:O591),$O$2:$O$1001,0),0), INDEX($V$1004:$AE$1004,1,MATCH(COLUMNS($V$1006:AE1006),$V$1006:$AE$1006,0)))),"Fix")))</f>
        <v>0</v>
      </c>
      <c r="O591">
        <v>0</v>
      </c>
      <c r="P591">
        <v>0</v>
      </c>
      <c r="Q591">
        <v>0</v>
      </c>
      <c r="R591">
        <f>IF(S591,TRUE,AND(V591:AE591))</f>
        <v>0</v>
      </c>
      <c r="S591">
        <f>COUNTBLANK(Metadata!B591:K591)=COLUMNS(Metadata!B591:K591)</f>
        <v>0</v>
      </c>
      <c r="T591">
        <v>0</v>
      </c>
      <c r="V591">
        <f>AND(IF(Metadata!B591="",FALSE,TRUE),COUNTIF(Metadata!B:B, Metadata!B591) = 1,NOT(ISERROR(SUMPRODUCT(SEARCH(MID(Metadata!B591,ROW(INDIRECT("1:"&amp;LEN(Metadata!B591))), 1),"0123456789abcdefghijklmnopqrstuvwxyzABCDEFGHIJKLMNOPQRSTUVWXYZ.")))))</f>
        <v>0</v>
      </c>
      <c r="W591">
        <f>AND(IF(Metadata!C591="",FALSE,TRUE),exact(Metadata!C591,"urban biome"))</f>
        <v>0</v>
      </c>
      <c r="X591">
        <f>AND(IF(Metadata!D591="",FALSE,TRUE),exact(Metadata!D591,"animal-associated habitat"))</f>
        <v>0</v>
      </c>
      <c r="Y591">
        <f>OR(AND(IF(Metadata!E591="",FALSE,TRUE),OR(exact(Metadata!E591,"not applicable"),exact(Metadata!E591,"missing: not collected"),exact(Metadata!E591,"missing: not provided"),exact(Metadata!E591,"missing: restricted access"))),AND(IF(Metadata!E591="",FALSE,ISNUMBER(VALUE(Metadata!E591))),Metadata!E591&gt;0))</f>
        <v>0</v>
      </c>
      <c r="Z591">
        <f>AND(IF(Metadata!F591="",FALSE,TRUE),exact(Metadata!F591,"weeks"))</f>
        <v>0</v>
      </c>
      <c r="AA591">
        <f>AND(IF(Metadata!G591="",FALSE,TRUE),exact(Metadata!G591,"mouse"))</f>
        <v>0</v>
      </c>
      <c r="AB591">
        <f>AND(IF(Metadata!H591="",FALSE,TRUE),exact(Metadata!H591,"Mus musculus"))</f>
        <v>0</v>
      </c>
      <c r="AC591">
        <f>AND(IF(Metadata!I591="",FALSE,TRUE),exact(Metadata!I591,"10090"))</f>
        <v>0</v>
      </c>
      <c r="AD591">
        <f>OR(AND(IF(Metadata!J591="",FALSE,TRUE),OR(exact(Metadata!J591,"not applicable"),exact(Metadata!J591,"missing: not collected"),exact(Metadata!J591,"missing: not provided"),exact(Metadata!J591,"missing: restricted access"))),AND(IF(Metadata!J591="",FALSE,ISNUMBER(VALUE(Metadata!J591))),Metadata!J591&gt;0))</f>
        <v>0</v>
      </c>
      <c r="AE591">
        <f>AND(IF(Metadata!K591="",FALSE,TRUE),exact(Metadata!K591,"g"))</f>
        <v>0</v>
      </c>
    </row>
    <row r="592" spans="1:31">
      <c r="A592" s="5">
        <f>IF(B592=" "," ",HYPERLINK(CONCATENATE("#metadata!",ADDRESS(INDEX($Q$2:$Q$1001,MATCH(ROWS($O$2:O592),$O$2:$O$1001,0),0),1)),INDEX($T$2:$T$1001,MATCH(ROWS($O$2:O592),$O$2:$O$1001,0),0)))</f>
        <v>0</v>
      </c>
      <c r="B592" s="4">
        <f>IF(OR(INDEX($P$2:$P$1001,MATCH(ROWS($O$2:O592),$O$2:$O$1001,0),1)&gt;=100000,INDEX($V$1005:$AE$1005,1,MATCH(COLUMNS($V$1006:V1006),$V$1006:$AE$1006,0))&gt;=100000), " ",IF(INDEX($V$2:$AE$1001,MATCH(ROWS($O$2:O592),$O$2:$O$1001,0),MATCH(COLUMNS($V$1006:V1006),$V$1006:$AE$1006,0)), HYPERLINK("#",""), HYPERLINK(CONCATENATE("#Metadata!", ADDRESS(INDEX($Q$2:$Q$1001,MATCH(ROWS($O$2:O592),$O$2:$O$1001,0),0), INDEX($V$1004:$AE$1004,1,MATCH(COLUMNS($V$1006:V1006),$V$1006:$AE$1006,0)))),"Fix")))</f>
        <v>0</v>
      </c>
      <c r="C592" s="4">
        <f>IF(OR(INDEX($P$2:$P$1001,MATCH(ROWS($O$2:O592),$O$2:$O$1001,0),1)&gt;=100000,INDEX($V$1005:$AE$1005,1,MATCH(COLUMNS($V$1006:W1006),$V$1006:$AE$1006,0))&gt;=100000), " ",IF(INDEX($V$2:$AE$1001,MATCH(ROWS($O$2:O592),$O$2:$O$1001,0),MATCH(COLUMNS($V$1006:W1006),$V$1006:$AE$1006,0)), HYPERLINK("#",""), HYPERLINK(CONCATENATE("#Metadata!", ADDRESS(INDEX($Q$2:$Q$1001,MATCH(ROWS($O$2:O592),$O$2:$O$1001,0),0), INDEX($V$1004:$AE$1004,1,MATCH(COLUMNS($V$1006:W1006),$V$1006:$AE$1006,0)))),"Fix")))</f>
        <v>0</v>
      </c>
      <c r="D592" s="4">
        <f>IF(OR(INDEX($P$2:$P$1001,MATCH(ROWS($O$2:O592),$O$2:$O$1001,0),1)&gt;=100000,INDEX($V$1005:$AE$1005,1,MATCH(COLUMNS($V$1006:X1006),$V$1006:$AE$1006,0))&gt;=100000), " ",IF(INDEX($V$2:$AE$1001,MATCH(ROWS($O$2:O592),$O$2:$O$1001,0),MATCH(COLUMNS($V$1006:X1006),$V$1006:$AE$1006,0)), HYPERLINK("#",""), HYPERLINK(CONCATENATE("#Metadata!", ADDRESS(INDEX($Q$2:$Q$1001,MATCH(ROWS($O$2:O592),$O$2:$O$1001,0),0), INDEX($V$1004:$AE$1004,1,MATCH(COLUMNS($V$1006:X1006),$V$1006:$AE$1006,0)))),"Fix")))</f>
        <v>0</v>
      </c>
      <c r="E592" s="4">
        <f>IF(OR(INDEX($P$2:$P$1001,MATCH(ROWS($O$2:O592),$O$2:$O$1001,0),1)&gt;=100000,INDEX($V$1005:$AE$1005,1,MATCH(COLUMNS($V$1006:Y1006),$V$1006:$AE$1006,0))&gt;=100000), " ",IF(INDEX($V$2:$AE$1001,MATCH(ROWS($O$2:O592),$O$2:$O$1001,0),MATCH(COLUMNS($V$1006:Y1006),$V$1006:$AE$1006,0)), HYPERLINK("#",""), HYPERLINK(CONCATENATE("#Metadata!", ADDRESS(INDEX($Q$2:$Q$1001,MATCH(ROWS($O$2:O592),$O$2:$O$1001,0),0), INDEX($V$1004:$AE$1004,1,MATCH(COLUMNS($V$1006:Y1006),$V$1006:$AE$1006,0)))),"Fix")))</f>
        <v>0</v>
      </c>
      <c r="F592" s="4">
        <f>IF(OR(INDEX($P$2:$P$1001,MATCH(ROWS($O$2:O592),$O$2:$O$1001,0),1)&gt;=100000,INDEX($V$1005:$AE$1005,1,MATCH(COLUMNS($V$1006:Z1006),$V$1006:$AE$1006,0))&gt;=100000), " ",IF(INDEX($V$2:$AE$1001,MATCH(ROWS($O$2:O592),$O$2:$O$1001,0),MATCH(COLUMNS($V$1006:Z1006),$V$1006:$AE$1006,0)), HYPERLINK("#",""), HYPERLINK(CONCATENATE("#Metadata!", ADDRESS(INDEX($Q$2:$Q$1001,MATCH(ROWS($O$2:O592),$O$2:$O$1001,0),0), INDEX($V$1004:$AE$1004,1,MATCH(COLUMNS($V$1006:Z1006),$V$1006:$AE$1006,0)))),"Fix")))</f>
        <v>0</v>
      </c>
      <c r="G592" s="4">
        <f>IF(OR(INDEX($P$2:$P$1001,MATCH(ROWS($O$2:O592),$O$2:$O$1001,0),1)&gt;=100000,INDEX($V$1005:$AE$1005,1,MATCH(COLUMNS($V$1006:AA1006),$V$1006:$AE$1006,0))&gt;=100000), " ",IF(INDEX($V$2:$AE$1001,MATCH(ROWS($O$2:O592),$O$2:$O$1001,0),MATCH(COLUMNS($V$1006:AA1006),$V$1006:$AE$1006,0)), HYPERLINK("#",""), HYPERLINK(CONCATENATE("#Metadata!", ADDRESS(INDEX($Q$2:$Q$1001,MATCH(ROWS($O$2:O592),$O$2:$O$1001,0),0), INDEX($V$1004:$AE$1004,1,MATCH(COLUMNS($V$1006:AA1006),$V$1006:$AE$1006,0)))),"Fix")))</f>
        <v>0</v>
      </c>
      <c r="H592" s="4">
        <f>IF(OR(INDEX($P$2:$P$1001,MATCH(ROWS($O$2:O592),$O$2:$O$1001,0),1)&gt;=100000,INDEX($V$1005:$AE$1005,1,MATCH(COLUMNS($V$1006:AB1006),$V$1006:$AE$1006,0))&gt;=100000), " ",IF(INDEX($V$2:$AE$1001,MATCH(ROWS($O$2:O592),$O$2:$O$1001,0),MATCH(COLUMNS($V$1006:AB1006),$V$1006:$AE$1006,0)), HYPERLINK("#",""), HYPERLINK(CONCATENATE("#Metadata!", ADDRESS(INDEX($Q$2:$Q$1001,MATCH(ROWS($O$2:O592),$O$2:$O$1001,0),0), INDEX($V$1004:$AE$1004,1,MATCH(COLUMNS($V$1006:AB1006),$V$1006:$AE$1006,0)))),"Fix")))</f>
        <v>0</v>
      </c>
      <c r="I592" s="4">
        <f>IF(OR(INDEX($P$2:$P$1001,MATCH(ROWS($O$2:O592),$O$2:$O$1001,0),1)&gt;=100000,INDEX($V$1005:$AE$1005,1,MATCH(COLUMNS($V$1006:AC1006),$V$1006:$AE$1006,0))&gt;=100000), " ",IF(INDEX($V$2:$AE$1001,MATCH(ROWS($O$2:O592),$O$2:$O$1001,0),MATCH(COLUMNS($V$1006:AC1006),$V$1006:$AE$1006,0)), HYPERLINK("#",""), HYPERLINK(CONCATENATE("#Metadata!", ADDRESS(INDEX($Q$2:$Q$1001,MATCH(ROWS($O$2:O592),$O$2:$O$1001,0),0), INDEX($V$1004:$AE$1004,1,MATCH(COLUMNS($V$1006:AC1006),$V$1006:$AE$1006,0)))),"Fix")))</f>
        <v>0</v>
      </c>
      <c r="J592" s="4">
        <f>IF(OR(INDEX($P$2:$P$1001,MATCH(ROWS($O$2:O592),$O$2:$O$1001,0),1)&gt;=100000,INDEX($V$1005:$AE$1005,1,MATCH(COLUMNS($V$1006:AD1006),$V$1006:$AE$1006,0))&gt;=100000), " ",IF(INDEX($V$2:$AE$1001,MATCH(ROWS($O$2:O592),$O$2:$O$1001,0),MATCH(COLUMNS($V$1006:AD1006),$V$1006:$AE$1006,0)), HYPERLINK("#",""), HYPERLINK(CONCATENATE("#Metadata!", ADDRESS(INDEX($Q$2:$Q$1001,MATCH(ROWS($O$2:O592),$O$2:$O$1001,0),0), INDEX($V$1004:$AE$1004,1,MATCH(COLUMNS($V$1006:AD1006),$V$1006:$AE$1006,0)))),"Fix")))</f>
        <v>0</v>
      </c>
      <c r="K592" s="4">
        <f>IF(OR(INDEX($P$2:$P$1001,MATCH(ROWS($O$2:O592),$O$2:$O$1001,0),1)&gt;=100000,INDEX($V$1005:$AE$1005,1,MATCH(COLUMNS($V$1006:AE1006),$V$1006:$AE$1006,0))&gt;=100000), " ",IF(INDEX($V$2:$AE$1001,MATCH(ROWS($O$2:O592),$O$2:$O$1001,0),MATCH(COLUMNS($V$1006:AE1006),$V$1006:$AE$1006,0)), HYPERLINK("#",""), HYPERLINK(CONCATENATE("#Metadata!", ADDRESS(INDEX($Q$2:$Q$1001,MATCH(ROWS($O$2:O592),$O$2:$O$1001,0),0), INDEX($V$1004:$AE$1004,1,MATCH(COLUMNS($V$1006:AE1006),$V$1006:$AE$1006,0)))),"Fix")))</f>
        <v>0</v>
      </c>
      <c r="O592">
        <v>0</v>
      </c>
      <c r="P592">
        <v>0</v>
      </c>
      <c r="Q592">
        <v>0</v>
      </c>
      <c r="R592">
        <f>IF(S592,TRUE,AND(V592:AE592))</f>
        <v>0</v>
      </c>
      <c r="S592">
        <f>COUNTBLANK(Metadata!B592:K592)=COLUMNS(Metadata!B592:K592)</f>
        <v>0</v>
      </c>
      <c r="T592">
        <v>0</v>
      </c>
      <c r="V592">
        <f>AND(IF(Metadata!B592="",FALSE,TRUE),COUNTIF(Metadata!B:B, Metadata!B592) = 1,NOT(ISERROR(SUMPRODUCT(SEARCH(MID(Metadata!B592,ROW(INDIRECT("1:"&amp;LEN(Metadata!B592))), 1),"0123456789abcdefghijklmnopqrstuvwxyzABCDEFGHIJKLMNOPQRSTUVWXYZ.")))))</f>
        <v>0</v>
      </c>
      <c r="W592">
        <f>AND(IF(Metadata!C592="",FALSE,TRUE),exact(Metadata!C592,"urban biome"))</f>
        <v>0</v>
      </c>
      <c r="X592">
        <f>AND(IF(Metadata!D592="",FALSE,TRUE),exact(Metadata!D592,"animal-associated habitat"))</f>
        <v>0</v>
      </c>
      <c r="Y592">
        <f>OR(AND(IF(Metadata!E592="",FALSE,TRUE),OR(exact(Metadata!E592,"not applicable"),exact(Metadata!E592,"missing: not collected"),exact(Metadata!E592,"missing: not provided"),exact(Metadata!E592,"missing: restricted access"))),AND(IF(Metadata!E592="",FALSE,ISNUMBER(VALUE(Metadata!E592))),Metadata!E592&gt;0))</f>
        <v>0</v>
      </c>
      <c r="Z592">
        <f>AND(IF(Metadata!F592="",FALSE,TRUE),exact(Metadata!F592,"weeks"))</f>
        <v>0</v>
      </c>
      <c r="AA592">
        <f>AND(IF(Metadata!G592="",FALSE,TRUE),exact(Metadata!G592,"mouse"))</f>
        <v>0</v>
      </c>
      <c r="AB592">
        <f>AND(IF(Metadata!H592="",FALSE,TRUE),exact(Metadata!H592,"Mus musculus"))</f>
        <v>0</v>
      </c>
      <c r="AC592">
        <f>AND(IF(Metadata!I592="",FALSE,TRUE),exact(Metadata!I592,"10090"))</f>
        <v>0</v>
      </c>
      <c r="AD592">
        <f>OR(AND(IF(Metadata!J592="",FALSE,TRUE),OR(exact(Metadata!J592,"not applicable"),exact(Metadata!J592,"missing: not collected"),exact(Metadata!J592,"missing: not provided"),exact(Metadata!J592,"missing: restricted access"))),AND(IF(Metadata!J592="",FALSE,ISNUMBER(VALUE(Metadata!J592))),Metadata!J592&gt;0))</f>
        <v>0</v>
      </c>
      <c r="AE592">
        <f>AND(IF(Metadata!K592="",FALSE,TRUE),exact(Metadata!K592,"g"))</f>
        <v>0</v>
      </c>
    </row>
    <row r="593" spans="1:31">
      <c r="A593" s="5">
        <f>IF(B593=" "," ",HYPERLINK(CONCATENATE("#metadata!",ADDRESS(INDEX($Q$2:$Q$1001,MATCH(ROWS($O$2:O593),$O$2:$O$1001,0),0),1)),INDEX($T$2:$T$1001,MATCH(ROWS($O$2:O593),$O$2:$O$1001,0),0)))</f>
        <v>0</v>
      </c>
      <c r="B593" s="4">
        <f>IF(OR(INDEX($P$2:$P$1001,MATCH(ROWS($O$2:O593),$O$2:$O$1001,0),1)&gt;=100000,INDEX($V$1005:$AE$1005,1,MATCH(COLUMNS($V$1006:V1006),$V$1006:$AE$1006,0))&gt;=100000), " ",IF(INDEX($V$2:$AE$1001,MATCH(ROWS($O$2:O593),$O$2:$O$1001,0),MATCH(COLUMNS($V$1006:V1006),$V$1006:$AE$1006,0)), HYPERLINK("#",""), HYPERLINK(CONCATENATE("#Metadata!", ADDRESS(INDEX($Q$2:$Q$1001,MATCH(ROWS($O$2:O593),$O$2:$O$1001,0),0), INDEX($V$1004:$AE$1004,1,MATCH(COLUMNS($V$1006:V1006),$V$1006:$AE$1006,0)))),"Fix")))</f>
        <v>0</v>
      </c>
      <c r="C593" s="4">
        <f>IF(OR(INDEX($P$2:$P$1001,MATCH(ROWS($O$2:O593),$O$2:$O$1001,0),1)&gt;=100000,INDEX($V$1005:$AE$1005,1,MATCH(COLUMNS($V$1006:W1006),$V$1006:$AE$1006,0))&gt;=100000), " ",IF(INDEX($V$2:$AE$1001,MATCH(ROWS($O$2:O593),$O$2:$O$1001,0),MATCH(COLUMNS($V$1006:W1006),$V$1006:$AE$1006,0)), HYPERLINK("#",""), HYPERLINK(CONCATENATE("#Metadata!", ADDRESS(INDEX($Q$2:$Q$1001,MATCH(ROWS($O$2:O593),$O$2:$O$1001,0),0), INDEX($V$1004:$AE$1004,1,MATCH(COLUMNS($V$1006:W1006),$V$1006:$AE$1006,0)))),"Fix")))</f>
        <v>0</v>
      </c>
      <c r="D593" s="4">
        <f>IF(OR(INDEX($P$2:$P$1001,MATCH(ROWS($O$2:O593),$O$2:$O$1001,0),1)&gt;=100000,INDEX($V$1005:$AE$1005,1,MATCH(COLUMNS($V$1006:X1006),$V$1006:$AE$1006,0))&gt;=100000), " ",IF(INDEX($V$2:$AE$1001,MATCH(ROWS($O$2:O593),$O$2:$O$1001,0),MATCH(COLUMNS($V$1006:X1006),$V$1006:$AE$1006,0)), HYPERLINK("#",""), HYPERLINK(CONCATENATE("#Metadata!", ADDRESS(INDEX($Q$2:$Q$1001,MATCH(ROWS($O$2:O593),$O$2:$O$1001,0),0), INDEX($V$1004:$AE$1004,1,MATCH(COLUMNS($V$1006:X1006),$V$1006:$AE$1006,0)))),"Fix")))</f>
        <v>0</v>
      </c>
      <c r="E593" s="4">
        <f>IF(OR(INDEX($P$2:$P$1001,MATCH(ROWS($O$2:O593),$O$2:$O$1001,0),1)&gt;=100000,INDEX($V$1005:$AE$1005,1,MATCH(COLUMNS($V$1006:Y1006),$V$1006:$AE$1006,0))&gt;=100000), " ",IF(INDEX($V$2:$AE$1001,MATCH(ROWS($O$2:O593),$O$2:$O$1001,0),MATCH(COLUMNS($V$1006:Y1006),$V$1006:$AE$1006,0)), HYPERLINK("#",""), HYPERLINK(CONCATENATE("#Metadata!", ADDRESS(INDEX($Q$2:$Q$1001,MATCH(ROWS($O$2:O593),$O$2:$O$1001,0),0), INDEX($V$1004:$AE$1004,1,MATCH(COLUMNS($V$1006:Y1006),$V$1006:$AE$1006,0)))),"Fix")))</f>
        <v>0</v>
      </c>
      <c r="F593" s="4">
        <f>IF(OR(INDEX($P$2:$P$1001,MATCH(ROWS($O$2:O593),$O$2:$O$1001,0),1)&gt;=100000,INDEX($V$1005:$AE$1005,1,MATCH(COLUMNS($V$1006:Z1006),$V$1006:$AE$1006,0))&gt;=100000), " ",IF(INDEX($V$2:$AE$1001,MATCH(ROWS($O$2:O593),$O$2:$O$1001,0),MATCH(COLUMNS($V$1006:Z1006),$V$1006:$AE$1006,0)), HYPERLINK("#",""), HYPERLINK(CONCATENATE("#Metadata!", ADDRESS(INDEX($Q$2:$Q$1001,MATCH(ROWS($O$2:O593),$O$2:$O$1001,0),0), INDEX($V$1004:$AE$1004,1,MATCH(COLUMNS($V$1006:Z1006),$V$1006:$AE$1006,0)))),"Fix")))</f>
        <v>0</v>
      </c>
      <c r="G593" s="4">
        <f>IF(OR(INDEX($P$2:$P$1001,MATCH(ROWS($O$2:O593),$O$2:$O$1001,0),1)&gt;=100000,INDEX($V$1005:$AE$1005,1,MATCH(COLUMNS($V$1006:AA1006),$V$1006:$AE$1006,0))&gt;=100000), " ",IF(INDEX($V$2:$AE$1001,MATCH(ROWS($O$2:O593),$O$2:$O$1001,0),MATCH(COLUMNS($V$1006:AA1006),$V$1006:$AE$1006,0)), HYPERLINK("#",""), HYPERLINK(CONCATENATE("#Metadata!", ADDRESS(INDEX($Q$2:$Q$1001,MATCH(ROWS($O$2:O593),$O$2:$O$1001,0),0), INDEX($V$1004:$AE$1004,1,MATCH(COLUMNS($V$1006:AA1006),$V$1006:$AE$1006,0)))),"Fix")))</f>
        <v>0</v>
      </c>
      <c r="H593" s="4">
        <f>IF(OR(INDEX($P$2:$P$1001,MATCH(ROWS($O$2:O593),$O$2:$O$1001,0),1)&gt;=100000,INDEX($V$1005:$AE$1005,1,MATCH(COLUMNS($V$1006:AB1006),$V$1006:$AE$1006,0))&gt;=100000), " ",IF(INDEX($V$2:$AE$1001,MATCH(ROWS($O$2:O593),$O$2:$O$1001,0),MATCH(COLUMNS($V$1006:AB1006),$V$1006:$AE$1006,0)), HYPERLINK("#",""), HYPERLINK(CONCATENATE("#Metadata!", ADDRESS(INDEX($Q$2:$Q$1001,MATCH(ROWS($O$2:O593),$O$2:$O$1001,0),0), INDEX($V$1004:$AE$1004,1,MATCH(COLUMNS($V$1006:AB1006),$V$1006:$AE$1006,0)))),"Fix")))</f>
        <v>0</v>
      </c>
      <c r="I593" s="4">
        <f>IF(OR(INDEX($P$2:$P$1001,MATCH(ROWS($O$2:O593),$O$2:$O$1001,0),1)&gt;=100000,INDEX($V$1005:$AE$1005,1,MATCH(COLUMNS($V$1006:AC1006),$V$1006:$AE$1006,0))&gt;=100000), " ",IF(INDEX($V$2:$AE$1001,MATCH(ROWS($O$2:O593),$O$2:$O$1001,0),MATCH(COLUMNS($V$1006:AC1006),$V$1006:$AE$1006,0)), HYPERLINK("#",""), HYPERLINK(CONCATENATE("#Metadata!", ADDRESS(INDEX($Q$2:$Q$1001,MATCH(ROWS($O$2:O593),$O$2:$O$1001,0),0), INDEX($V$1004:$AE$1004,1,MATCH(COLUMNS($V$1006:AC1006),$V$1006:$AE$1006,0)))),"Fix")))</f>
        <v>0</v>
      </c>
      <c r="J593" s="4">
        <f>IF(OR(INDEX($P$2:$P$1001,MATCH(ROWS($O$2:O593),$O$2:$O$1001,0),1)&gt;=100000,INDEX($V$1005:$AE$1005,1,MATCH(COLUMNS($V$1006:AD1006),$V$1006:$AE$1006,0))&gt;=100000), " ",IF(INDEX($V$2:$AE$1001,MATCH(ROWS($O$2:O593),$O$2:$O$1001,0),MATCH(COLUMNS($V$1006:AD1006),$V$1006:$AE$1006,0)), HYPERLINK("#",""), HYPERLINK(CONCATENATE("#Metadata!", ADDRESS(INDEX($Q$2:$Q$1001,MATCH(ROWS($O$2:O593),$O$2:$O$1001,0),0), INDEX($V$1004:$AE$1004,1,MATCH(COLUMNS($V$1006:AD1006),$V$1006:$AE$1006,0)))),"Fix")))</f>
        <v>0</v>
      </c>
      <c r="K593" s="4">
        <f>IF(OR(INDEX($P$2:$P$1001,MATCH(ROWS($O$2:O593),$O$2:$O$1001,0),1)&gt;=100000,INDEX($V$1005:$AE$1005,1,MATCH(COLUMNS($V$1006:AE1006),$V$1006:$AE$1006,0))&gt;=100000), " ",IF(INDEX($V$2:$AE$1001,MATCH(ROWS($O$2:O593),$O$2:$O$1001,0),MATCH(COLUMNS($V$1006:AE1006),$V$1006:$AE$1006,0)), HYPERLINK("#",""), HYPERLINK(CONCATENATE("#Metadata!", ADDRESS(INDEX($Q$2:$Q$1001,MATCH(ROWS($O$2:O593),$O$2:$O$1001,0),0), INDEX($V$1004:$AE$1004,1,MATCH(COLUMNS($V$1006:AE1006),$V$1006:$AE$1006,0)))),"Fix")))</f>
        <v>0</v>
      </c>
      <c r="O593">
        <v>0</v>
      </c>
      <c r="P593">
        <v>0</v>
      </c>
      <c r="Q593">
        <v>0</v>
      </c>
      <c r="R593">
        <f>IF(S593,TRUE,AND(V593:AE593))</f>
        <v>0</v>
      </c>
      <c r="S593">
        <f>COUNTBLANK(Metadata!B593:K593)=COLUMNS(Metadata!B593:K593)</f>
        <v>0</v>
      </c>
      <c r="T593">
        <v>0</v>
      </c>
      <c r="V593">
        <f>AND(IF(Metadata!B593="",FALSE,TRUE),COUNTIF(Metadata!B:B, Metadata!B593) = 1,NOT(ISERROR(SUMPRODUCT(SEARCH(MID(Metadata!B593,ROW(INDIRECT("1:"&amp;LEN(Metadata!B593))), 1),"0123456789abcdefghijklmnopqrstuvwxyzABCDEFGHIJKLMNOPQRSTUVWXYZ.")))))</f>
        <v>0</v>
      </c>
      <c r="W593">
        <f>AND(IF(Metadata!C593="",FALSE,TRUE),exact(Metadata!C593,"urban biome"))</f>
        <v>0</v>
      </c>
      <c r="X593">
        <f>AND(IF(Metadata!D593="",FALSE,TRUE),exact(Metadata!D593,"animal-associated habitat"))</f>
        <v>0</v>
      </c>
      <c r="Y593">
        <f>OR(AND(IF(Metadata!E593="",FALSE,TRUE),OR(exact(Metadata!E593,"not applicable"),exact(Metadata!E593,"missing: not collected"),exact(Metadata!E593,"missing: not provided"),exact(Metadata!E593,"missing: restricted access"))),AND(IF(Metadata!E593="",FALSE,ISNUMBER(VALUE(Metadata!E593))),Metadata!E593&gt;0))</f>
        <v>0</v>
      </c>
      <c r="Z593">
        <f>AND(IF(Metadata!F593="",FALSE,TRUE),exact(Metadata!F593,"weeks"))</f>
        <v>0</v>
      </c>
      <c r="AA593">
        <f>AND(IF(Metadata!G593="",FALSE,TRUE),exact(Metadata!G593,"mouse"))</f>
        <v>0</v>
      </c>
      <c r="AB593">
        <f>AND(IF(Metadata!H593="",FALSE,TRUE),exact(Metadata!H593,"Mus musculus"))</f>
        <v>0</v>
      </c>
      <c r="AC593">
        <f>AND(IF(Metadata!I593="",FALSE,TRUE),exact(Metadata!I593,"10090"))</f>
        <v>0</v>
      </c>
      <c r="AD593">
        <f>OR(AND(IF(Metadata!J593="",FALSE,TRUE),OR(exact(Metadata!J593,"not applicable"),exact(Metadata!J593,"missing: not collected"),exact(Metadata!J593,"missing: not provided"),exact(Metadata!J593,"missing: restricted access"))),AND(IF(Metadata!J593="",FALSE,ISNUMBER(VALUE(Metadata!J593))),Metadata!J593&gt;0))</f>
        <v>0</v>
      </c>
      <c r="AE593">
        <f>AND(IF(Metadata!K593="",FALSE,TRUE),exact(Metadata!K593,"g"))</f>
        <v>0</v>
      </c>
    </row>
    <row r="594" spans="1:31">
      <c r="A594" s="5">
        <f>IF(B594=" "," ",HYPERLINK(CONCATENATE("#metadata!",ADDRESS(INDEX($Q$2:$Q$1001,MATCH(ROWS($O$2:O594),$O$2:$O$1001,0),0),1)),INDEX($T$2:$T$1001,MATCH(ROWS($O$2:O594),$O$2:$O$1001,0),0)))</f>
        <v>0</v>
      </c>
      <c r="B594" s="4">
        <f>IF(OR(INDEX($P$2:$P$1001,MATCH(ROWS($O$2:O594),$O$2:$O$1001,0),1)&gt;=100000,INDEX($V$1005:$AE$1005,1,MATCH(COLUMNS($V$1006:V1006),$V$1006:$AE$1006,0))&gt;=100000), " ",IF(INDEX($V$2:$AE$1001,MATCH(ROWS($O$2:O594),$O$2:$O$1001,0),MATCH(COLUMNS($V$1006:V1006),$V$1006:$AE$1006,0)), HYPERLINK("#",""), HYPERLINK(CONCATENATE("#Metadata!", ADDRESS(INDEX($Q$2:$Q$1001,MATCH(ROWS($O$2:O594),$O$2:$O$1001,0),0), INDEX($V$1004:$AE$1004,1,MATCH(COLUMNS($V$1006:V1006),$V$1006:$AE$1006,0)))),"Fix")))</f>
        <v>0</v>
      </c>
      <c r="C594" s="4">
        <f>IF(OR(INDEX($P$2:$P$1001,MATCH(ROWS($O$2:O594),$O$2:$O$1001,0),1)&gt;=100000,INDEX($V$1005:$AE$1005,1,MATCH(COLUMNS($V$1006:W1006),$V$1006:$AE$1006,0))&gt;=100000), " ",IF(INDEX($V$2:$AE$1001,MATCH(ROWS($O$2:O594),$O$2:$O$1001,0),MATCH(COLUMNS($V$1006:W1006),$V$1006:$AE$1006,0)), HYPERLINK("#",""), HYPERLINK(CONCATENATE("#Metadata!", ADDRESS(INDEX($Q$2:$Q$1001,MATCH(ROWS($O$2:O594),$O$2:$O$1001,0),0), INDEX($V$1004:$AE$1004,1,MATCH(COLUMNS($V$1006:W1006),$V$1006:$AE$1006,0)))),"Fix")))</f>
        <v>0</v>
      </c>
      <c r="D594" s="4">
        <f>IF(OR(INDEX($P$2:$P$1001,MATCH(ROWS($O$2:O594),$O$2:$O$1001,0),1)&gt;=100000,INDEX($V$1005:$AE$1005,1,MATCH(COLUMNS($V$1006:X1006),$V$1006:$AE$1006,0))&gt;=100000), " ",IF(INDEX($V$2:$AE$1001,MATCH(ROWS($O$2:O594),$O$2:$O$1001,0),MATCH(COLUMNS($V$1006:X1006),$V$1006:$AE$1006,0)), HYPERLINK("#",""), HYPERLINK(CONCATENATE("#Metadata!", ADDRESS(INDEX($Q$2:$Q$1001,MATCH(ROWS($O$2:O594),$O$2:$O$1001,0),0), INDEX($V$1004:$AE$1004,1,MATCH(COLUMNS($V$1006:X1006),$V$1006:$AE$1006,0)))),"Fix")))</f>
        <v>0</v>
      </c>
      <c r="E594" s="4">
        <f>IF(OR(INDEX($P$2:$P$1001,MATCH(ROWS($O$2:O594),$O$2:$O$1001,0),1)&gt;=100000,INDEX($V$1005:$AE$1005,1,MATCH(COLUMNS($V$1006:Y1006),$V$1006:$AE$1006,0))&gt;=100000), " ",IF(INDEX($V$2:$AE$1001,MATCH(ROWS($O$2:O594),$O$2:$O$1001,0),MATCH(COLUMNS($V$1006:Y1006),$V$1006:$AE$1006,0)), HYPERLINK("#",""), HYPERLINK(CONCATENATE("#Metadata!", ADDRESS(INDEX($Q$2:$Q$1001,MATCH(ROWS($O$2:O594),$O$2:$O$1001,0),0), INDEX($V$1004:$AE$1004,1,MATCH(COLUMNS($V$1006:Y1006),$V$1006:$AE$1006,0)))),"Fix")))</f>
        <v>0</v>
      </c>
      <c r="F594" s="4">
        <f>IF(OR(INDEX($P$2:$P$1001,MATCH(ROWS($O$2:O594),$O$2:$O$1001,0),1)&gt;=100000,INDEX($V$1005:$AE$1005,1,MATCH(COLUMNS($V$1006:Z1006),$V$1006:$AE$1006,0))&gt;=100000), " ",IF(INDEX($V$2:$AE$1001,MATCH(ROWS($O$2:O594),$O$2:$O$1001,0),MATCH(COLUMNS($V$1006:Z1006),$V$1006:$AE$1006,0)), HYPERLINK("#",""), HYPERLINK(CONCATENATE("#Metadata!", ADDRESS(INDEX($Q$2:$Q$1001,MATCH(ROWS($O$2:O594),$O$2:$O$1001,0),0), INDEX($V$1004:$AE$1004,1,MATCH(COLUMNS($V$1006:Z1006),$V$1006:$AE$1006,0)))),"Fix")))</f>
        <v>0</v>
      </c>
      <c r="G594" s="4">
        <f>IF(OR(INDEX($P$2:$P$1001,MATCH(ROWS($O$2:O594),$O$2:$O$1001,0),1)&gt;=100000,INDEX($V$1005:$AE$1005,1,MATCH(COLUMNS($V$1006:AA1006),$V$1006:$AE$1006,0))&gt;=100000), " ",IF(INDEX($V$2:$AE$1001,MATCH(ROWS($O$2:O594),$O$2:$O$1001,0),MATCH(COLUMNS($V$1006:AA1006),$V$1006:$AE$1006,0)), HYPERLINK("#",""), HYPERLINK(CONCATENATE("#Metadata!", ADDRESS(INDEX($Q$2:$Q$1001,MATCH(ROWS($O$2:O594),$O$2:$O$1001,0),0), INDEX($V$1004:$AE$1004,1,MATCH(COLUMNS($V$1006:AA1006),$V$1006:$AE$1006,0)))),"Fix")))</f>
        <v>0</v>
      </c>
      <c r="H594" s="4">
        <f>IF(OR(INDEX($P$2:$P$1001,MATCH(ROWS($O$2:O594),$O$2:$O$1001,0),1)&gt;=100000,INDEX($V$1005:$AE$1005,1,MATCH(COLUMNS($V$1006:AB1006),$V$1006:$AE$1006,0))&gt;=100000), " ",IF(INDEX($V$2:$AE$1001,MATCH(ROWS($O$2:O594),$O$2:$O$1001,0),MATCH(COLUMNS($V$1006:AB1006),$V$1006:$AE$1006,0)), HYPERLINK("#",""), HYPERLINK(CONCATENATE("#Metadata!", ADDRESS(INDEX($Q$2:$Q$1001,MATCH(ROWS($O$2:O594),$O$2:$O$1001,0),0), INDEX($V$1004:$AE$1004,1,MATCH(COLUMNS($V$1006:AB1006),$V$1006:$AE$1006,0)))),"Fix")))</f>
        <v>0</v>
      </c>
      <c r="I594" s="4">
        <f>IF(OR(INDEX($P$2:$P$1001,MATCH(ROWS($O$2:O594),$O$2:$O$1001,0),1)&gt;=100000,INDEX($V$1005:$AE$1005,1,MATCH(COLUMNS($V$1006:AC1006),$V$1006:$AE$1006,0))&gt;=100000), " ",IF(INDEX($V$2:$AE$1001,MATCH(ROWS($O$2:O594),$O$2:$O$1001,0),MATCH(COLUMNS($V$1006:AC1006),$V$1006:$AE$1006,0)), HYPERLINK("#",""), HYPERLINK(CONCATENATE("#Metadata!", ADDRESS(INDEX($Q$2:$Q$1001,MATCH(ROWS($O$2:O594),$O$2:$O$1001,0),0), INDEX($V$1004:$AE$1004,1,MATCH(COLUMNS($V$1006:AC1006),$V$1006:$AE$1006,0)))),"Fix")))</f>
        <v>0</v>
      </c>
      <c r="J594" s="4">
        <f>IF(OR(INDEX($P$2:$P$1001,MATCH(ROWS($O$2:O594),$O$2:$O$1001,0),1)&gt;=100000,INDEX($V$1005:$AE$1005,1,MATCH(COLUMNS($V$1006:AD1006),$V$1006:$AE$1006,0))&gt;=100000), " ",IF(INDEX($V$2:$AE$1001,MATCH(ROWS($O$2:O594),$O$2:$O$1001,0),MATCH(COLUMNS($V$1006:AD1006),$V$1006:$AE$1006,0)), HYPERLINK("#",""), HYPERLINK(CONCATENATE("#Metadata!", ADDRESS(INDEX($Q$2:$Q$1001,MATCH(ROWS($O$2:O594),$O$2:$O$1001,0),0), INDEX($V$1004:$AE$1004,1,MATCH(COLUMNS($V$1006:AD1006),$V$1006:$AE$1006,0)))),"Fix")))</f>
        <v>0</v>
      </c>
      <c r="K594" s="4">
        <f>IF(OR(INDEX($P$2:$P$1001,MATCH(ROWS($O$2:O594),$O$2:$O$1001,0),1)&gt;=100000,INDEX($V$1005:$AE$1005,1,MATCH(COLUMNS($V$1006:AE1006),$V$1006:$AE$1006,0))&gt;=100000), " ",IF(INDEX($V$2:$AE$1001,MATCH(ROWS($O$2:O594),$O$2:$O$1001,0),MATCH(COLUMNS($V$1006:AE1006),$V$1006:$AE$1006,0)), HYPERLINK("#",""), HYPERLINK(CONCATENATE("#Metadata!", ADDRESS(INDEX($Q$2:$Q$1001,MATCH(ROWS($O$2:O594),$O$2:$O$1001,0),0), INDEX($V$1004:$AE$1004,1,MATCH(COLUMNS($V$1006:AE1006),$V$1006:$AE$1006,0)))),"Fix")))</f>
        <v>0</v>
      </c>
      <c r="O594">
        <v>0</v>
      </c>
      <c r="P594">
        <v>0</v>
      </c>
      <c r="Q594">
        <v>0</v>
      </c>
      <c r="R594">
        <f>IF(S594,TRUE,AND(V594:AE594))</f>
        <v>0</v>
      </c>
      <c r="S594">
        <f>COUNTBLANK(Metadata!B594:K594)=COLUMNS(Metadata!B594:K594)</f>
        <v>0</v>
      </c>
      <c r="T594">
        <v>0</v>
      </c>
      <c r="V594">
        <f>AND(IF(Metadata!B594="",FALSE,TRUE),COUNTIF(Metadata!B:B, Metadata!B594) = 1,NOT(ISERROR(SUMPRODUCT(SEARCH(MID(Metadata!B594,ROW(INDIRECT("1:"&amp;LEN(Metadata!B594))), 1),"0123456789abcdefghijklmnopqrstuvwxyzABCDEFGHIJKLMNOPQRSTUVWXYZ.")))))</f>
        <v>0</v>
      </c>
      <c r="W594">
        <f>AND(IF(Metadata!C594="",FALSE,TRUE),exact(Metadata!C594,"urban biome"))</f>
        <v>0</v>
      </c>
      <c r="X594">
        <f>AND(IF(Metadata!D594="",FALSE,TRUE),exact(Metadata!D594,"animal-associated habitat"))</f>
        <v>0</v>
      </c>
      <c r="Y594">
        <f>OR(AND(IF(Metadata!E594="",FALSE,TRUE),OR(exact(Metadata!E594,"not applicable"),exact(Metadata!E594,"missing: not collected"),exact(Metadata!E594,"missing: not provided"),exact(Metadata!E594,"missing: restricted access"))),AND(IF(Metadata!E594="",FALSE,ISNUMBER(VALUE(Metadata!E594))),Metadata!E594&gt;0))</f>
        <v>0</v>
      </c>
      <c r="Z594">
        <f>AND(IF(Metadata!F594="",FALSE,TRUE),exact(Metadata!F594,"weeks"))</f>
        <v>0</v>
      </c>
      <c r="AA594">
        <f>AND(IF(Metadata!G594="",FALSE,TRUE),exact(Metadata!G594,"mouse"))</f>
        <v>0</v>
      </c>
      <c r="AB594">
        <f>AND(IF(Metadata!H594="",FALSE,TRUE),exact(Metadata!H594,"Mus musculus"))</f>
        <v>0</v>
      </c>
      <c r="AC594">
        <f>AND(IF(Metadata!I594="",FALSE,TRUE),exact(Metadata!I594,"10090"))</f>
        <v>0</v>
      </c>
      <c r="AD594">
        <f>OR(AND(IF(Metadata!J594="",FALSE,TRUE),OR(exact(Metadata!J594,"not applicable"),exact(Metadata!J594,"missing: not collected"),exact(Metadata!J594,"missing: not provided"),exact(Metadata!J594,"missing: restricted access"))),AND(IF(Metadata!J594="",FALSE,ISNUMBER(VALUE(Metadata!J594))),Metadata!J594&gt;0))</f>
        <v>0</v>
      </c>
      <c r="AE594">
        <f>AND(IF(Metadata!K594="",FALSE,TRUE),exact(Metadata!K594,"g"))</f>
        <v>0</v>
      </c>
    </row>
    <row r="595" spans="1:31">
      <c r="A595" s="5">
        <f>IF(B595=" "," ",HYPERLINK(CONCATENATE("#metadata!",ADDRESS(INDEX($Q$2:$Q$1001,MATCH(ROWS($O$2:O595),$O$2:$O$1001,0),0),1)),INDEX($T$2:$T$1001,MATCH(ROWS($O$2:O595),$O$2:$O$1001,0),0)))</f>
        <v>0</v>
      </c>
      <c r="B595" s="4">
        <f>IF(OR(INDEX($P$2:$P$1001,MATCH(ROWS($O$2:O595),$O$2:$O$1001,0),1)&gt;=100000,INDEX($V$1005:$AE$1005,1,MATCH(COLUMNS($V$1006:V1006),$V$1006:$AE$1006,0))&gt;=100000), " ",IF(INDEX($V$2:$AE$1001,MATCH(ROWS($O$2:O595),$O$2:$O$1001,0),MATCH(COLUMNS($V$1006:V1006),$V$1006:$AE$1006,0)), HYPERLINK("#",""), HYPERLINK(CONCATENATE("#Metadata!", ADDRESS(INDEX($Q$2:$Q$1001,MATCH(ROWS($O$2:O595),$O$2:$O$1001,0),0), INDEX($V$1004:$AE$1004,1,MATCH(COLUMNS($V$1006:V1006),$V$1006:$AE$1006,0)))),"Fix")))</f>
        <v>0</v>
      </c>
      <c r="C595" s="4">
        <f>IF(OR(INDEX($P$2:$P$1001,MATCH(ROWS($O$2:O595),$O$2:$O$1001,0),1)&gt;=100000,INDEX($V$1005:$AE$1005,1,MATCH(COLUMNS($V$1006:W1006),$V$1006:$AE$1006,0))&gt;=100000), " ",IF(INDEX($V$2:$AE$1001,MATCH(ROWS($O$2:O595),$O$2:$O$1001,0),MATCH(COLUMNS($V$1006:W1006),$V$1006:$AE$1006,0)), HYPERLINK("#",""), HYPERLINK(CONCATENATE("#Metadata!", ADDRESS(INDEX($Q$2:$Q$1001,MATCH(ROWS($O$2:O595),$O$2:$O$1001,0),0), INDEX($V$1004:$AE$1004,1,MATCH(COLUMNS($V$1006:W1006),$V$1006:$AE$1006,0)))),"Fix")))</f>
        <v>0</v>
      </c>
      <c r="D595" s="4">
        <f>IF(OR(INDEX($P$2:$P$1001,MATCH(ROWS($O$2:O595),$O$2:$O$1001,0),1)&gt;=100000,INDEX($V$1005:$AE$1005,1,MATCH(COLUMNS($V$1006:X1006),$V$1006:$AE$1006,0))&gt;=100000), " ",IF(INDEX($V$2:$AE$1001,MATCH(ROWS($O$2:O595),$O$2:$O$1001,0),MATCH(COLUMNS($V$1006:X1006),$V$1006:$AE$1006,0)), HYPERLINK("#",""), HYPERLINK(CONCATENATE("#Metadata!", ADDRESS(INDEX($Q$2:$Q$1001,MATCH(ROWS($O$2:O595),$O$2:$O$1001,0),0), INDEX($V$1004:$AE$1004,1,MATCH(COLUMNS($V$1006:X1006),$V$1006:$AE$1006,0)))),"Fix")))</f>
        <v>0</v>
      </c>
      <c r="E595" s="4">
        <f>IF(OR(INDEX($P$2:$P$1001,MATCH(ROWS($O$2:O595),$O$2:$O$1001,0),1)&gt;=100000,INDEX($V$1005:$AE$1005,1,MATCH(COLUMNS($V$1006:Y1006),$V$1006:$AE$1006,0))&gt;=100000), " ",IF(INDEX($V$2:$AE$1001,MATCH(ROWS($O$2:O595),$O$2:$O$1001,0),MATCH(COLUMNS($V$1006:Y1006),$V$1006:$AE$1006,0)), HYPERLINK("#",""), HYPERLINK(CONCATENATE("#Metadata!", ADDRESS(INDEX($Q$2:$Q$1001,MATCH(ROWS($O$2:O595),$O$2:$O$1001,0),0), INDEX($V$1004:$AE$1004,1,MATCH(COLUMNS($V$1006:Y1006),$V$1006:$AE$1006,0)))),"Fix")))</f>
        <v>0</v>
      </c>
      <c r="F595" s="4">
        <f>IF(OR(INDEX($P$2:$P$1001,MATCH(ROWS($O$2:O595),$O$2:$O$1001,0),1)&gt;=100000,INDEX($V$1005:$AE$1005,1,MATCH(COLUMNS($V$1006:Z1006),$V$1006:$AE$1006,0))&gt;=100000), " ",IF(INDEX($V$2:$AE$1001,MATCH(ROWS($O$2:O595),$O$2:$O$1001,0),MATCH(COLUMNS($V$1006:Z1006),$V$1006:$AE$1006,0)), HYPERLINK("#",""), HYPERLINK(CONCATENATE("#Metadata!", ADDRESS(INDEX($Q$2:$Q$1001,MATCH(ROWS($O$2:O595),$O$2:$O$1001,0),0), INDEX($V$1004:$AE$1004,1,MATCH(COLUMNS($V$1006:Z1006),$V$1006:$AE$1006,0)))),"Fix")))</f>
        <v>0</v>
      </c>
      <c r="G595" s="4">
        <f>IF(OR(INDEX($P$2:$P$1001,MATCH(ROWS($O$2:O595),$O$2:$O$1001,0),1)&gt;=100000,INDEX($V$1005:$AE$1005,1,MATCH(COLUMNS($V$1006:AA1006),$V$1006:$AE$1006,0))&gt;=100000), " ",IF(INDEX($V$2:$AE$1001,MATCH(ROWS($O$2:O595),$O$2:$O$1001,0),MATCH(COLUMNS($V$1006:AA1006),$V$1006:$AE$1006,0)), HYPERLINK("#",""), HYPERLINK(CONCATENATE("#Metadata!", ADDRESS(INDEX($Q$2:$Q$1001,MATCH(ROWS($O$2:O595),$O$2:$O$1001,0),0), INDEX($V$1004:$AE$1004,1,MATCH(COLUMNS($V$1006:AA1006),$V$1006:$AE$1006,0)))),"Fix")))</f>
        <v>0</v>
      </c>
      <c r="H595" s="4">
        <f>IF(OR(INDEX($P$2:$P$1001,MATCH(ROWS($O$2:O595),$O$2:$O$1001,0),1)&gt;=100000,INDEX($V$1005:$AE$1005,1,MATCH(COLUMNS($V$1006:AB1006),$V$1006:$AE$1006,0))&gt;=100000), " ",IF(INDEX($V$2:$AE$1001,MATCH(ROWS($O$2:O595),$O$2:$O$1001,0),MATCH(COLUMNS($V$1006:AB1006),$V$1006:$AE$1006,0)), HYPERLINK("#",""), HYPERLINK(CONCATENATE("#Metadata!", ADDRESS(INDEX($Q$2:$Q$1001,MATCH(ROWS($O$2:O595),$O$2:$O$1001,0),0), INDEX($V$1004:$AE$1004,1,MATCH(COLUMNS($V$1006:AB1006),$V$1006:$AE$1006,0)))),"Fix")))</f>
        <v>0</v>
      </c>
      <c r="I595" s="4">
        <f>IF(OR(INDEX($P$2:$P$1001,MATCH(ROWS($O$2:O595),$O$2:$O$1001,0),1)&gt;=100000,INDEX($V$1005:$AE$1005,1,MATCH(COLUMNS($V$1006:AC1006),$V$1006:$AE$1006,0))&gt;=100000), " ",IF(INDEX($V$2:$AE$1001,MATCH(ROWS($O$2:O595),$O$2:$O$1001,0),MATCH(COLUMNS($V$1006:AC1006),$V$1006:$AE$1006,0)), HYPERLINK("#",""), HYPERLINK(CONCATENATE("#Metadata!", ADDRESS(INDEX($Q$2:$Q$1001,MATCH(ROWS($O$2:O595),$O$2:$O$1001,0),0), INDEX($V$1004:$AE$1004,1,MATCH(COLUMNS($V$1006:AC1006),$V$1006:$AE$1006,0)))),"Fix")))</f>
        <v>0</v>
      </c>
      <c r="J595" s="4">
        <f>IF(OR(INDEX($P$2:$P$1001,MATCH(ROWS($O$2:O595),$O$2:$O$1001,0),1)&gt;=100000,INDEX($V$1005:$AE$1005,1,MATCH(COLUMNS($V$1006:AD1006),$V$1006:$AE$1006,0))&gt;=100000), " ",IF(INDEX($V$2:$AE$1001,MATCH(ROWS($O$2:O595),$O$2:$O$1001,0),MATCH(COLUMNS($V$1006:AD1006),$V$1006:$AE$1006,0)), HYPERLINK("#",""), HYPERLINK(CONCATENATE("#Metadata!", ADDRESS(INDEX($Q$2:$Q$1001,MATCH(ROWS($O$2:O595),$O$2:$O$1001,0),0), INDEX($V$1004:$AE$1004,1,MATCH(COLUMNS($V$1006:AD1006),$V$1006:$AE$1006,0)))),"Fix")))</f>
        <v>0</v>
      </c>
      <c r="K595" s="4">
        <f>IF(OR(INDEX($P$2:$P$1001,MATCH(ROWS($O$2:O595),$O$2:$O$1001,0),1)&gt;=100000,INDEX($V$1005:$AE$1005,1,MATCH(COLUMNS($V$1006:AE1006),$V$1006:$AE$1006,0))&gt;=100000), " ",IF(INDEX($V$2:$AE$1001,MATCH(ROWS($O$2:O595),$O$2:$O$1001,0),MATCH(COLUMNS($V$1006:AE1006),$V$1006:$AE$1006,0)), HYPERLINK("#",""), HYPERLINK(CONCATENATE("#Metadata!", ADDRESS(INDEX($Q$2:$Q$1001,MATCH(ROWS($O$2:O595),$O$2:$O$1001,0),0), INDEX($V$1004:$AE$1004,1,MATCH(COLUMNS($V$1006:AE1006),$V$1006:$AE$1006,0)))),"Fix")))</f>
        <v>0</v>
      </c>
      <c r="O595">
        <v>0</v>
      </c>
      <c r="P595">
        <v>0</v>
      </c>
      <c r="Q595">
        <v>0</v>
      </c>
      <c r="R595">
        <f>IF(S595,TRUE,AND(V595:AE595))</f>
        <v>0</v>
      </c>
      <c r="S595">
        <f>COUNTBLANK(Metadata!B595:K595)=COLUMNS(Metadata!B595:K595)</f>
        <v>0</v>
      </c>
      <c r="T595">
        <v>0</v>
      </c>
      <c r="V595">
        <f>AND(IF(Metadata!B595="",FALSE,TRUE),COUNTIF(Metadata!B:B, Metadata!B595) = 1,NOT(ISERROR(SUMPRODUCT(SEARCH(MID(Metadata!B595,ROW(INDIRECT("1:"&amp;LEN(Metadata!B595))), 1),"0123456789abcdefghijklmnopqrstuvwxyzABCDEFGHIJKLMNOPQRSTUVWXYZ.")))))</f>
        <v>0</v>
      </c>
      <c r="W595">
        <f>AND(IF(Metadata!C595="",FALSE,TRUE),exact(Metadata!C595,"urban biome"))</f>
        <v>0</v>
      </c>
      <c r="X595">
        <f>AND(IF(Metadata!D595="",FALSE,TRUE),exact(Metadata!D595,"animal-associated habitat"))</f>
        <v>0</v>
      </c>
      <c r="Y595">
        <f>OR(AND(IF(Metadata!E595="",FALSE,TRUE),OR(exact(Metadata!E595,"not applicable"),exact(Metadata!E595,"missing: not collected"),exact(Metadata!E595,"missing: not provided"),exact(Metadata!E595,"missing: restricted access"))),AND(IF(Metadata!E595="",FALSE,ISNUMBER(VALUE(Metadata!E595))),Metadata!E595&gt;0))</f>
        <v>0</v>
      </c>
      <c r="Z595">
        <f>AND(IF(Metadata!F595="",FALSE,TRUE),exact(Metadata!F595,"weeks"))</f>
        <v>0</v>
      </c>
      <c r="AA595">
        <f>AND(IF(Metadata!G595="",FALSE,TRUE),exact(Metadata!G595,"mouse"))</f>
        <v>0</v>
      </c>
      <c r="AB595">
        <f>AND(IF(Metadata!H595="",FALSE,TRUE),exact(Metadata!H595,"Mus musculus"))</f>
        <v>0</v>
      </c>
      <c r="AC595">
        <f>AND(IF(Metadata!I595="",FALSE,TRUE),exact(Metadata!I595,"10090"))</f>
        <v>0</v>
      </c>
      <c r="AD595">
        <f>OR(AND(IF(Metadata!J595="",FALSE,TRUE),OR(exact(Metadata!J595,"not applicable"),exact(Metadata!J595,"missing: not collected"),exact(Metadata!J595,"missing: not provided"),exact(Metadata!J595,"missing: restricted access"))),AND(IF(Metadata!J595="",FALSE,ISNUMBER(VALUE(Metadata!J595))),Metadata!J595&gt;0))</f>
        <v>0</v>
      </c>
      <c r="AE595">
        <f>AND(IF(Metadata!K595="",FALSE,TRUE),exact(Metadata!K595,"g"))</f>
        <v>0</v>
      </c>
    </row>
    <row r="596" spans="1:31">
      <c r="A596" s="5">
        <f>IF(B596=" "," ",HYPERLINK(CONCATENATE("#metadata!",ADDRESS(INDEX($Q$2:$Q$1001,MATCH(ROWS($O$2:O596),$O$2:$O$1001,0),0),1)),INDEX($T$2:$T$1001,MATCH(ROWS($O$2:O596),$O$2:$O$1001,0),0)))</f>
        <v>0</v>
      </c>
      <c r="B596" s="4">
        <f>IF(OR(INDEX($P$2:$P$1001,MATCH(ROWS($O$2:O596),$O$2:$O$1001,0),1)&gt;=100000,INDEX($V$1005:$AE$1005,1,MATCH(COLUMNS($V$1006:V1006),$V$1006:$AE$1006,0))&gt;=100000), " ",IF(INDEX($V$2:$AE$1001,MATCH(ROWS($O$2:O596),$O$2:$O$1001,0),MATCH(COLUMNS($V$1006:V1006),$V$1006:$AE$1006,0)), HYPERLINK("#",""), HYPERLINK(CONCATENATE("#Metadata!", ADDRESS(INDEX($Q$2:$Q$1001,MATCH(ROWS($O$2:O596),$O$2:$O$1001,0),0), INDEX($V$1004:$AE$1004,1,MATCH(COLUMNS($V$1006:V1006),$V$1006:$AE$1006,0)))),"Fix")))</f>
        <v>0</v>
      </c>
      <c r="C596" s="4">
        <f>IF(OR(INDEX($P$2:$P$1001,MATCH(ROWS($O$2:O596),$O$2:$O$1001,0),1)&gt;=100000,INDEX($V$1005:$AE$1005,1,MATCH(COLUMNS($V$1006:W1006),$V$1006:$AE$1006,0))&gt;=100000), " ",IF(INDEX($V$2:$AE$1001,MATCH(ROWS($O$2:O596),$O$2:$O$1001,0),MATCH(COLUMNS($V$1006:W1006),$V$1006:$AE$1006,0)), HYPERLINK("#",""), HYPERLINK(CONCATENATE("#Metadata!", ADDRESS(INDEX($Q$2:$Q$1001,MATCH(ROWS($O$2:O596),$O$2:$O$1001,0),0), INDEX($V$1004:$AE$1004,1,MATCH(COLUMNS($V$1006:W1006),$V$1006:$AE$1006,0)))),"Fix")))</f>
        <v>0</v>
      </c>
      <c r="D596" s="4">
        <f>IF(OR(INDEX($P$2:$P$1001,MATCH(ROWS($O$2:O596),$O$2:$O$1001,0),1)&gt;=100000,INDEX($V$1005:$AE$1005,1,MATCH(COLUMNS($V$1006:X1006),$V$1006:$AE$1006,0))&gt;=100000), " ",IF(INDEX($V$2:$AE$1001,MATCH(ROWS($O$2:O596),$O$2:$O$1001,0),MATCH(COLUMNS($V$1006:X1006),$V$1006:$AE$1006,0)), HYPERLINK("#",""), HYPERLINK(CONCATENATE("#Metadata!", ADDRESS(INDEX($Q$2:$Q$1001,MATCH(ROWS($O$2:O596),$O$2:$O$1001,0),0), INDEX($V$1004:$AE$1004,1,MATCH(COLUMNS($V$1006:X1006),$V$1006:$AE$1006,0)))),"Fix")))</f>
        <v>0</v>
      </c>
      <c r="E596" s="4">
        <f>IF(OR(INDEX($P$2:$P$1001,MATCH(ROWS($O$2:O596),$O$2:$O$1001,0),1)&gt;=100000,INDEX($V$1005:$AE$1005,1,MATCH(COLUMNS($V$1006:Y1006),$V$1006:$AE$1006,0))&gt;=100000), " ",IF(INDEX($V$2:$AE$1001,MATCH(ROWS($O$2:O596),$O$2:$O$1001,0),MATCH(COLUMNS($V$1006:Y1006),$V$1006:$AE$1006,0)), HYPERLINK("#",""), HYPERLINK(CONCATENATE("#Metadata!", ADDRESS(INDEX($Q$2:$Q$1001,MATCH(ROWS($O$2:O596),$O$2:$O$1001,0),0), INDEX($V$1004:$AE$1004,1,MATCH(COLUMNS($V$1006:Y1006),$V$1006:$AE$1006,0)))),"Fix")))</f>
        <v>0</v>
      </c>
      <c r="F596" s="4">
        <f>IF(OR(INDEX($P$2:$P$1001,MATCH(ROWS($O$2:O596),$O$2:$O$1001,0),1)&gt;=100000,INDEX($V$1005:$AE$1005,1,MATCH(COLUMNS($V$1006:Z1006),$V$1006:$AE$1006,0))&gt;=100000), " ",IF(INDEX($V$2:$AE$1001,MATCH(ROWS($O$2:O596),$O$2:$O$1001,0),MATCH(COLUMNS($V$1006:Z1006),$V$1006:$AE$1006,0)), HYPERLINK("#",""), HYPERLINK(CONCATENATE("#Metadata!", ADDRESS(INDEX($Q$2:$Q$1001,MATCH(ROWS($O$2:O596),$O$2:$O$1001,0),0), INDEX($V$1004:$AE$1004,1,MATCH(COLUMNS($V$1006:Z1006),$V$1006:$AE$1006,0)))),"Fix")))</f>
        <v>0</v>
      </c>
      <c r="G596" s="4">
        <f>IF(OR(INDEX($P$2:$P$1001,MATCH(ROWS($O$2:O596),$O$2:$O$1001,0),1)&gt;=100000,INDEX($V$1005:$AE$1005,1,MATCH(COLUMNS($V$1006:AA1006),$V$1006:$AE$1006,0))&gt;=100000), " ",IF(INDEX($V$2:$AE$1001,MATCH(ROWS($O$2:O596),$O$2:$O$1001,0),MATCH(COLUMNS($V$1006:AA1006),$V$1006:$AE$1006,0)), HYPERLINK("#",""), HYPERLINK(CONCATENATE("#Metadata!", ADDRESS(INDEX($Q$2:$Q$1001,MATCH(ROWS($O$2:O596),$O$2:$O$1001,0),0), INDEX($V$1004:$AE$1004,1,MATCH(COLUMNS($V$1006:AA1006),$V$1006:$AE$1006,0)))),"Fix")))</f>
        <v>0</v>
      </c>
      <c r="H596" s="4">
        <f>IF(OR(INDEX($P$2:$P$1001,MATCH(ROWS($O$2:O596),$O$2:$O$1001,0),1)&gt;=100000,INDEX($V$1005:$AE$1005,1,MATCH(COLUMNS($V$1006:AB1006),$V$1006:$AE$1006,0))&gt;=100000), " ",IF(INDEX($V$2:$AE$1001,MATCH(ROWS($O$2:O596),$O$2:$O$1001,0),MATCH(COLUMNS($V$1006:AB1006),$V$1006:$AE$1006,0)), HYPERLINK("#",""), HYPERLINK(CONCATENATE("#Metadata!", ADDRESS(INDEX($Q$2:$Q$1001,MATCH(ROWS($O$2:O596),$O$2:$O$1001,0),0), INDEX($V$1004:$AE$1004,1,MATCH(COLUMNS($V$1006:AB1006),$V$1006:$AE$1006,0)))),"Fix")))</f>
        <v>0</v>
      </c>
      <c r="I596" s="4">
        <f>IF(OR(INDEX($P$2:$P$1001,MATCH(ROWS($O$2:O596),$O$2:$O$1001,0),1)&gt;=100000,INDEX($V$1005:$AE$1005,1,MATCH(COLUMNS($V$1006:AC1006),$V$1006:$AE$1006,0))&gt;=100000), " ",IF(INDEX($V$2:$AE$1001,MATCH(ROWS($O$2:O596),$O$2:$O$1001,0),MATCH(COLUMNS($V$1006:AC1006),$V$1006:$AE$1006,0)), HYPERLINK("#",""), HYPERLINK(CONCATENATE("#Metadata!", ADDRESS(INDEX($Q$2:$Q$1001,MATCH(ROWS($O$2:O596),$O$2:$O$1001,0),0), INDEX($V$1004:$AE$1004,1,MATCH(COLUMNS($V$1006:AC1006),$V$1006:$AE$1006,0)))),"Fix")))</f>
        <v>0</v>
      </c>
      <c r="J596" s="4">
        <f>IF(OR(INDEX($P$2:$P$1001,MATCH(ROWS($O$2:O596),$O$2:$O$1001,0),1)&gt;=100000,INDEX($V$1005:$AE$1005,1,MATCH(COLUMNS($V$1006:AD1006),$V$1006:$AE$1006,0))&gt;=100000), " ",IF(INDEX($V$2:$AE$1001,MATCH(ROWS($O$2:O596),$O$2:$O$1001,0),MATCH(COLUMNS($V$1006:AD1006),$V$1006:$AE$1006,0)), HYPERLINK("#",""), HYPERLINK(CONCATENATE("#Metadata!", ADDRESS(INDEX($Q$2:$Q$1001,MATCH(ROWS($O$2:O596),$O$2:$O$1001,0),0), INDEX($V$1004:$AE$1004,1,MATCH(COLUMNS($V$1006:AD1006),$V$1006:$AE$1006,0)))),"Fix")))</f>
        <v>0</v>
      </c>
      <c r="K596" s="4">
        <f>IF(OR(INDEX($P$2:$P$1001,MATCH(ROWS($O$2:O596),$O$2:$O$1001,0),1)&gt;=100000,INDEX($V$1005:$AE$1005,1,MATCH(COLUMNS($V$1006:AE1006),$V$1006:$AE$1006,0))&gt;=100000), " ",IF(INDEX($V$2:$AE$1001,MATCH(ROWS($O$2:O596),$O$2:$O$1001,0),MATCH(COLUMNS($V$1006:AE1006),$V$1006:$AE$1006,0)), HYPERLINK("#",""), HYPERLINK(CONCATENATE("#Metadata!", ADDRESS(INDEX($Q$2:$Q$1001,MATCH(ROWS($O$2:O596),$O$2:$O$1001,0),0), INDEX($V$1004:$AE$1004,1,MATCH(COLUMNS($V$1006:AE1006),$V$1006:$AE$1006,0)))),"Fix")))</f>
        <v>0</v>
      </c>
      <c r="O596">
        <v>0</v>
      </c>
      <c r="P596">
        <v>0</v>
      </c>
      <c r="Q596">
        <v>0</v>
      </c>
      <c r="R596">
        <f>IF(S596,TRUE,AND(V596:AE596))</f>
        <v>0</v>
      </c>
      <c r="S596">
        <f>COUNTBLANK(Metadata!B596:K596)=COLUMNS(Metadata!B596:K596)</f>
        <v>0</v>
      </c>
      <c r="T596">
        <v>0</v>
      </c>
      <c r="V596">
        <f>AND(IF(Metadata!B596="",FALSE,TRUE),COUNTIF(Metadata!B:B, Metadata!B596) = 1,NOT(ISERROR(SUMPRODUCT(SEARCH(MID(Metadata!B596,ROW(INDIRECT("1:"&amp;LEN(Metadata!B596))), 1),"0123456789abcdefghijklmnopqrstuvwxyzABCDEFGHIJKLMNOPQRSTUVWXYZ.")))))</f>
        <v>0</v>
      </c>
      <c r="W596">
        <f>AND(IF(Metadata!C596="",FALSE,TRUE),exact(Metadata!C596,"urban biome"))</f>
        <v>0</v>
      </c>
      <c r="X596">
        <f>AND(IF(Metadata!D596="",FALSE,TRUE),exact(Metadata!D596,"animal-associated habitat"))</f>
        <v>0</v>
      </c>
      <c r="Y596">
        <f>OR(AND(IF(Metadata!E596="",FALSE,TRUE),OR(exact(Metadata!E596,"not applicable"),exact(Metadata!E596,"missing: not collected"),exact(Metadata!E596,"missing: not provided"),exact(Metadata!E596,"missing: restricted access"))),AND(IF(Metadata!E596="",FALSE,ISNUMBER(VALUE(Metadata!E596))),Metadata!E596&gt;0))</f>
        <v>0</v>
      </c>
      <c r="Z596">
        <f>AND(IF(Metadata!F596="",FALSE,TRUE),exact(Metadata!F596,"weeks"))</f>
        <v>0</v>
      </c>
      <c r="AA596">
        <f>AND(IF(Metadata!G596="",FALSE,TRUE),exact(Metadata!G596,"mouse"))</f>
        <v>0</v>
      </c>
      <c r="AB596">
        <f>AND(IF(Metadata!H596="",FALSE,TRUE),exact(Metadata!H596,"Mus musculus"))</f>
        <v>0</v>
      </c>
      <c r="AC596">
        <f>AND(IF(Metadata!I596="",FALSE,TRUE),exact(Metadata!I596,"10090"))</f>
        <v>0</v>
      </c>
      <c r="AD596">
        <f>OR(AND(IF(Metadata!J596="",FALSE,TRUE),OR(exact(Metadata!J596,"not applicable"),exact(Metadata!J596,"missing: not collected"),exact(Metadata!J596,"missing: not provided"),exact(Metadata!J596,"missing: restricted access"))),AND(IF(Metadata!J596="",FALSE,ISNUMBER(VALUE(Metadata!J596))),Metadata!J596&gt;0))</f>
        <v>0</v>
      </c>
      <c r="AE596">
        <f>AND(IF(Metadata!K596="",FALSE,TRUE),exact(Metadata!K596,"g"))</f>
        <v>0</v>
      </c>
    </row>
    <row r="597" spans="1:31">
      <c r="A597" s="5">
        <f>IF(B597=" "," ",HYPERLINK(CONCATENATE("#metadata!",ADDRESS(INDEX($Q$2:$Q$1001,MATCH(ROWS($O$2:O597),$O$2:$O$1001,0),0),1)),INDEX($T$2:$T$1001,MATCH(ROWS($O$2:O597),$O$2:$O$1001,0),0)))</f>
        <v>0</v>
      </c>
      <c r="B597" s="4">
        <f>IF(OR(INDEX($P$2:$P$1001,MATCH(ROWS($O$2:O597),$O$2:$O$1001,0),1)&gt;=100000,INDEX($V$1005:$AE$1005,1,MATCH(COLUMNS($V$1006:V1006),$V$1006:$AE$1006,0))&gt;=100000), " ",IF(INDEX($V$2:$AE$1001,MATCH(ROWS($O$2:O597),$O$2:$O$1001,0),MATCH(COLUMNS($V$1006:V1006),$V$1006:$AE$1006,0)), HYPERLINK("#",""), HYPERLINK(CONCATENATE("#Metadata!", ADDRESS(INDEX($Q$2:$Q$1001,MATCH(ROWS($O$2:O597),$O$2:$O$1001,0),0), INDEX($V$1004:$AE$1004,1,MATCH(COLUMNS($V$1006:V1006),$V$1006:$AE$1006,0)))),"Fix")))</f>
        <v>0</v>
      </c>
      <c r="C597" s="4">
        <f>IF(OR(INDEX($P$2:$P$1001,MATCH(ROWS($O$2:O597),$O$2:$O$1001,0),1)&gt;=100000,INDEX($V$1005:$AE$1005,1,MATCH(COLUMNS($V$1006:W1006),$V$1006:$AE$1006,0))&gt;=100000), " ",IF(INDEX($V$2:$AE$1001,MATCH(ROWS($O$2:O597),$O$2:$O$1001,0),MATCH(COLUMNS($V$1006:W1006),$V$1006:$AE$1006,0)), HYPERLINK("#",""), HYPERLINK(CONCATENATE("#Metadata!", ADDRESS(INDEX($Q$2:$Q$1001,MATCH(ROWS($O$2:O597),$O$2:$O$1001,0),0), INDEX($V$1004:$AE$1004,1,MATCH(COLUMNS($V$1006:W1006),$V$1006:$AE$1006,0)))),"Fix")))</f>
        <v>0</v>
      </c>
      <c r="D597" s="4">
        <f>IF(OR(INDEX($P$2:$P$1001,MATCH(ROWS($O$2:O597),$O$2:$O$1001,0),1)&gt;=100000,INDEX($V$1005:$AE$1005,1,MATCH(COLUMNS($V$1006:X1006),$V$1006:$AE$1006,0))&gt;=100000), " ",IF(INDEX($V$2:$AE$1001,MATCH(ROWS($O$2:O597),$O$2:$O$1001,0),MATCH(COLUMNS($V$1006:X1006),$V$1006:$AE$1006,0)), HYPERLINK("#",""), HYPERLINK(CONCATENATE("#Metadata!", ADDRESS(INDEX($Q$2:$Q$1001,MATCH(ROWS($O$2:O597),$O$2:$O$1001,0),0), INDEX($V$1004:$AE$1004,1,MATCH(COLUMNS($V$1006:X1006),$V$1006:$AE$1006,0)))),"Fix")))</f>
        <v>0</v>
      </c>
      <c r="E597" s="4">
        <f>IF(OR(INDEX($P$2:$P$1001,MATCH(ROWS($O$2:O597),$O$2:$O$1001,0),1)&gt;=100000,INDEX($V$1005:$AE$1005,1,MATCH(COLUMNS($V$1006:Y1006),$V$1006:$AE$1006,0))&gt;=100000), " ",IF(INDEX($V$2:$AE$1001,MATCH(ROWS($O$2:O597),$O$2:$O$1001,0),MATCH(COLUMNS($V$1006:Y1006),$V$1006:$AE$1006,0)), HYPERLINK("#",""), HYPERLINK(CONCATENATE("#Metadata!", ADDRESS(INDEX($Q$2:$Q$1001,MATCH(ROWS($O$2:O597),$O$2:$O$1001,0),0), INDEX($V$1004:$AE$1004,1,MATCH(COLUMNS($V$1006:Y1006),$V$1006:$AE$1006,0)))),"Fix")))</f>
        <v>0</v>
      </c>
      <c r="F597" s="4">
        <f>IF(OR(INDEX($P$2:$P$1001,MATCH(ROWS($O$2:O597),$O$2:$O$1001,0),1)&gt;=100000,INDEX($V$1005:$AE$1005,1,MATCH(COLUMNS($V$1006:Z1006),$V$1006:$AE$1006,0))&gt;=100000), " ",IF(INDEX($V$2:$AE$1001,MATCH(ROWS($O$2:O597),$O$2:$O$1001,0),MATCH(COLUMNS($V$1006:Z1006),$V$1006:$AE$1006,0)), HYPERLINK("#",""), HYPERLINK(CONCATENATE("#Metadata!", ADDRESS(INDEX($Q$2:$Q$1001,MATCH(ROWS($O$2:O597),$O$2:$O$1001,0),0), INDEX($V$1004:$AE$1004,1,MATCH(COLUMNS($V$1006:Z1006),$V$1006:$AE$1006,0)))),"Fix")))</f>
        <v>0</v>
      </c>
      <c r="G597" s="4">
        <f>IF(OR(INDEX($P$2:$P$1001,MATCH(ROWS($O$2:O597),$O$2:$O$1001,0),1)&gt;=100000,INDEX($V$1005:$AE$1005,1,MATCH(COLUMNS($V$1006:AA1006),$V$1006:$AE$1006,0))&gt;=100000), " ",IF(INDEX($V$2:$AE$1001,MATCH(ROWS($O$2:O597),$O$2:$O$1001,0),MATCH(COLUMNS($V$1006:AA1006),$V$1006:$AE$1006,0)), HYPERLINK("#",""), HYPERLINK(CONCATENATE("#Metadata!", ADDRESS(INDEX($Q$2:$Q$1001,MATCH(ROWS($O$2:O597),$O$2:$O$1001,0),0), INDEX($V$1004:$AE$1004,1,MATCH(COLUMNS($V$1006:AA1006),$V$1006:$AE$1006,0)))),"Fix")))</f>
        <v>0</v>
      </c>
      <c r="H597" s="4">
        <f>IF(OR(INDEX($P$2:$P$1001,MATCH(ROWS($O$2:O597),$O$2:$O$1001,0),1)&gt;=100000,INDEX($V$1005:$AE$1005,1,MATCH(COLUMNS($V$1006:AB1006),$V$1006:$AE$1006,0))&gt;=100000), " ",IF(INDEX($V$2:$AE$1001,MATCH(ROWS($O$2:O597),$O$2:$O$1001,0),MATCH(COLUMNS($V$1006:AB1006),$V$1006:$AE$1006,0)), HYPERLINK("#",""), HYPERLINK(CONCATENATE("#Metadata!", ADDRESS(INDEX($Q$2:$Q$1001,MATCH(ROWS($O$2:O597),$O$2:$O$1001,0),0), INDEX($V$1004:$AE$1004,1,MATCH(COLUMNS($V$1006:AB1006),$V$1006:$AE$1006,0)))),"Fix")))</f>
        <v>0</v>
      </c>
      <c r="I597" s="4">
        <f>IF(OR(INDEX($P$2:$P$1001,MATCH(ROWS($O$2:O597),$O$2:$O$1001,0),1)&gt;=100000,INDEX($V$1005:$AE$1005,1,MATCH(COLUMNS($V$1006:AC1006),$V$1006:$AE$1006,0))&gt;=100000), " ",IF(INDEX($V$2:$AE$1001,MATCH(ROWS($O$2:O597),$O$2:$O$1001,0),MATCH(COLUMNS($V$1006:AC1006),$V$1006:$AE$1006,0)), HYPERLINK("#",""), HYPERLINK(CONCATENATE("#Metadata!", ADDRESS(INDEX($Q$2:$Q$1001,MATCH(ROWS($O$2:O597),$O$2:$O$1001,0),0), INDEX($V$1004:$AE$1004,1,MATCH(COLUMNS($V$1006:AC1006),$V$1006:$AE$1006,0)))),"Fix")))</f>
        <v>0</v>
      </c>
      <c r="J597" s="4">
        <f>IF(OR(INDEX($P$2:$P$1001,MATCH(ROWS($O$2:O597),$O$2:$O$1001,0),1)&gt;=100000,INDEX($V$1005:$AE$1005,1,MATCH(COLUMNS($V$1006:AD1006),$V$1006:$AE$1006,0))&gt;=100000), " ",IF(INDEX($V$2:$AE$1001,MATCH(ROWS($O$2:O597),$O$2:$O$1001,0),MATCH(COLUMNS($V$1006:AD1006),$V$1006:$AE$1006,0)), HYPERLINK("#",""), HYPERLINK(CONCATENATE("#Metadata!", ADDRESS(INDEX($Q$2:$Q$1001,MATCH(ROWS($O$2:O597),$O$2:$O$1001,0),0), INDEX($V$1004:$AE$1004,1,MATCH(COLUMNS($V$1006:AD1006),$V$1006:$AE$1006,0)))),"Fix")))</f>
        <v>0</v>
      </c>
      <c r="K597" s="4">
        <f>IF(OR(INDEX($P$2:$P$1001,MATCH(ROWS($O$2:O597),$O$2:$O$1001,0),1)&gt;=100000,INDEX($V$1005:$AE$1005,1,MATCH(COLUMNS($V$1006:AE1006),$V$1006:$AE$1006,0))&gt;=100000), " ",IF(INDEX($V$2:$AE$1001,MATCH(ROWS($O$2:O597),$O$2:$O$1001,0),MATCH(COLUMNS($V$1006:AE1006),$V$1006:$AE$1006,0)), HYPERLINK("#",""), HYPERLINK(CONCATENATE("#Metadata!", ADDRESS(INDEX($Q$2:$Q$1001,MATCH(ROWS($O$2:O597),$O$2:$O$1001,0),0), INDEX($V$1004:$AE$1004,1,MATCH(COLUMNS($V$1006:AE1006),$V$1006:$AE$1006,0)))),"Fix")))</f>
        <v>0</v>
      </c>
      <c r="O597">
        <v>0</v>
      </c>
      <c r="P597">
        <v>0</v>
      </c>
      <c r="Q597">
        <v>0</v>
      </c>
      <c r="R597">
        <f>IF(S597,TRUE,AND(V597:AE597))</f>
        <v>0</v>
      </c>
      <c r="S597">
        <f>COUNTBLANK(Metadata!B597:K597)=COLUMNS(Metadata!B597:K597)</f>
        <v>0</v>
      </c>
      <c r="T597">
        <v>0</v>
      </c>
      <c r="V597">
        <f>AND(IF(Metadata!B597="",FALSE,TRUE),COUNTIF(Metadata!B:B, Metadata!B597) = 1,NOT(ISERROR(SUMPRODUCT(SEARCH(MID(Metadata!B597,ROW(INDIRECT("1:"&amp;LEN(Metadata!B597))), 1),"0123456789abcdefghijklmnopqrstuvwxyzABCDEFGHIJKLMNOPQRSTUVWXYZ.")))))</f>
        <v>0</v>
      </c>
      <c r="W597">
        <f>AND(IF(Metadata!C597="",FALSE,TRUE),exact(Metadata!C597,"urban biome"))</f>
        <v>0</v>
      </c>
      <c r="X597">
        <f>AND(IF(Metadata!D597="",FALSE,TRUE),exact(Metadata!D597,"animal-associated habitat"))</f>
        <v>0</v>
      </c>
      <c r="Y597">
        <f>OR(AND(IF(Metadata!E597="",FALSE,TRUE),OR(exact(Metadata!E597,"not applicable"),exact(Metadata!E597,"missing: not collected"),exact(Metadata!E597,"missing: not provided"),exact(Metadata!E597,"missing: restricted access"))),AND(IF(Metadata!E597="",FALSE,ISNUMBER(VALUE(Metadata!E597))),Metadata!E597&gt;0))</f>
        <v>0</v>
      </c>
      <c r="Z597">
        <f>AND(IF(Metadata!F597="",FALSE,TRUE),exact(Metadata!F597,"weeks"))</f>
        <v>0</v>
      </c>
      <c r="AA597">
        <f>AND(IF(Metadata!G597="",FALSE,TRUE),exact(Metadata!G597,"mouse"))</f>
        <v>0</v>
      </c>
      <c r="AB597">
        <f>AND(IF(Metadata!H597="",FALSE,TRUE),exact(Metadata!H597,"Mus musculus"))</f>
        <v>0</v>
      </c>
      <c r="AC597">
        <f>AND(IF(Metadata!I597="",FALSE,TRUE),exact(Metadata!I597,"10090"))</f>
        <v>0</v>
      </c>
      <c r="AD597">
        <f>OR(AND(IF(Metadata!J597="",FALSE,TRUE),OR(exact(Metadata!J597,"not applicable"),exact(Metadata!J597,"missing: not collected"),exact(Metadata!J597,"missing: not provided"),exact(Metadata!J597,"missing: restricted access"))),AND(IF(Metadata!J597="",FALSE,ISNUMBER(VALUE(Metadata!J597))),Metadata!J597&gt;0))</f>
        <v>0</v>
      </c>
      <c r="AE597">
        <f>AND(IF(Metadata!K597="",FALSE,TRUE),exact(Metadata!K597,"g"))</f>
        <v>0</v>
      </c>
    </row>
    <row r="598" spans="1:31">
      <c r="A598" s="5">
        <f>IF(B598=" "," ",HYPERLINK(CONCATENATE("#metadata!",ADDRESS(INDEX($Q$2:$Q$1001,MATCH(ROWS($O$2:O598),$O$2:$O$1001,0),0),1)),INDEX($T$2:$T$1001,MATCH(ROWS($O$2:O598),$O$2:$O$1001,0),0)))</f>
        <v>0</v>
      </c>
      <c r="B598" s="4">
        <f>IF(OR(INDEX($P$2:$P$1001,MATCH(ROWS($O$2:O598),$O$2:$O$1001,0),1)&gt;=100000,INDEX($V$1005:$AE$1005,1,MATCH(COLUMNS($V$1006:V1006),$V$1006:$AE$1006,0))&gt;=100000), " ",IF(INDEX($V$2:$AE$1001,MATCH(ROWS($O$2:O598),$O$2:$O$1001,0),MATCH(COLUMNS($V$1006:V1006),$V$1006:$AE$1006,0)), HYPERLINK("#",""), HYPERLINK(CONCATENATE("#Metadata!", ADDRESS(INDEX($Q$2:$Q$1001,MATCH(ROWS($O$2:O598),$O$2:$O$1001,0),0), INDEX($V$1004:$AE$1004,1,MATCH(COLUMNS($V$1006:V1006),$V$1006:$AE$1006,0)))),"Fix")))</f>
        <v>0</v>
      </c>
      <c r="C598" s="4">
        <f>IF(OR(INDEX($P$2:$P$1001,MATCH(ROWS($O$2:O598),$O$2:$O$1001,0),1)&gt;=100000,INDEX($V$1005:$AE$1005,1,MATCH(COLUMNS($V$1006:W1006),$V$1006:$AE$1006,0))&gt;=100000), " ",IF(INDEX($V$2:$AE$1001,MATCH(ROWS($O$2:O598),$O$2:$O$1001,0),MATCH(COLUMNS($V$1006:W1006),$V$1006:$AE$1006,0)), HYPERLINK("#",""), HYPERLINK(CONCATENATE("#Metadata!", ADDRESS(INDEX($Q$2:$Q$1001,MATCH(ROWS($O$2:O598),$O$2:$O$1001,0),0), INDEX($V$1004:$AE$1004,1,MATCH(COLUMNS($V$1006:W1006),$V$1006:$AE$1006,0)))),"Fix")))</f>
        <v>0</v>
      </c>
      <c r="D598" s="4">
        <f>IF(OR(INDEX($P$2:$P$1001,MATCH(ROWS($O$2:O598),$O$2:$O$1001,0),1)&gt;=100000,INDEX($V$1005:$AE$1005,1,MATCH(COLUMNS($V$1006:X1006),$V$1006:$AE$1006,0))&gt;=100000), " ",IF(INDEX($V$2:$AE$1001,MATCH(ROWS($O$2:O598),$O$2:$O$1001,0),MATCH(COLUMNS($V$1006:X1006),$V$1006:$AE$1006,0)), HYPERLINK("#",""), HYPERLINK(CONCATENATE("#Metadata!", ADDRESS(INDEX($Q$2:$Q$1001,MATCH(ROWS($O$2:O598),$O$2:$O$1001,0),0), INDEX($V$1004:$AE$1004,1,MATCH(COLUMNS($V$1006:X1006),$V$1006:$AE$1006,0)))),"Fix")))</f>
        <v>0</v>
      </c>
      <c r="E598" s="4">
        <f>IF(OR(INDEX($P$2:$P$1001,MATCH(ROWS($O$2:O598),$O$2:$O$1001,0),1)&gt;=100000,INDEX($V$1005:$AE$1005,1,MATCH(COLUMNS($V$1006:Y1006),$V$1006:$AE$1006,0))&gt;=100000), " ",IF(INDEX($V$2:$AE$1001,MATCH(ROWS($O$2:O598),$O$2:$O$1001,0),MATCH(COLUMNS($V$1006:Y1006),$V$1006:$AE$1006,0)), HYPERLINK("#",""), HYPERLINK(CONCATENATE("#Metadata!", ADDRESS(INDEX($Q$2:$Q$1001,MATCH(ROWS($O$2:O598),$O$2:$O$1001,0),0), INDEX($V$1004:$AE$1004,1,MATCH(COLUMNS($V$1006:Y1006),$V$1006:$AE$1006,0)))),"Fix")))</f>
        <v>0</v>
      </c>
      <c r="F598" s="4">
        <f>IF(OR(INDEX($P$2:$P$1001,MATCH(ROWS($O$2:O598),$O$2:$O$1001,0),1)&gt;=100000,INDEX($V$1005:$AE$1005,1,MATCH(COLUMNS($V$1006:Z1006),$V$1006:$AE$1006,0))&gt;=100000), " ",IF(INDEX($V$2:$AE$1001,MATCH(ROWS($O$2:O598),$O$2:$O$1001,0),MATCH(COLUMNS($V$1006:Z1006),$V$1006:$AE$1006,0)), HYPERLINK("#",""), HYPERLINK(CONCATENATE("#Metadata!", ADDRESS(INDEX($Q$2:$Q$1001,MATCH(ROWS($O$2:O598),$O$2:$O$1001,0),0), INDEX($V$1004:$AE$1004,1,MATCH(COLUMNS($V$1006:Z1006),$V$1006:$AE$1006,0)))),"Fix")))</f>
        <v>0</v>
      </c>
      <c r="G598" s="4">
        <f>IF(OR(INDEX($P$2:$P$1001,MATCH(ROWS($O$2:O598),$O$2:$O$1001,0),1)&gt;=100000,INDEX($V$1005:$AE$1005,1,MATCH(COLUMNS($V$1006:AA1006),$V$1006:$AE$1006,0))&gt;=100000), " ",IF(INDEX($V$2:$AE$1001,MATCH(ROWS($O$2:O598),$O$2:$O$1001,0),MATCH(COLUMNS($V$1006:AA1006),$V$1006:$AE$1006,0)), HYPERLINK("#",""), HYPERLINK(CONCATENATE("#Metadata!", ADDRESS(INDEX($Q$2:$Q$1001,MATCH(ROWS($O$2:O598),$O$2:$O$1001,0),0), INDEX($V$1004:$AE$1004,1,MATCH(COLUMNS($V$1006:AA1006),$V$1006:$AE$1006,0)))),"Fix")))</f>
        <v>0</v>
      </c>
      <c r="H598" s="4">
        <f>IF(OR(INDEX($P$2:$P$1001,MATCH(ROWS($O$2:O598),$O$2:$O$1001,0),1)&gt;=100000,INDEX($V$1005:$AE$1005,1,MATCH(COLUMNS($V$1006:AB1006),$V$1006:$AE$1006,0))&gt;=100000), " ",IF(INDEX($V$2:$AE$1001,MATCH(ROWS($O$2:O598),$O$2:$O$1001,0),MATCH(COLUMNS($V$1006:AB1006),$V$1006:$AE$1006,0)), HYPERLINK("#",""), HYPERLINK(CONCATENATE("#Metadata!", ADDRESS(INDEX($Q$2:$Q$1001,MATCH(ROWS($O$2:O598),$O$2:$O$1001,0),0), INDEX($V$1004:$AE$1004,1,MATCH(COLUMNS($V$1006:AB1006),$V$1006:$AE$1006,0)))),"Fix")))</f>
        <v>0</v>
      </c>
      <c r="I598" s="4">
        <f>IF(OR(INDEX($P$2:$P$1001,MATCH(ROWS($O$2:O598),$O$2:$O$1001,0),1)&gt;=100000,INDEX($V$1005:$AE$1005,1,MATCH(COLUMNS($V$1006:AC1006),$V$1006:$AE$1006,0))&gt;=100000), " ",IF(INDEX($V$2:$AE$1001,MATCH(ROWS($O$2:O598),$O$2:$O$1001,0),MATCH(COLUMNS($V$1006:AC1006),$V$1006:$AE$1006,0)), HYPERLINK("#",""), HYPERLINK(CONCATENATE("#Metadata!", ADDRESS(INDEX($Q$2:$Q$1001,MATCH(ROWS($O$2:O598),$O$2:$O$1001,0),0), INDEX($V$1004:$AE$1004,1,MATCH(COLUMNS($V$1006:AC1006),$V$1006:$AE$1006,0)))),"Fix")))</f>
        <v>0</v>
      </c>
      <c r="J598" s="4">
        <f>IF(OR(INDEX($P$2:$P$1001,MATCH(ROWS($O$2:O598),$O$2:$O$1001,0),1)&gt;=100000,INDEX($V$1005:$AE$1005,1,MATCH(COLUMNS($V$1006:AD1006),$V$1006:$AE$1006,0))&gt;=100000), " ",IF(INDEX($V$2:$AE$1001,MATCH(ROWS($O$2:O598),$O$2:$O$1001,0),MATCH(COLUMNS($V$1006:AD1006),$V$1006:$AE$1006,0)), HYPERLINK("#",""), HYPERLINK(CONCATENATE("#Metadata!", ADDRESS(INDEX($Q$2:$Q$1001,MATCH(ROWS($O$2:O598),$O$2:$O$1001,0),0), INDEX($V$1004:$AE$1004,1,MATCH(COLUMNS($V$1006:AD1006),$V$1006:$AE$1006,0)))),"Fix")))</f>
        <v>0</v>
      </c>
      <c r="K598" s="4">
        <f>IF(OR(INDEX($P$2:$P$1001,MATCH(ROWS($O$2:O598),$O$2:$O$1001,0),1)&gt;=100000,INDEX($V$1005:$AE$1005,1,MATCH(COLUMNS($V$1006:AE1006),$V$1006:$AE$1006,0))&gt;=100000), " ",IF(INDEX($V$2:$AE$1001,MATCH(ROWS($O$2:O598),$O$2:$O$1001,0),MATCH(COLUMNS($V$1006:AE1006),$V$1006:$AE$1006,0)), HYPERLINK("#",""), HYPERLINK(CONCATENATE("#Metadata!", ADDRESS(INDEX($Q$2:$Q$1001,MATCH(ROWS($O$2:O598),$O$2:$O$1001,0),0), INDEX($V$1004:$AE$1004,1,MATCH(COLUMNS($V$1006:AE1006),$V$1006:$AE$1006,0)))),"Fix")))</f>
        <v>0</v>
      </c>
      <c r="O598">
        <v>0</v>
      </c>
      <c r="P598">
        <v>0</v>
      </c>
      <c r="Q598">
        <v>0</v>
      </c>
      <c r="R598">
        <f>IF(S598,TRUE,AND(V598:AE598))</f>
        <v>0</v>
      </c>
      <c r="S598">
        <f>COUNTBLANK(Metadata!B598:K598)=COLUMNS(Metadata!B598:K598)</f>
        <v>0</v>
      </c>
      <c r="T598">
        <v>0</v>
      </c>
      <c r="V598">
        <f>AND(IF(Metadata!B598="",FALSE,TRUE),COUNTIF(Metadata!B:B, Metadata!B598) = 1,NOT(ISERROR(SUMPRODUCT(SEARCH(MID(Metadata!B598,ROW(INDIRECT("1:"&amp;LEN(Metadata!B598))), 1),"0123456789abcdefghijklmnopqrstuvwxyzABCDEFGHIJKLMNOPQRSTUVWXYZ.")))))</f>
        <v>0</v>
      </c>
      <c r="W598">
        <f>AND(IF(Metadata!C598="",FALSE,TRUE),exact(Metadata!C598,"urban biome"))</f>
        <v>0</v>
      </c>
      <c r="X598">
        <f>AND(IF(Metadata!D598="",FALSE,TRUE),exact(Metadata!D598,"animal-associated habitat"))</f>
        <v>0</v>
      </c>
      <c r="Y598">
        <f>OR(AND(IF(Metadata!E598="",FALSE,TRUE),OR(exact(Metadata!E598,"not applicable"),exact(Metadata!E598,"missing: not collected"),exact(Metadata!E598,"missing: not provided"),exact(Metadata!E598,"missing: restricted access"))),AND(IF(Metadata!E598="",FALSE,ISNUMBER(VALUE(Metadata!E598))),Metadata!E598&gt;0))</f>
        <v>0</v>
      </c>
      <c r="Z598">
        <f>AND(IF(Metadata!F598="",FALSE,TRUE),exact(Metadata!F598,"weeks"))</f>
        <v>0</v>
      </c>
      <c r="AA598">
        <f>AND(IF(Metadata!G598="",FALSE,TRUE),exact(Metadata!G598,"mouse"))</f>
        <v>0</v>
      </c>
      <c r="AB598">
        <f>AND(IF(Metadata!H598="",FALSE,TRUE),exact(Metadata!H598,"Mus musculus"))</f>
        <v>0</v>
      </c>
      <c r="AC598">
        <f>AND(IF(Metadata!I598="",FALSE,TRUE),exact(Metadata!I598,"10090"))</f>
        <v>0</v>
      </c>
      <c r="AD598">
        <f>OR(AND(IF(Metadata!J598="",FALSE,TRUE),OR(exact(Metadata!J598,"not applicable"),exact(Metadata!J598,"missing: not collected"),exact(Metadata!J598,"missing: not provided"),exact(Metadata!J598,"missing: restricted access"))),AND(IF(Metadata!J598="",FALSE,ISNUMBER(VALUE(Metadata!J598))),Metadata!J598&gt;0))</f>
        <v>0</v>
      </c>
      <c r="AE598">
        <f>AND(IF(Metadata!K598="",FALSE,TRUE),exact(Metadata!K598,"g"))</f>
        <v>0</v>
      </c>
    </row>
    <row r="599" spans="1:31">
      <c r="A599" s="5">
        <f>IF(B599=" "," ",HYPERLINK(CONCATENATE("#metadata!",ADDRESS(INDEX($Q$2:$Q$1001,MATCH(ROWS($O$2:O599),$O$2:$O$1001,0),0),1)),INDEX($T$2:$T$1001,MATCH(ROWS($O$2:O599),$O$2:$O$1001,0),0)))</f>
        <v>0</v>
      </c>
      <c r="B599" s="4">
        <f>IF(OR(INDEX($P$2:$P$1001,MATCH(ROWS($O$2:O599),$O$2:$O$1001,0),1)&gt;=100000,INDEX($V$1005:$AE$1005,1,MATCH(COLUMNS($V$1006:V1006),$V$1006:$AE$1006,0))&gt;=100000), " ",IF(INDEX($V$2:$AE$1001,MATCH(ROWS($O$2:O599),$O$2:$O$1001,0),MATCH(COLUMNS($V$1006:V1006),$V$1006:$AE$1006,0)), HYPERLINK("#",""), HYPERLINK(CONCATENATE("#Metadata!", ADDRESS(INDEX($Q$2:$Q$1001,MATCH(ROWS($O$2:O599),$O$2:$O$1001,0),0), INDEX($V$1004:$AE$1004,1,MATCH(COLUMNS($V$1006:V1006),$V$1006:$AE$1006,0)))),"Fix")))</f>
        <v>0</v>
      </c>
      <c r="C599" s="4">
        <f>IF(OR(INDEX($P$2:$P$1001,MATCH(ROWS($O$2:O599),$O$2:$O$1001,0),1)&gt;=100000,INDEX($V$1005:$AE$1005,1,MATCH(COLUMNS($V$1006:W1006),$V$1006:$AE$1006,0))&gt;=100000), " ",IF(INDEX($V$2:$AE$1001,MATCH(ROWS($O$2:O599),$O$2:$O$1001,0),MATCH(COLUMNS($V$1006:W1006),$V$1006:$AE$1006,0)), HYPERLINK("#",""), HYPERLINK(CONCATENATE("#Metadata!", ADDRESS(INDEX($Q$2:$Q$1001,MATCH(ROWS($O$2:O599),$O$2:$O$1001,0),0), INDEX($V$1004:$AE$1004,1,MATCH(COLUMNS($V$1006:W1006),$V$1006:$AE$1006,0)))),"Fix")))</f>
        <v>0</v>
      </c>
      <c r="D599" s="4">
        <f>IF(OR(INDEX($P$2:$P$1001,MATCH(ROWS($O$2:O599),$O$2:$O$1001,0),1)&gt;=100000,INDEX($V$1005:$AE$1005,1,MATCH(COLUMNS($V$1006:X1006),$V$1006:$AE$1006,0))&gt;=100000), " ",IF(INDEX($V$2:$AE$1001,MATCH(ROWS($O$2:O599),$O$2:$O$1001,0),MATCH(COLUMNS($V$1006:X1006),$V$1006:$AE$1006,0)), HYPERLINK("#",""), HYPERLINK(CONCATENATE("#Metadata!", ADDRESS(INDEX($Q$2:$Q$1001,MATCH(ROWS($O$2:O599),$O$2:$O$1001,0),0), INDEX($V$1004:$AE$1004,1,MATCH(COLUMNS($V$1006:X1006),$V$1006:$AE$1006,0)))),"Fix")))</f>
        <v>0</v>
      </c>
      <c r="E599" s="4">
        <f>IF(OR(INDEX($P$2:$P$1001,MATCH(ROWS($O$2:O599),$O$2:$O$1001,0),1)&gt;=100000,INDEX($V$1005:$AE$1005,1,MATCH(COLUMNS($V$1006:Y1006),$V$1006:$AE$1006,0))&gt;=100000), " ",IF(INDEX($V$2:$AE$1001,MATCH(ROWS($O$2:O599),$O$2:$O$1001,0),MATCH(COLUMNS($V$1006:Y1006),$V$1006:$AE$1006,0)), HYPERLINK("#",""), HYPERLINK(CONCATENATE("#Metadata!", ADDRESS(INDEX($Q$2:$Q$1001,MATCH(ROWS($O$2:O599),$O$2:$O$1001,0),0), INDEX($V$1004:$AE$1004,1,MATCH(COLUMNS($V$1006:Y1006),$V$1006:$AE$1006,0)))),"Fix")))</f>
        <v>0</v>
      </c>
      <c r="F599" s="4">
        <f>IF(OR(INDEX($P$2:$P$1001,MATCH(ROWS($O$2:O599),$O$2:$O$1001,0),1)&gt;=100000,INDEX($V$1005:$AE$1005,1,MATCH(COLUMNS($V$1006:Z1006),$V$1006:$AE$1006,0))&gt;=100000), " ",IF(INDEX($V$2:$AE$1001,MATCH(ROWS($O$2:O599),$O$2:$O$1001,0),MATCH(COLUMNS($V$1006:Z1006),$V$1006:$AE$1006,0)), HYPERLINK("#",""), HYPERLINK(CONCATENATE("#Metadata!", ADDRESS(INDEX($Q$2:$Q$1001,MATCH(ROWS($O$2:O599),$O$2:$O$1001,0),0), INDEX($V$1004:$AE$1004,1,MATCH(COLUMNS($V$1006:Z1006),$V$1006:$AE$1006,0)))),"Fix")))</f>
        <v>0</v>
      </c>
      <c r="G599" s="4">
        <f>IF(OR(INDEX($P$2:$P$1001,MATCH(ROWS($O$2:O599),$O$2:$O$1001,0),1)&gt;=100000,INDEX($V$1005:$AE$1005,1,MATCH(COLUMNS($V$1006:AA1006),$V$1006:$AE$1006,0))&gt;=100000), " ",IF(INDEX($V$2:$AE$1001,MATCH(ROWS($O$2:O599),$O$2:$O$1001,0),MATCH(COLUMNS($V$1006:AA1006),$V$1006:$AE$1006,0)), HYPERLINK("#",""), HYPERLINK(CONCATENATE("#Metadata!", ADDRESS(INDEX($Q$2:$Q$1001,MATCH(ROWS($O$2:O599),$O$2:$O$1001,0),0), INDEX($V$1004:$AE$1004,1,MATCH(COLUMNS($V$1006:AA1006),$V$1006:$AE$1006,0)))),"Fix")))</f>
        <v>0</v>
      </c>
      <c r="H599" s="4">
        <f>IF(OR(INDEX($P$2:$P$1001,MATCH(ROWS($O$2:O599),$O$2:$O$1001,0),1)&gt;=100000,INDEX($V$1005:$AE$1005,1,MATCH(COLUMNS($V$1006:AB1006),$V$1006:$AE$1006,0))&gt;=100000), " ",IF(INDEX($V$2:$AE$1001,MATCH(ROWS($O$2:O599),$O$2:$O$1001,0),MATCH(COLUMNS($V$1006:AB1006),$V$1006:$AE$1006,0)), HYPERLINK("#",""), HYPERLINK(CONCATENATE("#Metadata!", ADDRESS(INDEX($Q$2:$Q$1001,MATCH(ROWS($O$2:O599),$O$2:$O$1001,0),0), INDEX($V$1004:$AE$1004,1,MATCH(COLUMNS($V$1006:AB1006),$V$1006:$AE$1006,0)))),"Fix")))</f>
        <v>0</v>
      </c>
      <c r="I599" s="4">
        <f>IF(OR(INDEX($P$2:$P$1001,MATCH(ROWS($O$2:O599),$O$2:$O$1001,0),1)&gt;=100000,INDEX($V$1005:$AE$1005,1,MATCH(COLUMNS($V$1006:AC1006),$V$1006:$AE$1006,0))&gt;=100000), " ",IF(INDEX($V$2:$AE$1001,MATCH(ROWS($O$2:O599),$O$2:$O$1001,0),MATCH(COLUMNS($V$1006:AC1006),$V$1006:$AE$1006,0)), HYPERLINK("#",""), HYPERLINK(CONCATENATE("#Metadata!", ADDRESS(INDEX($Q$2:$Q$1001,MATCH(ROWS($O$2:O599),$O$2:$O$1001,0),0), INDEX($V$1004:$AE$1004,1,MATCH(COLUMNS($V$1006:AC1006),$V$1006:$AE$1006,0)))),"Fix")))</f>
        <v>0</v>
      </c>
      <c r="J599" s="4">
        <f>IF(OR(INDEX($P$2:$P$1001,MATCH(ROWS($O$2:O599),$O$2:$O$1001,0),1)&gt;=100000,INDEX($V$1005:$AE$1005,1,MATCH(COLUMNS($V$1006:AD1006),$V$1006:$AE$1006,0))&gt;=100000), " ",IF(INDEX($V$2:$AE$1001,MATCH(ROWS($O$2:O599),$O$2:$O$1001,0),MATCH(COLUMNS($V$1006:AD1006),$V$1006:$AE$1006,0)), HYPERLINK("#",""), HYPERLINK(CONCATENATE("#Metadata!", ADDRESS(INDEX($Q$2:$Q$1001,MATCH(ROWS($O$2:O599),$O$2:$O$1001,0),0), INDEX($V$1004:$AE$1004,1,MATCH(COLUMNS($V$1006:AD1006),$V$1006:$AE$1006,0)))),"Fix")))</f>
        <v>0</v>
      </c>
      <c r="K599" s="4">
        <f>IF(OR(INDEX($P$2:$P$1001,MATCH(ROWS($O$2:O599),$O$2:$O$1001,0),1)&gt;=100000,INDEX($V$1005:$AE$1005,1,MATCH(COLUMNS($V$1006:AE1006),$V$1006:$AE$1006,0))&gt;=100000), " ",IF(INDEX($V$2:$AE$1001,MATCH(ROWS($O$2:O599),$O$2:$O$1001,0),MATCH(COLUMNS($V$1006:AE1006),$V$1006:$AE$1006,0)), HYPERLINK("#",""), HYPERLINK(CONCATENATE("#Metadata!", ADDRESS(INDEX($Q$2:$Q$1001,MATCH(ROWS($O$2:O599),$O$2:$O$1001,0),0), INDEX($V$1004:$AE$1004,1,MATCH(COLUMNS($V$1006:AE1006),$V$1006:$AE$1006,0)))),"Fix")))</f>
        <v>0</v>
      </c>
      <c r="O599">
        <v>0</v>
      </c>
      <c r="P599">
        <v>0</v>
      </c>
      <c r="Q599">
        <v>0</v>
      </c>
      <c r="R599">
        <f>IF(S599,TRUE,AND(V599:AE599))</f>
        <v>0</v>
      </c>
      <c r="S599">
        <f>COUNTBLANK(Metadata!B599:K599)=COLUMNS(Metadata!B599:K599)</f>
        <v>0</v>
      </c>
      <c r="T599">
        <v>0</v>
      </c>
      <c r="V599">
        <f>AND(IF(Metadata!B599="",FALSE,TRUE),COUNTIF(Metadata!B:B, Metadata!B599) = 1,NOT(ISERROR(SUMPRODUCT(SEARCH(MID(Metadata!B599,ROW(INDIRECT("1:"&amp;LEN(Metadata!B599))), 1),"0123456789abcdefghijklmnopqrstuvwxyzABCDEFGHIJKLMNOPQRSTUVWXYZ.")))))</f>
        <v>0</v>
      </c>
      <c r="W599">
        <f>AND(IF(Metadata!C599="",FALSE,TRUE),exact(Metadata!C599,"urban biome"))</f>
        <v>0</v>
      </c>
      <c r="X599">
        <f>AND(IF(Metadata!D599="",FALSE,TRUE),exact(Metadata!D599,"animal-associated habitat"))</f>
        <v>0</v>
      </c>
      <c r="Y599">
        <f>OR(AND(IF(Metadata!E599="",FALSE,TRUE),OR(exact(Metadata!E599,"not applicable"),exact(Metadata!E599,"missing: not collected"),exact(Metadata!E599,"missing: not provided"),exact(Metadata!E599,"missing: restricted access"))),AND(IF(Metadata!E599="",FALSE,ISNUMBER(VALUE(Metadata!E599))),Metadata!E599&gt;0))</f>
        <v>0</v>
      </c>
      <c r="Z599">
        <f>AND(IF(Metadata!F599="",FALSE,TRUE),exact(Metadata!F599,"weeks"))</f>
        <v>0</v>
      </c>
      <c r="AA599">
        <f>AND(IF(Metadata!G599="",FALSE,TRUE),exact(Metadata!G599,"mouse"))</f>
        <v>0</v>
      </c>
      <c r="AB599">
        <f>AND(IF(Metadata!H599="",FALSE,TRUE),exact(Metadata!H599,"Mus musculus"))</f>
        <v>0</v>
      </c>
      <c r="AC599">
        <f>AND(IF(Metadata!I599="",FALSE,TRUE),exact(Metadata!I599,"10090"))</f>
        <v>0</v>
      </c>
      <c r="AD599">
        <f>OR(AND(IF(Metadata!J599="",FALSE,TRUE),OR(exact(Metadata!J599,"not applicable"),exact(Metadata!J599,"missing: not collected"),exact(Metadata!J599,"missing: not provided"),exact(Metadata!J599,"missing: restricted access"))),AND(IF(Metadata!J599="",FALSE,ISNUMBER(VALUE(Metadata!J599))),Metadata!J599&gt;0))</f>
        <v>0</v>
      </c>
      <c r="AE599">
        <f>AND(IF(Metadata!K599="",FALSE,TRUE),exact(Metadata!K599,"g"))</f>
        <v>0</v>
      </c>
    </row>
    <row r="600" spans="1:31">
      <c r="A600" s="5">
        <f>IF(B600=" "," ",HYPERLINK(CONCATENATE("#metadata!",ADDRESS(INDEX($Q$2:$Q$1001,MATCH(ROWS($O$2:O600),$O$2:$O$1001,0),0),1)),INDEX($T$2:$T$1001,MATCH(ROWS($O$2:O600),$O$2:$O$1001,0),0)))</f>
        <v>0</v>
      </c>
      <c r="B600" s="4">
        <f>IF(OR(INDEX($P$2:$P$1001,MATCH(ROWS($O$2:O600),$O$2:$O$1001,0),1)&gt;=100000,INDEX($V$1005:$AE$1005,1,MATCH(COLUMNS($V$1006:V1006),$V$1006:$AE$1006,0))&gt;=100000), " ",IF(INDEX($V$2:$AE$1001,MATCH(ROWS($O$2:O600),$O$2:$O$1001,0),MATCH(COLUMNS($V$1006:V1006),$V$1006:$AE$1006,0)), HYPERLINK("#",""), HYPERLINK(CONCATENATE("#Metadata!", ADDRESS(INDEX($Q$2:$Q$1001,MATCH(ROWS($O$2:O600),$O$2:$O$1001,0),0), INDEX($V$1004:$AE$1004,1,MATCH(COLUMNS($V$1006:V1006),$V$1006:$AE$1006,0)))),"Fix")))</f>
        <v>0</v>
      </c>
      <c r="C600" s="4">
        <f>IF(OR(INDEX($P$2:$P$1001,MATCH(ROWS($O$2:O600),$O$2:$O$1001,0),1)&gt;=100000,INDEX($V$1005:$AE$1005,1,MATCH(COLUMNS($V$1006:W1006),$V$1006:$AE$1006,0))&gt;=100000), " ",IF(INDEX($V$2:$AE$1001,MATCH(ROWS($O$2:O600),$O$2:$O$1001,0),MATCH(COLUMNS($V$1006:W1006),$V$1006:$AE$1006,0)), HYPERLINK("#",""), HYPERLINK(CONCATENATE("#Metadata!", ADDRESS(INDEX($Q$2:$Q$1001,MATCH(ROWS($O$2:O600),$O$2:$O$1001,0),0), INDEX($V$1004:$AE$1004,1,MATCH(COLUMNS($V$1006:W1006),$V$1006:$AE$1006,0)))),"Fix")))</f>
        <v>0</v>
      </c>
      <c r="D600" s="4">
        <f>IF(OR(INDEX($P$2:$P$1001,MATCH(ROWS($O$2:O600),$O$2:$O$1001,0),1)&gt;=100000,INDEX($V$1005:$AE$1005,1,MATCH(COLUMNS($V$1006:X1006),$V$1006:$AE$1006,0))&gt;=100000), " ",IF(INDEX($V$2:$AE$1001,MATCH(ROWS($O$2:O600),$O$2:$O$1001,0),MATCH(COLUMNS($V$1006:X1006),$V$1006:$AE$1006,0)), HYPERLINK("#",""), HYPERLINK(CONCATENATE("#Metadata!", ADDRESS(INDEX($Q$2:$Q$1001,MATCH(ROWS($O$2:O600),$O$2:$O$1001,0),0), INDEX($V$1004:$AE$1004,1,MATCH(COLUMNS($V$1006:X1006),$V$1006:$AE$1006,0)))),"Fix")))</f>
        <v>0</v>
      </c>
      <c r="E600" s="4">
        <f>IF(OR(INDEX($P$2:$P$1001,MATCH(ROWS($O$2:O600),$O$2:$O$1001,0),1)&gt;=100000,INDEX($V$1005:$AE$1005,1,MATCH(COLUMNS($V$1006:Y1006),$V$1006:$AE$1006,0))&gt;=100000), " ",IF(INDEX($V$2:$AE$1001,MATCH(ROWS($O$2:O600),$O$2:$O$1001,0),MATCH(COLUMNS($V$1006:Y1006),$V$1006:$AE$1006,0)), HYPERLINK("#",""), HYPERLINK(CONCATENATE("#Metadata!", ADDRESS(INDEX($Q$2:$Q$1001,MATCH(ROWS($O$2:O600),$O$2:$O$1001,0),0), INDEX($V$1004:$AE$1004,1,MATCH(COLUMNS($V$1006:Y1006),$V$1006:$AE$1006,0)))),"Fix")))</f>
        <v>0</v>
      </c>
      <c r="F600" s="4">
        <f>IF(OR(INDEX($P$2:$P$1001,MATCH(ROWS($O$2:O600),$O$2:$O$1001,0),1)&gt;=100000,INDEX($V$1005:$AE$1005,1,MATCH(COLUMNS($V$1006:Z1006),$V$1006:$AE$1006,0))&gt;=100000), " ",IF(INDEX($V$2:$AE$1001,MATCH(ROWS($O$2:O600),$O$2:$O$1001,0),MATCH(COLUMNS($V$1006:Z1006),$V$1006:$AE$1006,0)), HYPERLINK("#",""), HYPERLINK(CONCATENATE("#Metadata!", ADDRESS(INDEX($Q$2:$Q$1001,MATCH(ROWS($O$2:O600),$O$2:$O$1001,0),0), INDEX($V$1004:$AE$1004,1,MATCH(COLUMNS($V$1006:Z1006),$V$1006:$AE$1006,0)))),"Fix")))</f>
        <v>0</v>
      </c>
      <c r="G600" s="4">
        <f>IF(OR(INDEX($P$2:$P$1001,MATCH(ROWS($O$2:O600),$O$2:$O$1001,0),1)&gt;=100000,INDEX($V$1005:$AE$1005,1,MATCH(COLUMNS($V$1006:AA1006),$V$1006:$AE$1006,0))&gt;=100000), " ",IF(INDEX($V$2:$AE$1001,MATCH(ROWS($O$2:O600),$O$2:$O$1001,0),MATCH(COLUMNS($V$1006:AA1006),$V$1006:$AE$1006,0)), HYPERLINK("#",""), HYPERLINK(CONCATENATE("#Metadata!", ADDRESS(INDEX($Q$2:$Q$1001,MATCH(ROWS($O$2:O600),$O$2:$O$1001,0),0), INDEX($V$1004:$AE$1004,1,MATCH(COLUMNS($V$1006:AA1006),$V$1006:$AE$1006,0)))),"Fix")))</f>
        <v>0</v>
      </c>
      <c r="H600" s="4">
        <f>IF(OR(INDEX($P$2:$P$1001,MATCH(ROWS($O$2:O600),$O$2:$O$1001,0),1)&gt;=100000,INDEX($V$1005:$AE$1005,1,MATCH(COLUMNS($V$1006:AB1006),$V$1006:$AE$1006,0))&gt;=100000), " ",IF(INDEX($V$2:$AE$1001,MATCH(ROWS($O$2:O600),$O$2:$O$1001,0),MATCH(COLUMNS($V$1006:AB1006),$V$1006:$AE$1006,0)), HYPERLINK("#",""), HYPERLINK(CONCATENATE("#Metadata!", ADDRESS(INDEX($Q$2:$Q$1001,MATCH(ROWS($O$2:O600),$O$2:$O$1001,0),0), INDEX($V$1004:$AE$1004,1,MATCH(COLUMNS($V$1006:AB1006),$V$1006:$AE$1006,0)))),"Fix")))</f>
        <v>0</v>
      </c>
      <c r="I600" s="4">
        <f>IF(OR(INDEX($P$2:$P$1001,MATCH(ROWS($O$2:O600),$O$2:$O$1001,0),1)&gt;=100000,INDEX($V$1005:$AE$1005,1,MATCH(COLUMNS($V$1006:AC1006),$V$1006:$AE$1006,0))&gt;=100000), " ",IF(INDEX($V$2:$AE$1001,MATCH(ROWS($O$2:O600),$O$2:$O$1001,0),MATCH(COLUMNS($V$1006:AC1006),$V$1006:$AE$1006,0)), HYPERLINK("#",""), HYPERLINK(CONCATENATE("#Metadata!", ADDRESS(INDEX($Q$2:$Q$1001,MATCH(ROWS($O$2:O600),$O$2:$O$1001,0),0), INDEX($V$1004:$AE$1004,1,MATCH(COLUMNS($V$1006:AC1006),$V$1006:$AE$1006,0)))),"Fix")))</f>
        <v>0</v>
      </c>
      <c r="J600" s="4">
        <f>IF(OR(INDEX($P$2:$P$1001,MATCH(ROWS($O$2:O600),$O$2:$O$1001,0),1)&gt;=100000,INDEX($V$1005:$AE$1005,1,MATCH(COLUMNS($V$1006:AD1006),$V$1006:$AE$1006,0))&gt;=100000), " ",IF(INDEX($V$2:$AE$1001,MATCH(ROWS($O$2:O600),$O$2:$O$1001,0),MATCH(COLUMNS($V$1006:AD1006),$V$1006:$AE$1006,0)), HYPERLINK("#",""), HYPERLINK(CONCATENATE("#Metadata!", ADDRESS(INDEX($Q$2:$Q$1001,MATCH(ROWS($O$2:O600),$O$2:$O$1001,0),0), INDEX($V$1004:$AE$1004,1,MATCH(COLUMNS($V$1006:AD1006),$V$1006:$AE$1006,0)))),"Fix")))</f>
        <v>0</v>
      </c>
      <c r="K600" s="4">
        <f>IF(OR(INDEX($P$2:$P$1001,MATCH(ROWS($O$2:O600),$O$2:$O$1001,0),1)&gt;=100000,INDEX($V$1005:$AE$1005,1,MATCH(COLUMNS($V$1006:AE1006),$V$1006:$AE$1006,0))&gt;=100000), " ",IF(INDEX($V$2:$AE$1001,MATCH(ROWS($O$2:O600),$O$2:$O$1001,0),MATCH(COLUMNS($V$1006:AE1006),$V$1006:$AE$1006,0)), HYPERLINK("#",""), HYPERLINK(CONCATENATE("#Metadata!", ADDRESS(INDEX($Q$2:$Q$1001,MATCH(ROWS($O$2:O600),$O$2:$O$1001,0),0), INDEX($V$1004:$AE$1004,1,MATCH(COLUMNS($V$1006:AE1006),$V$1006:$AE$1006,0)))),"Fix")))</f>
        <v>0</v>
      </c>
      <c r="O600">
        <v>0</v>
      </c>
      <c r="P600">
        <v>0</v>
      </c>
      <c r="Q600">
        <v>0</v>
      </c>
      <c r="R600">
        <f>IF(S600,TRUE,AND(V600:AE600))</f>
        <v>0</v>
      </c>
      <c r="S600">
        <f>COUNTBLANK(Metadata!B600:K600)=COLUMNS(Metadata!B600:K600)</f>
        <v>0</v>
      </c>
      <c r="T600">
        <v>0</v>
      </c>
      <c r="V600">
        <f>AND(IF(Metadata!B600="",FALSE,TRUE),COUNTIF(Metadata!B:B, Metadata!B600) = 1,NOT(ISERROR(SUMPRODUCT(SEARCH(MID(Metadata!B600,ROW(INDIRECT("1:"&amp;LEN(Metadata!B600))), 1),"0123456789abcdefghijklmnopqrstuvwxyzABCDEFGHIJKLMNOPQRSTUVWXYZ.")))))</f>
        <v>0</v>
      </c>
      <c r="W600">
        <f>AND(IF(Metadata!C600="",FALSE,TRUE),exact(Metadata!C600,"urban biome"))</f>
        <v>0</v>
      </c>
      <c r="X600">
        <f>AND(IF(Metadata!D600="",FALSE,TRUE),exact(Metadata!D600,"animal-associated habitat"))</f>
        <v>0</v>
      </c>
      <c r="Y600">
        <f>OR(AND(IF(Metadata!E600="",FALSE,TRUE),OR(exact(Metadata!E600,"not applicable"),exact(Metadata!E600,"missing: not collected"),exact(Metadata!E600,"missing: not provided"),exact(Metadata!E600,"missing: restricted access"))),AND(IF(Metadata!E600="",FALSE,ISNUMBER(VALUE(Metadata!E600))),Metadata!E600&gt;0))</f>
        <v>0</v>
      </c>
      <c r="Z600">
        <f>AND(IF(Metadata!F600="",FALSE,TRUE),exact(Metadata!F600,"weeks"))</f>
        <v>0</v>
      </c>
      <c r="AA600">
        <f>AND(IF(Metadata!G600="",FALSE,TRUE),exact(Metadata!G600,"mouse"))</f>
        <v>0</v>
      </c>
      <c r="AB600">
        <f>AND(IF(Metadata!H600="",FALSE,TRUE),exact(Metadata!H600,"Mus musculus"))</f>
        <v>0</v>
      </c>
      <c r="AC600">
        <f>AND(IF(Metadata!I600="",FALSE,TRUE),exact(Metadata!I600,"10090"))</f>
        <v>0</v>
      </c>
      <c r="AD600">
        <f>OR(AND(IF(Metadata!J600="",FALSE,TRUE),OR(exact(Metadata!J600,"not applicable"),exact(Metadata!J600,"missing: not collected"),exact(Metadata!J600,"missing: not provided"),exact(Metadata!J600,"missing: restricted access"))),AND(IF(Metadata!J600="",FALSE,ISNUMBER(VALUE(Metadata!J600))),Metadata!J600&gt;0))</f>
        <v>0</v>
      </c>
      <c r="AE600">
        <f>AND(IF(Metadata!K600="",FALSE,TRUE),exact(Metadata!K600,"g"))</f>
        <v>0</v>
      </c>
    </row>
    <row r="601" spans="1:31">
      <c r="A601" s="5">
        <f>IF(B601=" "," ",HYPERLINK(CONCATENATE("#metadata!",ADDRESS(INDEX($Q$2:$Q$1001,MATCH(ROWS($O$2:O601),$O$2:$O$1001,0),0),1)),INDEX($T$2:$T$1001,MATCH(ROWS($O$2:O601),$O$2:$O$1001,0),0)))</f>
        <v>0</v>
      </c>
      <c r="B601" s="4">
        <f>IF(OR(INDEX($P$2:$P$1001,MATCH(ROWS($O$2:O601),$O$2:$O$1001,0),1)&gt;=100000,INDEX($V$1005:$AE$1005,1,MATCH(COLUMNS($V$1006:V1006),$V$1006:$AE$1006,0))&gt;=100000), " ",IF(INDEX($V$2:$AE$1001,MATCH(ROWS($O$2:O601),$O$2:$O$1001,0),MATCH(COLUMNS($V$1006:V1006),$V$1006:$AE$1006,0)), HYPERLINK("#",""), HYPERLINK(CONCATENATE("#Metadata!", ADDRESS(INDEX($Q$2:$Q$1001,MATCH(ROWS($O$2:O601),$O$2:$O$1001,0),0), INDEX($V$1004:$AE$1004,1,MATCH(COLUMNS($V$1006:V1006),$V$1006:$AE$1006,0)))),"Fix")))</f>
        <v>0</v>
      </c>
      <c r="C601" s="4">
        <f>IF(OR(INDEX($P$2:$P$1001,MATCH(ROWS($O$2:O601),$O$2:$O$1001,0),1)&gt;=100000,INDEX($V$1005:$AE$1005,1,MATCH(COLUMNS($V$1006:W1006),$V$1006:$AE$1006,0))&gt;=100000), " ",IF(INDEX($V$2:$AE$1001,MATCH(ROWS($O$2:O601),$O$2:$O$1001,0),MATCH(COLUMNS($V$1006:W1006),$V$1006:$AE$1006,0)), HYPERLINK("#",""), HYPERLINK(CONCATENATE("#Metadata!", ADDRESS(INDEX($Q$2:$Q$1001,MATCH(ROWS($O$2:O601),$O$2:$O$1001,0),0), INDEX($V$1004:$AE$1004,1,MATCH(COLUMNS($V$1006:W1006),$V$1006:$AE$1006,0)))),"Fix")))</f>
        <v>0</v>
      </c>
      <c r="D601" s="4">
        <f>IF(OR(INDEX($P$2:$P$1001,MATCH(ROWS($O$2:O601),$O$2:$O$1001,0),1)&gt;=100000,INDEX($V$1005:$AE$1005,1,MATCH(COLUMNS($V$1006:X1006),$V$1006:$AE$1006,0))&gt;=100000), " ",IF(INDEX($V$2:$AE$1001,MATCH(ROWS($O$2:O601),$O$2:$O$1001,0),MATCH(COLUMNS($V$1006:X1006),$V$1006:$AE$1006,0)), HYPERLINK("#",""), HYPERLINK(CONCATENATE("#Metadata!", ADDRESS(INDEX($Q$2:$Q$1001,MATCH(ROWS($O$2:O601),$O$2:$O$1001,0),0), INDEX($V$1004:$AE$1004,1,MATCH(COLUMNS($V$1006:X1006),$V$1006:$AE$1006,0)))),"Fix")))</f>
        <v>0</v>
      </c>
      <c r="E601" s="4">
        <f>IF(OR(INDEX($P$2:$P$1001,MATCH(ROWS($O$2:O601),$O$2:$O$1001,0),1)&gt;=100000,INDEX($V$1005:$AE$1005,1,MATCH(COLUMNS($V$1006:Y1006),$V$1006:$AE$1006,0))&gt;=100000), " ",IF(INDEX($V$2:$AE$1001,MATCH(ROWS($O$2:O601),$O$2:$O$1001,0),MATCH(COLUMNS($V$1006:Y1006),$V$1006:$AE$1006,0)), HYPERLINK("#",""), HYPERLINK(CONCATENATE("#Metadata!", ADDRESS(INDEX($Q$2:$Q$1001,MATCH(ROWS($O$2:O601),$O$2:$O$1001,0),0), INDEX($V$1004:$AE$1004,1,MATCH(COLUMNS($V$1006:Y1006),$V$1006:$AE$1006,0)))),"Fix")))</f>
        <v>0</v>
      </c>
      <c r="F601" s="4">
        <f>IF(OR(INDEX($P$2:$P$1001,MATCH(ROWS($O$2:O601),$O$2:$O$1001,0),1)&gt;=100000,INDEX($V$1005:$AE$1005,1,MATCH(COLUMNS($V$1006:Z1006),$V$1006:$AE$1006,0))&gt;=100000), " ",IF(INDEX($V$2:$AE$1001,MATCH(ROWS($O$2:O601),$O$2:$O$1001,0),MATCH(COLUMNS($V$1006:Z1006),$V$1006:$AE$1006,0)), HYPERLINK("#",""), HYPERLINK(CONCATENATE("#Metadata!", ADDRESS(INDEX($Q$2:$Q$1001,MATCH(ROWS($O$2:O601),$O$2:$O$1001,0),0), INDEX($V$1004:$AE$1004,1,MATCH(COLUMNS($V$1006:Z1006),$V$1006:$AE$1006,0)))),"Fix")))</f>
        <v>0</v>
      </c>
      <c r="G601" s="4">
        <f>IF(OR(INDEX($P$2:$P$1001,MATCH(ROWS($O$2:O601),$O$2:$O$1001,0),1)&gt;=100000,INDEX($V$1005:$AE$1005,1,MATCH(COLUMNS($V$1006:AA1006),$V$1006:$AE$1006,0))&gt;=100000), " ",IF(INDEX($V$2:$AE$1001,MATCH(ROWS($O$2:O601),$O$2:$O$1001,0),MATCH(COLUMNS($V$1006:AA1006),$V$1006:$AE$1006,0)), HYPERLINK("#",""), HYPERLINK(CONCATENATE("#Metadata!", ADDRESS(INDEX($Q$2:$Q$1001,MATCH(ROWS($O$2:O601),$O$2:$O$1001,0),0), INDEX($V$1004:$AE$1004,1,MATCH(COLUMNS($V$1006:AA1006),$V$1006:$AE$1006,0)))),"Fix")))</f>
        <v>0</v>
      </c>
      <c r="H601" s="4">
        <f>IF(OR(INDEX($P$2:$P$1001,MATCH(ROWS($O$2:O601),$O$2:$O$1001,0),1)&gt;=100000,INDEX($V$1005:$AE$1005,1,MATCH(COLUMNS($V$1006:AB1006),$V$1006:$AE$1006,0))&gt;=100000), " ",IF(INDEX($V$2:$AE$1001,MATCH(ROWS($O$2:O601),$O$2:$O$1001,0),MATCH(COLUMNS($V$1006:AB1006),$V$1006:$AE$1006,0)), HYPERLINK("#",""), HYPERLINK(CONCATENATE("#Metadata!", ADDRESS(INDEX($Q$2:$Q$1001,MATCH(ROWS($O$2:O601),$O$2:$O$1001,0),0), INDEX($V$1004:$AE$1004,1,MATCH(COLUMNS($V$1006:AB1006),$V$1006:$AE$1006,0)))),"Fix")))</f>
        <v>0</v>
      </c>
      <c r="I601" s="4">
        <f>IF(OR(INDEX($P$2:$P$1001,MATCH(ROWS($O$2:O601),$O$2:$O$1001,0),1)&gt;=100000,INDEX($V$1005:$AE$1005,1,MATCH(COLUMNS($V$1006:AC1006),$V$1006:$AE$1006,0))&gt;=100000), " ",IF(INDEX($V$2:$AE$1001,MATCH(ROWS($O$2:O601),$O$2:$O$1001,0),MATCH(COLUMNS($V$1006:AC1006),$V$1006:$AE$1006,0)), HYPERLINK("#",""), HYPERLINK(CONCATENATE("#Metadata!", ADDRESS(INDEX($Q$2:$Q$1001,MATCH(ROWS($O$2:O601),$O$2:$O$1001,0),0), INDEX($V$1004:$AE$1004,1,MATCH(COLUMNS($V$1006:AC1006),$V$1006:$AE$1006,0)))),"Fix")))</f>
        <v>0</v>
      </c>
      <c r="J601" s="4">
        <f>IF(OR(INDEX($P$2:$P$1001,MATCH(ROWS($O$2:O601),$O$2:$O$1001,0),1)&gt;=100000,INDEX($V$1005:$AE$1005,1,MATCH(COLUMNS($V$1006:AD1006),$V$1006:$AE$1006,0))&gt;=100000), " ",IF(INDEX($V$2:$AE$1001,MATCH(ROWS($O$2:O601),$O$2:$O$1001,0),MATCH(COLUMNS($V$1006:AD1006),$V$1006:$AE$1006,0)), HYPERLINK("#",""), HYPERLINK(CONCATENATE("#Metadata!", ADDRESS(INDEX($Q$2:$Q$1001,MATCH(ROWS($O$2:O601),$O$2:$O$1001,0),0), INDEX($V$1004:$AE$1004,1,MATCH(COLUMNS($V$1006:AD1006),$V$1006:$AE$1006,0)))),"Fix")))</f>
        <v>0</v>
      </c>
      <c r="K601" s="4">
        <f>IF(OR(INDEX($P$2:$P$1001,MATCH(ROWS($O$2:O601),$O$2:$O$1001,0),1)&gt;=100000,INDEX($V$1005:$AE$1005,1,MATCH(COLUMNS($V$1006:AE1006),$V$1006:$AE$1006,0))&gt;=100000), " ",IF(INDEX($V$2:$AE$1001,MATCH(ROWS($O$2:O601),$O$2:$O$1001,0),MATCH(COLUMNS($V$1006:AE1006),$V$1006:$AE$1006,0)), HYPERLINK("#",""), HYPERLINK(CONCATENATE("#Metadata!", ADDRESS(INDEX($Q$2:$Q$1001,MATCH(ROWS($O$2:O601),$O$2:$O$1001,0),0), INDEX($V$1004:$AE$1004,1,MATCH(COLUMNS($V$1006:AE1006),$V$1006:$AE$1006,0)))),"Fix")))</f>
        <v>0</v>
      </c>
      <c r="O601">
        <v>0</v>
      </c>
      <c r="P601">
        <v>0</v>
      </c>
      <c r="Q601">
        <v>0</v>
      </c>
      <c r="R601">
        <f>IF(S601,TRUE,AND(V601:AE601))</f>
        <v>0</v>
      </c>
      <c r="S601">
        <f>COUNTBLANK(Metadata!B601:K601)=COLUMNS(Metadata!B601:K601)</f>
        <v>0</v>
      </c>
      <c r="T601">
        <v>0</v>
      </c>
      <c r="V601">
        <f>AND(IF(Metadata!B601="",FALSE,TRUE),COUNTIF(Metadata!B:B, Metadata!B601) = 1,NOT(ISERROR(SUMPRODUCT(SEARCH(MID(Metadata!B601,ROW(INDIRECT("1:"&amp;LEN(Metadata!B601))), 1),"0123456789abcdefghijklmnopqrstuvwxyzABCDEFGHIJKLMNOPQRSTUVWXYZ.")))))</f>
        <v>0</v>
      </c>
      <c r="W601">
        <f>AND(IF(Metadata!C601="",FALSE,TRUE),exact(Metadata!C601,"urban biome"))</f>
        <v>0</v>
      </c>
      <c r="X601">
        <f>AND(IF(Metadata!D601="",FALSE,TRUE),exact(Metadata!D601,"animal-associated habitat"))</f>
        <v>0</v>
      </c>
      <c r="Y601">
        <f>OR(AND(IF(Metadata!E601="",FALSE,TRUE),OR(exact(Metadata!E601,"not applicable"),exact(Metadata!E601,"missing: not collected"),exact(Metadata!E601,"missing: not provided"),exact(Metadata!E601,"missing: restricted access"))),AND(IF(Metadata!E601="",FALSE,ISNUMBER(VALUE(Metadata!E601))),Metadata!E601&gt;0))</f>
        <v>0</v>
      </c>
      <c r="Z601">
        <f>AND(IF(Metadata!F601="",FALSE,TRUE),exact(Metadata!F601,"weeks"))</f>
        <v>0</v>
      </c>
      <c r="AA601">
        <f>AND(IF(Metadata!G601="",FALSE,TRUE),exact(Metadata!G601,"mouse"))</f>
        <v>0</v>
      </c>
      <c r="AB601">
        <f>AND(IF(Metadata!H601="",FALSE,TRUE),exact(Metadata!H601,"Mus musculus"))</f>
        <v>0</v>
      </c>
      <c r="AC601">
        <f>AND(IF(Metadata!I601="",FALSE,TRUE),exact(Metadata!I601,"10090"))</f>
        <v>0</v>
      </c>
      <c r="AD601">
        <f>OR(AND(IF(Metadata!J601="",FALSE,TRUE),OR(exact(Metadata!J601,"not applicable"),exact(Metadata!J601,"missing: not collected"),exact(Metadata!J601,"missing: not provided"),exact(Metadata!J601,"missing: restricted access"))),AND(IF(Metadata!J601="",FALSE,ISNUMBER(VALUE(Metadata!J601))),Metadata!J601&gt;0))</f>
        <v>0</v>
      </c>
      <c r="AE601">
        <f>AND(IF(Metadata!K601="",FALSE,TRUE),exact(Metadata!K601,"g"))</f>
        <v>0</v>
      </c>
    </row>
    <row r="602" spans="1:31">
      <c r="A602" s="5">
        <f>IF(B602=" "," ",HYPERLINK(CONCATENATE("#metadata!",ADDRESS(INDEX($Q$2:$Q$1001,MATCH(ROWS($O$2:O602),$O$2:$O$1001,0),0),1)),INDEX($T$2:$T$1001,MATCH(ROWS($O$2:O602),$O$2:$O$1001,0),0)))</f>
        <v>0</v>
      </c>
      <c r="B602" s="4">
        <f>IF(OR(INDEX($P$2:$P$1001,MATCH(ROWS($O$2:O602),$O$2:$O$1001,0),1)&gt;=100000,INDEX($V$1005:$AE$1005,1,MATCH(COLUMNS($V$1006:V1006),$V$1006:$AE$1006,0))&gt;=100000), " ",IF(INDEX($V$2:$AE$1001,MATCH(ROWS($O$2:O602),$O$2:$O$1001,0),MATCH(COLUMNS($V$1006:V1006),$V$1006:$AE$1006,0)), HYPERLINK("#",""), HYPERLINK(CONCATENATE("#Metadata!", ADDRESS(INDEX($Q$2:$Q$1001,MATCH(ROWS($O$2:O602),$O$2:$O$1001,0),0), INDEX($V$1004:$AE$1004,1,MATCH(COLUMNS($V$1006:V1006),$V$1006:$AE$1006,0)))),"Fix")))</f>
        <v>0</v>
      </c>
      <c r="C602" s="4">
        <f>IF(OR(INDEX($P$2:$P$1001,MATCH(ROWS($O$2:O602),$O$2:$O$1001,0),1)&gt;=100000,INDEX($V$1005:$AE$1005,1,MATCH(COLUMNS($V$1006:W1006),$V$1006:$AE$1006,0))&gt;=100000), " ",IF(INDEX($V$2:$AE$1001,MATCH(ROWS($O$2:O602),$O$2:$O$1001,0),MATCH(COLUMNS($V$1006:W1006),$V$1006:$AE$1006,0)), HYPERLINK("#",""), HYPERLINK(CONCATENATE("#Metadata!", ADDRESS(INDEX($Q$2:$Q$1001,MATCH(ROWS($O$2:O602),$O$2:$O$1001,0),0), INDEX($V$1004:$AE$1004,1,MATCH(COLUMNS($V$1006:W1006),$V$1006:$AE$1006,0)))),"Fix")))</f>
        <v>0</v>
      </c>
      <c r="D602" s="4">
        <f>IF(OR(INDEX($P$2:$P$1001,MATCH(ROWS($O$2:O602),$O$2:$O$1001,0),1)&gt;=100000,INDEX($V$1005:$AE$1005,1,MATCH(COLUMNS($V$1006:X1006),$V$1006:$AE$1006,0))&gt;=100000), " ",IF(INDEX($V$2:$AE$1001,MATCH(ROWS($O$2:O602),$O$2:$O$1001,0),MATCH(COLUMNS($V$1006:X1006),$V$1006:$AE$1006,0)), HYPERLINK("#",""), HYPERLINK(CONCATENATE("#Metadata!", ADDRESS(INDEX($Q$2:$Q$1001,MATCH(ROWS($O$2:O602),$O$2:$O$1001,0),0), INDEX($V$1004:$AE$1004,1,MATCH(COLUMNS($V$1006:X1006),$V$1006:$AE$1006,0)))),"Fix")))</f>
        <v>0</v>
      </c>
      <c r="E602" s="4">
        <f>IF(OR(INDEX($P$2:$P$1001,MATCH(ROWS($O$2:O602),$O$2:$O$1001,0),1)&gt;=100000,INDEX($V$1005:$AE$1005,1,MATCH(COLUMNS($V$1006:Y1006),$V$1006:$AE$1006,0))&gt;=100000), " ",IF(INDEX($V$2:$AE$1001,MATCH(ROWS($O$2:O602),$O$2:$O$1001,0),MATCH(COLUMNS($V$1006:Y1006),$V$1006:$AE$1006,0)), HYPERLINK("#",""), HYPERLINK(CONCATENATE("#Metadata!", ADDRESS(INDEX($Q$2:$Q$1001,MATCH(ROWS($O$2:O602),$O$2:$O$1001,0),0), INDEX($V$1004:$AE$1004,1,MATCH(COLUMNS($V$1006:Y1006),$V$1006:$AE$1006,0)))),"Fix")))</f>
        <v>0</v>
      </c>
      <c r="F602" s="4">
        <f>IF(OR(INDEX($P$2:$P$1001,MATCH(ROWS($O$2:O602),$O$2:$O$1001,0),1)&gt;=100000,INDEX($V$1005:$AE$1005,1,MATCH(COLUMNS($V$1006:Z1006),$V$1006:$AE$1006,0))&gt;=100000), " ",IF(INDEX($V$2:$AE$1001,MATCH(ROWS($O$2:O602),$O$2:$O$1001,0),MATCH(COLUMNS($V$1006:Z1006),$V$1006:$AE$1006,0)), HYPERLINK("#",""), HYPERLINK(CONCATENATE("#Metadata!", ADDRESS(INDEX($Q$2:$Q$1001,MATCH(ROWS($O$2:O602),$O$2:$O$1001,0),0), INDEX($V$1004:$AE$1004,1,MATCH(COLUMNS($V$1006:Z1006),$V$1006:$AE$1006,0)))),"Fix")))</f>
        <v>0</v>
      </c>
      <c r="G602" s="4">
        <f>IF(OR(INDEX($P$2:$P$1001,MATCH(ROWS($O$2:O602),$O$2:$O$1001,0),1)&gt;=100000,INDEX($V$1005:$AE$1005,1,MATCH(COLUMNS($V$1006:AA1006),$V$1006:$AE$1006,0))&gt;=100000), " ",IF(INDEX($V$2:$AE$1001,MATCH(ROWS($O$2:O602),$O$2:$O$1001,0),MATCH(COLUMNS($V$1006:AA1006),$V$1006:$AE$1006,0)), HYPERLINK("#",""), HYPERLINK(CONCATENATE("#Metadata!", ADDRESS(INDEX($Q$2:$Q$1001,MATCH(ROWS($O$2:O602),$O$2:$O$1001,0),0), INDEX($V$1004:$AE$1004,1,MATCH(COLUMNS($V$1006:AA1006),$V$1006:$AE$1006,0)))),"Fix")))</f>
        <v>0</v>
      </c>
      <c r="H602" s="4">
        <f>IF(OR(INDEX($P$2:$P$1001,MATCH(ROWS($O$2:O602),$O$2:$O$1001,0),1)&gt;=100000,INDEX($V$1005:$AE$1005,1,MATCH(COLUMNS($V$1006:AB1006),$V$1006:$AE$1006,0))&gt;=100000), " ",IF(INDEX($V$2:$AE$1001,MATCH(ROWS($O$2:O602),$O$2:$O$1001,0),MATCH(COLUMNS($V$1006:AB1006),$V$1006:$AE$1006,0)), HYPERLINK("#",""), HYPERLINK(CONCATENATE("#Metadata!", ADDRESS(INDEX($Q$2:$Q$1001,MATCH(ROWS($O$2:O602),$O$2:$O$1001,0),0), INDEX($V$1004:$AE$1004,1,MATCH(COLUMNS($V$1006:AB1006),$V$1006:$AE$1006,0)))),"Fix")))</f>
        <v>0</v>
      </c>
      <c r="I602" s="4">
        <f>IF(OR(INDEX($P$2:$P$1001,MATCH(ROWS($O$2:O602),$O$2:$O$1001,0),1)&gt;=100000,INDEX($V$1005:$AE$1005,1,MATCH(COLUMNS($V$1006:AC1006),$V$1006:$AE$1006,0))&gt;=100000), " ",IF(INDEX($V$2:$AE$1001,MATCH(ROWS($O$2:O602),$O$2:$O$1001,0),MATCH(COLUMNS($V$1006:AC1006),$V$1006:$AE$1006,0)), HYPERLINK("#",""), HYPERLINK(CONCATENATE("#Metadata!", ADDRESS(INDEX($Q$2:$Q$1001,MATCH(ROWS($O$2:O602),$O$2:$O$1001,0),0), INDEX($V$1004:$AE$1004,1,MATCH(COLUMNS($V$1006:AC1006),$V$1006:$AE$1006,0)))),"Fix")))</f>
        <v>0</v>
      </c>
      <c r="J602" s="4">
        <f>IF(OR(INDEX($P$2:$P$1001,MATCH(ROWS($O$2:O602),$O$2:$O$1001,0),1)&gt;=100000,INDEX($V$1005:$AE$1005,1,MATCH(COLUMNS($V$1006:AD1006),$V$1006:$AE$1006,0))&gt;=100000), " ",IF(INDEX($V$2:$AE$1001,MATCH(ROWS($O$2:O602),$O$2:$O$1001,0),MATCH(COLUMNS($V$1006:AD1006),$V$1006:$AE$1006,0)), HYPERLINK("#",""), HYPERLINK(CONCATENATE("#Metadata!", ADDRESS(INDEX($Q$2:$Q$1001,MATCH(ROWS($O$2:O602),$O$2:$O$1001,0),0), INDEX($V$1004:$AE$1004,1,MATCH(COLUMNS($V$1006:AD1006),$V$1006:$AE$1006,0)))),"Fix")))</f>
        <v>0</v>
      </c>
      <c r="K602" s="4">
        <f>IF(OR(INDEX($P$2:$P$1001,MATCH(ROWS($O$2:O602),$O$2:$O$1001,0),1)&gt;=100000,INDEX($V$1005:$AE$1005,1,MATCH(COLUMNS($V$1006:AE1006),$V$1006:$AE$1006,0))&gt;=100000), " ",IF(INDEX($V$2:$AE$1001,MATCH(ROWS($O$2:O602),$O$2:$O$1001,0),MATCH(COLUMNS($V$1006:AE1006),$V$1006:$AE$1006,0)), HYPERLINK("#",""), HYPERLINK(CONCATENATE("#Metadata!", ADDRESS(INDEX($Q$2:$Q$1001,MATCH(ROWS($O$2:O602),$O$2:$O$1001,0),0), INDEX($V$1004:$AE$1004,1,MATCH(COLUMNS($V$1006:AE1006),$V$1006:$AE$1006,0)))),"Fix")))</f>
        <v>0</v>
      </c>
      <c r="O602">
        <v>0</v>
      </c>
      <c r="P602">
        <v>0</v>
      </c>
      <c r="Q602">
        <v>0</v>
      </c>
      <c r="R602">
        <f>IF(S602,TRUE,AND(V602:AE602))</f>
        <v>0</v>
      </c>
      <c r="S602">
        <f>COUNTBLANK(Metadata!B602:K602)=COLUMNS(Metadata!B602:K602)</f>
        <v>0</v>
      </c>
      <c r="T602">
        <v>0</v>
      </c>
      <c r="V602">
        <f>AND(IF(Metadata!B602="",FALSE,TRUE),COUNTIF(Metadata!B:B, Metadata!B602) = 1,NOT(ISERROR(SUMPRODUCT(SEARCH(MID(Metadata!B602,ROW(INDIRECT("1:"&amp;LEN(Metadata!B602))), 1),"0123456789abcdefghijklmnopqrstuvwxyzABCDEFGHIJKLMNOPQRSTUVWXYZ.")))))</f>
        <v>0</v>
      </c>
      <c r="W602">
        <f>AND(IF(Metadata!C602="",FALSE,TRUE),exact(Metadata!C602,"urban biome"))</f>
        <v>0</v>
      </c>
      <c r="X602">
        <f>AND(IF(Metadata!D602="",FALSE,TRUE),exact(Metadata!D602,"animal-associated habitat"))</f>
        <v>0</v>
      </c>
      <c r="Y602">
        <f>OR(AND(IF(Metadata!E602="",FALSE,TRUE),OR(exact(Metadata!E602,"not applicable"),exact(Metadata!E602,"missing: not collected"),exact(Metadata!E602,"missing: not provided"),exact(Metadata!E602,"missing: restricted access"))),AND(IF(Metadata!E602="",FALSE,ISNUMBER(VALUE(Metadata!E602))),Metadata!E602&gt;0))</f>
        <v>0</v>
      </c>
      <c r="Z602">
        <f>AND(IF(Metadata!F602="",FALSE,TRUE),exact(Metadata!F602,"weeks"))</f>
        <v>0</v>
      </c>
      <c r="AA602">
        <f>AND(IF(Metadata!G602="",FALSE,TRUE),exact(Metadata!G602,"mouse"))</f>
        <v>0</v>
      </c>
      <c r="AB602">
        <f>AND(IF(Metadata!H602="",FALSE,TRUE),exact(Metadata!H602,"Mus musculus"))</f>
        <v>0</v>
      </c>
      <c r="AC602">
        <f>AND(IF(Metadata!I602="",FALSE,TRUE),exact(Metadata!I602,"10090"))</f>
        <v>0</v>
      </c>
      <c r="AD602">
        <f>OR(AND(IF(Metadata!J602="",FALSE,TRUE),OR(exact(Metadata!J602,"not applicable"),exact(Metadata!J602,"missing: not collected"),exact(Metadata!J602,"missing: not provided"),exact(Metadata!J602,"missing: restricted access"))),AND(IF(Metadata!J602="",FALSE,ISNUMBER(VALUE(Metadata!J602))),Metadata!J602&gt;0))</f>
        <v>0</v>
      </c>
      <c r="AE602">
        <f>AND(IF(Metadata!K602="",FALSE,TRUE),exact(Metadata!K602,"g"))</f>
        <v>0</v>
      </c>
    </row>
    <row r="603" spans="1:31">
      <c r="A603" s="5">
        <f>IF(B603=" "," ",HYPERLINK(CONCATENATE("#metadata!",ADDRESS(INDEX($Q$2:$Q$1001,MATCH(ROWS($O$2:O603),$O$2:$O$1001,0),0),1)),INDEX($T$2:$T$1001,MATCH(ROWS($O$2:O603),$O$2:$O$1001,0),0)))</f>
        <v>0</v>
      </c>
      <c r="B603" s="4">
        <f>IF(OR(INDEX($P$2:$P$1001,MATCH(ROWS($O$2:O603),$O$2:$O$1001,0),1)&gt;=100000,INDEX($V$1005:$AE$1005,1,MATCH(COLUMNS($V$1006:V1006),$V$1006:$AE$1006,0))&gt;=100000), " ",IF(INDEX($V$2:$AE$1001,MATCH(ROWS($O$2:O603),$O$2:$O$1001,0),MATCH(COLUMNS($V$1006:V1006),$V$1006:$AE$1006,0)), HYPERLINK("#",""), HYPERLINK(CONCATENATE("#Metadata!", ADDRESS(INDEX($Q$2:$Q$1001,MATCH(ROWS($O$2:O603),$O$2:$O$1001,0),0), INDEX($V$1004:$AE$1004,1,MATCH(COLUMNS($V$1006:V1006),$V$1006:$AE$1006,0)))),"Fix")))</f>
        <v>0</v>
      </c>
      <c r="C603" s="4">
        <f>IF(OR(INDEX($P$2:$P$1001,MATCH(ROWS($O$2:O603),$O$2:$O$1001,0),1)&gt;=100000,INDEX($V$1005:$AE$1005,1,MATCH(COLUMNS($V$1006:W1006),$V$1006:$AE$1006,0))&gt;=100000), " ",IF(INDEX($V$2:$AE$1001,MATCH(ROWS($O$2:O603),$O$2:$O$1001,0),MATCH(COLUMNS($V$1006:W1006),$V$1006:$AE$1006,0)), HYPERLINK("#",""), HYPERLINK(CONCATENATE("#Metadata!", ADDRESS(INDEX($Q$2:$Q$1001,MATCH(ROWS($O$2:O603),$O$2:$O$1001,0),0), INDEX($V$1004:$AE$1004,1,MATCH(COLUMNS($V$1006:W1006),$V$1006:$AE$1006,0)))),"Fix")))</f>
        <v>0</v>
      </c>
      <c r="D603" s="4">
        <f>IF(OR(INDEX($P$2:$P$1001,MATCH(ROWS($O$2:O603),$O$2:$O$1001,0),1)&gt;=100000,INDEX($V$1005:$AE$1005,1,MATCH(COLUMNS($V$1006:X1006),$V$1006:$AE$1006,0))&gt;=100000), " ",IF(INDEX($V$2:$AE$1001,MATCH(ROWS($O$2:O603),$O$2:$O$1001,0),MATCH(COLUMNS($V$1006:X1006),$V$1006:$AE$1006,0)), HYPERLINK("#",""), HYPERLINK(CONCATENATE("#Metadata!", ADDRESS(INDEX($Q$2:$Q$1001,MATCH(ROWS($O$2:O603),$O$2:$O$1001,0),0), INDEX($V$1004:$AE$1004,1,MATCH(COLUMNS($V$1006:X1006),$V$1006:$AE$1006,0)))),"Fix")))</f>
        <v>0</v>
      </c>
      <c r="E603" s="4">
        <f>IF(OR(INDEX($P$2:$P$1001,MATCH(ROWS($O$2:O603),$O$2:$O$1001,0),1)&gt;=100000,INDEX($V$1005:$AE$1005,1,MATCH(COLUMNS($V$1006:Y1006),$V$1006:$AE$1006,0))&gt;=100000), " ",IF(INDEX($V$2:$AE$1001,MATCH(ROWS($O$2:O603),$O$2:$O$1001,0),MATCH(COLUMNS($V$1006:Y1006),$V$1006:$AE$1006,0)), HYPERLINK("#",""), HYPERLINK(CONCATENATE("#Metadata!", ADDRESS(INDEX($Q$2:$Q$1001,MATCH(ROWS($O$2:O603),$O$2:$O$1001,0),0), INDEX($V$1004:$AE$1004,1,MATCH(COLUMNS($V$1006:Y1006),$V$1006:$AE$1006,0)))),"Fix")))</f>
        <v>0</v>
      </c>
      <c r="F603" s="4">
        <f>IF(OR(INDEX($P$2:$P$1001,MATCH(ROWS($O$2:O603),$O$2:$O$1001,0),1)&gt;=100000,INDEX($V$1005:$AE$1005,1,MATCH(COLUMNS($V$1006:Z1006),$V$1006:$AE$1006,0))&gt;=100000), " ",IF(INDEX($V$2:$AE$1001,MATCH(ROWS($O$2:O603),$O$2:$O$1001,0),MATCH(COLUMNS($V$1006:Z1006),$V$1006:$AE$1006,0)), HYPERLINK("#",""), HYPERLINK(CONCATENATE("#Metadata!", ADDRESS(INDEX($Q$2:$Q$1001,MATCH(ROWS($O$2:O603),$O$2:$O$1001,0),0), INDEX($V$1004:$AE$1004,1,MATCH(COLUMNS($V$1006:Z1006),$V$1006:$AE$1006,0)))),"Fix")))</f>
        <v>0</v>
      </c>
      <c r="G603" s="4">
        <f>IF(OR(INDEX($P$2:$P$1001,MATCH(ROWS($O$2:O603),$O$2:$O$1001,0),1)&gt;=100000,INDEX($V$1005:$AE$1005,1,MATCH(COLUMNS($V$1006:AA1006),$V$1006:$AE$1006,0))&gt;=100000), " ",IF(INDEX($V$2:$AE$1001,MATCH(ROWS($O$2:O603),$O$2:$O$1001,0),MATCH(COLUMNS($V$1006:AA1006),$V$1006:$AE$1006,0)), HYPERLINK("#",""), HYPERLINK(CONCATENATE("#Metadata!", ADDRESS(INDEX($Q$2:$Q$1001,MATCH(ROWS($O$2:O603),$O$2:$O$1001,0),0), INDEX($V$1004:$AE$1004,1,MATCH(COLUMNS($V$1006:AA1006),$V$1006:$AE$1006,0)))),"Fix")))</f>
        <v>0</v>
      </c>
      <c r="H603" s="4">
        <f>IF(OR(INDEX($P$2:$P$1001,MATCH(ROWS($O$2:O603),$O$2:$O$1001,0),1)&gt;=100000,INDEX($V$1005:$AE$1005,1,MATCH(COLUMNS($V$1006:AB1006),$V$1006:$AE$1006,0))&gt;=100000), " ",IF(INDEX($V$2:$AE$1001,MATCH(ROWS($O$2:O603),$O$2:$O$1001,0),MATCH(COLUMNS($V$1006:AB1006),$V$1006:$AE$1006,0)), HYPERLINK("#",""), HYPERLINK(CONCATENATE("#Metadata!", ADDRESS(INDEX($Q$2:$Q$1001,MATCH(ROWS($O$2:O603),$O$2:$O$1001,0),0), INDEX($V$1004:$AE$1004,1,MATCH(COLUMNS($V$1006:AB1006),$V$1006:$AE$1006,0)))),"Fix")))</f>
        <v>0</v>
      </c>
      <c r="I603" s="4">
        <f>IF(OR(INDEX($P$2:$P$1001,MATCH(ROWS($O$2:O603),$O$2:$O$1001,0),1)&gt;=100000,INDEX($V$1005:$AE$1005,1,MATCH(COLUMNS($V$1006:AC1006),$V$1006:$AE$1006,0))&gt;=100000), " ",IF(INDEX($V$2:$AE$1001,MATCH(ROWS($O$2:O603),$O$2:$O$1001,0),MATCH(COLUMNS($V$1006:AC1006),$V$1006:$AE$1006,0)), HYPERLINK("#",""), HYPERLINK(CONCATENATE("#Metadata!", ADDRESS(INDEX($Q$2:$Q$1001,MATCH(ROWS($O$2:O603),$O$2:$O$1001,0),0), INDEX($V$1004:$AE$1004,1,MATCH(COLUMNS($V$1006:AC1006),$V$1006:$AE$1006,0)))),"Fix")))</f>
        <v>0</v>
      </c>
      <c r="J603" s="4">
        <f>IF(OR(INDEX($P$2:$P$1001,MATCH(ROWS($O$2:O603),$O$2:$O$1001,0),1)&gt;=100000,INDEX($V$1005:$AE$1005,1,MATCH(COLUMNS($V$1006:AD1006),$V$1006:$AE$1006,0))&gt;=100000), " ",IF(INDEX($V$2:$AE$1001,MATCH(ROWS($O$2:O603),$O$2:$O$1001,0),MATCH(COLUMNS($V$1006:AD1006),$V$1006:$AE$1006,0)), HYPERLINK("#",""), HYPERLINK(CONCATENATE("#Metadata!", ADDRESS(INDEX($Q$2:$Q$1001,MATCH(ROWS($O$2:O603),$O$2:$O$1001,0),0), INDEX($V$1004:$AE$1004,1,MATCH(COLUMNS($V$1006:AD1006),$V$1006:$AE$1006,0)))),"Fix")))</f>
        <v>0</v>
      </c>
      <c r="K603" s="4">
        <f>IF(OR(INDEX($P$2:$P$1001,MATCH(ROWS($O$2:O603),$O$2:$O$1001,0),1)&gt;=100000,INDEX($V$1005:$AE$1005,1,MATCH(COLUMNS($V$1006:AE1006),$V$1006:$AE$1006,0))&gt;=100000), " ",IF(INDEX($V$2:$AE$1001,MATCH(ROWS($O$2:O603),$O$2:$O$1001,0),MATCH(COLUMNS($V$1006:AE1006),$V$1006:$AE$1006,0)), HYPERLINK("#",""), HYPERLINK(CONCATENATE("#Metadata!", ADDRESS(INDEX($Q$2:$Q$1001,MATCH(ROWS($O$2:O603),$O$2:$O$1001,0),0), INDEX($V$1004:$AE$1004,1,MATCH(COLUMNS($V$1006:AE1006),$V$1006:$AE$1006,0)))),"Fix")))</f>
        <v>0</v>
      </c>
      <c r="O603">
        <v>0</v>
      </c>
      <c r="P603">
        <v>0</v>
      </c>
      <c r="Q603">
        <v>0</v>
      </c>
      <c r="R603">
        <f>IF(S603,TRUE,AND(V603:AE603))</f>
        <v>0</v>
      </c>
      <c r="S603">
        <f>COUNTBLANK(Metadata!B603:K603)=COLUMNS(Metadata!B603:K603)</f>
        <v>0</v>
      </c>
      <c r="T603">
        <v>0</v>
      </c>
      <c r="V603">
        <f>AND(IF(Metadata!B603="",FALSE,TRUE),COUNTIF(Metadata!B:B, Metadata!B603) = 1,NOT(ISERROR(SUMPRODUCT(SEARCH(MID(Metadata!B603,ROW(INDIRECT("1:"&amp;LEN(Metadata!B603))), 1),"0123456789abcdefghijklmnopqrstuvwxyzABCDEFGHIJKLMNOPQRSTUVWXYZ.")))))</f>
        <v>0</v>
      </c>
      <c r="W603">
        <f>AND(IF(Metadata!C603="",FALSE,TRUE),exact(Metadata!C603,"urban biome"))</f>
        <v>0</v>
      </c>
      <c r="X603">
        <f>AND(IF(Metadata!D603="",FALSE,TRUE),exact(Metadata!D603,"animal-associated habitat"))</f>
        <v>0</v>
      </c>
      <c r="Y603">
        <f>OR(AND(IF(Metadata!E603="",FALSE,TRUE),OR(exact(Metadata!E603,"not applicable"),exact(Metadata!E603,"missing: not collected"),exact(Metadata!E603,"missing: not provided"),exact(Metadata!E603,"missing: restricted access"))),AND(IF(Metadata!E603="",FALSE,ISNUMBER(VALUE(Metadata!E603))),Metadata!E603&gt;0))</f>
        <v>0</v>
      </c>
      <c r="Z603">
        <f>AND(IF(Metadata!F603="",FALSE,TRUE),exact(Metadata!F603,"weeks"))</f>
        <v>0</v>
      </c>
      <c r="AA603">
        <f>AND(IF(Metadata!G603="",FALSE,TRUE),exact(Metadata!G603,"mouse"))</f>
        <v>0</v>
      </c>
      <c r="AB603">
        <f>AND(IF(Metadata!H603="",FALSE,TRUE),exact(Metadata!H603,"Mus musculus"))</f>
        <v>0</v>
      </c>
      <c r="AC603">
        <f>AND(IF(Metadata!I603="",FALSE,TRUE),exact(Metadata!I603,"10090"))</f>
        <v>0</v>
      </c>
      <c r="AD603">
        <f>OR(AND(IF(Metadata!J603="",FALSE,TRUE),OR(exact(Metadata!J603,"not applicable"),exact(Metadata!J603,"missing: not collected"),exact(Metadata!J603,"missing: not provided"),exact(Metadata!J603,"missing: restricted access"))),AND(IF(Metadata!J603="",FALSE,ISNUMBER(VALUE(Metadata!J603))),Metadata!J603&gt;0))</f>
        <v>0</v>
      </c>
      <c r="AE603">
        <f>AND(IF(Metadata!K603="",FALSE,TRUE),exact(Metadata!K603,"g"))</f>
        <v>0</v>
      </c>
    </row>
    <row r="604" spans="1:31">
      <c r="A604" s="5">
        <f>IF(B604=" "," ",HYPERLINK(CONCATENATE("#metadata!",ADDRESS(INDEX($Q$2:$Q$1001,MATCH(ROWS($O$2:O604),$O$2:$O$1001,0),0),1)),INDEX($T$2:$T$1001,MATCH(ROWS($O$2:O604),$O$2:$O$1001,0),0)))</f>
        <v>0</v>
      </c>
      <c r="B604" s="4">
        <f>IF(OR(INDEX($P$2:$P$1001,MATCH(ROWS($O$2:O604),$O$2:$O$1001,0),1)&gt;=100000,INDEX($V$1005:$AE$1005,1,MATCH(COLUMNS($V$1006:V1006),$V$1006:$AE$1006,0))&gt;=100000), " ",IF(INDEX($V$2:$AE$1001,MATCH(ROWS($O$2:O604),$O$2:$O$1001,0),MATCH(COLUMNS($V$1006:V1006),$V$1006:$AE$1006,0)), HYPERLINK("#",""), HYPERLINK(CONCATENATE("#Metadata!", ADDRESS(INDEX($Q$2:$Q$1001,MATCH(ROWS($O$2:O604),$O$2:$O$1001,0),0), INDEX($V$1004:$AE$1004,1,MATCH(COLUMNS($V$1006:V1006),$V$1006:$AE$1006,0)))),"Fix")))</f>
        <v>0</v>
      </c>
      <c r="C604" s="4">
        <f>IF(OR(INDEX($P$2:$P$1001,MATCH(ROWS($O$2:O604),$O$2:$O$1001,0),1)&gt;=100000,INDEX($V$1005:$AE$1005,1,MATCH(COLUMNS($V$1006:W1006),$V$1006:$AE$1006,0))&gt;=100000), " ",IF(INDEX($V$2:$AE$1001,MATCH(ROWS($O$2:O604),$O$2:$O$1001,0),MATCH(COLUMNS($V$1006:W1006),$V$1006:$AE$1006,0)), HYPERLINK("#",""), HYPERLINK(CONCATENATE("#Metadata!", ADDRESS(INDEX($Q$2:$Q$1001,MATCH(ROWS($O$2:O604),$O$2:$O$1001,0),0), INDEX($V$1004:$AE$1004,1,MATCH(COLUMNS($V$1006:W1006),$V$1006:$AE$1006,0)))),"Fix")))</f>
        <v>0</v>
      </c>
      <c r="D604" s="4">
        <f>IF(OR(INDEX($P$2:$P$1001,MATCH(ROWS($O$2:O604),$O$2:$O$1001,0),1)&gt;=100000,INDEX($V$1005:$AE$1005,1,MATCH(COLUMNS($V$1006:X1006),$V$1006:$AE$1006,0))&gt;=100000), " ",IF(INDEX($V$2:$AE$1001,MATCH(ROWS($O$2:O604),$O$2:$O$1001,0),MATCH(COLUMNS($V$1006:X1006),$V$1006:$AE$1006,0)), HYPERLINK("#",""), HYPERLINK(CONCATENATE("#Metadata!", ADDRESS(INDEX($Q$2:$Q$1001,MATCH(ROWS($O$2:O604),$O$2:$O$1001,0),0), INDEX($V$1004:$AE$1004,1,MATCH(COLUMNS($V$1006:X1006),$V$1006:$AE$1006,0)))),"Fix")))</f>
        <v>0</v>
      </c>
      <c r="E604" s="4">
        <f>IF(OR(INDEX($P$2:$P$1001,MATCH(ROWS($O$2:O604),$O$2:$O$1001,0),1)&gt;=100000,INDEX($V$1005:$AE$1005,1,MATCH(COLUMNS($V$1006:Y1006),$V$1006:$AE$1006,0))&gt;=100000), " ",IF(INDEX($V$2:$AE$1001,MATCH(ROWS($O$2:O604),$O$2:$O$1001,0),MATCH(COLUMNS($V$1006:Y1006),$V$1006:$AE$1006,0)), HYPERLINK("#",""), HYPERLINK(CONCATENATE("#Metadata!", ADDRESS(INDEX($Q$2:$Q$1001,MATCH(ROWS($O$2:O604),$O$2:$O$1001,0),0), INDEX($V$1004:$AE$1004,1,MATCH(COLUMNS($V$1006:Y1006),$V$1006:$AE$1006,0)))),"Fix")))</f>
        <v>0</v>
      </c>
      <c r="F604" s="4">
        <f>IF(OR(INDEX($P$2:$P$1001,MATCH(ROWS($O$2:O604),$O$2:$O$1001,0),1)&gt;=100000,INDEX($V$1005:$AE$1005,1,MATCH(COLUMNS($V$1006:Z1006),$V$1006:$AE$1006,0))&gt;=100000), " ",IF(INDEX($V$2:$AE$1001,MATCH(ROWS($O$2:O604),$O$2:$O$1001,0),MATCH(COLUMNS($V$1006:Z1006),$V$1006:$AE$1006,0)), HYPERLINK("#",""), HYPERLINK(CONCATENATE("#Metadata!", ADDRESS(INDEX($Q$2:$Q$1001,MATCH(ROWS($O$2:O604),$O$2:$O$1001,0),0), INDEX($V$1004:$AE$1004,1,MATCH(COLUMNS($V$1006:Z1006),$V$1006:$AE$1006,0)))),"Fix")))</f>
        <v>0</v>
      </c>
      <c r="G604" s="4">
        <f>IF(OR(INDEX($P$2:$P$1001,MATCH(ROWS($O$2:O604),$O$2:$O$1001,0),1)&gt;=100000,INDEX($V$1005:$AE$1005,1,MATCH(COLUMNS($V$1006:AA1006),$V$1006:$AE$1006,0))&gt;=100000), " ",IF(INDEX($V$2:$AE$1001,MATCH(ROWS($O$2:O604),$O$2:$O$1001,0),MATCH(COLUMNS($V$1006:AA1006),$V$1006:$AE$1006,0)), HYPERLINK("#",""), HYPERLINK(CONCATENATE("#Metadata!", ADDRESS(INDEX($Q$2:$Q$1001,MATCH(ROWS($O$2:O604),$O$2:$O$1001,0),0), INDEX($V$1004:$AE$1004,1,MATCH(COLUMNS($V$1006:AA1006),$V$1006:$AE$1006,0)))),"Fix")))</f>
        <v>0</v>
      </c>
      <c r="H604" s="4">
        <f>IF(OR(INDEX($P$2:$P$1001,MATCH(ROWS($O$2:O604),$O$2:$O$1001,0),1)&gt;=100000,INDEX($V$1005:$AE$1005,1,MATCH(COLUMNS($V$1006:AB1006),$V$1006:$AE$1006,0))&gt;=100000), " ",IF(INDEX($V$2:$AE$1001,MATCH(ROWS($O$2:O604),$O$2:$O$1001,0),MATCH(COLUMNS($V$1006:AB1006),$V$1006:$AE$1006,0)), HYPERLINK("#",""), HYPERLINK(CONCATENATE("#Metadata!", ADDRESS(INDEX($Q$2:$Q$1001,MATCH(ROWS($O$2:O604),$O$2:$O$1001,0),0), INDEX($V$1004:$AE$1004,1,MATCH(COLUMNS($V$1006:AB1006),$V$1006:$AE$1006,0)))),"Fix")))</f>
        <v>0</v>
      </c>
      <c r="I604" s="4">
        <f>IF(OR(INDEX($P$2:$P$1001,MATCH(ROWS($O$2:O604),$O$2:$O$1001,0),1)&gt;=100000,INDEX($V$1005:$AE$1005,1,MATCH(COLUMNS($V$1006:AC1006),$V$1006:$AE$1006,0))&gt;=100000), " ",IF(INDEX($V$2:$AE$1001,MATCH(ROWS($O$2:O604),$O$2:$O$1001,0),MATCH(COLUMNS($V$1006:AC1006),$V$1006:$AE$1006,0)), HYPERLINK("#",""), HYPERLINK(CONCATENATE("#Metadata!", ADDRESS(INDEX($Q$2:$Q$1001,MATCH(ROWS($O$2:O604),$O$2:$O$1001,0),0), INDEX($V$1004:$AE$1004,1,MATCH(COLUMNS($V$1006:AC1006),$V$1006:$AE$1006,0)))),"Fix")))</f>
        <v>0</v>
      </c>
      <c r="J604" s="4">
        <f>IF(OR(INDEX($P$2:$P$1001,MATCH(ROWS($O$2:O604),$O$2:$O$1001,0),1)&gt;=100000,INDEX($V$1005:$AE$1005,1,MATCH(COLUMNS($V$1006:AD1006),$V$1006:$AE$1006,0))&gt;=100000), " ",IF(INDEX($V$2:$AE$1001,MATCH(ROWS($O$2:O604),$O$2:$O$1001,0),MATCH(COLUMNS($V$1006:AD1006),$V$1006:$AE$1006,0)), HYPERLINK("#",""), HYPERLINK(CONCATENATE("#Metadata!", ADDRESS(INDEX($Q$2:$Q$1001,MATCH(ROWS($O$2:O604),$O$2:$O$1001,0),0), INDEX($V$1004:$AE$1004,1,MATCH(COLUMNS($V$1006:AD1006),$V$1006:$AE$1006,0)))),"Fix")))</f>
        <v>0</v>
      </c>
      <c r="K604" s="4">
        <f>IF(OR(INDEX($P$2:$P$1001,MATCH(ROWS($O$2:O604),$O$2:$O$1001,0),1)&gt;=100000,INDEX($V$1005:$AE$1005,1,MATCH(COLUMNS($V$1006:AE1006),$V$1006:$AE$1006,0))&gt;=100000), " ",IF(INDEX($V$2:$AE$1001,MATCH(ROWS($O$2:O604),$O$2:$O$1001,0),MATCH(COLUMNS($V$1006:AE1006),$V$1006:$AE$1006,0)), HYPERLINK("#",""), HYPERLINK(CONCATENATE("#Metadata!", ADDRESS(INDEX($Q$2:$Q$1001,MATCH(ROWS($O$2:O604),$O$2:$O$1001,0),0), INDEX($V$1004:$AE$1004,1,MATCH(COLUMNS($V$1006:AE1006),$V$1006:$AE$1006,0)))),"Fix")))</f>
        <v>0</v>
      </c>
      <c r="O604">
        <v>0</v>
      </c>
      <c r="P604">
        <v>0</v>
      </c>
      <c r="Q604">
        <v>0</v>
      </c>
      <c r="R604">
        <f>IF(S604,TRUE,AND(V604:AE604))</f>
        <v>0</v>
      </c>
      <c r="S604">
        <f>COUNTBLANK(Metadata!B604:K604)=COLUMNS(Metadata!B604:K604)</f>
        <v>0</v>
      </c>
      <c r="T604">
        <v>0</v>
      </c>
      <c r="V604">
        <f>AND(IF(Metadata!B604="",FALSE,TRUE),COUNTIF(Metadata!B:B, Metadata!B604) = 1,NOT(ISERROR(SUMPRODUCT(SEARCH(MID(Metadata!B604,ROW(INDIRECT("1:"&amp;LEN(Metadata!B604))), 1),"0123456789abcdefghijklmnopqrstuvwxyzABCDEFGHIJKLMNOPQRSTUVWXYZ.")))))</f>
        <v>0</v>
      </c>
      <c r="W604">
        <f>AND(IF(Metadata!C604="",FALSE,TRUE),exact(Metadata!C604,"urban biome"))</f>
        <v>0</v>
      </c>
      <c r="X604">
        <f>AND(IF(Metadata!D604="",FALSE,TRUE),exact(Metadata!D604,"animal-associated habitat"))</f>
        <v>0</v>
      </c>
      <c r="Y604">
        <f>OR(AND(IF(Metadata!E604="",FALSE,TRUE),OR(exact(Metadata!E604,"not applicable"),exact(Metadata!E604,"missing: not collected"),exact(Metadata!E604,"missing: not provided"),exact(Metadata!E604,"missing: restricted access"))),AND(IF(Metadata!E604="",FALSE,ISNUMBER(VALUE(Metadata!E604))),Metadata!E604&gt;0))</f>
        <v>0</v>
      </c>
      <c r="Z604">
        <f>AND(IF(Metadata!F604="",FALSE,TRUE),exact(Metadata!F604,"weeks"))</f>
        <v>0</v>
      </c>
      <c r="AA604">
        <f>AND(IF(Metadata!G604="",FALSE,TRUE),exact(Metadata!G604,"mouse"))</f>
        <v>0</v>
      </c>
      <c r="AB604">
        <f>AND(IF(Metadata!H604="",FALSE,TRUE),exact(Metadata!H604,"Mus musculus"))</f>
        <v>0</v>
      </c>
      <c r="AC604">
        <f>AND(IF(Metadata!I604="",FALSE,TRUE),exact(Metadata!I604,"10090"))</f>
        <v>0</v>
      </c>
      <c r="AD604">
        <f>OR(AND(IF(Metadata!J604="",FALSE,TRUE),OR(exact(Metadata!J604,"not applicable"),exact(Metadata!J604,"missing: not collected"),exact(Metadata!J604,"missing: not provided"),exact(Metadata!J604,"missing: restricted access"))),AND(IF(Metadata!J604="",FALSE,ISNUMBER(VALUE(Metadata!J604))),Metadata!J604&gt;0))</f>
        <v>0</v>
      </c>
      <c r="AE604">
        <f>AND(IF(Metadata!K604="",FALSE,TRUE),exact(Metadata!K604,"g"))</f>
        <v>0</v>
      </c>
    </row>
    <row r="605" spans="1:31">
      <c r="A605" s="5">
        <f>IF(B605=" "," ",HYPERLINK(CONCATENATE("#metadata!",ADDRESS(INDEX($Q$2:$Q$1001,MATCH(ROWS($O$2:O605),$O$2:$O$1001,0),0),1)),INDEX($T$2:$T$1001,MATCH(ROWS($O$2:O605),$O$2:$O$1001,0),0)))</f>
        <v>0</v>
      </c>
      <c r="B605" s="4">
        <f>IF(OR(INDEX($P$2:$P$1001,MATCH(ROWS($O$2:O605),$O$2:$O$1001,0),1)&gt;=100000,INDEX($V$1005:$AE$1005,1,MATCH(COLUMNS($V$1006:V1006),$V$1006:$AE$1006,0))&gt;=100000), " ",IF(INDEX($V$2:$AE$1001,MATCH(ROWS($O$2:O605),$O$2:$O$1001,0),MATCH(COLUMNS($V$1006:V1006),$V$1006:$AE$1006,0)), HYPERLINK("#",""), HYPERLINK(CONCATENATE("#Metadata!", ADDRESS(INDEX($Q$2:$Q$1001,MATCH(ROWS($O$2:O605),$O$2:$O$1001,0),0), INDEX($V$1004:$AE$1004,1,MATCH(COLUMNS($V$1006:V1006),$V$1006:$AE$1006,0)))),"Fix")))</f>
        <v>0</v>
      </c>
      <c r="C605" s="4">
        <f>IF(OR(INDEX($P$2:$P$1001,MATCH(ROWS($O$2:O605),$O$2:$O$1001,0),1)&gt;=100000,INDEX($V$1005:$AE$1005,1,MATCH(COLUMNS($V$1006:W1006),$V$1006:$AE$1006,0))&gt;=100000), " ",IF(INDEX($V$2:$AE$1001,MATCH(ROWS($O$2:O605),$O$2:$O$1001,0),MATCH(COLUMNS($V$1006:W1006),$V$1006:$AE$1006,0)), HYPERLINK("#",""), HYPERLINK(CONCATENATE("#Metadata!", ADDRESS(INDEX($Q$2:$Q$1001,MATCH(ROWS($O$2:O605),$O$2:$O$1001,0),0), INDEX($V$1004:$AE$1004,1,MATCH(COLUMNS($V$1006:W1006),$V$1006:$AE$1006,0)))),"Fix")))</f>
        <v>0</v>
      </c>
      <c r="D605" s="4">
        <f>IF(OR(INDEX($P$2:$P$1001,MATCH(ROWS($O$2:O605),$O$2:$O$1001,0),1)&gt;=100000,INDEX($V$1005:$AE$1005,1,MATCH(COLUMNS($V$1006:X1006),$V$1006:$AE$1006,0))&gt;=100000), " ",IF(INDEX($V$2:$AE$1001,MATCH(ROWS($O$2:O605),$O$2:$O$1001,0),MATCH(COLUMNS($V$1006:X1006),$V$1006:$AE$1006,0)), HYPERLINK("#",""), HYPERLINK(CONCATENATE("#Metadata!", ADDRESS(INDEX($Q$2:$Q$1001,MATCH(ROWS($O$2:O605),$O$2:$O$1001,0),0), INDEX($V$1004:$AE$1004,1,MATCH(COLUMNS($V$1006:X1006),$V$1006:$AE$1006,0)))),"Fix")))</f>
        <v>0</v>
      </c>
      <c r="E605" s="4">
        <f>IF(OR(INDEX($P$2:$P$1001,MATCH(ROWS($O$2:O605),$O$2:$O$1001,0),1)&gt;=100000,INDEX($V$1005:$AE$1005,1,MATCH(COLUMNS($V$1006:Y1006),$V$1006:$AE$1006,0))&gt;=100000), " ",IF(INDEX($V$2:$AE$1001,MATCH(ROWS($O$2:O605),$O$2:$O$1001,0),MATCH(COLUMNS($V$1006:Y1006),$V$1006:$AE$1006,0)), HYPERLINK("#",""), HYPERLINK(CONCATENATE("#Metadata!", ADDRESS(INDEX($Q$2:$Q$1001,MATCH(ROWS($O$2:O605),$O$2:$O$1001,0),0), INDEX($V$1004:$AE$1004,1,MATCH(COLUMNS($V$1006:Y1006),$V$1006:$AE$1006,0)))),"Fix")))</f>
        <v>0</v>
      </c>
      <c r="F605" s="4">
        <f>IF(OR(INDEX($P$2:$P$1001,MATCH(ROWS($O$2:O605),$O$2:$O$1001,0),1)&gt;=100000,INDEX($V$1005:$AE$1005,1,MATCH(COLUMNS($V$1006:Z1006),$V$1006:$AE$1006,0))&gt;=100000), " ",IF(INDEX($V$2:$AE$1001,MATCH(ROWS($O$2:O605),$O$2:$O$1001,0),MATCH(COLUMNS($V$1006:Z1006),$V$1006:$AE$1006,0)), HYPERLINK("#",""), HYPERLINK(CONCATENATE("#Metadata!", ADDRESS(INDEX($Q$2:$Q$1001,MATCH(ROWS($O$2:O605),$O$2:$O$1001,0),0), INDEX($V$1004:$AE$1004,1,MATCH(COLUMNS($V$1006:Z1006),$V$1006:$AE$1006,0)))),"Fix")))</f>
        <v>0</v>
      </c>
      <c r="G605" s="4">
        <f>IF(OR(INDEX($P$2:$P$1001,MATCH(ROWS($O$2:O605),$O$2:$O$1001,0),1)&gt;=100000,INDEX($V$1005:$AE$1005,1,MATCH(COLUMNS($V$1006:AA1006),$V$1006:$AE$1006,0))&gt;=100000), " ",IF(INDEX($V$2:$AE$1001,MATCH(ROWS($O$2:O605),$O$2:$O$1001,0),MATCH(COLUMNS($V$1006:AA1006),$V$1006:$AE$1006,0)), HYPERLINK("#",""), HYPERLINK(CONCATENATE("#Metadata!", ADDRESS(INDEX($Q$2:$Q$1001,MATCH(ROWS($O$2:O605),$O$2:$O$1001,0),0), INDEX($V$1004:$AE$1004,1,MATCH(COLUMNS($V$1006:AA1006),$V$1006:$AE$1006,0)))),"Fix")))</f>
        <v>0</v>
      </c>
      <c r="H605" s="4">
        <f>IF(OR(INDEX($P$2:$P$1001,MATCH(ROWS($O$2:O605),$O$2:$O$1001,0),1)&gt;=100000,INDEX($V$1005:$AE$1005,1,MATCH(COLUMNS($V$1006:AB1006),$V$1006:$AE$1006,0))&gt;=100000), " ",IF(INDEX($V$2:$AE$1001,MATCH(ROWS($O$2:O605),$O$2:$O$1001,0),MATCH(COLUMNS($V$1006:AB1006),$V$1006:$AE$1006,0)), HYPERLINK("#",""), HYPERLINK(CONCATENATE("#Metadata!", ADDRESS(INDEX($Q$2:$Q$1001,MATCH(ROWS($O$2:O605),$O$2:$O$1001,0),0), INDEX($V$1004:$AE$1004,1,MATCH(COLUMNS($V$1006:AB1006),$V$1006:$AE$1006,0)))),"Fix")))</f>
        <v>0</v>
      </c>
      <c r="I605" s="4">
        <f>IF(OR(INDEX($P$2:$P$1001,MATCH(ROWS($O$2:O605),$O$2:$O$1001,0),1)&gt;=100000,INDEX($V$1005:$AE$1005,1,MATCH(COLUMNS($V$1006:AC1006),$V$1006:$AE$1006,0))&gt;=100000), " ",IF(INDEX($V$2:$AE$1001,MATCH(ROWS($O$2:O605),$O$2:$O$1001,0),MATCH(COLUMNS($V$1006:AC1006),$V$1006:$AE$1006,0)), HYPERLINK("#",""), HYPERLINK(CONCATENATE("#Metadata!", ADDRESS(INDEX($Q$2:$Q$1001,MATCH(ROWS($O$2:O605),$O$2:$O$1001,0),0), INDEX($V$1004:$AE$1004,1,MATCH(COLUMNS($V$1006:AC1006),$V$1006:$AE$1006,0)))),"Fix")))</f>
        <v>0</v>
      </c>
      <c r="J605" s="4">
        <f>IF(OR(INDEX($P$2:$P$1001,MATCH(ROWS($O$2:O605),$O$2:$O$1001,0),1)&gt;=100000,INDEX($V$1005:$AE$1005,1,MATCH(COLUMNS($V$1006:AD1006),$V$1006:$AE$1006,0))&gt;=100000), " ",IF(INDEX($V$2:$AE$1001,MATCH(ROWS($O$2:O605),$O$2:$O$1001,0),MATCH(COLUMNS($V$1006:AD1006),$V$1006:$AE$1006,0)), HYPERLINK("#",""), HYPERLINK(CONCATENATE("#Metadata!", ADDRESS(INDEX($Q$2:$Q$1001,MATCH(ROWS($O$2:O605),$O$2:$O$1001,0),0), INDEX($V$1004:$AE$1004,1,MATCH(COLUMNS($V$1006:AD1006),$V$1006:$AE$1006,0)))),"Fix")))</f>
        <v>0</v>
      </c>
      <c r="K605" s="4">
        <f>IF(OR(INDEX($P$2:$P$1001,MATCH(ROWS($O$2:O605),$O$2:$O$1001,0),1)&gt;=100000,INDEX($V$1005:$AE$1005,1,MATCH(COLUMNS($V$1006:AE1006),$V$1006:$AE$1006,0))&gt;=100000), " ",IF(INDEX($V$2:$AE$1001,MATCH(ROWS($O$2:O605),$O$2:$O$1001,0),MATCH(COLUMNS($V$1006:AE1006),$V$1006:$AE$1006,0)), HYPERLINK("#",""), HYPERLINK(CONCATENATE("#Metadata!", ADDRESS(INDEX($Q$2:$Q$1001,MATCH(ROWS($O$2:O605),$O$2:$O$1001,0),0), INDEX($V$1004:$AE$1004,1,MATCH(COLUMNS($V$1006:AE1006),$V$1006:$AE$1006,0)))),"Fix")))</f>
        <v>0</v>
      </c>
      <c r="O605">
        <v>0</v>
      </c>
      <c r="P605">
        <v>0</v>
      </c>
      <c r="Q605">
        <v>0</v>
      </c>
      <c r="R605">
        <f>IF(S605,TRUE,AND(V605:AE605))</f>
        <v>0</v>
      </c>
      <c r="S605">
        <f>COUNTBLANK(Metadata!B605:K605)=COLUMNS(Metadata!B605:K605)</f>
        <v>0</v>
      </c>
      <c r="T605">
        <v>0</v>
      </c>
      <c r="V605">
        <f>AND(IF(Metadata!B605="",FALSE,TRUE),COUNTIF(Metadata!B:B, Metadata!B605) = 1,NOT(ISERROR(SUMPRODUCT(SEARCH(MID(Metadata!B605,ROW(INDIRECT("1:"&amp;LEN(Metadata!B605))), 1),"0123456789abcdefghijklmnopqrstuvwxyzABCDEFGHIJKLMNOPQRSTUVWXYZ.")))))</f>
        <v>0</v>
      </c>
      <c r="W605">
        <f>AND(IF(Metadata!C605="",FALSE,TRUE),exact(Metadata!C605,"urban biome"))</f>
        <v>0</v>
      </c>
      <c r="X605">
        <f>AND(IF(Metadata!D605="",FALSE,TRUE),exact(Metadata!D605,"animal-associated habitat"))</f>
        <v>0</v>
      </c>
      <c r="Y605">
        <f>OR(AND(IF(Metadata!E605="",FALSE,TRUE),OR(exact(Metadata!E605,"not applicable"),exact(Metadata!E605,"missing: not collected"),exact(Metadata!E605,"missing: not provided"),exact(Metadata!E605,"missing: restricted access"))),AND(IF(Metadata!E605="",FALSE,ISNUMBER(VALUE(Metadata!E605))),Metadata!E605&gt;0))</f>
        <v>0</v>
      </c>
      <c r="Z605">
        <f>AND(IF(Metadata!F605="",FALSE,TRUE),exact(Metadata!F605,"weeks"))</f>
        <v>0</v>
      </c>
      <c r="AA605">
        <f>AND(IF(Metadata!G605="",FALSE,TRUE),exact(Metadata!G605,"mouse"))</f>
        <v>0</v>
      </c>
      <c r="AB605">
        <f>AND(IF(Metadata!H605="",FALSE,TRUE),exact(Metadata!H605,"Mus musculus"))</f>
        <v>0</v>
      </c>
      <c r="AC605">
        <f>AND(IF(Metadata!I605="",FALSE,TRUE),exact(Metadata!I605,"10090"))</f>
        <v>0</v>
      </c>
      <c r="AD605">
        <f>OR(AND(IF(Metadata!J605="",FALSE,TRUE),OR(exact(Metadata!J605,"not applicable"),exact(Metadata!J605,"missing: not collected"),exact(Metadata!J605,"missing: not provided"),exact(Metadata!J605,"missing: restricted access"))),AND(IF(Metadata!J605="",FALSE,ISNUMBER(VALUE(Metadata!J605))),Metadata!J605&gt;0))</f>
        <v>0</v>
      </c>
      <c r="AE605">
        <f>AND(IF(Metadata!K605="",FALSE,TRUE),exact(Metadata!K605,"g"))</f>
        <v>0</v>
      </c>
    </row>
    <row r="606" spans="1:31">
      <c r="A606" s="5">
        <f>IF(B606=" "," ",HYPERLINK(CONCATENATE("#metadata!",ADDRESS(INDEX($Q$2:$Q$1001,MATCH(ROWS($O$2:O606),$O$2:$O$1001,0),0),1)),INDEX($T$2:$T$1001,MATCH(ROWS($O$2:O606),$O$2:$O$1001,0),0)))</f>
        <v>0</v>
      </c>
      <c r="B606" s="4">
        <f>IF(OR(INDEX($P$2:$P$1001,MATCH(ROWS($O$2:O606),$O$2:$O$1001,0),1)&gt;=100000,INDEX($V$1005:$AE$1005,1,MATCH(COLUMNS($V$1006:V1006),$V$1006:$AE$1006,0))&gt;=100000), " ",IF(INDEX($V$2:$AE$1001,MATCH(ROWS($O$2:O606),$O$2:$O$1001,0),MATCH(COLUMNS($V$1006:V1006),$V$1006:$AE$1006,0)), HYPERLINK("#",""), HYPERLINK(CONCATENATE("#Metadata!", ADDRESS(INDEX($Q$2:$Q$1001,MATCH(ROWS($O$2:O606),$O$2:$O$1001,0),0), INDEX($V$1004:$AE$1004,1,MATCH(COLUMNS($V$1006:V1006),$V$1006:$AE$1006,0)))),"Fix")))</f>
        <v>0</v>
      </c>
      <c r="C606" s="4">
        <f>IF(OR(INDEX($P$2:$P$1001,MATCH(ROWS($O$2:O606),$O$2:$O$1001,0),1)&gt;=100000,INDEX($V$1005:$AE$1005,1,MATCH(COLUMNS($V$1006:W1006),$V$1006:$AE$1006,0))&gt;=100000), " ",IF(INDEX($V$2:$AE$1001,MATCH(ROWS($O$2:O606),$O$2:$O$1001,0),MATCH(COLUMNS($V$1006:W1006),$V$1006:$AE$1006,0)), HYPERLINK("#",""), HYPERLINK(CONCATENATE("#Metadata!", ADDRESS(INDEX($Q$2:$Q$1001,MATCH(ROWS($O$2:O606),$O$2:$O$1001,0),0), INDEX($V$1004:$AE$1004,1,MATCH(COLUMNS($V$1006:W1006),$V$1006:$AE$1006,0)))),"Fix")))</f>
        <v>0</v>
      </c>
      <c r="D606" s="4">
        <f>IF(OR(INDEX($P$2:$P$1001,MATCH(ROWS($O$2:O606),$O$2:$O$1001,0),1)&gt;=100000,INDEX($V$1005:$AE$1005,1,MATCH(COLUMNS($V$1006:X1006),$V$1006:$AE$1006,0))&gt;=100000), " ",IF(INDEX($V$2:$AE$1001,MATCH(ROWS($O$2:O606),$O$2:$O$1001,0),MATCH(COLUMNS($V$1006:X1006),$V$1006:$AE$1006,0)), HYPERLINK("#",""), HYPERLINK(CONCATENATE("#Metadata!", ADDRESS(INDEX($Q$2:$Q$1001,MATCH(ROWS($O$2:O606),$O$2:$O$1001,0),0), INDEX($V$1004:$AE$1004,1,MATCH(COLUMNS($V$1006:X1006),$V$1006:$AE$1006,0)))),"Fix")))</f>
        <v>0</v>
      </c>
      <c r="E606" s="4">
        <f>IF(OR(INDEX($P$2:$P$1001,MATCH(ROWS($O$2:O606),$O$2:$O$1001,0),1)&gt;=100000,INDEX($V$1005:$AE$1005,1,MATCH(COLUMNS($V$1006:Y1006),$V$1006:$AE$1006,0))&gt;=100000), " ",IF(INDEX($V$2:$AE$1001,MATCH(ROWS($O$2:O606),$O$2:$O$1001,0),MATCH(COLUMNS($V$1006:Y1006),$V$1006:$AE$1006,0)), HYPERLINK("#",""), HYPERLINK(CONCATENATE("#Metadata!", ADDRESS(INDEX($Q$2:$Q$1001,MATCH(ROWS($O$2:O606),$O$2:$O$1001,0),0), INDEX($V$1004:$AE$1004,1,MATCH(COLUMNS($V$1006:Y1006),$V$1006:$AE$1006,0)))),"Fix")))</f>
        <v>0</v>
      </c>
      <c r="F606" s="4">
        <f>IF(OR(INDEX($P$2:$P$1001,MATCH(ROWS($O$2:O606),$O$2:$O$1001,0),1)&gt;=100000,INDEX($V$1005:$AE$1005,1,MATCH(COLUMNS($V$1006:Z1006),$V$1006:$AE$1006,0))&gt;=100000), " ",IF(INDEX($V$2:$AE$1001,MATCH(ROWS($O$2:O606),$O$2:$O$1001,0),MATCH(COLUMNS($V$1006:Z1006),$V$1006:$AE$1006,0)), HYPERLINK("#",""), HYPERLINK(CONCATENATE("#Metadata!", ADDRESS(INDEX($Q$2:$Q$1001,MATCH(ROWS($O$2:O606),$O$2:$O$1001,0),0), INDEX($V$1004:$AE$1004,1,MATCH(COLUMNS($V$1006:Z1006),$V$1006:$AE$1006,0)))),"Fix")))</f>
        <v>0</v>
      </c>
      <c r="G606" s="4">
        <f>IF(OR(INDEX($P$2:$P$1001,MATCH(ROWS($O$2:O606),$O$2:$O$1001,0),1)&gt;=100000,INDEX($V$1005:$AE$1005,1,MATCH(COLUMNS($V$1006:AA1006),$V$1006:$AE$1006,0))&gt;=100000), " ",IF(INDEX($V$2:$AE$1001,MATCH(ROWS($O$2:O606),$O$2:$O$1001,0),MATCH(COLUMNS($V$1006:AA1006),$V$1006:$AE$1006,0)), HYPERLINK("#",""), HYPERLINK(CONCATENATE("#Metadata!", ADDRESS(INDEX($Q$2:$Q$1001,MATCH(ROWS($O$2:O606),$O$2:$O$1001,0),0), INDEX($V$1004:$AE$1004,1,MATCH(COLUMNS($V$1006:AA1006),$V$1006:$AE$1006,0)))),"Fix")))</f>
        <v>0</v>
      </c>
      <c r="H606" s="4">
        <f>IF(OR(INDEX($P$2:$P$1001,MATCH(ROWS($O$2:O606),$O$2:$O$1001,0),1)&gt;=100000,INDEX($V$1005:$AE$1005,1,MATCH(COLUMNS($V$1006:AB1006),$V$1006:$AE$1006,0))&gt;=100000), " ",IF(INDEX($V$2:$AE$1001,MATCH(ROWS($O$2:O606),$O$2:$O$1001,0),MATCH(COLUMNS($V$1006:AB1006),$V$1006:$AE$1006,0)), HYPERLINK("#",""), HYPERLINK(CONCATENATE("#Metadata!", ADDRESS(INDEX($Q$2:$Q$1001,MATCH(ROWS($O$2:O606),$O$2:$O$1001,0),0), INDEX($V$1004:$AE$1004,1,MATCH(COLUMNS($V$1006:AB1006),$V$1006:$AE$1006,0)))),"Fix")))</f>
        <v>0</v>
      </c>
      <c r="I606" s="4">
        <f>IF(OR(INDEX($P$2:$P$1001,MATCH(ROWS($O$2:O606),$O$2:$O$1001,0),1)&gt;=100000,INDEX($V$1005:$AE$1005,1,MATCH(COLUMNS($V$1006:AC1006),$V$1006:$AE$1006,0))&gt;=100000), " ",IF(INDEX($V$2:$AE$1001,MATCH(ROWS($O$2:O606),$O$2:$O$1001,0),MATCH(COLUMNS($V$1006:AC1006),$V$1006:$AE$1006,0)), HYPERLINK("#",""), HYPERLINK(CONCATENATE("#Metadata!", ADDRESS(INDEX($Q$2:$Q$1001,MATCH(ROWS($O$2:O606),$O$2:$O$1001,0),0), INDEX($V$1004:$AE$1004,1,MATCH(COLUMNS($V$1006:AC1006),$V$1006:$AE$1006,0)))),"Fix")))</f>
        <v>0</v>
      </c>
      <c r="J606" s="4">
        <f>IF(OR(INDEX($P$2:$P$1001,MATCH(ROWS($O$2:O606),$O$2:$O$1001,0),1)&gt;=100000,INDEX($V$1005:$AE$1005,1,MATCH(COLUMNS($V$1006:AD1006),$V$1006:$AE$1006,0))&gt;=100000), " ",IF(INDEX($V$2:$AE$1001,MATCH(ROWS($O$2:O606),$O$2:$O$1001,0),MATCH(COLUMNS($V$1006:AD1006),$V$1006:$AE$1006,0)), HYPERLINK("#",""), HYPERLINK(CONCATENATE("#Metadata!", ADDRESS(INDEX($Q$2:$Q$1001,MATCH(ROWS($O$2:O606),$O$2:$O$1001,0),0), INDEX($V$1004:$AE$1004,1,MATCH(COLUMNS($V$1006:AD1006),$V$1006:$AE$1006,0)))),"Fix")))</f>
        <v>0</v>
      </c>
      <c r="K606" s="4">
        <f>IF(OR(INDEX($P$2:$P$1001,MATCH(ROWS($O$2:O606),$O$2:$O$1001,0),1)&gt;=100000,INDEX($V$1005:$AE$1005,1,MATCH(COLUMNS($V$1006:AE1006),$V$1006:$AE$1006,0))&gt;=100000), " ",IF(INDEX($V$2:$AE$1001,MATCH(ROWS($O$2:O606),$O$2:$O$1001,0),MATCH(COLUMNS($V$1006:AE1006),$V$1006:$AE$1006,0)), HYPERLINK("#",""), HYPERLINK(CONCATENATE("#Metadata!", ADDRESS(INDEX($Q$2:$Q$1001,MATCH(ROWS($O$2:O606),$O$2:$O$1001,0),0), INDEX($V$1004:$AE$1004,1,MATCH(COLUMNS($V$1006:AE1006),$V$1006:$AE$1006,0)))),"Fix")))</f>
        <v>0</v>
      </c>
      <c r="O606">
        <v>0</v>
      </c>
      <c r="P606">
        <v>0</v>
      </c>
      <c r="Q606">
        <v>0</v>
      </c>
      <c r="R606">
        <f>IF(S606,TRUE,AND(V606:AE606))</f>
        <v>0</v>
      </c>
      <c r="S606">
        <f>COUNTBLANK(Metadata!B606:K606)=COLUMNS(Metadata!B606:K606)</f>
        <v>0</v>
      </c>
      <c r="T606">
        <v>0</v>
      </c>
      <c r="V606">
        <f>AND(IF(Metadata!B606="",FALSE,TRUE),COUNTIF(Metadata!B:B, Metadata!B606) = 1,NOT(ISERROR(SUMPRODUCT(SEARCH(MID(Metadata!B606,ROW(INDIRECT("1:"&amp;LEN(Metadata!B606))), 1),"0123456789abcdefghijklmnopqrstuvwxyzABCDEFGHIJKLMNOPQRSTUVWXYZ.")))))</f>
        <v>0</v>
      </c>
      <c r="W606">
        <f>AND(IF(Metadata!C606="",FALSE,TRUE),exact(Metadata!C606,"urban biome"))</f>
        <v>0</v>
      </c>
      <c r="X606">
        <f>AND(IF(Metadata!D606="",FALSE,TRUE),exact(Metadata!D606,"animal-associated habitat"))</f>
        <v>0</v>
      </c>
      <c r="Y606">
        <f>OR(AND(IF(Metadata!E606="",FALSE,TRUE),OR(exact(Metadata!E606,"not applicable"),exact(Metadata!E606,"missing: not collected"),exact(Metadata!E606,"missing: not provided"),exact(Metadata!E606,"missing: restricted access"))),AND(IF(Metadata!E606="",FALSE,ISNUMBER(VALUE(Metadata!E606))),Metadata!E606&gt;0))</f>
        <v>0</v>
      </c>
      <c r="Z606">
        <f>AND(IF(Metadata!F606="",FALSE,TRUE),exact(Metadata!F606,"weeks"))</f>
        <v>0</v>
      </c>
      <c r="AA606">
        <f>AND(IF(Metadata!G606="",FALSE,TRUE),exact(Metadata!G606,"mouse"))</f>
        <v>0</v>
      </c>
      <c r="AB606">
        <f>AND(IF(Metadata!H606="",FALSE,TRUE),exact(Metadata!H606,"Mus musculus"))</f>
        <v>0</v>
      </c>
      <c r="AC606">
        <f>AND(IF(Metadata!I606="",FALSE,TRUE),exact(Metadata!I606,"10090"))</f>
        <v>0</v>
      </c>
      <c r="AD606">
        <f>OR(AND(IF(Metadata!J606="",FALSE,TRUE),OR(exact(Metadata!J606,"not applicable"),exact(Metadata!J606,"missing: not collected"),exact(Metadata!J606,"missing: not provided"),exact(Metadata!J606,"missing: restricted access"))),AND(IF(Metadata!J606="",FALSE,ISNUMBER(VALUE(Metadata!J606))),Metadata!J606&gt;0))</f>
        <v>0</v>
      </c>
      <c r="AE606">
        <f>AND(IF(Metadata!K606="",FALSE,TRUE),exact(Metadata!K606,"g"))</f>
        <v>0</v>
      </c>
    </row>
    <row r="607" spans="1:31">
      <c r="A607" s="5">
        <f>IF(B607=" "," ",HYPERLINK(CONCATENATE("#metadata!",ADDRESS(INDEX($Q$2:$Q$1001,MATCH(ROWS($O$2:O607),$O$2:$O$1001,0),0),1)),INDEX($T$2:$T$1001,MATCH(ROWS($O$2:O607),$O$2:$O$1001,0),0)))</f>
        <v>0</v>
      </c>
      <c r="B607" s="4">
        <f>IF(OR(INDEX($P$2:$P$1001,MATCH(ROWS($O$2:O607),$O$2:$O$1001,0),1)&gt;=100000,INDEX($V$1005:$AE$1005,1,MATCH(COLUMNS($V$1006:V1006),$V$1006:$AE$1006,0))&gt;=100000), " ",IF(INDEX($V$2:$AE$1001,MATCH(ROWS($O$2:O607),$O$2:$O$1001,0),MATCH(COLUMNS($V$1006:V1006),$V$1006:$AE$1006,0)), HYPERLINK("#",""), HYPERLINK(CONCATENATE("#Metadata!", ADDRESS(INDEX($Q$2:$Q$1001,MATCH(ROWS($O$2:O607),$O$2:$O$1001,0),0), INDEX($V$1004:$AE$1004,1,MATCH(COLUMNS($V$1006:V1006),$V$1006:$AE$1006,0)))),"Fix")))</f>
        <v>0</v>
      </c>
      <c r="C607" s="4">
        <f>IF(OR(INDEX($P$2:$P$1001,MATCH(ROWS($O$2:O607),$O$2:$O$1001,0),1)&gt;=100000,INDEX($V$1005:$AE$1005,1,MATCH(COLUMNS($V$1006:W1006),$V$1006:$AE$1006,0))&gt;=100000), " ",IF(INDEX($V$2:$AE$1001,MATCH(ROWS($O$2:O607),$O$2:$O$1001,0),MATCH(COLUMNS($V$1006:W1006),$V$1006:$AE$1006,0)), HYPERLINK("#",""), HYPERLINK(CONCATENATE("#Metadata!", ADDRESS(INDEX($Q$2:$Q$1001,MATCH(ROWS($O$2:O607),$O$2:$O$1001,0),0), INDEX($V$1004:$AE$1004,1,MATCH(COLUMNS($V$1006:W1006),$V$1006:$AE$1006,0)))),"Fix")))</f>
        <v>0</v>
      </c>
      <c r="D607" s="4">
        <f>IF(OR(INDEX($P$2:$P$1001,MATCH(ROWS($O$2:O607),$O$2:$O$1001,0),1)&gt;=100000,INDEX($V$1005:$AE$1005,1,MATCH(COLUMNS($V$1006:X1006),$V$1006:$AE$1006,0))&gt;=100000), " ",IF(INDEX($V$2:$AE$1001,MATCH(ROWS($O$2:O607),$O$2:$O$1001,0),MATCH(COLUMNS($V$1006:X1006),$V$1006:$AE$1006,0)), HYPERLINK("#",""), HYPERLINK(CONCATENATE("#Metadata!", ADDRESS(INDEX($Q$2:$Q$1001,MATCH(ROWS($O$2:O607),$O$2:$O$1001,0),0), INDEX($V$1004:$AE$1004,1,MATCH(COLUMNS($V$1006:X1006),$V$1006:$AE$1006,0)))),"Fix")))</f>
        <v>0</v>
      </c>
      <c r="E607" s="4">
        <f>IF(OR(INDEX($P$2:$P$1001,MATCH(ROWS($O$2:O607),$O$2:$O$1001,0),1)&gt;=100000,INDEX($V$1005:$AE$1005,1,MATCH(COLUMNS($V$1006:Y1006),$V$1006:$AE$1006,0))&gt;=100000), " ",IF(INDEX($V$2:$AE$1001,MATCH(ROWS($O$2:O607),$O$2:$O$1001,0),MATCH(COLUMNS($V$1006:Y1006),$V$1006:$AE$1006,0)), HYPERLINK("#",""), HYPERLINK(CONCATENATE("#Metadata!", ADDRESS(INDEX($Q$2:$Q$1001,MATCH(ROWS($O$2:O607),$O$2:$O$1001,0),0), INDEX($V$1004:$AE$1004,1,MATCH(COLUMNS($V$1006:Y1006),$V$1006:$AE$1006,0)))),"Fix")))</f>
        <v>0</v>
      </c>
      <c r="F607" s="4">
        <f>IF(OR(INDEX($P$2:$P$1001,MATCH(ROWS($O$2:O607),$O$2:$O$1001,0),1)&gt;=100000,INDEX($V$1005:$AE$1005,1,MATCH(COLUMNS($V$1006:Z1006),$V$1006:$AE$1006,0))&gt;=100000), " ",IF(INDEX($V$2:$AE$1001,MATCH(ROWS($O$2:O607),$O$2:$O$1001,0),MATCH(COLUMNS($V$1006:Z1006),$V$1006:$AE$1006,0)), HYPERLINK("#",""), HYPERLINK(CONCATENATE("#Metadata!", ADDRESS(INDEX($Q$2:$Q$1001,MATCH(ROWS($O$2:O607),$O$2:$O$1001,0),0), INDEX($V$1004:$AE$1004,1,MATCH(COLUMNS($V$1006:Z1006),$V$1006:$AE$1006,0)))),"Fix")))</f>
        <v>0</v>
      </c>
      <c r="G607" s="4">
        <f>IF(OR(INDEX($P$2:$P$1001,MATCH(ROWS($O$2:O607),$O$2:$O$1001,0),1)&gt;=100000,INDEX($V$1005:$AE$1005,1,MATCH(COLUMNS($V$1006:AA1006),$V$1006:$AE$1006,0))&gt;=100000), " ",IF(INDEX($V$2:$AE$1001,MATCH(ROWS($O$2:O607),$O$2:$O$1001,0),MATCH(COLUMNS($V$1006:AA1006),$V$1006:$AE$1006,0)), HYPERLINK("#",""), HYPERLINK(CONCATENATE("#Metadata!", ADDRESS(INDEX($Q$2:$Q$1001,MATCH(ROWS($O$2:O607),$O$2:$O$1001,0),0), INDEX($V$1004:$AE$1004,1,MATCH(COLUMNS($V$1006:AA1006),$V$1006:$AE$1006,0)))),"Fix")))</f>
        <v>0</v>
      </c>
      <c r="H607" s="4">
        <f>IF(OR(INDEX($P$2:$P$1001,MATCH(ROWS($O$2:O607),$O$2:$O$1001,0),1)&gt;=100000,INDEX($V$1005:$AE$1005,1,MATCH(COLUMNS($V$1006:AB1006),$V$1006:$AE$1006,0))&gt;=100000), " ",IF(INDEX($V$2:$AE$1001,MATCH(ROWS($O$2:O607),$O$2:$O$1001,0),MATCH(COLUMNS($V$1006:AB1006),$V$1006:$AE$1006,0)), HYPERLINK("#",""), HYPERLINK(CONCATENATE("#Metadata!", ADDRESS(INDEX($Q$2:$Q$1001,MATCH(ROWS($O$2:O607),$O$2:$O$1001,0),0), INDEX($V$1004:$AE$1004,1,MATCH(COLUMNS($V$1006:AB1006),$V$1006:$AE$1006,0)))),"Fix")))</f>
        <v>0</v>
      </c>
      <c r="I607" s="4">
        <f>IF(OR(INDEX($P$2:$P$1001,MATCH(ROWS($O$2:O607),$O$2:$O$1001,0),1)&gt;=100000,INDEX($V$1005:$AE$1005,1,MATCH(COLUMNS($V$1006:AC1006),$V$1006:$AE$1006,0))&gt;=100000), " ",IF(INDEX($V$2:$AE$1001,MATCH(ROWS($O$2:O607),$O$2:$O$1001,0),MATCH(COLUMNS($V$1006:AC1006),$V$1006:$AE$1006,0)), HYPERLINK("#",""), HYPERLINK(CONCATENATE("#Metadata!", ADDRESS(INDEX($Q$2:$Q$1001,MATCH(ROWS($O$2:O607),$O$2:$O$1001,0),0), INDEX($V$1004:$AE$1004,1,MATCH(COLUMNS($V$1006:AC1006),$V$1006:$AE$1006,0)))),"Fix")))</f>
        <v>0</v>
      </c>
      <c r="J607" s="4">
        <f>IF(OR(INDEX($P$2:$P$1001,MATCH(ROWS($O$2:O607),$O$2:$O$1001,0),1)&gt;=100000,INDEX($V$1005:$AE$1005,1,MATCH(COLUMNS($V$1006:AD1006),$V$1006:$AE$1006,0))&gt;=100000), " ",IF(INDEX($V$2:$AE$1001,MATCH(ROWS($O$2:O607),$O$2:$O$1001,0),MATCH(COLUMNS($V$1006:AD1006),$V$1006:$AE$1006,0)), HYPERLINK("#",""), HYPERLINK(CONCATENATE("#Metadata!", ADDRESS(INDEX($Q$2:$Q$1001,MATCH(ROWS($O$2:O607),$O$2:$O$1001,0),0), INDEX($V$1004:$AE$1004,1,MATCH(COLUMNS($V$1006:AD1006),$V$1006:$AE$1006,0)))),"Fix")))</f>
        <v>0</v>
      </c>
      <c r="K607" s="4">
        <f>IF(OR(INDEX($P$2:$P$1001,MATCH(ROWS($O$2:O607),$O$2:$O$1001,0),1)&gt;=100000,INDEX($V$1005:$AE$1005,1,MATCH(COLUMNS($V$1006:AE1006),$V$1006:$AE$1006,0))&gt;=100000), " ",IF(INDEX($V$2:$AE$1001,MATCH(ROWS($O$2:O607),$O$2:$O$1001,0),MATCH(COLUMNS($V$1006:AE1006),$V$1006:$AE$1006,0)), HYPERLINK("#",""), HYPERLINK(CONCATENATE("#Metadata!", ADDRESS(INDEX($Q$2:$Q$1001,MATCH(ROWS($O$2:O607),$O$2:$O$1001,0),0), INDEX($V$1004:$AE$1004,1,MATCH(COLUMNS($V$1006:AE1006),$V$1006:$AE$1006,0)))),"Fix")))</f>
        <v>0</v>
      </c>
      <c r="O607">
        <v>0</v>
      </c>
      <c r="P607">
        <v>0</v>
      </c>
      <c r="Q607">
        <v>0</v>
      </c>
      <c r="R607">
        <f>IF(S607,TRUE,AND(V607:AE607))</f>
        <v>0</v>
      </c>
      <c r="S607">
        <f>COUNTBLANK(Metadata!B607:K607)=COLUMNS(Metadata!B607:K607)</f>
        <v>0</v>
      </c>
      <c r="T607">
        <v>0</v>
      </c>
      <c r="V607">
        <f>AND(IF(Metadata!B607="",FALSE,TRUE),COUNTIF(Metadata!B:B, Metadata!B607) = 1,NOT(ISERROR(SUMPRODUCT(SEARCH(MID(Metadata!B607,ROW(INDIRECT("1:"&amp;LEN(Metadata!B607))), 1),"0123456789abcdefghijklmnopqrstuvwxyzABCDEFGHIJKLMNOPQRSTUVWXYZ.")))))</f>
        <v>0</v>
      </c>
      <c r="W607">
        <f>AND(IF(Metadata!C607="",FALSE,TRUE),exact(Metadata!C607,"urban biome"))</f>
        <v>0</v>
      </c>
      <c r="X607">
        <f>AND(IF(Metadata!D607="",FALSE,TRUE),exact(Metadata!D607,"animal-associated habitat"))</f>
        <v>0</v>
      </c>
      <c r="Y607">
        <f>OR(AND(IF(Metadata!E607="",FALSE,TRUE),OR(exact(Metadata!E607,"not applicable"),exact(Metadata!E607,"missing: not collected"),exact(Metadata!E607,"missing: not provided"),exact(Metadata!E607,"missing: restricted access"))),AND(IF(Metadata!E607="",FALSE,ISNUMBER(VALUE(Metadata!E607))),Metadata!E607&gt;0))</f>
        <v>0</v>
      </c>
      <c r="Z607">
        <f>AND(IF(Metadata!F607="",FALSE,TRUE),exact(Metadata!F607,"weeks"))</f>
        <v>0</v>
      </c>
      <c r="AA607">
        <f>AND(IF(Metadata!G607="",FALSE,TRUE),exact(Metadata!G607,"mouse"))</f>
        <v>0</v>
      </c>
      <c r="AB607">
        <f>AND(IF(Metadata!H607="",FALSE,TRUE),exact(Metadata!H607,"Mus musculus"))</f>
        <v>0</v>
      </c>
      <c r="AC607">
        <f>AND(IF(Metadata!I607="",FALSE,TRUE),exact(Metadata!I607,"10090"))</f>
        <v>0</v>
      </c>
      <c r="AD607">
        <f>OR(AND(IF(Metadata!J607="",FALSE,TRUE),OR(exact(Metadata!J607,"not applicable"),exact(Metadata!J607,"missing: not collected"),exact(Metadata!J607,"missing: not provided"),exact(Metadata!J607,"missing: restricted access"))),AND(IF(Metadata!J607="",FALSE,ISNUMBER(VALUE(Metadata!J607))),Metadata!J607&gt;0))</f>
        <v>0</v>
      </c>
      <c r="AE607">
        <f>AND(IF(Metadata!K607="",FALSE,TRUE),exact(Metadata!K607,"g"))</f>
        <v>0</v>
      </c>
    </row>
    <row r="608" spans="1:31">
      <c r="A608" s="5">
        <f>IF(B608=" "," ",HYPERLINK(CONCATENATE("#metadata!",ADDRESS(INDEX($Q$2:$Q$1001,MATCH(ROWS($O$2:O608),$O$2:$O$1001,0),0),1)),INDEX($T$2:$T$1001,MATCH(ROWS($O$2:O608),$O$2:$O$1001,0),0)))</f>
        <v>0</v>
      </c>
      <c r="B608" s="4">
        <f>IF(OR(INDEX($P$2:$P$1001,MATCH(ROWS($O$2:O608),$O$2:$O$1001,0),1)&gt;=100000,INDEX($V$1005:$AE$1005,1,MATCH(COLUMNS($V$1006:V1006),$V$1006:$AE$1006,0))&gt;=100000), " ",IF(INDEX($V$2:$AE$1001,MATCH(ROWS($O$2:O608),$O$2:$O$1001,0),MATCH(COLUMNS($V$1006:V1006),$V$1006:$AE$1006,0)), HYPERLINK("#",""), HYPERLINK(CONCATENATE("#Metadata!", ADDRESS(INDEX($Q$2:$Q$1001,MATCH(ROWS($O$2:O608),$O$2:$O$1001,0),0), INDEX($V$1004:$AE$1004,1,MATCH(COLUMNS($V$1006:V1006),$V$1006:$AE$1006,0)))),"Fix")))</f>
        <v>0</v>
      </c>
      <c r="C608" s="4">
        <f>IF(OR(INDEX($P$2:$P$1001,MATCH(ROWS($O$2:O608),$O$2:$O$1001,0),1)&gt;=100000,INDEX($V$1005:$AE$1005,1,MATCH(COLUMNS($V$1006:W1006),$V$1006:$AE$1006,0))&gt;=100000), " ",IF(INDEX($V$2:$AE$1001,MATCH(ROWS($O$2:O608),$O$2:$O$1001,0),MATCH(COLUMNS($V$1006:W1006),$V$1006:$AE$1006,0)), HYPERLINK("#",""), HYPERLINK(CONCATENATE("#Metadata!", ADDRESS(INDEX($Q$2:$Q$1001,MATCH(ROWS($O$2:O608),$O$2:$O$1001,0),0), INDEX($V$1004:$AE$1004,1,MATCH(COLUMNS($V$1006:W1006),$V$1006:$AE$1006,0)))),"Fix")))</f>
        <v>0</v>
      </c>
      <c r="D608" s="4">
        <f>IF(OR(INDEX($P$2:$P$1001,MATCH(ROWS($O$2:O608),$O$2:$O$1001,0),1)&gt;=100000,INDEX($V$1005:$AE$1005,1,MATCH(COLUMNS($V$1006:X1006),$V$1006:$AE$1006,0))&gt;=100000), " ",IF(INDEX($V$2:$AE$1001,MATCH(ROWS($O$2:O608),$O$2:$O$1001,0),MATCH(COLUMNS($V$1006:X1006),$V$1006:$AE$1006,0)), HYPERLINK("#",""), HYPERLINK(CONCATENATE("#Metadata!", ADDRESS(INDEX($Q$2:$Q$1001,MATCH(ROWS($O$2:O608),$O$2:$O$1001,0),0), INDEX($V$1004:$AE$1004,1,MATCH(COLUMNS($V$1006:X1006),$V$1006:$AE$1006,0)))),"Fix")))</f>
        <v>0</v>
      </c>
      <c r="E608" s="4">
        <f>IF(OR(INDEX($P$2:$P$1001,MATCH(ROWS($O$2:O608),$O$2:$O$1001,0),1)&gt;=100000,INDEX($V$1005:$AE$1005,1,MATCH(COLUMNS($V$1006:Y1006),$V$1006:$AE$1006,0))&gt;=100000), " ",IF(INDEX($V$2:$AE$1001,MATCH(ROWS($O$2:O608),$O$2:$O$1001,0),MATCH(COLUMNS($V$1006:Y1006),$V$1006:$AE$1006,0)), HYPERLINK("#",""), HYPERLINK(CONCATENATE("#Metadata!", ADDRESS(INDEX($Q$2:$Q$1001,MATCH(ROWS($O$2:O608),$O$2:$O$1001,0),0), INDEX($V$1004:$AE$1004,1,MATCH(COLUMNS($V$1006:Y1006),$V$1006:$AE$1006,0)))),"Fix")))</f>
        <v>0</v>
      </c>
      <c r="F608" s="4">
        <f>IF(OR(INDEX($P$2:$P$1001,MATCH(ROWS($O$2:O608),$O$2:$O$1001,0),1)&gt;=100000,INDEX($V$1005:$AE$1005,1,MATCH(COLUMNS($V$1006:Z1006),$V$1006:$AE$1006,0))&gt;=100000), " ",IF(INDEX($V$2:$AE$1001,MATCH(ROWS($O$2:O608),$O$2:$O$1001,0),MATCH(COLUMNS($V$1006:Z1006),$V$1006:$AE$1006,0)), HYPERLINK("#",""), HYPERLINK(CONCATENATE("#Metadata!", ADDRESS(INDEX($Q$2:$Q$1001,MATCH(ROWS($O$2:O608),$O$2:$O$1001,0),0), INDEX($V$1004:$AE$1004,1,MATCH(COLUMNS($V$1006:Z1006),$V$1006:$AE$1006,0)))),"Fix")))</f>
        <v>0</v>
      </c>
      <c r="G608" s="4">
        <f>IF(OR(INDEX($P$2:$P$1001,MATCH(ROWS($O$2:O608),$O$2:$O$1001,0),1)&gt;=100000,INDEX($V$1005:$AE$1005,1,MATCH(COLUMNS($V$1006:AA1006),$V$1006:$AE$1006,0))&gt;=100000), " ",IF(INDEX($V$2:$AE$1001,MATCH(ROWS($O$2:O608),$O$2:$O$1001,0),MATCH(COLUMNS($V$1006:AA1006),$V$1006:$AE$1006,0)), HYPERLINK("#",""), HYPERLINK(CONCATENATE("#Metadata!", ADDRESS(INDEX($Q$2:$Q$1001,MATCH(ROWS($O$2:O608),$O$2:$O$1001,0),0), INDEX($V$1004:$AE$1004,1,MATCH(COLUMNS($V$1006:AA1006),$V$1006:$AE$1006,0)))),"Fix")))</f>
        <v>0</v>
      </c>
      <c r="H608" s="4">
        <f>IF(OR(INDEX($P$2:$P$1001,MATCH(ROWS($O$2:O608),$O$2:$O$1001,0),1)&gt;=100000,INDEX($V$1005:$AE$1005,1,MATCH(COLUMNS($V$1006:AB1006),$V$1006:$AE$1006,0))&gt;=100000), " ",IF(INDEX($V$2:$AE$1001,MATCH(ROWS($O$2:O608),$O$2:$O$1001,0),MATCH(COLUMNS($V$1006:AB1006),$V$1006:$AE$1006,0)), HYPERLINK("#",""), HYPERLINK(CONCATENATE("#Metadata!", ADDRESS(INDEX($Q$2:$Q$1001,MATCH(ROWS($O$2:O608),$O$2:$O$1001,0),0), INDEX($V$1004:$AE$1004,1,MATCH(COLUMNS($V$1006:AB1006),$V$1006:$AE$1006,0)))),"Fix")))</f>
        <v>0</v>
      </c>
      <c r="I608" s="4">
        <f>IF(OR(INDEX($P$2:$P$1001,MATCH(ROWS($O$2:O608),$O$2:$O$1001,0),1)&gt;=100000,INDEX($V$1005:$AE$1005,1,MATCH(COLUMNS($V$1006:AC1006),$V$1006:$AE$1006,0))&gt;=100000), " ",IF(INDEX($V$2:$AE$1001,MATCH(ROWS($O$2:O608),$O$2:$O$1001,0),MATCH(COLUMNS($V$1006:AC1006),$V$1006:$AE$1006,0)), HYPERLINK("#",""), HYPERLINK(CONCATENATE("#Metadata!", ADDRESS(INDEX($Q$2:$Q$1001,MATCH(ROWS($O$2:O608),$O$2:$O$1001,0),0), INDEX($V$1004:$AE$1004,1,MATCH(COLUMNS($V$1006:AC1006),$V$1006:$AE$1006,0)))),"Fix")))</f>
        <v>0</v>
      </c>
      <c r="J608" s="4">
        <f>IF(OR(INDEX($P$2:$P$1001,MATCH(ROWS($O$2:O608),$O$2:$O$1001,0),1)&gt;=100000,INDEX($V$1005:$AE$1005,1,MATCH(COLUMNS($V$1006:AD1006),$V$1006:$AE$1006,0))&gt;=100000), " ",IF(INDEX($V$2:$AE$1001,MATCH(ROWS($O$2:O608),$O$2:$O$1001,0),MATCH(COLUMNS($V$1006:AD1006),$V$1006:$AE$1006,0)), HYPERLINK("#",""), HYPERLINK(CONCATENATE("#Metadata!", ADDRESS(INDEX($Q$2:$Q$1001,MATCH(ROWS($O$2:O608),$O$2:$O$1001,0),0), INDEX($V$1004:$AE$1004,1,MATCH(COLUMNS($V$1006:AD1006),$V$1006:$AE$1006,0)))),"Fix")))</f>
        <v>0</v>
      </c>
      <c r="K608" s="4">
        <f>IF(OR(INDEX($P$2:$P$1001,MATCH(ROWS($O$2:O608),$O$2:$O$1001,0),1)&gt;=100000,INDEX($V$1005:$AE$1005,1,MATCH(COLUMNS($V$1006:AE1006),$V$1006:$AE$1006,0))&gt;=100000), " ",IF(INDEX($V$2:$AE$1001,MATCH(ROWS($O$2:O608),$O$2:$O$1001,0),MATCH(COLUMNS($V$1006:AE1006),$V$1006:$AE$1006,0)), HYPERLINK("#",""), HYPERLINK(CONCATENATE("#Metadata!", ADDRESS(INDEX($Q$2:$Q$1001,MATCH(ROWS($O$2:O608),$O$2:$O$1001,0),0), INDEX($V$1004:$AE$1004,1,MATCH(COLUMNS($V$1006:AE1006),$V$1006:$AE$1006,0)))),"Fix")))</f>
        <v>0</v>
      </c>
      <c r="O608">
        <v>0</v>
      </c>
      <c r="P608">
        <v>0</v>
      </c>
      <c r="Q608">
        <v>0</v>
      </c>
      <c r="R608">
        <f>IF(S608,TRUE,AND(V608:AE608))</f>
        <v>0</v>
      </c>
      <c r="S608">
        <f>COUNTBLANK(Metadata!B608:K608)=COLUMNS(Metadata!B608:K608)</f>
        <v>0</v>
      </c>
      <c r="T608">
        <v>0</v>
      </c>
      <c r="V608">
        <f>AND(IF(Metadata!B608="",FALSE,TRUE),COUNTIF(Metadata!B:B, Metadata!B608) = 1,NOT(ISERROR(SUMPRODUCT(SEARCH(MID(Metadata!B608,ROW(INDIRECT("1:"&amp;LEN(Metadata!B608))), 1),"0123456789abcdefghijklmnopqrstuvwxyzABCDEFGHIJKLMNOPQRSTUVWXYZ.")))))</f>
        <v>0</v>
      </c>
      <c r="W608">
        <f>AND(IF(Metadata!C608="",FALSE,TRUE),exact(Metadata!C608,"urban biome"))</f>
        <v>0</v>
      </c>
      <c r="X608">
        <f>AND(IF(Metadata!D608="",FALSE,TRUE),exact(Metadata!D608,"animal-associated habitat"))</f>
        <v>0</v>
      </c>
      <c r="Y608">
        <f>OR(AND(IF(Metadata!E608="",FALSE,TRUE),OR(exact(Metadata!E608,"not applicable"),exact(Metadata!E608,"missing: not collected"),exact(Metadata!E608,"missing: not provided"),exact(Metadata!E608,"missing: restricted access"))),AND(IF(Metadata!E608="",FALSE,ISNUMBER(VALUE(Metadata!E608))),Metadata!E608&gt;0))</f>
        <v>0</v>
      </c>
      <c r="Z608">
        <f>AND(IF(Metadata!F608="",FALSE,TRUE),exact(Metadata!F608,"weeks"))</f>
        <v>0</v>
      </c>
      <c r="AA608">
        <f>AND(IF(Metadata!G608="",FALSE,TRUE),exact(Metadata!G608,"mouse"))</f>
        <v>0</v>
      </c>
      <c r="AB608">
        <f>AND(IF(Metadata!H608="",FALSE,TRUE),exact(Metadata!H608,"Mus musculus"))</f>
        <v>0</v>
      </c>
      <c r="AC608">
        <f>AND(IF(Metadata!I608="",FALSE,TRUE),exact(Metadata!I608,"10090"))</f>
        <v>0</v>
      </c>
      <c r="AD608">
        <f>OR(AND(IF(Metadata!J608="",FALSE,TRUE),OR(exact(Metadata!J608,"not applicable"),exact(Metadata!J608,"missing: not collected"),exact(Metadata!J608,"missing: not provided"),exact(Metadata!J608,"missing: restricted access"))),AND(IF(Metadata!J608="",FALSE,ISNUMBER(VALUE(Metadata!J608))),Metadata!J608&gt;0))</f>
        <v>0</v>
      </c>
      <c r="AE608">
        <f>AND(IF(Metadata!K608="",FALSE,TRUE),exact(Metadata!K608,"g"))</f>
        <v>0</v>
      </c>
    </row>
    <row r="609" spans="1:31">
      <c r="A609" s="5">
        <f>IF(B609=" "," ",HYPERLINK(CONCATENATE("#metadata!",ADDRESS(INDEX($Q$2:$Q$1001,MATCH(ROWS($O$2:O609),$O$2:$O$1001,0),0),1)),INDEX($T$2:$T$1001,MATCH(ROWS($O$2:O609),$O$2:$O$1001,0),0)))</f>
        <v>0</v>
      </c>
      <c r="B609" s="4">
        <f>IF(OR(INDEX($P$2:$P$1001,MATCH(ROWS($O$2:O609),$O$2:$O$1001,0),1)&gt;=100000,INDEX($V$1005:$AE$1005,1,MATCH(COLUMNS($V$1006:V1006),$V$1006:$AE$1006,0))&gt;=100000), " ",IF(INDEX($V$2:$AE$1001,MATCH(ROWS($O$2:O609),$O$2:$O$1001,0),MATCH(COLUMNS($V$1006:V1006),$V$1006:$AE$1006,0)), HYPERLINK("#",""), HYPERLINK(CONCATENATE("#Metadata!", ADDRESS(INDEX($Q$2:$Q$1001,MATCH(ROWS($O$2:O609),$O$2:$O$1001,0),0), INDEX($V$1004:$AE$1004,1,MATCH(COLUMNS($V$1006:V1006),$V$1006:$AE$1006,0)))),"Fix")))</f>
        <v>0</v>
      </c>
      <c r="C609" s="4">
        <f>IF(OR(INDEX($P$2:$P$1001,MATCH(ROWS($O$2:O609),$O$2:$O$1001,0),1)&gt;=100000,INDEX($V$1005:$AE$1005,1,MATCH(COLUMNS($V$1006:W1006),$V$1006:$AE$1006,0))&gt;=100000), " ",IF(INDEX($V$2:$AE$1001,MATCH(ROWS($O$2:O609),$O$2:$O$1001,0),MATCH(COLUMNS($V$1006:W1006),$V$1006:$AE$1006,0)), HYPERLINK("#",""), HYPERLINK(CONCATENATE("#Metadata!", ADDRESS(INDEX($Q$2:$Q$1001,MATCH(ROWS($O$2:O609),$O$2:$O$1001,0),0), INDEX($V$1004:$AE$1004,1,MATCH(COLUMNS($V$1006:W1006),$V$1006:$AE$1006,0)))),"Fix")))</f>
        <v>0</v>
      </c>
      <c r="D609" s="4">
        <f>IF(OR(INDEX($P$2:$P$1001,MATCH(ROWS($O$2:O609),$O$2:$O$1001,0),1)&gt;=100000,INDEX($V$1005:$AE$1005,1,MATCH(COLUMNS($V$1006:X1006),$V$1006:$AE$1006,0))&gt;=100000), " ",IF(INDEX($V$2:$AE$1001,MATCH(ROWS($O$2:O609),$O$2:$O$1001,0),MATCH(COLUMNS($V$1006:X1006),$V$1006:$AE$1006,0)), HYPERLINK("#",""), HYPERLINK(CONCATENATE("#Metadata!", ADDRESS(INDEX($Q$2:$Q$1001,MATCH(ROWS($O$2:O609),$O$2:$O$1001,0),0), INDEX($V$1004:$AE$1004,1,MATCH(COLUMNS($V$1006:X1006),$V$1006:$AE$1006,0)))),"Fix")))</f>
        <v>0</v>
      </c>
      <c r="E609" s="4">
        <f>IF(OR(INDEX($P$2:$P$1001,MATCH(ROWS($O$2:O609),$O$2:$O$1001,0),1)&gt;=100000,INDEX($V$1005:$AE$1005,1,MATCH(COLUMNS($V$1006:Y1006),$V$1006:$AE$1006,0))&gt;=100000), " ",IF(INDEX($V$2:$AE$1001,MATCH(ROWS($O$2:O609),$O$2:$O$1001,0),MATCH(COLUMNS($V$1006:Y1006),$V$1006:$AE$1006,0)), HYPERLINK("#",""), HYPERLINK(CONCATENATE("#Metadata!", ADDRESS(INDEX($Q$2:$Q$1001,MATCH(ROWS($O$2:O609),$O$2:$O$1001,0),0), INDEX($V$1004:$AE$1004,1,MATCH(COLUMNS($V$1006:Y1006),$V$1006:$AE$1006,0)))),"Fix")))</f>
        <v>0</v>
      </c>
      <c r="F609" s="4">
        <f>IF(OR(INDEX($P$2:$P$1001,MATCH(ROWS($O$2:O609),$O$2:$O$1001,0),1)&gt;=100000,INDEX($V$1005:$AE$1005,1,MATCH(COLUMNS($V$1006:Z1006),$V$1006:$AE$1006,0))&gt;=100000), " ",IF(INDEX($V$2:$AE$1001,MATCH(ROWS($O$2:O609),$O$2:$O$1001,0),MATCH(COLUMNS($V$1006:Z1006),$V$1006:$AE$1006,0)), HYPERLINK("#",""), HYPERLINK(CONCATENATE("#Metadata!", ADDRESS(INDEX($Q$2:$Q$1001,MATCH(ROWS($O$2:O609),$O$2:$O$1001,0),0), INDEX($V$1004:$AE$1004,1,MATCH(COLUMNS($V$1006:Z1006),$V$1006:$AE$1006,0)))),"Fix")))</f>
        <v>0</v>
      </c>
      <c r="G609" s="4">
        <f>IF(OR(INDEX($P$2:$P$1001,MATCH(ROWS($O$2:O609),$O$2:$O$1001,0),1)&gt;=100000,INDEX($V$1005:$AE$1005,1,MATCH(COLUMNS($V$1006:AA1006),$V$1006:$AE$1006,0))&gt;=100000), " ",IF(INDEX($V$2:$AE$1001,MATCH(ROWS($O$2:O609),$O$2:$O$1001,0),MATCH(COLUMNS($V$1006:AA1006),$V$1006:$AE$1006,0)), HYPERLINK("#",""), HYPERLINK(CONCATENATE("#Metadata!", ADDRESS(INDEX($Q$2:$Q$1001,MATCH(ROWS($O$2:O609),$O$2:$O$1001,0),0), INDEX($V$1004:$AE$1004,1,MATCH(COLUMNS($V$1006:AA1006),$V$1006:$AE$1006,0)))),"Fix")))</f>
        <v>0</v>
      </c>
      <c r="H609" s="4">
        <f>IF(OR(INDEX($P$2:$P$1001,MATCH(ROWS($O$2:O609),$O$2:$O$1001,0),1)&gt;=100000,INDEX($V$1005:$AE$1005,1,MATCH(COLUMNS($V$1006:AB1006),$V$1006:$AE$1006,0))&gt;=100000), " ",IF(INDEX($V$2:$AE$1001,MATCH(ROWS($O$2:O609),$O$2:$O$1001,0),MATCH(COLUMNS($V$1006:AB1006),$V$1006:$AE$1006,0)), HYPERLINK("#",""), HYPERLINK(CONCATENATE("#Metadata!", ADDRESS(INDEX($Q$2:$Q$1001,MATCH(ROWS($O$2:O609),$O$2:$O$1001,0),0), INDEX($V$1004:$AE$1004,1,MATCH(COLUMNS($V$1006:AB1006),$V$1006:$AE$1006,0)))),"Fix")))</f>
        <v>0</v>
      </c>
      <c r="I609" s="4">
        <f>IF(OR(INDEX($P$2:$P$1001,MATCH(ROWS($O$2:O609),$O$2:$O$1001,0),1)&gt;=100000,INDEX($V$1005:$AE$1005,1,MATCH(COLUMNS($V$1006:AC1006),$V$1006:$AE$1006,0))&gt;=100000), " ",IF(INDEX($V$2:$AE$1001,MATCH(ROWS($O$2:O609),$O$2:$O$1001,0),MATCH(COLUMNS($V$1006:AC1006),$V$1006:$AE$1006,0)), HYPERLINK("#",""), HYPERLINK(CONCATENATE("#Metadata!", ADDRESS(INDEX($Q$2:$Q$1001,MATCH(ROWS($O$2:O609),$O$2:$O$1001,0),0), INDEX($V$1004:$AE$1004,1,MATCH(COLUMNS($V$1006:AC1006),$V$1006:$AE$1006,0)))),"Fix")))</f>
        <v>0</v>
      </c>
      <c r="J609" s="4">
        <f>IF(OR(INDEX($P$2:$P$1001,MATCH(ROWS($O$2:O609),$O$2:$O$1001,0),1)&gt;=100000,INDEX($V$1005:$AE$1005,1,MATCH(COLUMNS($V$1006:AD1006),$V$1006:$AE$1006,0))&gt;=100000), " ",IF(INDEX($V$2:$AE$1001,MATCH(ROWS($O$2:O609),$O$2:$O$1001,0),MATCH(COLUMNS($V$1006:AD1006),$V$1006:$AE$1006,0)), HYPERLINK("#",""), HYPERLINK(CONCATENATE("#Metadata!", ADDRESS(INDEX($Q$2:$Q$1001,MATCH(ROWS($O$2:O609),$O$2:$O$1001,0),0), INDEX($V$1004:$AE$1004,1,MATCH(COLUMNS($V$1006:AD1006),$V$1006:$AE$1006,0)))),"Fix")))</f>
        <v>0</v>
      </c>
      <c r="K609" s="4">
        <f>IF(OR(INDEX($P$2:$P$1001,MATCH(ROWS($O$2:O609),$O$2:$O$1001,0),1)&gt;=100000,INDEX($V$1005:$AE$1005,1,MATCH(COLUMNS($V$1006:AE1006),$V$1006:$AE$1006,0))&gt;=100000), " ",IF(INDEX($V$2:$AE$1001,MATCH(ROWS($O$2:O609),$O$2:$O$1001,0),MATCH(COLUMNS($V$1006:AE1006),$V$1006:$AE$1006,0)), HYPERLINK("#",""), HYPERLINK(CONCATENATE("#Metadata!", ADDRESS(INDEX($Q$2:$Q$1001,MATCH(ROWS($O$2:O609),$O$2:$O$1001,0),0), INDEX($V$1004:$AE$1004,1,MATCH(COLUMNS($V$1006:AE1006),$V$1006:$AE$1006,0)))),"Fix")))</f>
        <v>0</v>
      </c>
      <c r="O609">
        <v>0</v>
      </c>
      <c r="P609">
        <v>0</v>
      </c>
      <c r="Q609">
        <v>0</v>
      </c>
      <c r="R609">
        <f>IF(S609,TRUE,AND(V609:AE609))</f>
        <v>0</v>
      </c>
      <c r="S609">
        <f>COUNTBLANK(Metadata!B609:K609)=COLUMNS(Metadata!B609:K609)</f>
        <v>0</v>
      </c>
      <c r="T609">
        <v>0</v>
      </c>
      <c r="V609">
        <f>AND(IF(Metadata!B609="",FALSE,TRUE),COUNTIF(Metadata!B:B, Metadata!B609) = 1,NOT(ISERROR(SUMPRODUCT(SEARCH(MID(Metadata!B609,ROW(INDIRECT("1:"&amp;LEN(Metadata!B609))), 1),"0123456789abcdefghijklmnopqrstuvwxyzABCDEFGHIJKLMNOPQRSTUVWXYZ.")))))</f>
        <v>0</v>
      </c>
      <c r="W609">
        <f>AND(IF(Metadata!C609="",FALSE,TRUE),exact(Metadata!C609,"urban biome"))</f>
        <v>0</v>
      </c>
      <c r="X609">
        <f>AND(IF(Metadata!D609="",FALSE,TRUE),exact(Metadata!D609,"animal-associated habitat"))</f>
        <v>0</v>
      </c>
      <c r="Y609">
        <f>OR(AND(IF(Metadata!E609="",FALSE,TRUE),OR(exact(Metadata!E609,"not applicable"),exact(Metadata!E609,"missing: not collected"),exact(Metadata!E609,"missing: not provided"),exact(Metadata!E609,"missing: restricted access"))),AND(IF(Metadata!E609="",FALSE,ISNUMBER(VALUE(Metadata!E609))),Metadata!E609&gt;0))</f>
        <v>0</v>
      </c>
      <c r="Z609">
        <f>AND(IF(Metadata!F609="",FALSE,TRUE),exact(Metadata!F609,"weeks"))</f>
        <v>0</v>
      </c>
      <c r="AA609">
        <f>AND(IF(Metadata!G609="",FALSE,TRUE),exact(Metadata!G609,"mouse"))</f>
        <v>0</v>
      </c>
      <c r="AB609">
        <f>AND(IF(Metadata!H609="",FALSE,TRUE),exact(Metadata!H609,"Mus musculus"))</f>
        <v>0</v>
      </c>
      <c r="AC609">
        <f>AND(IF(Metadata!I609="",FALSE,TRUE),exact(Metadata!I609,"10090"))</f>
        <v>0</v>
      </c>
      <c r="AD609">
        <f>OR(AND(IF(Metadata!J609="",FALSE,TRUE),OR(exact(Metadata!J609,"not applicable"),exact(Metadata!J609,"missing: not collected"),exact(Metadata!J609,"missing: not provided"),exact(Metadata!J609,"missing: restricted access"))),AND(IF(Metadata!J609="",FALSE,ISNUMBER(VALUE(Metadata!J609))),Metadata!J609&gt;0))</f>
        <v>0</v>
      </c>
      <c r="AE609">
        <f>AND(IF(Metadata!K609="",FALSE,TRUE),exact(Metadata!K609,"g"))</f>
        <v>0</v>
      </c>
    </row>
    <row r="610" spans="1:31">
      <c r="A610" s="5">
        <f>IF(B610=" "," ",HYPERLINK(CONCATENATE("#metadata!",ADDRESS(INDEX($Q$2:$Q$1001,MATCH(ROWS($O$2:O610),$O$2:$O$1001,0),0),1)),INDEX($T$2:$T$1001,MATCH(ROWS($O$2:O610),$O$2:$O$1001,0),0)))</f>
        <v>0</v>
      </c>
      <c r="B610" s="4">
        <f>IF(OR(INDEX($P$2:$P$1001,MATCH(ROWS($O$2:O610),$O$2:$O$1001,0),1)&gt;=100000,INDEX($V$1005:$AE$1005,1,MATCH(COLUMNS($V$1006:V1006),$V$1006:$AE$1006,0))&gt;=100000), " ",IF(INDEX($V$2:$AE$1001,MATCH(ROWS($O$2:O610),$O$2:$O$1001,0),MATCH(COLUMNS($V$1006:V1006),$V$1006:$AE$1006,0)), HYPERLINK("#",""), HYPERLINK(CONCATENATE("#Metadata!", ADDRESS(INDEX($Q$2:$Q$1001,MATCH(ROWS($O$2:O610),$O$2:$O$1001,0),0), INDEX($V$1004:$AE$1004,1,MATCH(COLUMNS($V$1006:V1006),$V$1006:$AE$1006,0)))),"Fix")))</f>
        <v>0</v>
      </c>
      <c r="C610" s="4">
        <f>IF(OR(INDEX($P$2:$P$1001,MATCH(ROWS($O$2:O610),$O$2:$O$1001,0),1)&gt;=100000,INDEX($V$1005:$AE$1005,1,MATCH(COLUMNS($V$1006:W1006),$V$1006:$AE$1006,0))&gt;=100000), " ",IF(INDEX($V$2:$AE$1001,MATCH(ROWS($O$2:O610),$O$2:$O$1001,0),MATCH(COLUMNS($V$1006:W1006),$V$1006:$AE$1006,0)), HYPERLINK("#",""), HYPERLINK(CONCATENATE("#Metadata!", ADDRESS(INDEX($Q$2:$Q$1001,MATCH(ROWS($O$2:O610),$O$2:$O$1001,0),0), INDEX($V$1004:$AE$1004,1,MATCH(COLUMNS($V$1006:W1006),$V$1006:$AE$1006,0)))),"Fix")))</f>
        <v>0</v>
      </c>
      <c r="D610" s="4">
        <f>IF(OR(INDEX($P$2:$P$1001,MATCH(ROWS($O$2:O610),$O$2:$O$1001,0),1)&gt;=100000,INDEX($V$1005:$AE$1005,1,MATCH(COLUMNS($V$1006:X1006),$V$1006:$AE$1006,0))&gt;=100000), " ",IF(INDEX($V$2:$AE$1001,MATCH(ROWS($O$2:O610),$O$2:$O$1001,0),MATCH(COLUMNS($V$1006:X1006),$V$1006:$AE$1006,0)), HYPERLINK("#",""), HYPERLINK(CONCATENATE("#Metadata!", ADDRESS(INDEX($Q$2:$Q$1001,MATCH(ROWS($O$2:O610),$O$2:$O$1001,0),0), INDEX($V$1004:$AE$1004,1,MATCH(COLUMNS($V$1006:X1006),$V$1006:$AE$1006,0)))),"Fix")))</f>
        <v>0</v>
      </c>
      <c r="E610" s="4">
        <f>IF(OR(INDEX($P$2:$P$1001,MATCH(ROWS($O$2:O610),$O$2:$O$1001,0),1)&gt;=100000,INDEX($V$1005:$AE$1005,1,MATCH(COLUMNS($V$1006:Y1006),$V$1006:$AE$1006,0))&gt;=100000), " ",IF(INDEX($V$2:$AE$1001,MATCH(ROWS($O$2:O610),$O$2:$O$1001,0),MATCH(COLUMNS($V$1006:Y1006),$V$1006:$AE$1006,0)), HYPERLINK("#",""), HYPERLINK(CONCATENATE("#Metadata!", ADDRESS(INDEX($Q$2:$Q$1001,MATCH(ROWS($O$2:O610),$O$2:$O$1001,0),0), INDEX($V$1004:$AE$1004,1,MATCH(COLUMNS($V$1006:Y1006),$V$1006:$AE$1006,0)))),"Fix")))</f>
        <v>0</v>
      </c>
      <c r="F610" s="4">
        <f>IF(OR(INDEX($P$2:$P$1001,MATCH(ROWS($O$2:O610),$O$2:$O$1001,0),1)&gt;=100000,INDEX($V$1005:$AE$1005,1,MATCH(COLUMNS($V$1006:Z1006),$V$1006:$AE$1006,0))&gt;=100000), " ",IF(INDEX($V$2:$AE$1001,MATCH(ROWS($O$2:O610),$O$2:$O$1001,0),MATCH(COLUMNS($V$1006:Z1006),$V$1006:$AE$1006,0)), HYPERLINK("#",""), HYPERLINK(CONCATENATE("#Metadata!", ADDRESS(INDEX($Q$2:$Q$1001,MATCH(ROWS($O$2:O610),$O$2:$O$1001,0),0), INDEX($V$1004:$AE$1004,1,MATCH(COLUMNS($V$1006:Z1006),$V$1006:$AE$1006,0)))),"Fix")))</f>
        <v>0</v>
      </c>
      <c r="G610" s="4">
        <f>IF(OR(INDEX($P$2:$P$1001,MATCH(ROWS($O$2:O610),$O$2:$O$1001,0),1)&gt;=100000,INDEX($V$1005:$AE$1005,1,MATCH(COLUMNS($V$1006:AA1006),$V$1006:$AE$1006,0))&gt;=100000), " ",IF(INDEX($V$2:$AE$1001,MATCH(ROWS($O$2:O610),$O$2:$O$1001,0),MATCH(COLUMNS($V$1006:AA1006),$V$1006:$AE$1006,0)), HYPERLINK("#",""), HYPERLINK(CONCATENATE("#Metadata!", ADDRESS(INDEX($Q$2:$Q$1001,MATCH(ROWS($O$2:O610),$O$2:$O$1001,0),0), INDEX($V$1004:$AE$1004,1,MATCH(COLUMNS($V$1006:AA1006),$V$1006:$AE$1006,0)))),"Fix")))</f>
        <v>0</v>
      </c>
      <c r="H610" s="4">
        <f>IF(OR(INDEX($P$2:$P$1001,MATCH(ROWS($O$2:O610),$O$2:$O$1001,0),1)&gt;=100000,INDEX($V$1005:$AE$1005,1,MATCH(COLUMNS($V$1006:AB1006),$V$1006:$AE$1006,0))&gt;=100000), " ",IF(INDEX($V$2:$AE$1001,MATCH(ROWS($O$2:O610),$O$2:$O$1001,0),MATCH(COLUMNS($V$1006:AB1006),$V$1006:$AE$1006,0)), HYPERLINK("#",""), HYPERLINK(CONCATENATE("#Metadata!", ADDRESS(INDEX($Q$2:$Q$1001,MATCH(ROWS($O$2:O610),$O$2:$O$1001,0),0), INDEX($V$1004:$AE$1004,1,MATCH(COLUMNS($V$1006:AB1006),$V$1006:$AE$1006,0)))),"Fix")))</f>
        <v>0</v>
      </c>
      <c r="I610" s="4">
        <f>IF(OR(INDEX($P$2:$P$1001,MATCH(ROWS($O$2:O610),$O$2:$O$1001,0),1)&gt;=100000,INDEX($V$1005:$AE$1005,1,MATCH(COLUMNS($V$1006:AC1006),$V$1006:$AE$1006,0))&gt;=100000), " ",IF(INDEX($V$2:$AE$1001,MATCH(ROWS($O$2:O610),$O$2:$O$1001,0),MATCH(COLUMNS($V$1006:AC1006),$V$1006:$AE$1006,0)), HYPERLINK("#",""), HYPERLINK(CONCATENATE("#Metadata!", ADDRESS(INDEX($Q$2:$Q$1001,MATCH(ROWS($O$2:O610),$O$2:$O$1001,0),0), INDEX($V$1004:$AE$1004,1,MATCH(COLUMNS($V$1006:AC1006),$V$1006:$AE$1006,0)))),"Fix")))</f>
        <v>0</v>
      </c>
      <c r="J610" s="4">
        <f>IF(OR(INDEX($P$2:$P$1001,MATCH(ROWS($O$2:O610),$O$2:$O$1001,0),1)&gt;=100000,INDEX($V$1005:$AE$1005,1,MATCH(COLUMNS($V$1006:AD1006),$V$1006:$AE$1006,0))&gt;=100000), " ",IF(INDEX($V$2:$AE$1001,MATCH(ROWS($O$2:O610),$O$2:$O$1001,0),MATCH(COLUMNS($V$1006:AD1006),$V$1006:$AE$1006,0)), HYPERLINK("#",""), HYPERLINK(CONCATENATE("#Metadata!", ADDRESS(INDEX($Q$2:$Q$1001,MATCH(ROWS($O$2:O610),$O$2:$O$1001,0),0), INDEX($V$1004:$AE$1004,1,MATCH(COLUMNS($V$1006:AD1006),$V$1006:$AE$1006,0)))),"Fix")))</f>
        <v>0</v>
      </c>
      <c r="K610" s="4">
        <f>IF(OR(INDEX($P$2:$P$1001,MATCH(ROWS($O$2:O610),$O$2:$O$1001,0),1)&gt;=100000,INDEX($V$1005:$AE$1005,1,MATCH(COLUMNS($V$1006:AE1006),$V$1006:$AE$1006,0))&gt;=100000), " ",IF(INDEX($V$2:$AE$1001,MATCH(ROWS($O$2:O610),$O$2:$O$1001,0),MATCH(COLUMNS($V$1006:AE1006),$V$1006:$AE$1006,0)), HYPERLINK("#",""), HYPERLINK(CONCATENATE("#Metadata!", ADDRESS(INDEX($Q$2:$Q$1001,MATCH(ROWS($O$2:O610),$O$2:$O$1001,0),0), INDEX($V$1004:$AE$1004,1,MATCH(COLUMNS($V$1006:AE1006),$V$1006:$AE$1006,0)))),"Fix")))</f>
        <v>0</v>
      </c>
      <c r="O610">
        <v>0</v>
      </c>
      <c r="P610">
        <v>0</v>
      </c>
      <c r="Q610">
        <v>0</v>
      </c>
      <c r="R610">
        <f>IF(S610,TRUE,AND(V610:AE610))</f>
        <v>0</v>
      </c>
      <c r="S610">
        <f>COUNTBLANK(Metadata!B610:K610)=COLUMNS(Metadata!B610:K610)</f>
        <v>0</v>
      </c>
      <c r="T610">
        <v>0</v>
      </c>
      <c r="V610">
        <f>AND(IF(Metadata!B610="",FALSE,TRUE),COUNTIF(Metadata!B:B, Metadata!B610) = 1,NOT(ISERROR(SUMPRODUCT(SEARCH(MID(Metadata!B610,ROW(INDIRECT("1:"&amp;LEN(Metadata!B610))), 1),"0123456789abcdefghijklmnopqrstuvwxyzABCDEFGHIJKLMNOPQRSTUVWXYZ.")))))</f>
        <v>0</v>
      </c>
      <c r="W610">
        <f>AND(IF(Metadata!C610="",FALSE,TRUE),exact(Metadata!C610,"urban biome"))</f>
        <v>0</v>
      </c>
      <c r="X610">
        <f>AND(IF(Metadata!D610="",FALSE,TRUE),exact(Metadata!D610,"animal-associated habitat"))</f>
        <v>0</v>
      </c>
      <c r="Y610">
        <f>OR(AND(IF(Metadata!E610="",FALSE,TRUE),OR(exact(Metadata!E610,"not applicable"),exact(Metadata!E610,"missing: not collected"),exact(Metadata!E610,"missing: not provided"),exact(Metadata!E610,"missing: restricted access"))),AND(IF(Metadata!E610="",FALSE,ISNUMBER(VALUE(Metadata!E610))),Metadata!E610&gt;0))</f>
        <v>0</v>
      </c>
      <c r="Z610">
        <f>AND(IF(Metadata!F610="",FALSE,TRUE),exact(Metadata!F610,"weeks"))</f>
        <v>0</v>
      </c>
      <c r="AA610">
        <f>AND(IF(Metadata!G610="",FALSE,TRUE),exact(Metadata!G610,"mouse"))</f>
        <v>0</v>
      </c>
      <c r="AB610">
        <f>AND(IF(Metadata!H610="",FALSE,TRUE),exact(Metadata!H610,"Mus musculus"))</f>
        <v>0</v>
      </c>
      <c r="AC610">
        <f>AND(IF(Metadata!I610="",FALSE,TRUE),exact(Metadata!I610,"10090"))</f>
        <v>0</v>
      </c>
      <c r="AD610">
        <f>OR(AND(IF(Metadata!J610="",FALSE,TRUE),OR(exact(Metadata!J610,"not applicable"),exact(Metadata!J610,"missing: not collected"),exact(Metadata!J610,"missing: not provided"),exact(Metadata!J610,"missing: restricted access"))),AND(IF(Metadata!J610="",FALSE,ISNUMBER(VALUE(Metadata!J610))),Metadata!J610&gt;0))</f>
        <v>0</v>
      </c>
      <c r="AE610">
        <f>AND(IF(Metadata!K610="",FALSE,TRUE),exact(Metadata!K610,"g"))</f>
        <v>0</v>
      </c>
    </row>
    <row r="611" spans="1:31">
      <c r="A611" s="5">
        <f>IF(B611=" "," ",HYPERLINK(CONCATENATE("#metadata!",ADDRESS(INDEX($Q$2:$Q$1001,MATCH(ROWS($O$2:O611),$O$2:$O$1001,0),0),1)),INDEX($T$2:$T$1001,MATCH(ROWS($O$2:O611),$O$2:$O$1001,0),0)))</f>
        <v>0</v>
      </c>
      <c r="B611" s="4">
        <f>IF(OR(INDEX($P$2:$P$1001,MATCH(ROWS($O$2:O611),$O$2:$O$1001,0),1)&gt;=100000,INDEX($V$1005:$AE$1005,1,MATCH(COLUMNS($V$1006:V1006),$V$1006:$AE$1006,0))&gt;=100000), " ",IF(INDEX($V$2:$AE$1001,MATCH(ROWS($O$2:O611),$O$2:$O$1001,0),MATCH(COLUMNS($V$1006:V1006),$V$1006:$AE$1006,0)), HYPERLINK("#",""), HYPERLINK(CONCATENATE("#Metadata!", ADDRESS(INDEX($Q$2:$Q$1001,MATCH(ROWS($O$2:O611),$O$2:$O$1001,0),0), INDEX($V$1004:$AE$1004,1,MATCH(COLUMNS($V$1006:V1006),$V$1006:$AE$1006,0)))),"Fix")))</f>
        <v>0</v>
      </c>
      <c r="C611" s="4">
        <f>IF(OR(INDEX($P$2:$P$1001,MATCH(ROWS($O$2:O611),$O$2:$O$1001,0),1)&gt;=100000,INDEX($V$1005:$AE$1005,1,MATCH(COLUMNS($V$1006:W1006),$V$1006:$AE$1006,0))&gt;=100000), " ",IF(INDEX($V$2:$AE$1001,MATCH(ROWS($O$2:O611),$O$2:$O$1001,0),MATCH(COLUMNS($V$1006:W1006),$V$1006:$AE$1006,0)), HYPERLINK("#",""), HYPERLINK(CONCATENATE("#Metadata!", ADDRESS(INDEX($Q$2:$Q$1001,MATCH(ROWS($O$2:O611),$O$2:$O$1001,0),0), INDEX($V$1004:$AE$1004,1,MATCH(COLUMNS($V$1006:W1006),$V$1006:$AE$1006,0)))),"Fix")))</f>
        <v>0</v>
      </c>
      <c r="D611" s="4">
        <f>IF(OR(INDEX($P$2:$P$1001,MATCH(ROWS($O$2:O611),$O$2:$O$1001,0),1)&gt;=100000,INDEX($V$1005:$AE$1005,1,MATCH(COLUMNS($V$1006:X1006),$V$1006:$AE$1006,0))&gt;=100000), " ",IF(INDEX($V$2:$AE$1001,MATCH(ROWS($O$2:O611),$O$2:$O$1001,0),MATCH(COLUMNS($V$1006:X1006),$V$1006:$AE$1006,0)), HYPERLINK("#",""), HYPERLINK(CONCATENATE("#Metadata!", ADDRESS(INDEX($Q$2:$Q$1001,MATCH(ROWS($O$2:O611),$O$2:$O$1001,0),0), INDEX($V$1004:$AE$1004,1,MATCH(COLUMNS($V$1006:X1006),$V$1006:$AE$1006,0)))),"Fix")))</f>
        <v>0</v>
      </c>
      <c r="E611" s="4">
        <f>IF(OR(INDEX($P$2:$P$1001,MATCH(ROWS($O$2:O611),$O$2:$O$1001,0),1)&gt;=100000,INDEX($V$1005:$AE$1005,1,MATCH(COLUMNS($V$1006:Y1006),$V$1006:$AE$1006,0))&gt;=100000), " ",IF(INDEX($V$2:$AE$1001,MATCH(ROWS($O$2:O611),$O$2:$O$1001,0),MATCH(COLUMNS($V$1006:Y1006),$V$1006:$AE$1006,0)), HYPERLINK("#",""), HYPERLINK(CONCATENATE("#Metadata!", ADDRESS(INDEX($Q$2:$Q$1001,MATCH(ROWS($O$2:O611),$O$2:$O$1001,0),0), INDEX($V$1004:$AE$1004,1,MATCH(COLUMNS($V$1006:Y1006),$V$1006:$AE$1006,0)))),"Fix")))</f>
        <v>0</v>
      </c>
      <c r="F611" s="4">
        <f>IF(OR(INDEX($P$2:$P$1001,MATCH(ROWS($O$2:O611),$O$2:$O$1001,0),1)&gt;=100000,INDEX($V$1005:$AE$1005,1,MATCH(COLUMNS($V$1006:Z1006),$V$1006:$AE$1006,0))&gt;=100000), " ",IF(INDEX($V$2:$AE$1001,MATCH(ROWS($O$2:O611),$O$2:$O$1001,0),MATCH(COLUMNS($V$1006:Z1006),$V$1006:$AE$1006,0)), HYPERLINK("#",""), HYPERLINK(CONCATENATE("#Metadata!", ADDRESS(INDEX($Q$2:$Q$1001,MATCH(ROWS($O$2:O611),$O$2:$O$1001,0),0), INDEX($V$1004:$AE$1004,1,MATCH(COLUMNS($V$1006:Z1006),$V$1006:$AE$1006,0)))),"Fix")))</f>
        <v>0</v>
      </c>
      <c r="G611" s="4">
        <f>IF(OR(INDEX($P$2:$P$1001,MATCH(ROWS($O$2:O611),$O$2:$O$1001,0),1)&gt;=100000,INDEX($V$1005:$AE$1005,1,MATCH(COLUMNS($V$1006:AA1006),$V$1006:$AE$1006,0))&gt;=100000), " ",IF(INDEX($V$2:$AE$1001,MATCH(ROWS($O$2:O611),$O$2:$O$1001,0),MATCH(COLUMNS($V$1006:AA1006),$V$1006:$AE$1006,0)), HYPERLINK("#",""), HYPERLINK(CONCATENATE("#Metadata!", ADDRESS(INDEX($Q$2:$Q$1001,MATCH(ROWS($O$2:O611),$O$2:$O$1001,0),0), INDEX($V$1004:$AE$1004,1,MATCH(COLUMNS($V$1006:AA1006),$V$1006:$AE$1006,0)))),"Fix")))</f>
        <v>0</v>
      </c>
      <c r="H611" s="4">
        <f>IF(OR(INDEX($P$2:$P$1001,MATCH(ROWS($O$2:O611),$O$2:$O$1001,0),1)&gt;=100000,INDEX($V$1005:$AE$1005,1,MATCH(COLUMNS($V$1006:AB1006),$V$1006:$AE$1006,0))&gt;=100000), " ",IF(INDEX($V$2:$AE$1001,MATCH(ROWS($O$2:O611),$O$2:$O$1001,0),MATCH(COLUMNS($V$1006:AB1006),$V$1006:$AE$1006,0)), HYPERLINK("#",""), HYPERLINK(CONCATENATE("#Metadata!", ADDRESS(INDEX($Q$2:$Q$1001,MATCH(ROWS($O$2:O611),$O$2:$O$1001,0),0), INDEX($V$1004:$AE$1004,1,MATCH(COLUMNS($V$1006:AB1006),$V$1006:$AE$1006,0)))),"Fix")))</f>
        <v>0</v>
      </c>
      <c r="I611" s="4">
        <f>IF(OR(INDEX($P$2:$P$1001,MATCH(ROWS($O$2:O611),$O$2:$O$1001,0),1)&gt;=100000,INDEX($V$1005:$AE$1005,1,MATCH(COLUMNS($V$1006:AC1006),$V$1006:$AE$1006,0))&gt;=100000), " ",IF(INDEX($V$2:$AE$1001,MATCH(ROWS($O$2:O611),$O$2:$O$1001,0),MATCH(COLUMNS($V$1006:AC1006),$V$1006:$AE$1006,0)), HYPERLINK("#",""), HYPERLINK(CONCATENATE("#Metadata!", ADDRESS(INDEX($Q$2:$Q$1001,MATCH(ROWS($O$2:O611),$O$2:$O$1001,0),0), INDEX($V$1004:$AE$1004,1,MATCH(COLUMNS($V$1006:AC1006),$V$1006:$AE$1006,0)))),"Fix")))</f>
        <v>0</v>
      </c>
      <c r="J611" s="4">
        <f>IF(OR(INDEX($P$2:$P$1001,MATCH(ROWS($O$2:O611),$O$2:$O$1001,0),1)&gt;=100000,INDEX($V$1005:$AE$1005,1,MATCH(COLUMNS($V$1006:AD1006),$V$1006:$AE$1006,0))&gt;=100000), " ",IF(INDEX($V$2:$AE$1001,MATCH(ROWS($O$2:O611),$O$2:$O$1001,0),MATCH(COLUMNS($V$1006:AD1006),$V$1006:$AE$1006,0)), HYPERLINK("#",""), HYPERLINK(CONCATENATE("#Metadata!", ADDRESS(INDEX($Q$2:$Q$1001,MATCH(ROWS($O$2:O611),$O$2:$O$1001,0),0), INDEX($V$1004:$AE$1004,1,MATCH(COLUMNS($V$1006:AD1006),$V$1006:$AE$1006,0)))),"Fix")))</f>
        <v>0</v>
      </c>
      <c r="K611" s="4">
        <f>IF(OR(INDEX($P$2:$P$1001,MATCH(ROWS($O$2:O611),$O$2:$O$1001,0),1)&gt;=100000,INDEX($V$1005:$AE$1005,1,MATCH(COLUMNS($V$1006:AE1006),$V$1006:$AE$1006,0))&gt;=100000), " ",IF(INDEX($V$2:$AE$1001,MATCH(ROWS($O$2:O611),$O$2:$O$1001,0),MATCH(COLUMNS($V$1006:AE1006),$V$1006:$AE$1006,0)), HYPERLINK("#",""), HYPERLINK(CONCATENATE("#Metadata!", ADDRESS(INDEX($Q$2:$Q$1001,MATCH(ROWS($O$2:O611),$O$2:$O$1001,0),0), INDEX($V$1004:$AE$1004,1,MATCH(COLUMNS($V$1006:AE1006),$V$1006:$AE$1006,0)))),"Fix")))</f>
        <v>0</v>
      </c>
      <c r="O611">
        <v>0</v>
      </c>
      <c r="P611">
        <v>0</v>
      </c>
      <c r="Q611">
        <v>0</v>
      </c>
      <c r="R611">
        <f>IF(S611,TRUE,AND(V611:AE611))</f>
        <v>0</v>
      </c>
      <c r="S611">
        <f>COUNTBLANK(Metadata!B611:K611)=COLUMNS(Metadata!B611:K611)</f>
        <v>0</v>
      </c>
      <c r="T611">
        <v>0</v>
      </c>
      <c r="V611">
        <f>AND(IF(Metadata!B611="",FALSE,TRUE),COUNTIF(Metadata!B:B, Metadata!B611) = 1,NOT(ISERROR(SUMPRODUCT(SEARCH(MID(Metadata!B611,ROW(INDIRECT("1:"&amp;LEN(Metadata!B611))), 1),"0123456789abcdefghijklmnopqrstuvwxyzABCDEFGHIJKLMNOPQRSTUVWXYZ.")))))</f>
        <v>0</v>
      </c>
      <c r="W611">
        <f>AND(IF(Metadata!C611="",FALSE,TRUE),exact(Metadata!C611,"urban biome"))</f>
        <v>0</v>
      </c>
      <c r="X611">
        <f>AND(IF(Metadata!D611="",FALSE,TRUE),exact(Metadata!D611,"animal-associated habitat"))</f>
        <v>0</v>
      </c>
      <c r="Y611">
        <f>OR(AND(IF(Metadata!E611="",FALSE,TRUE),OR(exact(Metadata!E611,"not applicable"),exact(Metadata!E611,"missing: not collected"),exact(Metadata!E611,"missing: not provided"),exact(Metadata!E611,"missing: restricted access"))),AND(IF(Metadata!E611="",FALSE,ISNUMBER(VALUE(Metadata!E611))),Metadata!E611&gt;0))</f>
        <v>0</v>
      </c>
      <c r="Z611">
        <f>AND(IF(Metadata!F611="",FALSE,TRUE),exact(Metadata!F611,"weeks"))</f>
        <v>0</v>
      </c>
      <c r="AA611">
        <f>AND(IF(Metadata!G611="",FALSE,TRUE),exact(Metadata!G611,"mouse"))</f>
        <v>0</v>
      </c>
      <c r="AB611">
        <f>AND(IF(Metadata!H611="",FALSE,TRUE),exact(Metadata!H611,"Mus musculus"))</f>
        <v>0</v>
      </c>
      <c r="AC611">
        <f>AND(IF(Metadata!I611="",FALSE,TRUE),exact(Metadata!I611,"10090"))</f>
        <v>0</v>
      </c>
      <c r="AD611">
        <f>OR(AND(IF(Metadata!J611="",FALSE,TRUE),OR(exact(Metadata!J611,"not applicable"),exact(Metadata!J611,"missing: not collected"),exact(Metadata!J611,"missing: not provided"),exact(Metadata!J611,"missing: restricted access"))),AND(IF(Metadata!J611="",FALSE,ISNUMBER(VALUE(Metadata!J611))),Metadata!J611&gt;0))</f>
        <v>0</v>
      </c>
      <c r="AE611">
        <f>AND(IF(Metadata!K611="",FALSE,TRUE),exact(Metadata!K611,"g"))</f>
        <v>0</v>
      </c>
    </row>
    <row r="612" spans="1:31">
      <c r="A612" s="5">
        <f>IF(B612=" "," ",HYPERLINK(CONCATENATE("#metadata!",ADDRESS(INDEX($Q$2:$Q$1001,MATCH(ROWS($O$2:O612),$O$2:$O$1001,0),0),1)),INDEX($T$2:$T$1001,MATCH(ROWS($O$2:O612),$O$2:$O$1001,0),0)))</f>
        <v>0</v>
      </c>
      <c r="B612" s="4">
        <f>IF(OR(INDEX($P$2:$P$1001,MATCH(ROWS($O$2:O612),$O$2:$O$1001,0),1)&gt;=100000,INDEX($V$1005:$AE$1005,1,MATCH(COLUMNS($V$1006:V1006),$V$1006:$AE$1006,0))&gt;=100000), " ",IF(INDEX($V$2:$AE$1001,MATCH(ROWS($O$2:O612),$O$2:$O$1001,0),MATCH(COLUMNS($V$1006:V1006),$V$1006:$AE$1006,0)), HYPERLINK("#",""), HYPERLINK(CONCATENATE("#Metadata!", ADDRESS(INDEX($Q$2:$Q$1001,MATCH(ROWS($O$2:O612),$O$2:$O$1001,0),0), INDEX($V$1004:$AE$1004,1,MATCH(COLUMNS($V$1006:V1006),$V$1006:$AE$1006,0)))),"Fix")))</f>
        <v>0</v>
      </c>
      <c r="C612" s="4">
        <f>IF(OR(INDEX($P$2:$P$1001,MATCH(ROWS($O$2:O612),$O$2:$O$1001,0),1)&gt;=100000,INDEX($V$1005:$AE$1005,1,MATCH(COLUMNS($V$1006:W1006),$V$1006:$AE$1006,0))&gt;=100000), " ",IF(INDEX($V$2:$AE$1001,MATCH(ROWS($O$2:O612),$O$2:$O$1001,0),MATCH(COLUMNS($V$1006:W1006),$V$1006:$AE$1006,0)), HYPERLINK("#",""), HYPERLINK(CONCATENATE("#Metadata!", ADDRESS(INDEX($Q$2:$Q$1001,MATCH(ROWS($O$2:O612),$O$2:$O$1001,0),0), INDEX($V$1004:$AE$1004,1,MATCH(COLUMNS($V$1006:W1006),$V$1006:$AE$1006,0)))),"Fix")))</f>
        <v>0</v>
      </c>
      <c r="D612" s="4">
        <f>IF(OR(INDEX($P$2:$P$1001,MATCH(ROWS($O$2:O612),$O$2:$O$1001,0),1)&gt;=100000,INDEX($V$1005:$AE$1005,1,MATCH(COLUMNS($V$1006:X1006),$V$1006:$AE$1006,0))&gt;=100000), " ",IF(INDEX($V$2:$AE$1001,MATCH(ROWS($O$2:O612),$O$2:$O$1001,0),MATCH(COLUMNS($V$1006:X1006),$V$1006:$AE$1006,0)), HYPERLINK("#",""), HYPERLINK(CONCATENATE("#Metadata!", ADDRESS(INDEX($Q$2:$Q$1001,MATCH(ROWS($O$2:O612),$O$2:$O$1001,0),0), INDEX($V$1004:$AE$1004,1,MATCH(COLUMNS($V$1006:X1006),$V$1006:$AE$1006,0)))),"Fix")))</f>
        <v>0</v>
      </c>
      <c r="E612" s="4">
        <f>IF(OR(INDEX($P$2:$P$1001,MATCH(ROWS($O$2:O612),$O$2:$O$1001,0),1)&gt;=100000,INDEX($V$1005:$AE$1005,1,MATCH(COLUMNS($V$1006:Y1006),$V$1006:$AE$1006,0))&gt;=100000), " ",IF(INDEX($V$2:$AE$1001,MATCH(ROWS($O$2:O612),$O$2:$O$1001,0),MATCH(COLUMNS($V$1006:Y1006),$V$1006:$AE$1006,0)), HYPERLINK("#",""), HYPERLINK(CONCATENATE("#Metadata!", ADDRESS(INDEX($Q$2:$Q$1001,MATCH(ROWS($O$2:O612),$O$2:$O$1001,0),0), INDEX($V$1004:$AE$1004,1,MATCH(COLUMNS($V$1006:Y1006),$V$1006:$AE$1006,0)))),"Fix")))</f>
        <v>0</v>
      </c>
      <c r="F612" s="4">
        <f>IF(OR(INDEX($P$2:$P$1001,MATCH(ROWS($O$2:O612),$O$2:$O$1001,0),1)&gt;=100000,INDEX($V$1005:$AE$1005,1,MATCH(COLUMNS($V$1006:Z1006),$V$1006:$AE$1006,0))&gt;=100000), " ",IF(INDEX($V$2:$AE$1001,MATCH(ROWS($O$2:O612),$O$2:$O$1001,0),MATCH(COLUMNS($V$1006:Z1006),$V$1006:$AE$1006,0)), HYPERLINK("#",""), HYPERLINK(CONCATENATE("#Metadata!", ADDRESS(INDEX($Q$2:$Q$1001,MATCH(ROWS($O$2:O612),$O$2:$O$1001,0),0), INDEX($V$1004:$AE$1004,1,MATCH(COLUMNS($V$1006:Z1006),$V$1006:$AE$1006,0)))),"Fix")))</f>
        <v>0</v>
      </c>
      <c r="G612" s="4">
        <f>IF(OR(INDEX($P$2:$P$1001,MATCH(ROWS($O$2:O612),$O$2:$O$1001,0),1)&gt;=100000,INDEX($V$1005:$AE$1005,1,MATCH(COLUMNS($V$1006:AA1006),$V$1006:$AE$1006,0))&gt;=100000), " ",IF(INDEX($V$2:$AE$1001,MATCH(ROWS($O$2:O612),$O$2:$O$1001,0),MATCH(COLUMNS($V$1006:AA1006),$V$1006:$AE$1006,0)), HYPERLINK("#",""), HYPERLINK(CONCATENATE("#Metadata!", ADDRESS(INDEX($Q$2:$Q$1001,MATCH(ROWS($O$2:O612),$O$2:$O$1001,0),0), INDEX($V$1004:$AE$1004,1,MATCH(COLUMNS($V$1006:AA1006),$V$1006:$AE$1006,0)))),"Fix")))</f>
        <v>0</v>
      </c>
      <c r="H612" s="4">
        <f>IF(OR(INDEX($P$2:$P$1001,MATCH(ROWS($O$2:O612),$O$2:$O$1001,0),1)&gt;=100000,INDEX($V$1005:$AE$1005,1,MATCH(COLUMNS($V$1006:AB1006),$V$1006:$AE$1006,0))&gt;=100000), " ",IF(INDEX($V$2:$AE$1001,MATCH(ROWS($O$2:O612),$O$2:$O$1001,0),MATCH(COLUMNS($V$1006:AB1006),$V$1006:$AE$1006,0)), HYPERLINK("#",""), HYPERLINK(CONCATENATE("#Metadata!", ADDRESS(INDEX($Q$2:$Q$1001,MATCH(ROWS($O$2:O612),$O$2:$O$1001,0),0), INDEX($V$1004:$AE$1004,1,MATCH(COLUMNS($V$1006:AB1006),$V$1006:$AE$1006,0)))),"Fix")))</f>
        <v>0</v>
      </c>
      <c r="I612" s="4">
        <f>IF(OR(INDEX($P$2:$P$1001,MATCH(ROWS($O$2:O612),$O$2:$O$1001,0),1)&gt;=100000,INDEX($V$1005:$AE$1005,1,MATCH(COLUMNS($V$1006:AC1006),$V$1006:$AE$1006,0))&gt;=100000), " ",IF(INDEX($V$2:$AE$1001,MATCH(ROWS($O$2:O612),$O$2:$O$1001,0),MATCH(COLUMNS($V$1006:AC1006),$V$1006:$AE$1006,0)), HYPERLINK("#",""), HYPERLINK(CONCATENATE("#Metadata!", ADDRESS(INDEX($Q$2:$Q$1001,MATCH(ROWS($O$2:O612),$O$2:$O$1001,0),0), INDEX($V$1004:$AE$1004,1,MATCH(COLUMNS($V$1006:AC1006),$V$1006:$AE$1006,0)))),"Fix")))</f>
        <v>0</v>
      </c>
      <c r="J612" s="4">
        <f>IF(OR(INDEX($P$2:$P$1001,MATCH(ROWS($O$2:O612),$O$2:$O$1001,0),1)&gt;=100000,INDEX($V$1005:$AE$1005,1,MATCH(COLUMNS($V$1006:AD1006),$V$1006:$AE$1006,0))&gt;=100000), " ",IF(INDEX($V$2:$AE$1001,MATCH(ROWS($O$2:O612),$O$2:$O$1001,0),MATCH(COLUMNS($V$1006:AD1006),$V$1006:$AE$1006,0)), HYPERLINK("#",""), HYPERLINK(CONCATENATE("#Metadata!", ADDRESS(INDEX($Q$2:$Q$1001,MATCH(ROWS($O$2:O612),$O$2:$O$1001,0),0), INDEX($V$1004:$AE$1004,1,MATCH(COLUMNS($V$1006:AD1006),$V$1006:$AE$1006,0)))),"Fix")))</f>
        <v>0</v>
      </c>
      <c r="K612" s="4">
        <f>IF(OR(INDEX($P$2:$P$1001,MATCH(ROWS($O$2:O612),$O$2:$O$1001,0),1)&gt;=100000,INDEX($V$1005:$AE$1005,1,MATCH(COLUMNS($V$1006:AE1006),$V$1006:$AE$1006,0))&gt;=100000), " ",IF(INDEX($V$2:$AE$1001,MATCH(ROWS($O$2:O612),$O$2:$O$1001,0),MATCH(COLUMNS($V$1006:AE1006),$V$1006:$AE$1006,0)), HYPERLINK("#",""), HYPERLINK(CONCATENATE("#Metadata!", ADDRESS(INDEX($Q$2:$Q$1001,MATCH(ROWS($O$2:O612),$O$2:$O$1001,0),0), INDEX($V$1004:$AE$1004,1,MATCH(COLUMNS($V$1006:AE1006),$V$1006:$AE$1006,0)))),"Fix")))</f>
        <v>0</v>
      </c>
      <c r="O612">
        <v>0</v>
      </c>
      <c r="P612">
        <v>0</v>
      </c>
      <c r="Q612">
        <v>0</v>
      </c>
      <c r="R612">
        <f>IF(S612,TRUE,AND(V612:AE612))</f>
        <v>0</v>
      </c>
      <c r="S612">
        <f>COUNTBLANK(Metadata!B612:K612)=COLUMNS(Metadata!B612:K612)</f>
        <v>0</v>
      </c>
      <c r="T612">
        <v>0</v>
      </c>
      <c r="V612">
        <f>AND(IF(Metadata!B612="",FALSE,TRUE),COUNTIF(Metadata!B:B, Metadata!B612) = 1,NOT(ISERROR(SUMPRODUCT(SEARCH(MID(Metadata!B612,ROW(INDIRECT("1:"&amp;LEN(Metadata!B612))), 1),"0123456789abcdefghijklmnopqrstuvwxyzABCDEFGHIJKLMNOPQRSTUVWXYZ.")))))</f>
        <v>0</v>
      </c>
      <c r="W612">
        <f>AND(IF(Metadata!C612="",FALSE,TRUE),exact(Metadata!C612,"urban biome"))</f>
        <v>0</v>
      </c>
      <c r="X612">
        <f>AND(IF(Metadata!D612="",FALSE,TRUE),exact(Metadata!D612,"animal-associated habitat"))</f>
        <v>0</v>
      </c>
      <c r="Y612">
        <f>OR(AND(IF(Metadata!E612="",FALSE,TRUE),OR(exact(Metadata!E612,"not applicable"),exact(Metadata!E612,"missing: not collected"),exact(Metadata!E612,"missing: not provided"),exact(Metadata!E612,"missing: restricted access"))),AND(IF(Metadata!E612="",FALSE,ISNUMBER(VALUE(Metadata!E612))),Metadata!E612&gt;0))</f>
        <v>0</v>
      </c>
      <c r="Z612">
        <f>AND(IF(Metadata!F612="",FALSE,TRUE),exact(Metadata!F612,"weeks"))</f>
        <v>0</v>
      </c>
      <c r="AA612">
        <f>AND(IF(Metadata!G612="",FALSE,TRUE),exact(Metadata!G612,"mouse"))</f>
        <v>0</v>
      </c>
      <c r="AB612">
        <f>AND(IF(Metadata!H612="",FALSE,TRUE),exact(Metadata!H612,"Mus musculus"))</f>
        <v>0</v>
      </c>
      <c r="AC612">
        <f>AND(IF(Metadata!I612="",FALSE,TRUE),exact(Metadata!I612,"10090"))</f>
        <v>0</v>
      </c>
      <c r="AD612">
        <f>OR(AND(IF(Metadata!J612="",FALSE,TRUE),OR(exact(Metadata!J612,"not applicable"),exact(Metadata!J612,"missing: not collected"),exact(Metadata!J612,"missing: not provided"),exact(Metadata!J612,"missing: restricted access"))),AND(IF(Metadata!J612="",FALSE,ISNUMBER(VALUE(Metadata!J612))),Metadata!J612&gt;0))</f>
        <v>0</v>
      </c>
      <c r="AE612">
        <f>AND(IF(Metadata!K612="",FALSE,TRUE),exact(Metadata!K612,"g"))</f>
        <v>0</v>
      </c>
    </row>
    <row r="613" spans="1:31">
      <c r="A613" s="5">
        <f>IF(B613=" "," ",HYPERLINK(CONCATENATE("#metadata!",ADDRESS(INDEX($Q$2:$Q$1001,MATCH(ROWS($O$2:O613),$O$2:$O$1001,0),0),1)),INDEX($T$2:$T$1001,MATCH(ROWS($O$2:O613),$O$2:$O$1001,0),0)))</f>
        <v>0</v>
      </c>
      <c r="B613" s="4">
        <f>IF(OR(INDEX($P$2:$P$1001,MATCH(ROWS($O$2:O613),$O$2:$O$1001,0),1)&gt;=100000,INDEX($V$1005:$AE$1005,1,MATCH(COLUMNS($V$1006:V1006),$V$1006:$AE$1006,0))&gt;=100000), " ",IF(INDEX($V$2:$AE$1001,MATCH(ROWS($O$2:O613),$O$2:$O$1001,0),MATCH(COLUMNS($V$1006:V1006),$V$1006:$AE$1006,0)), HYPERLINK("#",""), HYPERLINK(CONCATENATE("#Metadata!", ADDRESS(INDEX($Q$2:$Q$1001,MATCH(ROWS($O$2:O613),$O$2:$O$1001,0),0), INDEX($V$1004:$AE$1004,1,MATCH(COLUMNS($V$1006:V1006),$V$1006:$AE$1006,0)))),"Fix")))</f>
        <v>0</v>
      </c>
      <c r="C613" s="4">
        <f>IF(OR(INDEX($P$2:$P$1001,MATCH(ROWS($O$2:O613),$O$2:$O$1001,0),1)&gt;=100000,INDEX($V$1005:$AE$1005,1,MATCH(COLUMNS($V$1006:W1006),$V$1006:$AE$1006,0))&gt;=100000), " ",IF(INDEX($V$2:$AE$1001,MATCH(ROWS($O$2:O613),$O$2:$O$1001,0),MATCH(COLUMNS($V$1006:W1006),$V$1006:$AE$1006,0)), HYPERLINK("#",""), HYPERLINK(CONCATENATE("#Metadata!", ADDRESS(INDEX($Q$2:$Q$1001,MATCH(ROWS($O$2:O613),$O$2:$O$1001,0),0), INDEX($V$1004:$AE$1004,1,MATCH(COLUMNS($V$1006:W1006),$V$1006:$AE$1006,0)))),"Fix")))</f>
        <v>0</v>
      </c>
      <c r="D613" s="4">
        <f>IF(OR(INDEX($P$2:$P$1001,MATCH(ROWS($O$2:O613),$O$2:$O$1001,0),1)&gt;=100000,INDEX($V$1005:$AE$1005,1,MATCH(COLUMNS($V$1006:X1006),$V$1006:$AE$1006,0))&gt;=100000), " ",IF(INDEX($V$2:$AE$1001,MATCH(ROWS($O$2:O613),$O$2:$O$1001,0),MATCH(COLUMNS($V$1006:X1006),$V$1006:$AE$1006,0)), HYPERLINK("#",""), HYPERLINK(CONCATENATE("#Metadata!", ADDRESS(INDEX($Q$2:$Q$1001,MATCH(ROWS($O$2:O613),$O$2:$O$1001,0),0), INDEX($V$1004:$AE$1004,1,MATCH(COLUMNS($V$1006:X1006),$V$1006:$AE$1006,0)))),"Fix")))</f>
        <v>0</v>
      </c>
      <c r="E613" s="4">
        <f>IF(OR(INDEX($P$2:$P$1001,MATCH(ROWS($O$2:O613),$O$2:$O$1001,0),1)&gt;=100000,INDEX($V$1005:$AE$1005,1,MATCH(COLUMNS($V$1006:Y1006),$V$1006:$AE$1006,0))&gt;=100000), " ",IF(INDEX($V$2:$AE$1001,MATCH(ROWS($O$2:O613),$O$2:$O$1001,0),MATCH(COLUMNS($V$1006:Y1006),$V$1006:$AE$1006,0)), HYPERLINK("#",""), HYPERLINK(CONCATENATE("#Metadata!", ADDRESS(INDEX($Q$2:$Q$1001,MATCH(ROWS($O$2:O613),$O$2:$O$1001,0),0), INDEX($V$1004:$AE$1004,1,MATCH(COLUMNS($V$1006:Y1006),$V$1006:$AE$1006,0)))),"Fix")))</f>
        <v>0</v>
      </c>
      <c r="F613" s="4">
        <f>IF(OR(INDEX($P$2:$P$1001,MATCH(ROWS($O$2:O613),$O$2:$O$1001,0),1)&gt;=100000,INDEX($V$1005:$AE$1005,1,MATCH(COLUMNS($V$1006:Z1006),$V$1006:$AE$1006,0))&gt;=100000), " ",IF(INDEX($V$2:$AE$1001,MATCH(ROWS($O$2:O613),$O$2:$O$1001,0),MATCH(COLUMNS($V$1006:Z1006),$V$1006:$AE$1006,0)), HYPERLINK("#",""), HYPERLINK(CONCATENATE("#Metadata!", ADDRESS(INDEX($Q$2:$Q$1001,MATCH(ROWS($O$2:O613),$O$2:$O$1001,0),0), INDEX($V$1004:$AE$1004,1,MATCH(COLUMNS($V$1006:Z1006),$V$1006:$AE$1006,0)))),"Fix")))</f>
        <v>0</v>
      </c>
      <c r="G613" s="4">
        <f>IF(OR(INDEX($P$2:$P$1001,MATCH(ROWS($O$2:O613),$O$2:$O$1001,0),1)&gt;=100000,INDEX($V$1005:$AE$1005,1,MATCH(COLUMNS($V$1006:AA1006),$V$1006:$AE$1006,0))&gt;=100000), " ",IF(INDEX($V$2:$AE$1001,MATCH(ROWS($O$2:O613),$O$2:$O$1001,0),MATCH(COLUMNS($V$1006:AA1006),$V$1006:$AE$1006,0)), HYPERLINK("#",""), HYPERLINK(CONCATENATE("#Metadata!", ADDRESS(INDEX($Q$2:$Q$1001,MATCH(ROWS($O$2:O613),$O$2:$O$1001,0),0), INDEX($V$1004:$AE$1004,1,MATCH(COLUMNS($V$1006:AA1006),$V$1006:$AE$1006,0)))),"Fix")))</f>
        <v>0</v>
      </c>
      <c r="H613" s="4">
        <f>IF(OR(INDEX($P$2:$P$1001,MATCH(ROWS($O$2:O613),$O$2:$O$1001,0),1)&gt;=100000,INDEX($V$1005:$AE$1005,1,MATCH(COLUMNS($V$1006:AB1006),$V$1006:$AE$1006,0))&gt;=100000), " ",IF(INDEX($V$2:$AE$1001,MATCH(ROWS($O$2:O613),$O$2:$O$1001,0),MATCH(COLUMNS($V$1006:AB1006),$V$1006:$AE$1006,0)), HYPERLINK("#",""), HYPERLINK(CONCATENATE("#Metadata!", ADDRESS(INDEX($Q$2:$Q$1001,MATCH(ROWS($O$2:O613),$O$2:$O$1001,0),0), INDEX($V$1004:$AE$1004,1,MATCH(COLUMNS($V$1006:AB1006),$V$1006:$AE$1006,0)))),"Fix")))</f>
        <v>0</v>
      </c>
      <c r="I613" s="4">
        <f>IF(OR(INDEX($P$2:$P$1001,MATCH(ROWS($O$2:O613),$O$2:$O$1001,0),1)&gt;=100000,INDEX($V$1005:$AE$1005,1,MATCH(COLUMNS($V$1006:AC1006),$V$1006:$AE$1006,0))&gt;=100000), " ",IF(INDEX($V$2:$AE$1001,MATCH(ROWS($O$2:O613),$O$2:$O$1001,0),MATCH(COLUMNS($V$1006:AC1006),$V$1006:$AE$1006,0)), HYPERLINK("#",""), HYPERLINK(CONCATENATE("#Metadata!", ADDRESS(INDEX($Q$2:$Q$1001,MATCH(ROWS($O$2:O613),$O$2:$O$1001,0),0), INDEX($V$1004:$AE$1004,1,MATCH(COLUMNS($V$1006:AC1006),$V$1006:$AE$1006,0)))),"Fix")))</f>
        <v>0</v>
      </c>
      <c r="J613" s="4">
        <f>IF(OR(INDEX($P$2:$P$1001,MATCH(ROWS($O$2:O613),$O$2:$O$1001,0),1)&gt;=100000,INDEX($V$1005:$AE$1005,1,MATCH(COLUMNS($V$1006:AD1006),$V$1006:$AE$1006,0))&gt;=100000), " ",IF(INDEX($V$2:$AE$1001,MATCH(ROWS($O$2:O613),$O$2:$O$1001,0),MATCH(COLUMNS($V$1006:AD1006),$V$1006:$AE$1006,0)), HYPERLINK("#",""), HYPERLINK(CONCATENATE("#Metadata!", ADDRESS(INDEX($Q$2:$Q$1001,MATCH(ROWS($O$2:O613),$O$2:$O$1001,0),0), INDEX($V$1004:$AE$1004,1,MATCH(COLUMNS($V$1006:AD1006),$V$1006:$AE$1006,0)))),"Fix")))</f>
        <v>0</v>
      </c>
      <c r="K613" s="4">
        <f>IF(OR(INDEX($P$2:$P$1001,MATCH(ROWS($O$2:O613),$O$2:$O$1001,0),1)&gt;=100000,INDEX($V$1005:$AE$1005,1,MATCH(COLUMNS($V$1006:AE1006),$V$1006:$AE$1006,0))&gt;=100000), " ",IF(INDEX($V$2:$AE$1001,MATCH(ROWS($O$2:O613),$O$2:$O$1001,0),MATCH(COLUMNS($V$1006:AE1006),$V$1006:$AE$1006,0)), HYPERLINK("#",""), HYPERLINK(CONCATENATE("#Metadata!", ADDRESS(INDEX($Q$2:$Q$1001,MATCH(ROWS($O$2:O613),$O$2:$O$1001,0),0), INDEX($V$1004:$AE$1004,1,MATCH(COLUMNS($V$1006:AE1006),$V$1006:$AE$1006,0)))),"Fix")))</f>
        <v>0</v>
      </c>
      <c r="O613">
        <v>0</v>
      </c>
      <c r="P613">
        <v>0</v>
      </c>
      <c r="Q613">
        <v>0</v>
      </c>
      <c r="R613">
        <f>IF(S613,TRUE,AND(V613:AE613))</f>
        <v>0</v>
      </c>
      <c r="S613">
        <f>COUNTBLANK(Metadata!B613:K613)=COLUMNS(Metadata!B613:K613)</f>
        <v>0</v>
      </c>
      <c r="T613">
        <v>0</v>
      </c>
      <c r="V613">
        <f>AND(IF(Metadata!B613="",FALSE,TRUE),COUNTIF(Metadata!B:B, Metadata!B613) = 1,NOT(ISERROR(SUMPRODUCT(SEARCH(MID(Metadata!B613,ROW(INDIRECT("1:"&amp;LEN(Metadata!B613))), 1),"0123456789abcdefghijklmnopqrstuvwxyzABCDEFGHIJKLMNOPQRSTUVWXYZ.")))))</f>
        <v>0</v>
      </c>
      <c r="W613">
        <f>AND(IF(Metadata!C613="",FALSE,TRUE),exact(Metadata!C613,"urban biome"))</f>
        <v>0</v>
      </c>
      <c r="X613">
        <f>AND(IF(Metadata!D613="",FALSE,TRUE),exact(Metadata!D613,"animal-associated habitat"))</f>
        <v>0</v>
      </c>
      <c r="Y613">
        <f>OR(AND(IF(Metadata!E613="",FALSE,TRUE),OR(exact(Metadata!E613,"not applicable"),exact(Metadata!E613,"missing: not collected"),exact(Metadata!E613,"missing: not provided"),exact(Metadata!E613,"missing: restricted access"))),AND(IF(Metadata!E613="",FALSE,ISNUMBER(VALUE(Metadata!E613))),Metadata!E613&gt;0))</f>
        <v>0</v>
      </c>
      <c r="Z613">
        <f>AND(IF(Metadata!F613="",FALSE,TRUE),exact(Metadata!F613,"weeks"))</f>
        <v>0</v>
      </c>
      <c r="AA613">
        <f>AND(IF(Metadata!G613="",FALSE,TRUE),exact(Metadata!G613,"mouse"))</f>
        <v>0</v>
      </c>
      <c r="AB613">
        <f>AND(IF(Metadata!H613="",FALSE,TRUE),exact(Metadata!H613,"Mus musculus"))</f>
        <v>0</v>
      </c>
      <c r="AC613">
        <f>AND(IF(Metadata!I613="",FALSE,TRUE),exact(Metadata!I613,"10090"))</f>
        <v>0</v>
      </c>
      <c r="AD613">
        <f>OR(AND(IF(Metadata!J613="",FALSE,TRUE),OR(exact(Metadata!J613,"not applicable"),exact(Metadata!J613,"missing: not collected"),exact(Metadata!J613,"missing: not provided"),exact(Metadata!J613,"missing: restricted access"))),AND(IF(Metadata!J613="",FALSE,ISNUMBER(VALUE(Metadata!J613))),Metadata!J613&gt;0))</f>
        <v>0</v>
      </c>
      <c r="AE613">
        <f>AND(IF(Metadata!K613="",FALSE,TRUE),exact(Metadata!K613,"g"))</f>
        <v>0</v>
      </c>
    </row>
    <row r="614" spans="1:31">
      <c r="A614" s="5">
        <f>IF(B614=" "," ",HYPERLINK(CONCATENATE("#metadata!",ADDRESS(INDEX($Q$2:$Q$1001,MATCH(ROWS($O$2:O614),$O$2:$O$1001,0),0),1)),INDEX($T$2:$T$1001,MATCH(ROWS($O$2:O614),$O$2:$O$1001,0),0)))</f>
        <v>0</v>
      </c>
      <c r="B614" s="4">
        <f>IF(OR(INDEX($P$2:$P$1001,MATCH(ROWS($O$2:O614),$O$2:$O$1001,0),1)&gt;=100000,INDEX($V$1005:$AE$1005,1,MATCH(COLUMNS($V$1006:V1006),$V$1006:$AE$1006,0))&gt;=100000), " ",IF(INDEX($V$2:$AE$1001,MATCH(ROWS($O$2:O614),$O$2:$O$1001,0),MATCH(COLUMNS($V$1006:V1006),$V$1006:$AE$1006,0)), HYPERLINK("#",""), HYPERLINK(CONCATENATE("#Metadata!", ADDRESS(INDEX($Q$2:$Q$1001,MATCH(ROWS($O$2:O614),$O$2:$O$1001,0),0), INDEX($V$1004:$AE$1004,1,MATCH(COLUMNS($V$1006:V1006),$V$1006:$AE$1006,0)))),"Fix")))</f>
        <v>0</v>
      </c>
      <c r="C614" s="4">
        <f>IF(OR(INDEX($P$2:$P$1001,MATCH(ROWS($O$2:O614),$O$2:$O$1001,0),1)&gt;=100000,INDEX($V$1005:$AE$1005,1,MATCH(COLUMNS($V$1006:W1006),$V$1006:$AE$1006,0))&gt;=100000), " ",IF(INDEX($V$2:$AE$1001,MATCH(ROWS($O$2:O614),$O$2:$O$1001,0),MATCH(COLUMNS($V$1006:W1006),$V$1006:$AE$1006,0)), HYPERLINK("#",""), HYPERLINK(CONCATENATE("#Metadata!", ADDRESS(INDEX($Q$2:$Q$1001,MATCH(ROWS($O$2:O614),$O$2:$O$1001,0),0), INDEX($V$1004:$AE$1004,1,MATCH(COLUMNS($V$1006:W1006),$V$1006:$AE$1006,0)))),"Fix")))</f>
        <v>0</v>
      </c>
      <c r="D614" s="4">
        <f>IF(OR(INDEX($P$2:$P$1001,MATCH(ROWS($O$2:O614),$O$2:$O$1001,0),1)&gt;=100000,INDEX($V$1005:$AE$1005,1,MATCH(COLUMNS($V$1006:X1006),$V$1006:$AE$1006,0))&gt;=100000), " ",IF(INDEX($V$2:$AE$1001,MATCH(ROWS($O$2:O614),$O$2:$O$1001,0),MATCH(COLUMNS($V$1006:X1006),$V$1006:$AE$1006,0)), HYPERLINK("#",""), HYPERLINK(CONCATENATE("#Metadata!", ADDRESS(INDEX($Q$2:$Q$1001,MATCH(ROWS($O$2:O614),$O$2:$O$1001,0),0), INDEX($V$1004:$AE$1004,1,MATCH(COLUMNS($V$1006:X1006),$V$1006:$AE$1006,0)))),"Fix")))</f>
        <v>0</v>
      </c>
      <c r="E614" s="4">
        <f>IF(OR(INDEX($P$2:$P$1001,MATCH(ROWS($O$2:O614),$O$2:$O$1001,0),1)&gt;=100000,INDEX($V$1005:$AE$1005,1,MATCH(COLUMNS($V$1006:Y1006),$V$1006:$AE$1006,0))&gt;=100000), " ",IF(INDEX($V$2:$AE$1001,MATCH(ROWS($O$2:O614),$O$2:$O$1001,0),MATCH(COLUMNS($V$1006:Y1006),$V$1006:$AE$1006,0)), HYPERLINK("#",""), HYPERLINK(CONCATENATE("#Metadata!", ADDRESS(INDEX($Q$2:$Q$1001,MATCH(ROWS($O$2:O614),$O$2:$O$1001,0),0), INDEX($V$1004:$AE$1004,1,MATCH(COLUMNS($V$1006:Y1006),$V$1006:$AE$1006,0)))),"Fix")))</f>
        <v>0</v>
      </c>
      <c r="F614" s="4">
        <f>IF(OR(INDEX($P$2:$P$1001,MATCH(ROWS($O$2:O614),$O$2:$O$1001,0),1)&gt;=100000,INDEX($V$1005:$AE$1005,1,MATCH(COLUMNS($V$1006:Z1006),$V$1006:$AE$1006,0))&gt;=100000), " ",IF(INDEX($V$2:$AE$1001,MATCH(ROWS($O$2:O614),$O$2:$O$1001,0),MATCH(COLUMNS($V$1006:Z1006),$V$1006:$AE$1006,0)), HYPERLINK("#",""), HYPERLINK(CONCATENATE("#Metadata!", ADDRESS(INDEX($Q$2:$Q$1001,MATCH(ROWS($O$2:O614),$O$2:$O$1001,0),0), INDEX($V$1004:$AE$1004,1,MATCH(COLUMNS($V$1006:Z1006),$V$1006:$AE$1006,0)))),"Fix")))</f>
        <v>0</v>
      </c>
      <c r="G614" s="4">
        <f>IF(OR(INDEX($P$2:$P$1001,MATCH(ROWS($O$2:O614),$O$2:$O$1001,0),1)&gt;=100000,INDEX($V$1005:$AE$1005,1,MATCH(COLUMNS($V$1006:AA1006),$V$1006:$AE$1006,0))&gt;=100000), " ",IF(INDEX($V$2:$AE$1001,MATCH(ROWS($O$2:O614),$O$2:$O$1001,0),MATCH(COLUMNS($V$1006:AA1006),$V$1006:$AE$1006,0)), HYPERLINK("#",""), HYPERLINK(CONCATENATE("#Metadata!", ADDRESS(INDEX($Q$2:$Q$1001,MATCH(ROWS($O$2:O614),$O$2:$O$1001,0),0), INDEX($V$1004:$AE$1004,1,MATCH(COLUMNS($V$1006:AA1006),$V$1006:$AE$1006,0)))),"Fix")))</f>
        <v>0</v>
      </c>
      <c r="H614" s="4">
        <f>IF(OR(INDEX($P$2:$P$1001,MATCH(ROWS($O$2:O614),$O$2:$O$1001,0),1)&gt;=100000,INDEX($V$1005:$AE$1005,1,MATCH(COLUMNS($V$1006:AB1006),$V$1006:$AE$1006,0))&gt;=100000), " ",IF(INDEX($V$2:$AE$1001,MATCH(ROWS($O$2:O614),$O$2:$O$1001,0),MATCH(COLUMNS($V$1006:AB1006),$V$1006:$AE$1006,0)), HYPERLINK("#",""), HYPERLINK(CONCATENATE("#Metadata!", ADDRESS(INDEX($Q$2:$Q$1001,MATCH(ROWS($O$2:O614),$O$2:$O$1001,0),0), INDEX($V$1004:$AE$1004,1,MATCH(COLUMNS($V$1006:AB1006),$V$1006:$AE$1006,0)))),"Fix")))</f>
        <v>0</v>
      </c>
      <c r="I614" s="4">
        <f>IF(OR(INDEX($P$2:$P$1001,MATCH(ROWS($O$2:O614),$O$2:$O$1001,0),1)&gt;=100000,INDEX($V$1005:$AE$1005,1,MATCH(COLUMNS($V$1006:AC1006),$V$1006:$AE$1006,0))&gt;=100000), " ",IF(INDEX($V$2:$AE$1001,MATCH(ROWS($O$2:O614),$O$2:$O$1001,0),MATCH(COLUMNS($V$1006:AC1006),$V$1006:$AE$1006,0)), HYPERLINK("#",""), HYPERLINK(CONCATENATE("#Metadata!", ADDRESS(INDEX($Q$2:$Q$1001,MATCH(ROWS($O$2:O614),$O$2:$O$1001,0),0), INDEX($V$1004:$AE$1004,1,MATCH(COLUMNS($V$1006:AC1006),$V$1006:$AE$1006,0)))),"Fix")))</f>
        <v>0</v>
      </c>
      <c r="J614" s="4">
        <f>IF(OR(INDEX($P$2:$P$1001,MATCH(ROWS($O$2:O614),$O$2:$O$1001,0),1)&gt;=100000,INDEX($V$1005:$AE$1005,1,MATCH(COLUMNS($V$1006:AD1006),$V$1006:$AE$1006,0))&gt;=100000), " ",IF(INDEX($V$2:$AE$1001,MATCH(ROWS($O$2:O614),$O$2:$O$1001,0),MATCH(COLUMNS($V$1006:AD1006),$V$1006:$AE$1006,0)), HYPERLINK("#",""), HYPERLINK(CONCATENATE("#Metadata!", ADDRESS(INDEX($Q$2:$Q$1001,MATCH(ROWS($O$2:O614),$O$2:$O$1001,0),0), INDEX($V$1004:$AE$1004,1,MATCH(COLUMNS($V$1006:AD1006),$V$1006:$AE$1006,0)))),"Fix")))</f>
        <v>0</v>
      </c>
      <c r="K614" s="4">
        <f>IF(OR(INDEX($P$2:$P$1001,MATCH(ROWS($O$2:O614),$O$2:$O$1001,0),1)&gt;=100000,INDEX($V$1005:$AE$1005,1,MATCH(COLUMNS($V$1006:AE1006),$V$1006:$AE$1006,0))&gt;=100000), " ",IF(INDEX($V$2:$AE$1001,MATCH(ROWS($O$2:O614),$O$2:$O$1001,0),MATCH(COLUMNS($V$1006:AE1006),$V$1006:$AE$1006,0)), HYPERLINK("#",""), HYPERLINK(CONCATENATE("#Metadata!", ADDRESS(INDEX($Q$2:$Q$1001,MATCH(ROWS($O$2:O614),$O$2:$O$1001,0),0), INDEX($V$1004:$AE$1004,1,MATCH(COLUMNS($V$1006:AE1006),$V$1006:$AE$1006,0)))),"Fix")))</f>
        <v>0</v>
      </c>
      <c r="O614">
        <v>0</v>
      </c>
      <c r="P614">
        <v>0</v>
      </c>
      <c r="Q614">
        <v>0</v>
      </c>
      <c r="R614">
        <f>IF(S614,TRUE,AND(V614:AE614))</f>
        <v>0</v>
      </c>
      <c r="S614">
        <f>COUNTBLANK(Metadata!B614:K614)=COLUMNS(Metadata!B614:K614)</f>
        <v>0</v>
      </c>
      <c r="T614">
        <v>0</v>
      </c>
      <c r="V614">
        <f>AND(IF(Metadata!B614="",FALSE,TRUE),COUNTIF(Metadata!B:B, Metadata!B614) = 1,NOT(ISERROR(SUMPRODUCT(SEARCH(MID(Metadata!B614,ROW(INDIRECT("1:"&amp;LEN(Metadata!B614))), 1),"0123456789abcdefghijklmnopqrstuvwxyzABCDEFGHIJKLMNOPQRSTUVWXYZ.")))))</f>
        <v>0</v>
      </c>
      <c r="W614">
        <f>AND(IF(Metadata!C614="",FALSE,TRUE),exact(Metadata!C614,"urban biome"))</f>
        <v>0</v>
      </c>
      <c r="X614">
        <f>AND(IF(Metadata!D614="",FALSE,TRUE),exact(Metadata!D614,"animal-associated habitat"))</f>
        <v>0</v>
      </c>
      <c r="Y614">
        <f>OR(AND(IF(Metadata!E614="",FALSE,TRUE),OR(exact(Metadata!E614,"not applicable"),exact(Metadata!E614,"missing: not collected"),exact(Metadata!E614,"missing: not provided"),exact(Metadata!E614,"missing: restricted access"))),AND(IF(Metadata!E614="",FALSE,ISNUMBER(VALUE(Metadata!E614))),Metadata!E614&gt;0))</f>
        <v>0</v>
      </c>
      <c r="Z614">
        <f>AND(IF(Metadata!F614="",FALSE,TRUE),exact(Metadata!F614,"weeks"))</f>
        <v>0</v>
      </c>
      <c r="AA614">
        <f>AND(IF(Metadata!G614="",FALSE,TRUE),exact(Metadata!G614,"mouse"))</f>
        <v>0</v>
      </c>
      <c r="AB614">
        <f>AND(IF(Metadata!H614="",FALSE,TRUE),exact(Metadata!H614,"Mus musculus"))</f>
        <v>0</v>
      </c>
      <c r="AC614">
        <f>AND(IF(Metadata!I614="",FALSE,TRUE),exact(Metadata!I614,"10090"))</f>
        <v>0</v>
      </c>
      <c r="AD614">
        <f>OR(AND(IF(Metadata!J614="",FALSE,TRUE),OR(exact(Metadata!J614,"not applicable"),exact(Metadata!J614,"missing: not collected"),exact(Metadata!J614,"missing: not provided"),exact(Metadata!J614,"missing: restricted access"))),AND(IF(Metadata!J614="",FALSE,ISNUMBER(VALUE(Metadata!J614))),Metadata!J614&gt;0))</f>
        <v>0</v>
      </c>
      <c r="AE614">
        <f>AND(IF(Metadata!K614="",FALSE,TRUE),exact(Metadata!K614,"g"))</f>
        <v>0</v>
      </c>
    </row>
    <row r="615" spans="1:31">
      <c r="A615" s="5">
        <f>IF(B615=" "," ",HYPERLINK(CONCATENATE("#metadata!",ADDRESS(INDEX($Q$2:$Q$1001,MATCH(ROWS($O$2:O615),$O$2:$O$1001,0),0),1)),INDEX($T$2:$T$1001,MATCH(ROWS($O$2:O615),$O$2:$O$1001,0),0)))</f>
        <v>0</v>
      </c>
      <c r="B615" s="4">
        <f>IF(OR(INDEX($P$2:$P$1001,MATCH(ROWS($O$2:O615),$O$2:$O$1001,0),1)&gt;=100000,INDEX($V$1005:$AE$1005,1,MATCH(COLUMNS($V$1006:V1006),$V$1006:$AE$1006,0))&gt;=100000), " ",IF(INDEX($V$2:$AE$1001,MATCH(ROWS($O$2:O615),$O$2:$O$1001,0),MATCH(COLUMNS($V$1006:V1006),$V$1006:$AE$1006,0)), HYPERLINK("#",""), HYPERLINK(CONCATENATE("#Metadata!", ADDRESS(INDEX($Q$2:$Q$1001,MATCH(ROWS($O$2:O615),$O$2:$O$1001,0),0), INDEX($V$1004:$AE$1004,1,MATCH(COLUMNS($V$1006:V1006),$V$1006:$AE$1006,0)))),"Fix")))</f>
        <v>0</v>
      </c>
      <c r="C615" s="4">
        <f>IF(OR(INDEX($P$2:$P$1001,MATCH(ROWS($O$2:O615),$O$2:$O$1001,0),1)&gt;=100000,INDEX($V$1005:$AE$1005,1,MATCH(COLUMNS($V$1006:W1006),$V$1006:$AE$1006,0))&gt;=100000), " ",IF(INDEX($V$2:$AE$1001,MATCH(ROWS($O$2:O615),$O$2:$O$1001,0),MATCH(COLUMNS($V$1006:W1006),$V$1006:$AE$1006,0)), HYPERLINK("#",""), HYPERLINK(CONCATENATE("#Metadata!", ADDRESS(INDEX($Q$2:$Q$1001,MATCH(ROWS($O$2:O615),$O$2:$O$1001,0),0), INDEX($V$1004:$AE$1004,1,MATCH(COLUMNS($V$1006:W1006),$V$1006:$AE$1006,0)))),"Fix")))</f>
        <v>0</v>
      </c>
      <c r="D615" s="4">
        <f>IF(OR(INDEX($P$2:$P$1001,MATCH(ROWS($O$2:O615),$O$2:$O$1001,0),1)&gt;=100000,INDEX($V$1005:$AE$1005,1,MATCH(COLUMNS($V$1006:X1006),$V$1006:$AE$1006,0))&gt;=100000), " ",IF(INDEX($V$2:$AE$1001,MATCH(ROWS($O$2:O615),$O$2:$O$1001,0),MATCH(COLUMNS($V$1006:X1006),$V$1006:$AE$1006,0)), HYPERLINK("#",""), HYPERLINK(CONCATENATE("#Metadata!", ADDRESS(INDEX($Q$2:$Q$1001,MATCH(ROWS($O$2:O615),$O$2:$O$1001,0),0), INDEX($V$1004:$AE$1004,1,MATCH(COLUMNS($V$1006:X1006),$V$1006:$AE$1006,0)))),"Fix")))</f>
        <v>0</v>
      </c>
      <c r="E615" s="4">
        <f>IF(OR(INDEX($P$2:$P$1001,MATCH(ROWS($O$2:O615),$O$2:$O$1001,0),1)&gt;=100000,INDEX($V$1005:$AE$1005,1,MATCH(COLUMNS($V$1006:Y1006),$V$1006:$AE$1006,0))&gt;=100000), " ",IF(INDEX($V$2:$AE$1001,MATCH(ROWS($O$2:O615),$O$2:$O$1001,0),MATCH(COLUMNS($V$1006:Y1006),$V$1006:$AE$1006,0)), HYPERLINK("#",""), HYPERLINK(CONCATENATE("#Metadata!", ADDRESS(INDEX($Q$2:$Q$1001,MATCH(ROWS($O$2:O615),$O$2:$O$1001,0),0), INDEX($V$1004:$AE$1004,1,MATCH(COLUMNS($V$1006:Y1006),$V$1006:$AE$1006,0)))),"Fix")))</f>
        <v>0</v>
      </c>
      <c r="F615" s="4">
        <f>IF(OR(INDEX($P$2:$P$1001,MATCH(ROWS($O$2:O615),$O$2:$O$1001,0),1)&gt;=100000,INDEX($V$1005:$AE$1005,1,MATCH(COLUMNS($V$1006:Z1006),$V$1006:$AE$1006,0))&gt;=100000), " ",IF(INDEX($V$2:$AE$1001,MATCH(ROWS($O$2:O615),$O$2:$O$1001,0),MATCH(COLUMNS($V$1006:Z1006),$V$1006:$AE$1006,0)), HYPERLINK("#",""), HYPERLINK(CONCATENATE("#Metadata!", ADDRESS(INDEX($Q$2:$Q$1001,MATCH(ROWS($O$2:O615),$O$2:$O$1001,0),0), INDEX($V$1004:$AE$1004,1,MATCH(COLUMNS($V$1006:Z1006),$V$1006:$AE$1006,0)))),"Fix")))</f>
        <v>0</v>
      </c>
      <c r="G615" s="4">
        <f>IF(OR(INDEX($P$2:$P$1001,MATCH(ROWS($O$2:O615),$O$2:$O$1001,0),1)&gt;=100000,INDEX($V$1005:$AE$1005,1,MATCH(COLUMNS($V$1006:AA1006),$V$1006:$AE$1006,0))&gt;=100000), " ",IF(INDEX($V$2:$AE$1001,MATCH(ROWS($O$2:O615),$O$2:$O$1001,0),MATCH(COLUMNS($V$1006:AA1006),$V$1006:$AE$1006,0)), HYPERLINK("#",""), HYPERLINK(CONCATENATE("#Metadata!", ADDRESS(INDEX($Q$2:$Q$1001,MATCH(ROWS($O$2:O615),$O$2:$O$1001,0),0), INDEX($V$1004:$AE$1004,1,MATCH(COLUMNS($V$1006:AA1006),$V$1006:$AE$1006,0)))),"Fix")))</f>
        <v>0</v>
      </c>
      <c r="H615" s="4">
        <f>IF(OR(INDEX($P$2:$P$1001,MATCH(ROWS($O$2:O615),$O$2:$O$1001,0),1)&gt;=100000,INDEX($V$1005:$AE$1005,1,MATCH(COLUMNS($V$1006:AB1006),$V$1006:$AE$1006,0))&gt;=100000), " ",IF(INDEX($V$2:$AE$1001,MATCH(ROWS($O$2:O615),$O$2:$O$1001,0),MATCH(COLUMNS($V$1006:AB1006),$V$1006:$AE$1006,0)), HYPERLINK("#",""), HYPERLINK(CONCATENATE("#Metadata!", ADDRESS(INDEX($Q$2:$Q$1001,MATCH(ROWS($O$2:O615),$O$2:$O$1001,0),0), INDEX($V$1004:$AE$1004,1,MATCH(COLUMNS($V$1006:AB1006),$V$1006:$AE$1006,0)))),"Fix")))</f>
        <v>0</v>
      </c>
      <c r="I615" s="4">
        <f>IF(OR(INDEX($P$2:$P$1001,MATCH(ROWS($O$2:O615),$O$2:$O$1001,0),1)&gt;=100000,INDEX($V$1005:$AE$1005,1,MATCH(COLUMNS($V$1006:AC1006),$V$1006:$AE$1006,0))&gt;=100000), " ",IF(INDEX($V$2:$AE$1001,MATCH(ROWS($O$2:O615),$O$2:$O$1001,0),MATCH(COLUMNS($V$1006:AC1006),$V$1006:$AE$1006,0)), HYPERLINK("#",""), HYPERLINK(CONCATENATE("#Metadata!", ADDRESS(INDEX($Q$2:$Q$1001,MATCH(ROWS($O$2:O615),$O$2:$O$1001,0),0), INDEX($V$1004:$AE$1004,1,MATCH(COLUMNS($V$1006:AC1006),$V$1006:$AE$1006,0)))),"Fix")))</f>
        <v>0</v>
      </c>
      <c r="J615" s="4">
        <f>IF(OR(INDEX($P$2:$P$1001,MATCH(ROWS($O$2:O615),$O$2:$O$1001,0),1)&gt;=100000,INDEX($V$1005:$AE$1005,1,MATCH(COLUMNS($V$1006:AD1006),$V$1006:$AE$1006,0))&gt;=100000), " ",IF(INDEX($V$2:$AE$1001,MATCH(ROWS($O$2:O615),$O$2:$O$1001,0),MATCH(COLUMNS($V$1006:AD1006),$V$1006:$AE$1006,0)), HYPERLINK("#",""), HYPERLINK(CONCATENATE("#Metadata!", ADDRESS(INDEX($Q$2:$Q$1001,MATCH(ROWS($O$2:O615),$O$2:$O$1001,0),0), INDEX($V$1004:$AE$1004,1,MATCH(COLUMNS($V$1006:AD1006),$V$1006:$AE$1006,0)))),"Fix")))</f>
        <v>0</v>
      </c>
      <c r="K615" s="4">
        <f>IF(OR(INDEX($P$2:$P$1001,MATCH(ROWS($O$2:O615),$O$2:$O$1001,0),1)&gt;=100000,INDEX($V$1005:$AE$1005,1,MATCH(COLUMNS($V$1006:AE1006),$V$1006:$AE$1006,0))&gt;=100000), " ",IF(INDEX($V$2:$AE$1001,MATCH(ROWS($O$2:O615),$O$2:$O$1001,0),MATCH(COLUMNS($V$1006:AE1006),$V$1006:$AE$1006,0)), HYPERLINK("#",""), HYPERLINK(CONCATENATE("#Metadata!", ADDRESS(INDEX($Q$2:$Q$1001,MATCH(ROWS($O$2:O615),$O$2:$O$1001,0),0), INDEX($V$1004:$AE$1004,1,MATCH(COLUMNS($V$1006:AE1006),$V$1006:$AE$1006,0)))),"Fix")))</f>
        <v>0</v>
      </c>
      <c r="O615">
        <v>0</v>
      </c>
      <c r="P615">
        <v>0</v>
      </c>
      <c r="Q615">
        <v>0</v>
      </c>
      <c r="R615">
        <f>IF(S615,TRUE,AND(V615:AE615))</f>
        <v>0</v>
      </c>
      <c r="S615">
        <f>COUNTBLANK(Metadata!B615:K615)=COLUMNS(Metadata!B615:K615)</f>
        <v>0</v>
      </c>
      <c r="T615">
        <v>0</v>
      </c>
      <c r="V615">
        <f>AND(IF(Metadata!B615="",FALSE,TRUE),COUNTIF(Metadata!B:B, Metadata!B615) = 1,NOT(ISERROR(SUMPRODUCT(SEARCH(MID(Metadata!B615,ROW(INDIRECT("1:"&amp;LEN(Metadata!B615))), 1),"0123456789abcdefghijklmnopqrstuvwxyzABCDEFGHIJKLMNOPQRSTUVWXYZ.")))))</f>
        <v>0</v>
      </c>
      <c r="W615">
        <f>AND(IF(Metadata!C615="",FALSE,TRUE),exact(Metadata!C615,"urban biome"))</f>
        <v>0</v>
      </c>
      <c r="X615">
        <f>AND(IF(Metadata!D615="",FALSE,TRUE),exact(Metadata!D615,"animal-associated habitat"))</f>
        <v>0</v>
      </c>
      <c r="Y615">
        <f>OR(AND(IF(Metadata!E615="",FALSE,TRUE),OR(exact(Metadata!E615,"not applicable"),exact(Metadata!E615,"missing: not collected"),exact(Metadata!E615,"missing: not provided"),exact(Metadata!E615,"missing: restricted access"))),AND(IF(Metadata!E615="",FALSE,ISNUMBER(VALUE(Metadata!E615))),Metadata!E615&gt;0))</f>
        <v>0</v>
      </c>
      <c r="Z615">
        <f>AND(IF(Metadata!F615="",FALSE,TRUE),exact(Metadata!F615,"weeks"))</f>
        <v>0</v>
      </c>
      <c r="AA615">
        <f>AND(IF(Metadata!G615="",FALSE,TRUE),exact(Metadata!G615,"mouse"))</f>
        <v>0</v>
      </c>
      <c r="AB615">
        <f>AND(IF(Metadata!H615="",FALSE,TRUE),exact(Metadata!H615,"Mus musculus"))</f>
        <v>0</v>
      </c>
      <c r="AC615">
        <f>AND(IF(Metadata!I615="",FALSE,TRUE),exact(Metadata!I615,"10090"))</f>
        <v>0</v>
      </c>
      <c r="AD615">
        <f>OR(AND(IF(Metadata!J615="",FALSE,TRUE),OR(exact(Metadata!J615,"not applicable"),exact(Metadata!J615,"missing: not collected"),exact(Metadata!J615,"missing: not provided"),exact(Metadata!J615,"missing: restricted access"))),AND(IF(Metadata!J615="",FALSE,ISNUMBER(VALUE(Metadata!J615))),Metadata!J615&gt;0))</f>
        <v>0</v>
      </c>
      <c r="AE615">
        <f>AND(IF(Metadata!K615="",FALSE,TRUE),exact(Metadata!K615,"g"))</f>
        <v>0</v>
      </c>
    </row>
    <row r="616" spans="1:31">
      <c r="A616" s="5">
        <f>IF(B616=" "," ",HYPERLINK(CONCATENATE("#metadata!",ADDRESS(INDEX($Q$2:$Q$1001,MATCH(ROWS($O$2:O616),$O$2:$O$1001,0),0),1)),INDEX($T$2:$T$1001,MATCH(ROWS($O$2:O616),$O$2:$O$1001,0),0)))</f>
        <v>0</v>
      </c>
      <c r="B616" s="4">
        <f>IF(OR(INDEX($P$2:$P$1001,MATCH(ROWS($O$2:O616),$O$2:$O$1001,0),1)&gt;=100000,INDEX($V$1005:$AE$1005,1,MATCH(COLUMNS($V$1006:V1006),$V$1006:$AE$1006,0))&gt;=100000), " ",IF(INDEX($V$2:$AE$1001,MATCH(ROWS($O$2:O616),$O$2:$O$1001,0),MATCH(COLUMNS($V$1006:V1006),$V$1006:$AE$1006,0)), HYPERLINK("#",""), HYPERLINK(CONCATENATE("#Metadata!", ADDRESS(INDEX($Q$2:$Q$1001,MATCH(ROWS($O$2:O616),$O$2:$O$1001,0),0), INDEX($V$1004:$AE$1004,1,MATCH(COLUMNS($V$1006:V1006),$V$1006:$AE$1006,0)))),"Fix")))</f>
        <v>0</v>
      </c>
      <c r="C616" s="4">
        <f>IF(OR(INDEX($P$2:$P$1001,MATCH(ROWS($O$2:O616),$O$2:$O$1001,0),1)&gt;=100000,INDEX($V$1005:$AE$1005,1,MATCH(COLUMNS($V$1006:W1006),$V$1006:$AE$1006,0))&gt;=100000), " ",IF(INDEX($V$2:$AE$1001,MATCH(ROWS($O$2:O616),$O$2:$O$1001,0),MATCH(COLUMNS($V$1006:W1006),$V$1006:$AE$1006,0)), HYPERLINK("#",""), HYPERLINK(CONCATENATE("#Metadata!", ADDRESS(INDEX($Q$2:$Q$1001,MATCH(ROWS($O$2:O616),$O$2:$O$1001,0),0), INDEX($V$1004:$AE$1004,1,MATCH(COLUMNS($V$1006:W1006),$V$1006:$AE$1006,0)))),"Fix")))</f>
        <v>0</v>
      </c>
      <c r="D616" s="4">
        <f>IF(OR(INDEX($P$2:$P$1001,MATCH(ROWS($O$2:O616),$O$2:$O$1001,0),1)&gt;=100000,INDEX($V$1005:$AE$1005,1,MATCH(COLUMNS($V$1006:X1006),$V$1006:$AE$1006,0))&gt;=100000), " ",IF(INDEX($V$2:$AE$1001,MATCH(ROWS($O$2:O616),$O$2:$O$1001,0),MATCH(COLUMNS($V$1006:X1006),$V$1006:$AE$1006,0)), HYPERLINK("#",""), HYPERLINK(CONCATENATE("#Metadata!", ADDRESS(INDEX($Q$2:$Q$1001,MATCH(ROWS($O$2:O616),$O$2:$O$1001,0),0), INDEX($V$1004:$AE$1004,1,MATCH(COLUMNS($V$1006:X1006),$V$1006:$AE$1006,0)))),"Fix")))</f>
        <v>0</v>
      </c>
      <c r="E616" s="4">
        <f>IF(OR(INDEX($P$2:$P$1001,MATCH(ROWS($O$2:O616),$O$2:$O$1001,0),1)&gt;=100000,INDEX($V$1005:$AE$1005,1,MATCH(COLUMNS($V$1006:Y1006),$V$1006:$AE$1006,0))&gt;=100000), " ",IF(INDEX($V$2:$AE$1001,MATCH(ROWS($O$2:O616),$O$2:$O$1001,0),MATCH(COLUMNS($V$1006:Y1006),$V$1006:$AE$1006,0)), HYPERLINK("#",""), HYPERLINK(CONCATENATE("#Metadata!", ADDRESS(INDEX($Q$2:$Q$1001,MATCH(ROWS($O$2:O616),$O$2:$O$1001,0),0), INDEX($V$1004:$AE$1004,1,MATCH(COLUMNS($V$1006:Y1006),$V$1006:$AE$1006,0)))),"Fix")))</f>
        <v>0</v>
      </c>
      <c r="F616" s="4">
        <f>IF(OR(INDEX($P$2:$P$1001,MATCH(ROWS($O$2:O616),$O$2:$O$1001,0),1)&gt;=100000,INDEX($V$1005:$AE$1005,1,MATCH(COLUMNS($V$1006:Z1006),$V$1006:$AE$1006,0))&gt;=100000), " ",IF(INDEX($V$2:$AE$1001,MATCH(ROWS($O$2:O616),$O$2:$O$1001,0),MATCH(COLUMNS($V$1006:Z1006),$V$1006:$AE$1006,0)), HYPERLINK("#",""), HYPERLINK(CONCATENATE("#Metadata!", ADDRESS(INDEX($Q$2:$Q$1001,MATCH(ROWS($O$2:O616),$O$2:$O$1001,0),0), INDEX($V$1004:$AE$1004,1,MATCH(COLUMNS($V$1006:Z1006),$V$1006:$AE$1006,0)))),"Fix")))</f>
        <v>0</v>
      </c>
      <c r="G616" s="4">
        <f>IF(OR(INDEX($P$2:$P$1001,MATCH(ROWS($O$2:O616),$O$2:$O$1001,0),1)&gt;=100000,INDEX($V$1005:$AE$1005,1,MATCH(COLUMNS($V$1006:AA1006),$V$1006:$AE$1006,0))&gt;=100000), " ",IF(INDEX($V$2:$AE$1001,MATCH(ROWS($O$2:O616),$O$2:$O$1001,0),MATCH(COLUMNS($V$1006:AA1006),$V$1006:$AE$1006,0)), HYPERLINK("#",""), HYPERLINK(CONCATENATE("#Metadata!", ADDRESS(INDEX($Q$2:$Q$1001,MATCH(ROWS($O$2:O616),$O$2:$O$1001,0),0), INDEX($V$1004:$AE$1004,1,MATCH(COLUMNS($V$1006:AA1006),$V$1006:$AE$1006,0)))),"Fix")))</f>
        <v>0</v>
      </c>
      <c r="H616" s="4">
        <f>IF(OR(INDEX($P$2:$P$1001,MATCH(ROWS($O$2:O616),$O$2:$O$1001,0),1)&gt;=100000,INDEX($V$1005:$AE$1005,1,MATCH(COLUMNS($V$1006:AB1006),$V$1006:$AE$1006,0))&gt;=100000), " ",IF(INDEX($V$2:$AE$1001,MATCH(ROWS($O$2:O616),$O$2:$O$1001,0),MATCH(COLUMNS($V$1006:AB1006),$V$1006:$AE$1006,0)), HYPERLINK("#",""), HYPERLINK(CONCATENATE("#Metadata!", ADDRESS(INDEX($Q$2:$Q$1001,MATCH(ROWS($O$2:O616),$O$2:$O$1001,0),0), INDEX($V$1004:$AE$1004,1,MATCH(COLUMNS($V$1006:AB1006),$V$1006:$AE$1006,0)))),"Fix")))</f>
        <v>0</v>
      </c>
      <c r="I616" s="4">
        <f>IF(OR(INDEX($P$2:$P$1001,MATCH(ROWS($O$2:O616),$O$2:$O$1001,0),1)&gt;=100000,INDEX($V$1005:$AE$1005,1,MATCH(COLUMNS($V$1006:AC1006),$V$1006:$AE$1006,0))&gt;=100000), " ",IF(INDEX($V$2:$AE$1001,MATCH(ROWS($O$2:O616),$O$2:$O$1001,0),MATCH(COLUMNS($V$1006:AC1006),$V$1006:$AE$1006,0)), HYPERLINK("#",""), HYPERLINK(CONCATENATE("#Metadata!", ADDRESS(INDEX($Q$2:$Q$1001,MATCH(ROWS($O$2:O616),$O$2:$O$1001,0),0), INDEX($V$1004:$AE$1004,1,MATCH(COLUMNS($V$1006:AC1006),$V$1006:$AE$1006,0)))),"Fix")))</f>
        <v>0</v>
      </c>
      <c r="J616" s="4">
        <f>IF(OR(INDEX($P$2:$P$1001,MATCH(ROWS($O$2:O616),$O$2:$O$1001,0),1)&gt;=100000,INDEX($V$1005:$AE$1005,1,MATCH(COLUMNS($V$1006:AD1006),$V$1006:$AE$1006,0))&gt;=100000), " ",IF(INDEX($V$2:$AE$1001,MATCH(ROWS($O$2:O616),$O$2:$O$1001,0),MATCH(COLUMNS($V$1006:AD1006),$V$1006:$AE$1006,0)), HYPERLINK("#",""), HYPERLINK(CONCATENATE("#Metadata!", ADDRESS(INDEX($Q$2:$Q$1001,MATCH(ROWS($O$2:O616),$O$2:$O$1001,0),0), INDEX($V$1004:$AE$1004,1,MATCH(COLUMNS($V$1006:AD1006),$V$1006:$AE$1006,0)))),"Fix")))</f>
        <v>0</v>
      </c>
      <c r="K616" s="4">
        <f>IF(OR(INDEX($P$2:$P$1001,MATCH(ROWS($O$2:O616),$O$2:$O$1001,0),1)&gt;=100000,INDEX($V$1005:$AE$1005,1,MATCH(COLUMNS($V$1006:AE1006),$V$1006:$AE$1006,0))&gt;=100000), " ",IF(INDEX($V$2:$AE$1001,MATCH(ROWS($O$2:O616),$O$2:$O$1001,0),MATCH(COLUMNS($V$1006:AE1006),$V$1006:$AE$1006,0)), HYPERLINK("#",""), HYPERLINK(CONCATENATE("#Metadata!", ADDRESS(INDEX($Q$2:$Q$1001,MATCH(ROWS($O$2:O616),$O$2:$O$1001,0),0), INDEX($V$1004:$AE$1004,1,MATCH(COLUMNS($V$1006:AE1006),$V$1006:$AE$1006,0)))),"Fix")))</f>
        <v>0</v>
      </c>
      <c r="O616">
        <v>0</v>
      </c>
      <c r="P616">
        <v>0</v>
      </c>
      <c r="Q616">
        <v>0</v>
      </c>
      <c r="R616">
        <f>IF(S616,TRUE,AND(V616:AE616))</f>
        <v>0</v>
      </c>
      <c r="S616">
        <f>COUNTBLANK(Metadata!B616:K616)=COLUMNS(Metadata!B616:K616)</f>
        <v>0</v>
      </c>
      <c r="T616">
        <v>0</v>
      </c>
      <c r="V616">
        <f>AND(IF(Metadata!B616="",FALSE,TRUE),COUNTIF(Metadata!B:B, Metadata!B616) = 1,NOT(ISERROR(SUMPRODUCT(SEARCH(MID(Metadata!B616,ROW(INDIRECT("1:"&amp;LEN(Metadata!B616))), 1),"0123456789abcdefghijklmnopqrstuvwxyzABCDEFGHIJKLMNOPQRSTUVWXYZ.")))))</f>
        <v>0</v>
      </c>
      <c r="W616">
        <f>AND(IF(Metadata!C616="",FALSE,TRUE),exact(Metadata!C616,"urban biome"))</f>
        <v>0</v>
      </c>
      <c r="X616">
        <f>AND(IF(Metadata!D616="",FALSE,TRUE),exact(Metadata!D616,"animal-associated habitat"))</f>
        <v>0</v>
      </c>
      <c r="Y616">
        <f>OR(AND(IF(Metadata!E616="",FALSE,TRUE),OR(exact(Metadata!E616,"not applicable"),exact(Metadata!E616,"missing: not collected"),exact(Metadata!E616,"missing: not provided"),exact(Metadata!E616,"missing: restricted access"))),AND(IF(Metadata!E616="",FALSE,ISNUMBER(VALUE(Metadata!E616))),Metadata!E616&gt;0))</f>
        <v>0</v>
      </c>
      <c r="Z616">
        <f>AND(IF(Metadata!F616="",FALSE,TRUE),exact(Metadata!F616,"weeks"))</f>
        <v>0</v>
      </c>
      <c r="AA616">
        <f>AND(IF(Metadata!G616="",FALSE,TRUE),exact(Metadata!G616,"mouse"))</f>
        <v>0</v>
      </c>
      <c r="AB616">
        <f>AND(IF(Metadata!H616="",FALSE,TRUE),exact(Metadata!H616,"Mus musculus"))</f>
        <v>0</v>
      </c>
      <c r="AC616">
        <f>AND(IF(Metadata!I616="",FALSE,TRUE),exact(Metadata!I616,"10090"))</f>
        <v>0</v>
      </c>
      <c r="AD616">
        <f>OR(AND(IF(Metadata!J616="",FALSE,TRUE),OR(exact(Metadata!J616,"not applicable"),exact(Metadata!J616,"missing: not collected"),exact(Metadata!J616,"missing: not provided"),exact(Metadata!J616,"missing: restricted access"))),AND(IF(Metadata!J616="",FALSE,ISNUMBER(VALUE(Metadata!J616))),Metadata!J616&gt;0))</f>
        <v>0</v>
      </c>
      <c r="AE616">
        <f>AND(IF(Metadata!K616="",FALSE,TRUE),exact(Metadata!K616,"g"))</f>
        <v>0</v>
      </c>
    </row>
    <row r="617" spans="1:31">
      <c r="A617" s="5">
        <f>IF(B617=" "," ",HYPERLINK(CONCATENATE("#metadata!",ADDRESS(INDEX($Q$2:$Q$1001,MATCH(ROWS($O$2:O617),$O$2:$O$1001,0),0),1)),INDEX($T$2:$T$1001,MATCH(ROWS($O$2:O617),$O$2:$O$1001,0),0)))</f>
        <v>0</v>
      </c>
      <c r="B617" s="4">
        <f>IF(OR(INDEX($P$2:$P$1001,MATCH(ROWS($O$2:O617),$O$2:$O$1001,0),1)&gt;=100000,INDEX($V$1005:$AE$1005,1,MATCH(COLUMNS($V$1006:V1006),$V$1006:$AE$1006,0))&gt;=100000), " ",IF(INDEX($V$2:$AE$1001,MATCH(ROWS($O$2:O617),$O$2:$O$1001,0),MATCH(COLUMNS($V$1006:V1006),$V$1006:$AE$1006,0)), HYPERLINK("#",""), HYPERLINK(CONCATENATE("#Metadata!", ADDRESS(INDEX($Q$2:$Q$1001,MATCH(ROWS($O$2:O617),$O$2:$O$1001,0),0), INDEX($V$1004:$AE$1004,1,MATCH(COLUMNS($V$1006:V1006),$V$1006:$AE$1006,0)))),"Fix")))</f>
        <v>0</v>
      </c>
      <c r="C617" s="4">
        <f>IF(OR(INDEX($P$2:$P$1001,MATCH(ROWS($O$2:O617),$O$2:$O$1001,0),1)&gt;=100000,INDEX($V$1005:$AE$1005,1,MATCH(COLUMNS($V$1006:W1006),$V$1006:$AE$1006,0))&gt;=100000), " ",IF(INDEX($V$2:$AE$1001,MATCH(ROWS($O$2:O617),$O$2:$O$1001,0),MATCH(COLUMNS($V$1006:W1006),$V$1006:$AE$1006,0)), HYPERLINK("#",""), HYPERLINK(CONCATENATE("#Metadata!", ADDRESS(INDEX($Q$2:$Q$1001,MATCH(ROWS($O$2:O617),$O$2:$O$1001,0),0), INDEX($V$1004:$AE$1004,1,MATCH(COLUMNS($V$1006:W1006),$V$1006:$AE$1006,0)))),"Fix")))</f>
        <v>0</v>
      </c>
      <c r="D617" s="4">
        <f>IF(OR(INDEX($P$2:$P$1001,MATCH(ROWS($O$2:O617),$O$2:$O$1001,0),1)&gt;=100000,INDEX($V$1005:$AE$1005,1,MATCH(COLUMNS($V$1006:X1006),$V$1006:$AE$1006,0))&gt;=100000), " ",IF(INDEX($V$2:$AE$1001,MATCH(ROWS($O$2:O617),$O$2:$O$1001,0),MATCH(COLUMNS($V$1006:X1006),$V$1006:$AE$1006,0)), HYPERLINK("#",""), HYPERLINK(CONCATENATE("#Metadata!", ADDRESS(INDEX($Q$2:$Q$1001,MATCH(ROWS($O$2:O617),$O$2:$O$1001,0),0), INDEX($V$1004:$AE$1004,1,MATCH(COLUMNS($V$1006:X1006),$V$1006:$AE$1006,0)))),"Fix")))</f>
        <v>0</v>
      </c>
      <c r="E617" s="4">
        <f>IF(OR(INDEX($P$2:$P$1001,MATCH(ROWS($O$2:O617),$O$2:$O$1001,0),1)&gt;=100000,INDEX($V$1005:$AE$1005,1,MATCH(COLUMNS($V$1006:Y1006),$V$1006:$AE$1006,0))&gt;=100000), " ",IF(INDEX($V$2:$AE$1001,MATCH(ROWS($O$2:O617),$O$2:$O$1001,0),MATCH(COLUMNS($V$1006:Y1006),$V$1006:$AE$1006,0)), HYPERLINK("#",""), HYPERLINK(CONCATENATE("#Metadata!", ADDRESS(INDEX($Q$2:$Q$1001,MATCH(ROWS($O$2:O617),$O$2:$O$1001,0),0), INDEX($V$1004:$AE$1004,1,MATCH(COLUMNS($V$1006:Y1006),$V$1006:$AE$1006,0)))),"Fix")))</f>
        <v>0</v>
      </c>
      <c r="F617" s="4">
        <f>IF(OR(INDEX($P$2:$P$1001,MATCH(ROWS($O$2:O617),$O$2:$O$1001,0),1)&gt;=100000,INDEX($V$1005:$AE$1005,1,MATCH(COLUMNS($V$1006:Z1006),$V$1006:$AE$1006,0))&gt;=100000), " ",IF(INDEX($V$2:$AE$1001,MATCH(ROWS($O$2:O617),$O$2:$O$1001,0),MATCH(COLUMNS($V$1006:Z1006),$V$1006:$AE$1006,0)), HYPERLINK("#",""), HYPERLINK(CONCATENATE("#Metadata!", ADDRESS(INDEX($Q$2:$Q$1001,MATCH(ROWS($O$2:O617),$O$2:$O$1001,0),0), INDEX($V$1004:$AE$1004,1,MATCH(COLUMNS($V$1006:Z1006),$V$1006:$AE$1006,0)))),"Fix")))</f>
        <v>0</v>
      </c>
      <c r="G617" s="4">
        <f>IF(OR(INDEX($P$2:$P$1001,MATCH(ROWS($O$2:O617),$O$2:$O$1001,0),1)&gt;=100000,INDEX($V$1005:$AE$1005,1,MATCH(COLUMNS($V$1006:AA1006),$V$1006:$AE$1006,0))&gt;=100000), " ",IF(INDEX($V$2:$AE$1001,MATCH(ROWS($O$2:O617),$O$2:$O$1001,0),MATCH(COLUMNS($V$1006:AA1006),$V$1006:$AE$1006,0)), HYPERLINK("#",""), HYPERLINK(CONCATENATE("#Metadata!", ADDRESS(INDEX($Q$2:$Q$1001,MATCH(ROWS($O$2:O617),$O$2:$O$1001,0),0), INDEX($V$1004:$AE$1004,1,MATCH(COLUMNS($V$1006:AA1006),$V$1006:$AE$1006,0)))),"Fix")))</f>
        <v>0</v>
      </c>
      <c r="H617" s="4">
        <f>IF(OR(INDEX($P$2:$P$1001,MATCH(ROWS($O$2:O617),$O$2:$O$1001,0),1)&gt;=100000,INDEX($V$1005:$AE$1005,1,MATCH(COLUMNS($V$1006:AB1006),$V$1006:$AE$1006,0))&gt;=100000), " ",IF(INDEX($V$2:$AE$1001,MATCH(ROWS($O$2:O617),$O$2:$O$1001,0),MATCH(COLUMNS($V$1006:AB1006),$V$1006:$AE$1006,0)), HYPERLINK("#",""), HYPERLINK(CONCATENATE("#Metadata!", ADDRESS(INDEX($Q$2:$Q$1001,MATCH(ROWS($O$2:O617),$O$2:$O$1001,0),0), INDEX($V$1004:$AE$1004,1,MATCH(COLUMNS($V$1006:AB1006),$V$1006:$AE$1006,0)))),"Fix")))</f>
        <v>0</v>
      </c>
      <c r="I617" s="4">
        <f>IF(OR(INDEX($P$2:$P$1001,MATCH(ROWS($O$2:O617),$O$2:$O$1001,0),1)&gt;=100000,INDEX($V$1005:$AE$1005,1,MATCH(COLUMNS($V$1006:AC1006),$V$1006:$AE$1006,0))&gt;=100000), " ",IF(INDEX($V$2:$AE$1001,MATCH(ROWS($O$2:O617),$O$2:$O$1001,0),MATCH(COLUMNS($V$1006:AC1006),$V$1006:$AE$1006,0)), HYPERLINK("#",""), HYPERLINK(CONCATENATE("#Metadata!", ADDRESS(INDEX($Q$2:$Q$1001,MATCH(ROWS($O$2:O617),$O$2:$O$1001,0),0), INDEX($V$1004:$AE$1004,1,MATCH(COLUMNS($V$1006:AC1006),$V$1006:$AE$1006,0)))),"Fix")))</f>
        <v>0</v>
      </c>
      <c r="J617" s="4">
        <f>IF(OR(INDEX($P$2:$P$1001,MATCH(ROWS($O$2:O617),$O$2:$O$1001,0),1)&gt;=100000,INDEX($V$1005:$AE$1005,1,MATCH(COLUMNS($V$1006:AD1006),$V$1006:$AE$1006,0))&gt;=100000), " ",IF(INDEX($V$2:$AE$1001,MATCH(ROWS($O$2:O617),$O$2:$O$1001,0),MATCH(COLUMNS($V$1006:AD1006),$V$1006:$AE$1006,0)), HYPERLINK("#",""), HYPERLINK(CONCATENATE("#Metadata!", ADDRESS(INDEX($Q$2:$Q$1001,MATCH(ROWS($O$2:O617),$O$2:$O$1001,0),0), INDEX($V$1004:$AE$1004,1,MATCH(COLUMNS($V$1006:AD1006),$V$1006:$AE$1006,0)))),"Fix")))</f>
        <v>0</v>
      </c>
      <c r="K617" s="4">
        <f>IF(OR(INDEX($P$2:$P$1001,MATCH(ROWS($O$2:O617),$O$2:$O$1001,0),1)&gt;=100000,INDEX($V$1005:$AE$1005,1,MATCH(COLUMNS($V$1006:AE1006),$V$1006:$AE$1006,0))&gt;=100000), " ",IF(INDEX($V$2:$AE$1001,MATCH(ROWS($O$2:O617),$O$2:$O$1001,0),MATCH(COLUMNS($V$1006:AE1006),$V$1006:$AE$1006,0)), HYPERLINK("#",""), HYPERLINK(CONCATENATE("#Metadata!", ADDRESS(INDEX($Q$2:$Q$1001,MATCH(ROWS($O$2:O617),$O$2:$O$1001,0),0), INDEX($V$1004:$AE$1004,1,MATCH(COLUMNS($V$1006:AE1006),$V$1006:$AE$1006,0)))),"Fix")))</f>
        <v>0</v>
      </c>
      <c r="O617">
        <v>0</v>
      </c>
      <c r="P617">
        <v>0</v>
      </c>
      <c r="Q617">
        <v>0</v>
      </c>
      <c r="R617">
        <f>IF(S617,TRUE,AND(V617:AE617))</f>
        <v>0</v>
      </c>
      <c r="S617">
        <f>COUNTBLANK(Metadata!B617:K617)=COLUMNS(Metadata!B617:K617)</f>
        <v>0</v>
      </c>
      <c r="T617">
        <v>0</v>
      </c>
      <c r="V617">
        <f>AND(IF(Metadata!B617="",FALSE,TRUE),COUNTIF(Metadata!B:B, Metadata!B617) = 1,NOT(ISERROR(SUMPRODUCT(SEARCH(MID(Metadata!B617,ROW(INDIRECT("1:"&amp;LEN(Metadata!B617))), 1),"0123456789abcdefghijklmnopqrstuvwxyzABCDEFGHIJKLMNOPQRSTUVWXYZ.")))))</f>
        <v>0</v>
      </c>
      <c r="W617">
        <f>AND(IF(Metadata!C617="",FALSE,TRUE),exact(Metadata!C617,"urban biome"))</f>
        <v>0</v>
      </c>
      <c r="X617">
        <f>AND(IF(Metadata!D617="",FALSE,TRUE),exact(Metadata!D617,"animal-associated habitat"))</f>
        <v>0</v>
      </c>
      <c r="Y617">
        <f>OR(AND(IF(Metadata!E617="",FALSE,TRUE),OR(exact(Metadata!E617,"not applicable"),exact(Metadata!E617,"missing: not collected"),exact(Metadata!E617,"missing: not provided"),exact(Metadata!E617,"missing: restricted access"))),AND(IF(Metadata!E617="",FALSE,ISNUMBER(VALUE(Metadata!E617))),Metadata!E617&gt;0))</f>
        <v>0</v>
      </c>
      <c r="Z617">
        <f>AND(IF(Metadata!F617="",FALSE,TRUE),exact(Metadata!F617,"weeks"))</f>
        <v>0</v>
      </c>
      <c r="AA617">
        <f>AND(IF(Metadata!G617="",FALSE,TRUE),exact(Metadata!G617,"mouse"))</f>
        <v>0</v>
      </c>
      <c r="AB617">
        <f>AND(IF(Metadata!H617="",FALSE,TRUE),exact(Metadata!H617,"Mus musculus"))</f>
        <v>0</v>
      </c>
      <c r="AC617">
        <f>AND(IF(Metadata!I617="",FALSE,TRUE),exact(Metadata!I617,"10090"))</f>
        <v>0</v>
      </c>
      <c r="AD617">
        <f>OR(AND(IF(Metadata!J617="",FALSE,TRUE),OR(exact(Metadata!J617,"not applicable"),exact(Metadata!J617,"missing: not collected"),exact(Metadata!J617,"missing: not provided"),exact(Metadata!J617,"missing: restricted access"))),AND(IF(Metadata!J617="",FALSE,ISNUMBER(VALUE(Metadata!J617))),Metadata!J617&gt;0))</f>
        <v>0</v>
      </c>
      <c r="AE617">
        <f>AND(IF(Metadata!K617="",FALSE,TRUE),exact(Metadata!K617,"g"))</f>
        <v>0</v>
      </c>
    </row>
    <row r="618" spans="1:31">
      <c r="A618" s="5">
        <f>IF(B618=" "," ",HYPERLINK(CONCATENATE("#metadata!",ADDRESS(INDEX($Q$2:$Q$1001,MATCH(ROWS($O$2:O618),$O$2:$O$1001,0),0),1)),INDEX($T$2:$T$1001,MATCH(ROWS($O$2:O618),$O$2:$O$1001,0),0)))</f>
        <v>0</v>
      </c>
      <c r="B618" s="4">
        <f>IF(OR(INDEX($P$2:$P$1001,MATCH(ROWS($O$2:O618),$O$2:$O$1001,0),1)&gt;=100000,INDEX($V$1005:$AE$1005,1,MATCH(COLUMNS($V$1006:V1006),$V$1006:$AE$1006,0))&gt;=100000), " ",IF(INDEX($V$2:$AE$1001,MATCH(ROWS($O$2:O618),$O$2:$O$1001,0),MATCH(COLUMNS($V$1006:V1006),$V$1006:$AE$1006,0)), HYPERLINK("#",""), HYPERLINK(CONCATENATE("#Metadata!", ADDRESS(INDEX($Q$2:$Q$1001,MATCH(ROWS($O$2:O618),$O$2:$O$1001,0),0), INDEX($V$1004:$AE$1004,1,MATCH(COLUMNS($V$1006:V1006),$V$1006:$AE$1006,0)))),"Fix")))</f>
        <v>0</v>
      </c>
      <c r="C618" s="4">
        <f>IF(OR(INDEX($P$2:$P$1001,MATCH(ROWS($O$2:O618),$O$2:$O$1001,0),1)&gt;=100000,INDEX($V$1005:$AE$1005,1,MATCH(COLUMNS($V$1006:W1006),$V$1006:$AE$1006,0))&gt;=100000), " ",IF(INDEX($V$2:$AE$1001,MATCH(ROWS($O$2:O618),$O$2:$O$1001,0),MATCH(COLUMNS($V$1006:W1006),$V$1006:$AE$1006,0)), HYPERLINK("#",""), HYPERLINK(CONCATENATE("#Metadata!", ADDRESS(INDEX($Q$2:$Q$1001,MATCH(ROWS($O$2:O618),$O$2:$O$1001,0),0), INDEX($V$1004:$AE$1004,1,MATCH(COLUMNS($V$1006:W1006),$V$1006:$AE$1006,0)))),"Fix")))</f>
        <v>0</v>
      </c>
      <c r="D618" s="4">
        <f>IF(OR(INDEX($P$2:$P$1001,MATCH(ROWS($O$2:O618),$O$2:$O$1001,0),1)&gt;=100000,INDEX($V$1005:$AE$1005,1,MATCH(COLUMNS($V$1006:X1006),$V$1006:$AE$1006,0))&gt;=100000), " ",IF(INDEX($V$2:$AE$1001,MATCH(ROWS($O$2:O618),$O$2:$O$1001,0),MATCH(COLUMNS($V$1006:X1006),$V$1006:$AE$1006,0)), HYPERLINK("#",""), HYPERLINK(CONCATENATE("#Metadata!", ADDRESS(INDEX($Q$2:$Q$1001,MATCH(ROWS($O$2:O618),$O$2:$O$1001,0),0), INDEX($V$1004:$AE$1004,1,MATCH(COLUMNS($V$1006:X1006),$V$1006:$AE$1006,0)))),"Fix")))</f>
        <v>0</v>
      </c>
      <c r="E618" s="4">
        <f>IF(OR(INDEX($P$2:$P$1001,MATCH(ROWS($O$2:O618),$O$2:$O$1001,0),1)&gt;=100000,INDEX($V$1005:$AE$1005,1,MATCH(COLUMNS($V$1006:Y1006),$V$1006:$AE$1006,0))&gt;=100000), " ",IF(INDEX($V$2:$AE$1001,MATCH(ROWS($O$2:O618),$O$2:$O$1001,0),MATCH(COLUMNS($V$1006:Y1006),$V$1006:$AE$1006,0)), HYPERLINK("#",""), HYPERLINK(CONCATENATE("#Metadata!", ADDRESS(INDEX($Q$2:$Q$1001,MATCH(ROWS($O$2:O618),$O$2:$O$1001,0),0), INDEX($V$1004:$AE$1004,1,MATCH(COLUMNS($V$1006:Y1006),$V$1006:$AE$1006,0)))),"Fix")))</f>
        <v>0</v>
      </c>
      <c r="F618" s="4">
        <f>IF(OR(INDEX($P$2:$P$1001,MATCH(ROWS($O$2:O618),$O$2:$O$1001,0),1)&gt;=100000,INDEX($V$1005:$AE$1005,1,MATCH(COLUMNS($V$1006:Z1006),$V$1006:$AE$1006,0))&gt;=100000), " ",IF(INDEX($V$2:$AE$1001,MATCH(ROWS($O$2:O618),$O$2:$O$1001,0),MATCH(COLUMNS($V$1006:Z1006),$V$1006:$AE$1006,0)), HYPERLINK("#",""), HYPERLINK(CONCATENATE("#Metadata!", ADDRESS(INDEX($Q$2:$Q$1001,MATCH(ROWS($O$2:O618),$O$2:$O$1001,0),0), INDEX($V$1004:$AE$1004,1,MATCH(COLUMNS($V$1006:Z1006),$V$1006:$AE$1006,0)))),"Fix")))</f>
        <v>0</v>
      </c>
      <c r="G618" s="4">
        <f>IF(OR(INDEX($P$2:$P$1001,MATCH(ROWS($O$2:O618),$O$2:$O$1001,0),1)&gt;=100000,INDEX($V$1005:$AE$1005,1,MATCH(COLUMNS($V$1006:AA1006),$V$1006:$AE$1006,0))&gt;=100000), " ",IF(INDEX($V$2:$AE$1001,MATCH(ROWS($O$2:O618),$O$2:$O$1001,0),MATCH(COLUMNS($V$1006:AA1006),$V$1006:$AE$1006,0)), HYPERLINK("#",""), HYPERLINK(CONCATENATE("#Metadata!", ADDRESS(INDEX($Q$2:$Q$1001,MATCH(ROWS($O$2:O618),$O$2:$O$1001,0),0), INDEX($V$1004:$AE$1004,1,MATCH(COLUMNS($V$1006:AA1006),$V$1006:$AE$1006,0)))),"Fix")))</f>
        <v>0</v>
      </c>
      <c r="H618" s="4">
        <f>IF(OR(INDEX($P$2:$P$1001,MATCH(ROWS($O$2:O618),$O$2:$O$1001,0),1)&gt;=100000,INDEX($V$1005:$AE$1005,1,MATCH(COLUMNS($V$1006:AB1006),$V$1006:$AE$1006,0))&gt;=100000), " ",IF(INDEX($V$2:$AE$1001,MATCH(ROWS($O$2:O618),$O$2:$O$1001,0),MATCH(COLUMNS($V$1006:AB1006),$V$1006:$AE$1006,0)), HYPERLINK("#",""), HYPERLINK(CONCATENATE("#Metadata!", ADDRESS(INDEX($Q$2:$Q$1001,MATCH(ROWS($O$2:O618),$O$2:$O$1001,0),0), INDEX($V$1004:$AE$1004,1,MATCH(COLUMNS($V$1006:AB1006),$V$1006:$AE$1006,0)))),"Fix")))</f>
        <v>0</v>
      </c>
      <c r="I618" s="4">
        <f>IF(OR(INDEX($P$2:$P$1001,MATCH(ROWS($O$2:O618),$O$2:$O$1001,0),1)&gt;=100000,INDEX($V$1005:$AE$1005,1,MATCH(COLUMNS($V$1006:AC1006),$V$1006:$AE$1006,0))&gt;=100000), " ",IF(INDEX($V$2:$AE$1001,MATCH(ROWS($O$2:O618),$O$2:$O$1001,0),MATCH(COLUMNS($V$1006:AC1006),$V$1006:$AE$1006,0)), HYPERLINK("#",""), HYPERLINK(CONCATENATE("#Metadata!", ADDRESS(INDEX($Q$2:$Q$1001,MATCH(ROWS($O$2:O618),$O$2:$O$1001,0),0), INDEX($V$1004:$AE$1004,1,MATCH(COLUMNS($V$1006:AC1006),$V$1006:$AE$1006,0)))),"Fix")))</f>
        <v>0</v>
      </c>
      <c r="J618" s="4">
        <f>IF(OR(INDEX($P$2:$P$1001,MATCH(ROWS($O$2:O618),$O$2:$O$1001,0),1)&gt;=100000,INDEX($V$1005:$AE$1005,1,MATCH(COLUMNS($V$1006:AD1006),$V$1006:$AE$1006,0))&gt;=100000), " ",IF(INDEX($V$2:$AE$1001,MATCH(ROWS($O$2:O618),$O$2:$O$1001,0),MATCH(COLUMNS($V$1006:AD1006),$V$1006:$AE$1006,0)), HYPERLINK("#",""), HYPERLINK(CONCATENATE("#Metadata!", ADDRESS(INDEX($Q$2:$Q$1001,MATCH(ROWS($O$2:O618),$O$2:$O$1001,0),0), INDEX($V$1004:$AE$1004,1,MATCH(COLUMNS($V$1006:AD1006),$V$1006:$AE$1006,0)))),"Fix")))</f>
        <v>0</v>
      </c>
      <c r="K618" s="4">
        <f>IF(OR(INDEX($P$2:$P$1001,MATCH(ROWS($O$2:O618),$O$2:$O$1001,0),1)&gt;=100000,INDEX($V$1005:$AE$1005,1,MATCH(COLUMNS($V$1006:AE1006),$V$1006:$AE$1006,0))&gt;=100000), " ",IF(INDEX($V$2:$AE$1001,MATCH(ROWS($O$2:O618),$O$2:$O$1001,0),MATCH(COLUMNS($V$1006:AE1006),$V$1006:$AE$1006,0)), HYPERLINK("#",""), HYPERLINK(CONCATENATE("#Metadata!", ADDRESS(INDEX($Q$2:$Q$1001,MATCH(ROWS($O$2:O618),$O$2:$O$1001,0),0), INDEX($V$1004:$AE$1004,1,MATCH(COLUMNS($V$1006:AE1006),$V$1006:$AE$1006,0)))),"Fix")))</f>
        <v>0</v>
      </c>
      <c r="O618">
        <v>0</v>
      </c>
      <c r="P618">
        <v>0</v>
      </c>
      <c r="Q618">
        <v>0</v>
      </c>
      <c r="R618">
        <f>IF(S618,TRUE,AND(V618:AE618))</f>
        <v>0</v>
      </c>
      <c r="S618">
        <f>COUNTBLANK(Metadata!B618:K618)=COLUMNS(Metadata!B618:K618)</f>
        <v>0</v>
      </c>
      <c r="T618">
        <v>0</v>
      </c>
      <c r="V618">
        <f>AND(IF(Metadata!B618="",FALSE,TRUE),COUNTIF(Metadata!B:B, Metadata!B618) = 1,NOT(ISERROR(SUMPRODUCT(SEARCH(MID(Metadata!B618,ROW(INDIRECT("1:"&amp;LEN(Metadata!B618))), 1),"0123456789abcdefghijklmnopqrstuvwxyzABCDEFGHIJKLMNOPQRSTUVWXYZ.")))))</f>
        <v>0</v>
      </c>
      <c r="W618">
        <f>AND(IF(Metadata!C618="",FALSE,TRUE),exact(Metadata!C618,"urban biome"))</f>
        <v>0</v>
      </c>
      <c r="X618">
        <f>AND(IF(Metadata!D618="",FALSE,TRUE),exact(Metadata!D618,"animal-associated habitat"))</f>
        <v>0</v>
      </c>
      <c r="Y618">
        <f>OR(AND(IF(Metadata!E618="",FALSE,TRUE),OR(exact(Metadata!E618,"not applicable"),exact(Metadata!E618,"missing: not collected"),exact(Metadata!E618,"missing: not provided"),exact(Metadata!E618,"missing: restricted access"))),AND(IF(Metadata!E618="",FALSE,ISNUMBER(VALUE(Metadata!E618))),Metadata!E618&gt;0))</f>
        <v>0</v>
      </c>
      <c r="Z618">
        <f>AND(IF(Metadata!F618="",FALSE,TRUE),exact(Metadata!F618,"weeks"))</f>
        <v>0</v>
      </c>
      <c r="AA618">
        <f>AND(IF(Metadata!G618="",FALSE,TRUE),exact(Metadata!G618,"mouse"))</f>
        <v>0</v>
      </c>
      <c r="AB618">
        <f>AND(IF(Metadata!H618="",FALSE,TRUE),exact(Metadata!H618,"Mus musculus"))</f>
        <v>0</v>
      </c>
      <c r="AC618">
        <f>AND(IF(Metadata!I618="",FALSE,TRUE),exact(Metadata!I618,"10090"))</f>
        <v>0</v>
      </c>
      <c r="AD618">
        <f>OR(AND(IF(Metadata!J618="",FALSE,TRUE),OR(exact(Metadata!J618,"not applicable"),exact(Metadata!J618,"missing: not collected"),exact(Metadata!J618,"missing: not provided"),exact(Metadata!J618,"missing: restricted access"))),AND(IF(Metadata!J618="",FALSE,ISNUMBER(VALUE(Metadata!J618))),Metadata!J618&gt;0))</f>
        <v>0</v>
      </c>
      <c r="AE618">
        <f>AND(IF(Metadata!K618="",FALSE,TRUE),exact(Metadata!K618,"g"))</f>
        <v>0</v>
      </c>
    </row>
    <row r="619" spans="1:31">
      <c r="A619" s="5">
        <f>IF(B619=" "," ",HYPERLINK(CONCATENATE("#metadata!",ADDRESS(INDEX($Q$2:$Q$1001,MATCH(ROWS($O$2:O619),$O$2:$O$1001,0),0),1)),INDEX($T$2:$T$1001,MATCH(ROWS($O$2:O619),$O$2:$O$1001,0),0)))</f>
        <v>0</v>
      </c>
      <c r="B619" s="4">
        <f>IF(OR(INDEX($P$2:$P$1001,MATCH(ROWS($O$2:O619),$O$2:$O$1001,0),1)&gt;=100000,INDEX($V$1005:$AE$1005,1,MATCH(COLUMNS($V$1006:V1006),$V$1006:$AE$1006,0))&gt;=100000), " ",IF(INDEX($V$2:$AE$1001,MATCH(ROWS($O$2:O619),$O$2:$O$1001,0),MATCH(COLUMNS($V$1006:V1006),$V$1006:$AE$1006,0)), HYPERLINK("#",""), HYPERLINK(CONCATENATE("#Metadata!", ADDRESS(INDEX($Q$2:$Q$1001,MATCH(ROWS($O$2:O619),$O$2:$O$1001,0),0), INDEX($V$1004:$AE$1004,1,MATCH(COLUMNS($V$1006:V1006),$V$1006:$AE$1006,0)))),"Fix")))</f>
        <v>0</v>
      </c>
      <c r="C619" s="4">
        <f>IF(OR(INDEX($P$2:$P$1001,MATCH(ROWS($O$2:O619),$O$2:$O$1001,0),1)&gt;=100000,INDEX($V$1005:$AE$1005,1,MATCH(COLUMNS($V$1006:W1006),$V$1006:$AE$1006,0))&gt;=100000), " ",IF(INDEX($V$2:$AE$1001,MATCH(ROWS($O$2:O619),$O$2:$O$1001,0),MATCH(COLUMNS($V$1006:W1006),$V$1006:$AE$1006,0)), HYPERLINK("#",""), HYPERLINK(CONCATENATE("#Metadata!", ADDRESS(INDEX($Q$2:$Q$1001,MATCH(ROWS($O$2:O619),$O$2:$O$1001,0),0), INDEX($V$1004:$AE$1004,1,MATCH(COLUMNS($V$1006:W1006),$V$1006:$AE$1006,0)))),"Fix")))</f>
        <v>0</v>
      </c>
      <c r="D619" s="4">
        <f>IF(OR(INDEX($P$2:$P$1001,MATCH(ROWS($O$2:O619),$O$2:$O$1001,0),1)&gt;=100000,INDEX($V$1005:$AE$1005,1,MATCH(COLUMNS($V$1006:X1006),$V$1006:$AE$1006,0))&gt;=100000), " ",IF(INDEX($V$2:$AE$1001,MATCH(ROWS($O$2:O619),$O$2:$O$1001,0),MATCH(COLUMNS($V$1006:X1006),$V$1006:$AE$1006,0)), HYPERLINK("#",""), HYPERLINK(CONCATENATE("#Metadata!", ADDRESS(INDEX($Q$2:$Q$1001,MATCH(ROWS($O$2:O619),$O$2:$O$1001,0),0), INDEX($V$1004:$AE$1004,1,MATCH(COLUMNS($V$1006:X1006),$V$1006:$AE$1006,0)))),"Fix")))</f>
        <v>0</v>
      </c>
      <c r="E619" s="4">
        <f>IF(OR(INDEX($P$2:$P$1001,MATCH(ROWS($O$2:O619),$O$2:$O$1001,0),1)&gt;=100000,INDEX($V$1005:$AE$1005,1,MATCH(COLUMNS($V$1006:Y1006),$V$1006:$AE$1006,0))&gt;=100000), " ",IF(INDEX($V$2:$AE$1001,MATCH(ROWS($O$2:O619),$O$2:$O$1001,0),MATCH(COLUMNS($V$1006:Y1006),$V$1006:$AE$1006,0)), HYPERLINK("#",""), HYPERLINK(CONCATENATE("#Metadata!", ADDRESS(INDEX($Q$2:$Q$1001,MATCH(ROWS($O$2:O619),$O$2:$O$1001,0),0), INDEX($V$1004:$AE$1004,1,MATCH(COLUMNS($V$1006:Y1006),$V$1006:$AE$1006,0)))),"Fix")))</f>
        <v>0</v>
      </c>
      <c r="F619" s="4">
        <f>IF(OR(INDEX($P$2:$P$1001,MATCH(ROWS($O$2:O619),$O$2:$O$1001,0),1)&gt;=100000,INDEX($V$1005:$AE$1005,1,MATCH(COLUMNS($V$1006:Z1006),$V$1006:$AE$1006,0))&gt;=100000), " ",IF(INDEX($V$2:$AE$1001,MATCH(ROWS($O$2:O619),$O$2:$O$1001,0),MATCH(COLUMNS($V$1006:Z1006),$V$1006:$AE$1006,0)), HYPERLINK("#",""), HYPERLINK(CONCATENATE("#Metadata!", ADDRESS(INDEX($Q$2:$Q$1001,MATCH(ROWS($O$2:O619),$O$2:$O$1001,0),0), INDEX($V$1004:$AE$1004,1,MATCH(COLUMNS($V$1006:Z1006),$V$1006:$AE$1006,0)))),"Fix")))</f>
        <v>0</v>
      </c>
      <c r="G619" s="4">
        <f>IF(OR(INDEX($P$2:$P$1001,MATCH(ROWS($O$2:O619),$O$2:$O$1001,0),1)&gt;=100000,INDEX($V$1005:$AE$1005,1,MATCH(COLUMNS($V$1006:AA1006),$V$1006:$AE$1006,0))&gt;=100000), " ",IF(INDEX($V$2:$AE$1001,MATCH(ROWS($O$2:O619),$O$2:$O$1001,0),MATCH(COLUMNS($V$1006:AA1006),$V$1006:$AE$1006,0)), HYPERLINK("#",""), HYPERLINK(CONCATENATE("#Metadata!", ADDRESS(INDEX($Q$2:$Q$1001,MATCH(ROWS($O$2:O619),$O$2:$O$1001,0),0), INDEX($V$1004:$AE$1004,1,MATCH(COLUMNS($V$1006:AA1006),$V$1006:$AE$1006,0)))),"Fix")))</f>
        <v>0</v>
      </c>
      <c r="H619" s="4">
        <f>IF(OR(INDEX($P$2:$P$1001,MATCH(ROWS($O$2:O619),$O$2:$O$1001,0),1)&gt;=100000,INDEX($V$1005:$AE$1005,1,MATCH(COLUMNS($V$1006:AB1006),$V$1006:$AE$1006,0))&gt;=100000), " ",IF(INDEX($V$2:$AE$1001,MATCH(ROWS($O$2:O619),$O$2:$O$1001,0),MATCH(COLUMNS($V$1006:AB1006),$V$1006:$AE$1006,0)), HYPERLINK("#",""), HYPERLINK(CONCATENATE("#Metadata!", ADDRESS(INDEX($Q$2:$Q$1001,MATCH(ROWS($O$2:O619),$O$2:$O$1001,0),0), INDEX($V$1004:$AE$1004,1,MATCH(COLUMNS($V$1006:AB1006),$V$1006:$AE$1006,0)))),"Fix")))</f>
        <v>0</v>
      </c>
      <c r="I619" s="4">
        <f>IF(OR(INDEX($P$2:$P$1001,MATCH(ROWS($O$2:O619),$O$2:$O$1001,0),1)&gt;=100000,INDEX($V$1005:$AE$1005,1,MATCH(COLUMNS($V$1006:AC1006),$V$1006:$AE$1006,0))&gt;=100000), " ",IF(INDEX($V$2:$AE$1001,MATCH(ROWS($O$2:O619),$O$2:$O$1001,0),MATCH(COLUMNS($V$1006:AC1006),$V$1006:$AE$1006,0)), HYPERLINK("#",""), HYPERLINK(CONCATENATE("#Metadata!", ADDRESS(INDEX($Q$2:$Q$1001,MATCH(ROWS($O$2:O619),$O$2:$O$1001,0),0), INDEX($V$1004:$AE$1004,1,MATCH(COLUMNS($V$1006:AC1006),$V$1006:$AE$1006,0)))),"Fix")))</f>
        <v>0</v>
      </c>
      <c r="J619" s="4">
        <f>IF(OR(INDEX($P$2:$P$1001,MATCH(ROWS($O$2:O619),$O$2:$O$1001,0),1)&gt;=100000,INDEX($V$1005:$AE$1005,1,MATCH(COLUMNS($V$1006:AD1006),$V$1006:$AE$1006,0))&gt;=100000), " ",IF(INDEX($V$2:$AE$1001,MATCH(ROWS($O$2:O619),$O$2:$O$1001,0),MATCH(COLUMNS($V$1006:AD1006),$V$1006:$AE$1006,0)), HYPERLINK("#",""), HYPERLINK(CONCATENATE("#Metadata!", ADDRESS(INDEX($Q$2:$Q$1001,MATCH(ROWS($O$2:O619),$O$2:$O$1001,0),0), INDEX($V$1004:$AE$1004,1,MATCH(COLUMNS($V$1006:AD1006),$V$1006:$AE$1006,0)))),"Fix")))</f>
        <v>0</v>
      </c>
      <c r="K619" s="4">
        <f>IF(OR(INDEX($P$2:$P$1001,MATCH(ROWS($O$2:O619),$O$2:$O$1001,0),1)&gt;=100000,INDEX($V$1005:$AE$1005,1,MATCH(COLUMNS($V$1006:AE1006),$V$1006:$AE$1006,0))&gt;=100000), " ",IF(INDEX($V$2:$AE$1001,MATCH(ROWS($O$2:O619),$O$2:$O$1001,0),MATCH(COLUMNS($V$1006:AE1006),$V$1006:$AE$1006,0)), HYPERLINK("#",""), HYPERLINK(CONCATENATE("#Metadata!", ADDRESS(INDEX($Q$2:$Q$1001,MATCH(ROWS($O$2:O619),$O$2:$O$1001,0),0), INDEX($V$1004:$AE$1004,1,MATCH(COLUMNS($V$1006:AE1006),$V$1006:$AE$1006,0)))),"Fix")))</f>
        <v>0</v>
      </c>
      <c r="O619">
        <v>0</v>
      </c>
      <c r="P619">
        <v>0</v>
      </c>
      <c r="Q619">
        <v>0</v>
      </c>
      <c r="R619">
        <f>IF(S619,TRUE,AND(V619:AE619))</f>
        <v>0</v>
      </c>
      <c r="S619">
        <f>COUNTBLANK(Metadata!B619:K619)=COLUMNS(Metadata!B619:K619)</f>
        <v>0</v>
      </c>
      <c r="T619">
        <v>0</v>
      </c>
      <c r="V619">
        <f>AND(IF(Metadata!B619="",FALSE,TRUE),COUNTIF(Metadata!B:B, Metadata!B619) = 1,NOT(ISERROR(SUMPRODUCT(SEARCH(MID(Metadata!B619,ROW(INDIRECT("1:"&amp;LEN(Metadata!B619))), 1),"0123456789abcdefghijklmnopqrstuvwxyzABCDEFGHIJKLMNOPQRSTUVWXYZ.")))))</f>
        <v>0</v>
      </c>
      <c r="W619">
        <f>AND(IF(Metadata!C619="",FALSE,TRUE),exact(Metadata!C619,"urban biome"))</f>
        <v>0</v>
      </c>
      <c r="X619">
        <f>AND(IF(Metadata!D619="",FALSE,TRUE),exact(Metadata!D619,"animal-associated habitat"))</f>
        <v>0</v>
      </c>
      <c r="Y619">
        <f>OR(AND(IF(Metadata!E619="",FALSE,TRUE),OR(exact(Metadata!E619,"not applicable"),exact(Metadata!E619,"missing: not collected"),exact(Metadata!E619,"missing: not provided"),exact(Metadata!E619,"missing: restricted access"))),AND(IF(Metadata!E619="",FALSE,ISNUMBER(VALUE(Metadata!E619))),Metadata!E619&gt;0))</f>
        <v>0</v>
      </c>
      <c r="Z619">
        <f>AND(IF(Metadata!F619="",FALSE,TRUE),exact(Metadata!F619,"weeks"))</f>
        <v>0</v>
      </c>
      <c r="AA619">
        <f>AND(IF(Metadata!G619="",FALSE,TRUE),exact(Metadata!G619,"mouse"))</f>
        <v>0</v>
      </c>
      <c r="AB619">
        <f>AND(IF(Metadata!H619="",FALSE,TRUE),exact(Metadata!H619,"Mus musculus"))</f>
        <v>0</v>
      </c>
      <c r="AC619">
        <f>AND(IF(Metadata!I619="",FALSE,TRUE),exact(Metadata!I619,"10090"))</f>
        <v>0</v>
      </c>
      <c r="AD619">
        <f>OR(AND(IF(Metadata!J619="",FALSE,TRUE),OR(exact(Metadata!J619,"not applicable"),exact(Metadata!J619,"missing: not collected"),exact(Metadata!J619,"missing: not provided"),exact(Metadata!J619,"missing: restricted access"))),AND(IF(Metadata!J619="",FALSE,ISNUMBER(VALUE(Metadata!J619))),Metadata!J619&gt;0))</f>
        <v>0</v>
      </c>
      <c r="AE619">
        <f>AND(IF(Metadata!K619="",FALSE,TRUE),exact(Metadata!K619,"g"))</f>
        <v>0</v>
      </c>
    </row>
    <row r="620" spans="1:31">
      <c r="A620" s="5">
        <f>IF(B620=" "," ",HYPERLINK(CONCATENATE("#metadata!",ADDRESS(INDEX($Q$2:$Q$1001,MATCH(ROWS($O$2:O620),$O$2:$O$1001,0),0),1)),INDEX($T$2:$T$1001,MATCH(ROWS($O$2:O620),$O$2:$O$1001,0),0)))</f>
        <v>0</v>
      </c>
      <c r="B620" s="4">
        <f>IF(OR(INDEX($P$2:$P$1001,MATCH(ROWS($O$2:O620),$O$2:$O$1001,0),1)&gt;=100000,INDEX($V$1005:$AE$1005,1,MATCH(COLUMNS($V$1006:V1006),$V$1006:$AE$1006,0))&gt;=100000), " ",IF(INDEX($V$2:$AE$1001,MATCH(ROWS($O$2:O620),$O$2:$O$1001,0),MATCH(COLUMNS($V$1006:V1006),$V$1006:$AE$1006,0)), HYPERLINK("#",""), HYPERLINK(CONCATENATE("#Metadata!", ADDRESS(INDEX($Q$2:$Q$1001,MATCH(ROWS($O$2:O620),$O$2:$O$1001,0),0), INDEX($V$1004:$AE$1004,1,MATCH(COLUMNS($V$1006:V1006),$V$1006:$AE$1006,0)))),"Fix")))</f>
        <v>0</v>
      </c>
      <c r="C620" s="4">
        <f>IF(OR(INDEX($P$2:$P$1001,MATCH(ROWS($O$2:O620),$O$2:$O$1001,0),1)&gt;=100000,INDEX($V$1005:$AE$1005,1,MATCH(COLUMNS($V$1006:W1006),$V$1006:$AE$1006,0))&gt;=100000), " ",IF(INDEX($V$2:$AE$1001,MATCH(ROWS($O$2:O620),$O$2:$O$1001,0),MATCH(COLUMNS($V$1006:W1006),$V$1006:$AE$1006,0)), HYPERLINK("#",""), HYPERLINK(CONCATENATE("#Metadata!", ADDRESS(INDEX($Q$2:$Q$1001,MATCH(ROWS($O$2:O620),$O$2:$O$1001,0),0), INDEX($V$1004:$AE$1004,1,MATCH(COLUMNS($V$1006:W1006),$V$1006:$AE$1006,0)))),"Fix")))</f>
        <v>0</v>
      </c>
      <c r="D620" s="4">
        <f>IF(OR(INDEX($P$2:$P$1001,MATCH(ROWS($O$2:O620),$O$2:$O$1001,0),1)&gt;=100000,INDEX($V$1005:$AE$1005,1,MATCH(COLUMNS($V$1006:X1006),$V$1006:$AE$1006,0))&gt;=100000), " ",IF(INDEX($V$2:$AE$1001,MATCH(ROWS($O$2:O620),$O$2:$O$1001,0),MATCH(COLUMNS($V$1006:X1006),$V$1006:$AE$1006,0)), HYPERLINK("#",""), HYPERLINK(CONCATENATE("#Metadata!", ADDRESS(INDEX($Q$2:$Q$1001,MATCH(ROWS($O$2:O620),$O$2:$O$1001,0),0), INDEX($V$1004:$AE$1004,1,MATCH(COLUMNS($V$1006:X1006),$V$1006:$AE$1006,0)))),"Fix")))</f>
        <v>0</v>
      </c>
      <c r="E620" s="4">
        <f>IF(OR(INDEX($P$2:$P$1001,MATCH(ROWS($O$2:O620),$O$2:$O$1001,0),1)&gt;=100000,INDEX($V$1005:$AE$1005,1,MATCH(COLUMNS($V$1006:Y1006),$V$1006:$AE$1006,0))&gt;=100000), " ",IF(INDEX($V$2:$AE$1001,MATCH(ROWS($O$2:O620),$O$2:$O$1001,0),MATCH(COLUMNS($V$1006:Y1006),$V$1006:$AE$1006,0)), HYPERLINK("#",""), HYPERLINK(CONCATENATE("#Metadata!", ADDRESS(INDEX($Q$2:$Q$1001,MATCH(ROWS($O$2:O620),$O$2:$O$1001,0),0), INDEX($V$1004:$AE$1004,1,MATCH(COLUMNS($V$1006:Y1006),$V$1006:$AE$1006,0)))),"Fix")))</f>
        <v>0</v>
      </c>
      <c r="F620" s="4">
        <f>IF(OR(INDEX($P$2:$P$1001,MATCH(ROWS($O$2:O620),$O$2:$O$1001,0),1)&gt;=100000,INDEX($V$1005:$AE$1005,1,MATCH(COLUMNS($V$1006:Z1006),$V$1006:$AE$1006,0))&gt;=100000), " ",IF(INDEX($V$2:$AE$1001,MATCH(ROWS($O$2:O620),$O$2:$O$1001,0),MATCH(COLUMNS($V$1006:Z1006),$V$1006:$AE$1006,0)), HYPERLINK("#",""), HYPERLINK(CONCATENATE("#Metadata!", ADDRESS(INDEX($Q$2:$Q$1001,MATCH(ROWS($O$2:O620),$O$2:$O$1001,0),0), INDEX($V$1004:$AE$1004,1,MATCH(COLUMNS($V$1006:Z1006),$V$1006:$AE$1006,0)))),"Fix")))</f>
        <v>0</v>
      </c>
      <c r="G620" s="4">
        <f>IF(OR(INDEX($P$2:$P$1001,MATCH(ROWS($O$2:O620),$O$2:$O$1001,0),1)&gt;=100000,INDEX($V$1005:$AE$1005,1,MATCH(COLUMNS($V$1006:AA1006),$V$1006:$AE$1006,0))&gt;=100000), " ",IF(INDEX($V$2:$AE$1001,MATCH(ROWS($O$2:O620),$O$2:$O$1001,0),MATCH(COLUMNS($V$1006:AA1006),$V$1006:$AE$1006,0)), HYPERLINK("#",""), HYPERLINK(CONCATENATE("#Metadata!", ADDRESS(INDEX($Q$2:$Q$1001,MATCH(ROWS($O$2:O620),$O$2:$O$1001,0),0), INDEX($V$1004:$AE$1004,1,MATCH(COLUMNS($V$1006:AA1006),$V$1006:$AE$1006,0)))),"Fix")))</f>
        <v>0</v>
      </c>
      <c r="H620" s="4">
        <f>IF(OR(INDEX($P$2:$P$1001,MATCH(ROWS($O$2:O620),$O$2:$O$1001,0),1)&gt;=100000,INDEX($V$1005:$AE$1005,1,MATCH(COLUMNS($V$1006:AB1006),$V$1006:$AE$1006,0))&gt;=100000), " ",IF(INDEX($V$2:$AE$1001,MATCH(ROWS($O$2:O620),$O$2:$O$1001,0),MATCH(COLUMNS($V$1006:AB1006),$V$1006:$AE$1006,0)), HYPERLINK("#",""), HYPERLINK(CONCATENATE("#Metadata!", ADDRESS(INDEX($Q$2:$Q$1001,MATCH(ROWS($O$2:O620),$O$2:$O$1001,0),0), INDEX($V$1004:$AE$1004,1,MATCH(COLUMNS($V$1006:AB1006),$V$1006:$AE$1006,0)))),"Fix")))</f>
        <v>0</v>
      </c>
      <c r="I620" s="4">
        <f>IF(OR(INDEX($P$2:$P$1001,MATCH(ROWS($O$2:O620),$O$2:$O$1001,0),1)&gt;=100000,INDEX($V$1005:$AE$1005,1,MATCH(COLUMNS($V$1006:AC1006),$V$1006:$AE$1006,0))&gt;=100000), " ",IF(INDEX($V$2:$AE$1001,MATCH(ROWS($O$2:O620),$O$2:$O$1001,0),MATCH(COLUMNS($V$1006:AC1006),$V$1006:$AE$1006,0)), HYPERLINK("#",""), HYPERLINK(CONCATENATE("#Metadata!", ADDRESS(INDEX($Q$2:$Q$1001,MATCH(ROWS($O$2:O620),$O$2:$O$1001,0),0), INDEX($V$1004:$AE$1004,1,MATCH(COLUMNS($V$1006:AC1006),$V$1006:$AE$1006,0)))),"Fix")))</f>
        <v>0</v>
      </c>
      <c r="J620" s="4">
        <f>IF(OR(INDEX($P$2:$P$1001,MATCH(ROWS($O$2:O620),$O$2:$O$1001,0),1)&gt;=100000,INDEX($V$1005:$AE$1005,1,MATCH(COLUMNS($V$1006:AD1006),$V$1006:$AE$1006,0))&gt;=100000), " ",IF(INDEX($V$2:$AE$1001,MATCH(ROWS($O$2:O620),$O$2:$O$1001,0),MATCH(COLUMNS($V$1006:AD1006),$V$1006:$AE$1006,0)), HYPERLINK("#",""), HYPERLINK(CONCATENATE("#Metadata!", ADDRESS(INDEX($Q$2:$Q$1001,MATCH(ROWS($O$2:O620),$O$2:$O$1001,0),0), INDEX($V$1004:$AE$1004,1,MATCH(COLUMNS($V$1006:AD1006),$V$1006:$AE$1006,0)))),"Fix")))</f>
        <v>0</v>
      </c>
      <c r="K620" s="4">
        <f>IF(OR(INDEX($P$2:$P$1001,MATCH(ROWS($O$2:O620),$O$2:$O$1001,0),1)&gt;=100000,INDEX($V$1005:$AE$1005,1,MATCH(COLUMNS($V$1006:AE1006),$V$1006:$AE$1006,0))&gt;=100000), " ",IF(INDEX($V$2:$AE$1001,MATCH(ROWS($O$2:O620),$O$2:$O$1001,0),MATCH(COLUMNS($V$1006:AE1006),$V$1006:$AE$1006,0)), HYPERLINK("#",""), HYPERLINK(CONCATENATE("#Metadata!", ADDRESS(INDEX($Q$2:$Q$1001,MATCH(ROWS($O$2:O620),$O$2:$O$1001,0),0), INDEX($V$1004:$AE$1004,1,MATCH(COLUMNS($V$1006:AE1006),$V$1006:$AE$1006,0)))),"Fix")))</f>
        <v>0</v>
      </c>
      <c r="O620">
        <v>0</v>
      </c>
      <c r="P620">
        <v>0</v>
      </c>
      <c r="Q620">
        <v>0</v>
      </c>
      <c r="R620">
        <f>IF(S620,TRUE,AND(V620:AE620))</f>
        <v>0</v>
      </c>
      <c r="S620">
        <f>COUNTBLANK(Metadata!B620:K620)=COLUMNS(Metadata!B620:K620)</f>
        <v>0</v>
      </c>
      <c r="T620">
        <v>0</v>
      </c>
      <c r="V620">
        <f>AND(IF(Metadata!B620="",FALSE,TRUE),COUNTIF(Metadata!B:B, Metadata!B620) = 1,NOT(ISERROR(SUMPRODUCT(SEARCH(MID(Metadata!B620,ROW(INDIRECT("1:"&amp;LEN(Metadata!B620))), 1),"0123456789abcdefghijklmnopqrstuvwxyzABCDEFGHIJKLMNOPQRSTUVWXYZ.")))))</f>
        <v>0</v>
      </c>
      <c r="W620">
        <f>AND(IF(Metadata!C620="",FALSE,TRUE),exact(Metadata!C620,"urban biome"))</f>
        <v>0</v>
      </c>
      <c r="X620">
        <f>AND(IF(Metadata!D620="",FALSE,TRUE),exact(Metadata!D620,"animal-associated habitat"))</f>
        <v>0</v>
      </c>
      <c r="Y620">
        <f>OR(AND(IF(Metadata!E620="",FALSE,TRUE),OR(exact(Metadata!E620,"not applicable"),exact(Metadata!E620,"missing: not collected"),exact(Metadata!E620,"missing: not provided"),exact(Metadata!E620,"missing: restricted access"))),AND(IF(Metadata!E620="",FALSE,ISNUMBER(VALUE(Metadata!E620))),Metadata!E620&gt;0))</f>
        <v>0</v>
      </c>
      <c r="Z620">
        <f>AND(IF(Metadata!F620="",FALSE,TRUE),exact(Metadata!F620,"weeks"))</f>
        <v>0</v>
      </c>
      <c r="AA620">
        <f>AND(IF(Metadata!G620="",FALSE,TRUE),exact(Metadata!G620,"mouse"))</f>
        <v>0</v>
      </c>
      <c r="AB620">
        <f>AND(IF(Metadata!H620="",FALSE,TRUE),exact(Metadata!H620,"Mus musculus"))</f>
        <v>0</v>
      </c>
      <c r="AC620">
        <f>AND(IF(Metadata!I620="",FALSE,TRUE),exact(Metadata!I620,"10090"))</f>
        <v>0</v>
      </c>
      <c r="AD620">
        <f>OR(AND(IF(Metadata!J620="",FALSE,TRUE),OR(exact(Metadata!J620,"not applicable"),exact(Metadata!J620,"missing: not collected"),exact(Metadata!J620,"missing: not provided"),exact(Metadata!J620,"missing: restricted access"))),AND(IF(Metadata!J620="",FALSE,ISNUMBER(VALUE(Metadata!J620))),Metadata!J620&gt;0))</f>
        <v>0</v>
      </c>
      <c r="AE620">
        <f>AND(IF(Metadata!K620="",FALSE,TRUE),exact(Metadata!K620,"g"))</f>
        <v>0</v>
      </c>
    </row>
    <row r="621" spans="1:31">
      <c r="A621" s="5">
        <f>IF(B621=" "," ",HYPERLINK(CONCATENATE("#metadata!",ADDRESS(INDEX($Q$2:$Q$1001,MATCH(ROWS($O$2:O621),$O$2:$O$1001,0),0),1)),INDEX($T$2:$T$1001,MATCH(ROWS($O$2:O621),$O$2:$O$1001,0),0)))</f>
        <v>0</v>
      </c>
      <c r="B621" s="4">
        <f>IF(OR(INDEX($P$2:$P$1001,MATCH(ROWS($O$2:O621),$O$2:$O$1001,0),1)&gt;=100000,INDEX($V$1005:$AE$1005,1,MATCH(COLUMNS($V$1006:V1006),$V$1006:$AE$1006,0))&gt;=100000), " ",IF(INDEX($V$2:$AE$1001,MATCH(ROWS($O$2:O621),$O$2:$O$1001,0),MATCH(COLUMNS($V$1006:V1006),$V$1006:$AE$1006,0)), HYPERLINK("#",""), HYPERLINK(CONCATENATE("#Metadata!", ADDRESS(INDEX($Q$2:$Q$1001,MATCH(ROWS($O$2:O621),$O$2:$O$1001,0),0), INDEX($V$1004:$AE$1004,1,MATCH(COLUMNS($V$1006:V1006),$V$1006:$AE$1006,0)))),"Fix")))</f>
        <v>0</v>
      </c>
      <c r="C621" s="4">
        <f>IF(OR(INDEX($P$2:$P$1001,MATCH(ROWS($O$2:O621),$O$2:$O$1001,0),1)&gt;=100000,INDEX($V$1005:$AE$1005,1,MATCH(COLUMNS($V$1006:W1006),$V$1006:$AE$1006,0))&gt;=100000), " ",IF(INDEX($V$2:$AE$1001,MATCH(ROWS($O$2:O621),$O$2:$O$1001,0),MATCH(COLUMNS($V$1006:W1006),$V$1006:$AE$1006,0)), HYPERLINK("#",""), HYPERLINK(CONCATENATE("#Metadata!", ADDRESS(INDEX($Q$2:$Q$1001,MATCH(ROWS($O$2:O621),$O$2:$O$1001,0),0), INDEX($V$1004:$AE$1004,1,MATCH(COLUMNS($V$1006:W1006),$V$1006:$AE$1006,0)))),"Fix")))</f>
        <v>0</v>
      </c>
      <c r="D621" s="4">
        <f>IF(OR(INDEX($P$2:$P$1001,MATCH(ROWS($O$2:O621),$O$2:$O$1001,0),1)&gt;=100000,INDEX($V$1005:$AE$1005,1,MATCH(COLUMNS($V$1006:X1006),$V$1006:$AE$1006,0))&gt;=100000), " ",IF(INDEX($V$2:$AE$1001,MATCH(ROWS($O$2:O621),$O$2:$O$1001,0),MATCH(COLUMNS($V$1006:X1006),$V$1006:$AE$1006,0)), HYPERLINK("#",""), HYPERLINK(CONCATENATE("#Metadata!", ADDRESS(INDEX($Q$2:$Q$1001,MATCH(ROWS($O$2:O621),$O$2:$O$1001,0),0), INDEX($V$1004:$AE$1004,1,MATCH(COLUMNS($V$1006:X1006),$V$1006:$AE$1006,0)))),"Fix")))</f>
        <v>0</v>
      </c>
      <c r="E621" s="4">
        <f>IF(OR(INDEX($P$2:$P$1001,MATCH(ROWS($O$2:O621),$O$2:$O$1001,0),1)&gt;=100000,INDEX($V$1005:$AE$1005,1,MATCH(COLUMNS($V$1006:Y1006),$V$1006:$AE$1006,0))&gt;=100000), " ",IF(INDEX($V$2:$AE$1001,MATCH(ROWS($O$2:O621),$O$2:$O$1001,0),MATCH(COLUMNS($V$1006:Y1006),$V$1006:$AE$1006,0)), HYPERLINK("#",""), HYPERLINK(CONCATENATE("#Metadata!", ADDRESS(INDEX($Q$2:$Q$1001,MATCH(ROWS($O$2:O621),$O$2:$O$1001,0),0), INDEX($V$1004:$AE$1004,1,MATCH(COLUMNS($V$1006:Y1006),$V$1006:$AE$1006,0)))),"Fix")))</f>
        <v>0</v>
      </c>
      <c r="F621" s="4">
        <f>IF(OR(INDEX($P$2:$P$1001,MATCH(ROWS($O$2:O621),$O$2:$O$1001,0),1)&gt;=100000,INDEX($V$1005:$AE$1005,1,MATCH(COLUMNS($V$1006:Z1006),$V$1006:$AE$1006,0))&gt;=100000), " ",IF(INDEX($V$2:$AE$1001,MATCH(ROWS($O$2:O621),$O$2:$O$1001,0),MATCH(COLUMNS($V$1006:Z1006),$V$1006:$AE$1006,0)), HYPERLINK("#",""), HYPERLINK(CONCATENATE("#Metadata!", ADDRESS(INDEX($Q$2:$Q$1001,MATCH(ROWS($O$2:O621),$O$2:$O$1001,0),0), INDEX($V$1004:$AE$1004,1,MATCH(COLUMNS($V$1006:Z1006),$V$1006:$AE$1006,0)))),"Fix")))</f>
        <v>0</v>
      </c>
      <c r="G621" s="4">
        <f>IF(OR(INDEX($P$2:$P$1001,MATCH(ROWS($O$2:O621),$O$2:$O$1001,0),1)&gt;=100000,INDEX($V$1005:$AE$1005,1,MATCH(COLUMNS($V$1006:AA1006),$V$1006:$AE$1006,0))&gt;=100000), " ",IF(INDEX($V$2:$AE$1001,MATCH(ROWS($O$2:O621),$O$2:$O$1001,0),MATCH(COLUMNS($V$1006:AA1006),$V$1006:$AE$1006,0)), HYPERLINK("#",""), HYPERLINK(CONCATENATE("#Metadata!", ADDRESS(INDEX($Q$2:$Q$1001,MATCH(ROWS($O$2:O621),$O$2:$O$1001,0),0), INDEX($V$1004:$AE$1004,1,MATCH(COLUMNS($V$1006:AA1006),$V$1006:$AE$1006,0)))),"Fix")))</f>
        <v>0</v>
      </c>
      <c r="H621" s="4">
        <f>IF(OR(INDEX($P$2:$P$1001,MATCH(ROWS($O$2:O621),$O$2:$O$1001,0),1)&gt;=100000,INDEX($V$1005:$AE$1005,1,MATCH(COLUMNS($V$1006:AB1006),$V$1006:$AE$1006,0))&gt;=100000), " ",IF(INDEX($V$2:$AE$1001,MATCH(ROWS($O$2:O621),$O$2:$O$1001,0),MATCH(COLUMNS($V$1006:AB1006),$V$1006:$AE$1006,0)), HYPERLINK("#",""), HYPERLINK(CONCATENATE("#Metadata!", ADDRESS(INDEX($Q$2:$Q$1001,MATCH(ROWS($O$2:O621),$O$2:$O$1001,0),0), INDEX($V$1004:$AE$1004,1,MATCH(COLUMNS($V$1006:AB1006),$V$1006:$AE$1006,0)))),"Fix")))</f>
        <v>0</v>
      </c>
      <c r="I621" s="4">
        <f>IF(OR(INDEX($P$2:$P$1001,MATCH(ROWS($O$2:O621),$O$2:$O$1001,0),1)&gt;=100000,INDEX($V$1005:$AE$1005,1,MATCH(COLUMNS($V$1006:AC1006),$V$1006:$AE$1006,0))&gt;=100000), " ",IF(INDEX($V$2:$AE$1001,MATCH(ROWS($O$2:O621),$O$2:$O$1001,0),MATCH(COLUMNS($V$1006:AC1006),$V$1006:$AE$1006,0)), HYPERLINK("#",""), HYPERLINK(CONCATENATE("#Metadata!", ADDRESS(INDEX($Q$2:$Q$1001,MATCH(ROWS($O$2:O621),$O$2:$O$1001,0),0), INDEX($V$1004:$AE$1004,1,MATCH(COLUMNS($V$1006:AC1006),$V$1006:$AE$1006,0)))),"Fix")))</f>
        <v>0</v>
      </c>
      <c r="J621" s="4">
        <f>IF(OR(INDEX($P$2:$P$1001,MATCH(ROWS($O$2:O621),$O$2:$O$1001,0),1)&gt;=100000,INDEX($V$1005:$AE$1005,1,MATCH(COLUMNS($V$1006:AD1006),$V$1006:$AE$1006,0))&gt;=100000), " ",IF(INDEX($V$2:$AE$1001,MATCH(ROWS($O$2:O621),$O$2:$O$1001,0),MATCH(COLUMNS($V$1006:AD1006),$V$1006:$AE$1006,0)), HYPERLINK("#",""), HYPERLINK(CONCATENATE("#Metadata!", ADDRESS(INDEX($Q$2:$Q$1001,MATCH(ROWS($O$2:O621),$O$2:$O$1001,0),0), INDEX($V$1004:$AE$1004,1,MATCH(COLUMNS($V$1006:AD1006),$V$1006:$AE$1006,0)))),"Fix")))</f>
        <v>0</v>
      </c>
      <c r="K621" s="4">
        <f>IF(OR(INDEX($P$2:$P$1001,MATCH(ROWS($O$2:O621),$O$2:$O$1001,0),1)&gt;=100000,INDEX($V$1005:$AE$1005,1,MATCH(COLUMNS($V$1006:AE1006),$V$1006:$AE$1006,0))&gt;=100000), " ",IF(INDEX($V$2:$AE$1001,MATCH(ROWS($O$2:O621),$O$2:$O$1001,0),MATCH(COLUMNS($V$1006:AE1006),$V$1006:$AE$1006,0)), HYPERLINK("#",""), HYPERLINK(CONCATENATE("#Metadata!", ADDRESS(INDEX($Q$2:$Q$1001,MATCH(ROWS($O$2:O621),$O$2:$O$1001,0),0), INDEX($V$1004:$AE$1004,1,MATCH(COLUMNS($V$1006:AE1006),$V$1006:$AE$1006,0)))),"Fix")))</f>
        <v>0</v>
      </c>
      <c r="O621">
        <v>0</v>
      </c>
      <c r="P621">
        <v>0</v>
      </c>
      <c r="Q621">
        <v>0</v>
      </c>
      <c r="R621">
        <f>IF(S621,TRUE,AND(V621:AE621))</f>
        <v>0</v>
      </c>
      <c r="S621">
        <f>COUNTBLANK(Metadata!B621:K621)=COLUMNS(Metadata!B621:K621)</f>
        <v>0</v>
      </c>
      <c r="T621">
        <v>0</v>
      </c>
      <c r="V621">
        <f>AND(IF(Metadata!B621="",FALSE,TRUE),COUNTIF(Metadata!B:B, Metadata!B621) = 1,NOT(ISERROR(SUMPRODUCT(SEARCH(MID(Metadata!B621,ROW(INDIRECT("1:"&amp;LEN(Metadata!B621))), 1),"0123456789abcdefghijklmnopqrstuvwxyzABCDEFGHIJKLMNOPQRSTUVWXYZ.")))))</f>
        <v>0</v>
      </c>
      <c r="W621">
        <f>AND(IF(Metadata!C621="",FALSE,TRUE),exact(Metadata!C621,"urban biome"))</f>
        <v>0</v>
      </c>
      <c r="X621">
        <f>AND(IF(Metadata!D621="",FALSE,TRUE),exact(Metadata!D621,"animal-associated habitat"))</f>
        <v>0</v>
      </c>
      <c r="Y621">
        <f>OR(AND(IF(Metadata!E621="",FALSE,TRUE),OR(exact(Metadata!E621,"not applicable"),exact(Metadata!E621,"missing: not collected"),exact(Metadata!E621,"missing: not provided"),exact(Metadata!E621,"missing: restricted access"))),AND(IF(Metadata!E621="",FALSE,ISNUMBER(VALUE(Metadata!E621))),Metadata!E621&gt;0))</f>
        <v>0</v>
      </c>
      <c r="Z621">
        <f>AND(IF(Metadata!F621="",FALSE,TRUE),exact(Metadata!F621,"weeks"))</f>
        <v>0</v>
      </c>
      <c r="AA621">
        <f>AND(IF(Metadata!G621="",FALSE,TRUE),exact(Metadata!G621,"mouse"))</f>
        <v>0</v>
      </c>
      <c r="AB621">
        <f>AND(IF(Metadata!H621="",FALSE,TRUE),exact(Metadata!H621,"Mus musculus"))</f>
        <v>0</v>
      </c>
      <c r="AC621">
        <f>AND(IF(Metadata!I621="",FALSE,TRUE),exact(Metadata!I621,"10090"))</f>
        <v>0</v>
      </c>
      <c r="AD621">
        <f>OR(AND(IF(Metadata!J621="",FALSE,TRUE),OR(exact(Metadata!J621,"not applicable"),exact(Metadata!J621,"missing: not collected"),exact(Metadata!J621,"missing: not provided"),exact(Metadata!J621,"missing: restricted access"))),AND(IF(Metadata!J621="",FALSE,ISNUMBER(VALUE(Metadata!J621))),Metadata!J621&gt;0))</f>
        <v>0</v>
      </c>
      <c r="AE621">
        <f>AND(IF(Metadata!K621="",FALSE,TRUE),exact(Metadata!K621,"g"))</f>
        <v>0</v>
      </c>
    </row>
    <row r="622" spans="1:31">
      <c r="A622" s="5">
        <f>IF(B622=" "," ",HYPERLINK(CONCATENATE("#metadata!",ADDRESS(INDEX($Q$2:$Q$1001,MATCH(ROWS($O$2:O622),$O$2:$O$1001,0),0),1)),INDEX($T$2:$T$1001,MATCH(ROWS($O$2:O622),$O$2:$O$1001,0),0)))</f>
        <v>0</v>
      </c>
      <c r="B622" s="4">
        <f>IF(OR(INDEX($P$2:$P$1001,MATCH(ROWS($O$2:O622),$O$2:$O$1001,0),1)&gt;=100000,INDEX($V$1005:$AE$1005,1,MATCH(COLUMNS($V$1006:V1006),$V$1006:$AE$1006,0))&gt;=100000), " ",IF(INDEX($V$2:$AE$1001,MATCH(ROWS($O$2:O622),$O$2:$O$1001,0),MATCH(COLUMNS($V$1006:V1006),$V$1006:$AE$1006,0)), HYPERLINK("#",""), HYPERLINK(CONCATENATE("#Metadata!", ADDRESS(INDEX($Q$2:$Q$1001,MATCH(ROWS($O$2:O622),$O$2:$O$1001,0),0), INDEX($V$1004:$AE$1004,1,MATCH(COLUMNS($V$1006:V1006),$V$1006:$AE$1006,0)))),"Fix")))</f>
        <v>0</v>
      </c>
      <c r="C622" s="4">
        <f>IF(OR(INDEX($P$2:$P$1001,MATCH(ROWS($O$2:O622),$O$2:$O$1001,0),1)&gt;=100000,INDEX($V$1005:$AE$1005,1,MATCH(COLUMNS($V$1006:W1006),$V$1006:$AE$1006,0))&gt;=100000), " ",IF(INDEX($V$2:$AE$1001,MATCH(ROWS($O$2:O622),$O$2:$O$1001,0),MATCH(COLUMNS($V$1006:W1006),$V$1006:$AE$1006,0)), HYPERLINK("#",""), HYPERLINK(CONCATENATE("#Metadata!", ADDRESS(INDEX($Q$2:$Q$1001,MATCH(ROWS($O$2:O622),$O$2:$O$1001,0),0), INDEX($V$1004:$AE$1004,1,MATCH(COLUMNS($V$1006:W1006),$V$1006:$AE$1006,0)))),"Fix")))</f>
        <v>0</v>
      </c>
      <c r="D622" s="4">
        <f>IF(OR(INDEX($P$2:$P$1001,MATCH(ROWS($O$2:O622),$O$2:$O$1001,0),1)&gt;=100000,INDEX($V$1005:$AE$1005,1,MATCH(COLUMNS($V$1006:X1006),$V$1006:$AE$1006,0))&gt;=100000), " ",IF(INDEX($V$2:$AE$1001,MATCH(ROWS($O$2:O622),$O$2:$O$1001,0),MATCH(COLUMNS($V$1006:X1006),$V$1006:$AE$1006,0)), HYPERLINK("#",""), HYPERLINK(CONCATENATE("#Metadata!", ADDRESS(INDEX($Q$2:$Q$1001,MATCH(ROWS($O$2:O622),$O$2:$O$1001,0),0), INDEX($V$1004:$AE$1004,1,MATCH(COLUMNS($V$1006:X1006),$V$1006:$AE$1006,0)))),"Fix")))</f>
        <v>0</v>
      </c>
      <c r="E622" s="4">
        <f>IF(OR(INDEX($P$2:$P$1001,MATCH(ROWS($O$2:O622),$O$2:$O$1001,0),1)&gt;=100000,INDEX($V$1005:$AE$1005,1,MATCH(COLUMNS($V$1006:Y1006),$V$1006:$AE$1006,0))&gt;=100000), " ",IF(INDEX($V$2:$AE$1001,MATCH(ROWS($O$2:O622),$O$2:$O$1001,0),MATCH(COLUMNS($V$1006:Y1006),$V$1006:$AE$1006,0)), HYPERLINK("#",""), HYPERLINK(CONCATENATE("#Metadata!", ADDRESS(INDEX($Q$2:$Q$1001,MATCH(ROWS($O$2:O622),$O$2:$O$1001,0),0), INDEX($V$1004:$AE$1004,1,MATCH(COLUMNS($V$1006:Y1006),$V$1006:$AE$1006,0)))),"Fix")))</f>
        <v>0</v>
      </c>
      <c r="F622" s="4">
        <f>IF(OR(INDEX($P$2:$P$1001,MATCH(ROWS($O$2:O622),$O$2:$O$1001,0),1)&gt;=100000,INDEX($V$1005:$AE$1005,1,MATCH(COLUMNS($V$1006:Z1006),$V$1006:$AE$1006,0))&gt;=100000), " ",IF(INDEX($V$2:$AE$1001,MATCH(ROWS($O$2:O622),$O$2:$O$1001,0),MATCH(COLUMNS($V$1006:Z1006),$V$1006:$AE$1006,0)), HYPERLINK("#",""), HYPERLINK(CONCATENATE("#Metadata!", ADDRESS(INDEX($Q$2:$Q$1001,MATCH(ROWS($O$2:O622),$O$2:$O$1001,0),0), INDEX($V$1004:$AE$1004,1,MATCH(COLUMNS($V$1006:Z1006),$V$1006:$AE$1006,0)))),"Fix")))</f>
        <v>0</v>
      </c>
      <c r="G622" s="4">
        <f>IF(OR(INDEX($P$2:$P$1001,MATCH(ROWS($O$2:O622),$O$2:$O$1001,0),1)&gt;=100000,INDEX($V$1005:$AE$1005,1,MATCH(COLUMNS($V$1006:AA1006),$V$1006:$AE$1006,0))&gt;=100000), " ",IF(INDEX($V$2:$AE$1001,MATCH(ROWS($O$2:O622),$O$2:$O$1001,0),MATCH(COLUMNS($V$1006:AA1006),$V$1006:$AE$1006,0)), HYPERLINK("#",""), HYPERLINK(CONCATENATE("#Metadata!", ADDRESS(INDEX($Q$2:$Q$1001,MATCH(ROWS($O$2:O622),$O$2:$O$1001,0),0), INDEX($V$1004:$AE$1004,1,MATCH(COLUMNS($V$1006:AA1006),$V$1006:$AE$1006,0)))),"Fix")))</f>
        <v>0</v>
      </c>
      <c r="H622" s="4">
        <f>IF(OR(INDEX($P$2:$P$1001,MATCH(ROWS($O$2:O622),$O$2:$O$1001,0),1)&gt;=100000,INDEX($V$1005:$AE$1005,1,MATCH(COLUMNS($V$1006:AB1006),$V$1006:$AE$1006,0))&gt;=100000), " ",IF(INDEX($V$2:$AE$1001,MATCH(ROWS($O$2:O622),$O$2:$O$1001,0),MATCH(COLUMNS($V$1006:AB1006),$V$1006:$AE$1006,0)), HYPERLINK("#",""), HYPERLINK(CONCATENATE("#Metadata!", ADDRESS(INDEX($Q$2:$Q$1001,MATCH(ROWS($O$2:O622),$O$2:$O$1001,0),0), INDEX($V$1004:$AE$1004,1,MATCH(COLUMNS($V$1006:AB1006),$V$1006:$AE$1006,0)))),"Fix")))</f>
        <v>0</v>
      </c>
      <c r="I622" s="4">
        <f>IF(OR(INDEX($P$2:$P$1001,MATCH(ROWS($O$2:O622),$O$2:$O$1001,0),1)&gt;=100000,INDEX($V$1005:$AE$1005,1,MATCH(COLUMNS($V$1006:AC1006),$V$1006:$AE$1006,0))&gt;=100000), " ",IF(INDEX($V$2:$AE$1001,MATCH(ROWS($O$2:O622),$O$2:$O$1001,0),MATCH(COLUMNS($V$1006:AC1006),$V$1006:$AE$1006,0)), HYPERLINK("#",""), HYPERLINK(CONCATENATE("#Metadata!", ADDRESS(INDEX($Q$2:$Q$1001,MATCH(ROWS($O$2:O622),$O$2:$O$1001,0),0), INDEX($V$1004:$AE$1004,1,MATCH(COLUMNS($V$1006:AC1006),$V$1006:$AE$1006,0)))),"Fix")))</f>
        <v>0</v>
      </c>
      <c r="J622" s="4">
        <f>IF(OR(INDEX($P$2:$P$1001,MATCH(ROWS($O$2:O622),$O$2:$O$1001,0),1)&gt;=100000,INDEX($V$1005:$AE$1005,1,MATCH(COLUMNS($V$1006:AD1006),$V$1006:$AE$1006,0))&gt;=100000), " ",IF(INDEX($V$2:$AE$1001,MATCH(ROWS($O$2:O622),$O$2:$O$1001,0),MATCH(COLUMNS($V$1006:AD1006),$V$1006:$AE$1006,0)), HYPERLINK("#",""), HYPERLINK(CONCATENATE("#Metadata!", ADDRESS(INDEX($Q$2:$Q$1001,MATCH(ROWS($O$2:O622),$O$2:$O$1001,0),0), INDEX($V$1004:$AE$1004,1,MATCH(COLUMNS($V$1006:AD1006),$V$1006:$AE$1006,0)))),"Fix")))</f>
        <v>0</v>
      </c>
      <c r="K622" s="4">
        <f>IF(OR(INDEX($P$2:$P$1001,MATCH(ROWS($O$2:O622),$O$2:$O$1001,0),1)&gt;=100000,INDEX($V$1005:$AE$1005,1,MATCH(COLUMNS($V$1006:AE1006),$V$1006:$AE$1006,0))&gt;=100000), " ",IF(INDEX($V$2:$AE$1001,MATCH(ROWS($O$2:O622),$O$2:$O$1001,0),MATCH(COLUMNS($V$1006:AE1006),$V$1006:$AE$1006,0)), HYPERLINK("#",""), HYPERLINK(CONCATENATE("#Metadata!", ADDRESS(INDEX($Q$2:$Q$1001,MATCH(ROWS($O$2:O622),$O$2:$O$1001,0),0), INDEX($V$1004:$AE$1004,1,MATCH(COLUMNS($V$1006:AE1006),$V$1006:$AE$1006,0)))),"Fix")))</f>
        <v>0</v>
      </c>
      <c r="O622">
        <v>0</v>
      </c>
      <c r="P622">
        <v>0</v>
      </c>
      <c r="Q622">
        <v>0</v>
      </c>
      <c r="R622">
        <f>IF(S622,TRUE,AND(V622:AE622))</f>
        <v>0</v>
      </c>
      <c r="S622">
        <f>COUNTBLANK(Metadata!B622:K622)=COLUMNS(Metadata!B622:K622)</f>
        <v>0</v>
      </c>
      <c r="T622">
        <v>0</v>
      </c>
      <c r="V622">
        <f>AND(IF(Metadata!B622="",FALSE,TRUE),COUNTIF(Metadata!B:B, Metadata!B622) = 1,NOT(ISERROR(SUMPRODUCT(SEARCH(MID(Metadata!B622,ROW(INDIRECT("1:"&amp;LEN(Metadata!B622))), 1),"0123456789abcdefghijklmnopqrstuvwxyzABCDEFGHIJKLMNOPQRSTUVWXYZ.")))))</f>
        <v>0</v>
      </c>
      <c r="W622">
        <f>AND(IF(Metadata!C622="",FALSE,TRUE),exact(Metadata!C622,"urban biome"))</f>
        <v>0</v>
      </c>
      <c r="X622">
        <f>AND(IF(Metadata!D622="",FALSE,TRUE),exact(Metadata!D622,"animal-associated habitat"))</f>
        <v>0</v>
      </c>
      <c r="Y622">
        <f>OR(AND(IF(Metadata!E622="",FALSE,TRUE),OR(exact(Metadata!E622,"not applicable"),exact(Metadata!E622,"missing: not collected"),exact(Metadata!E622,"missing: not provided"),exact(Metadata!E622,"missing: restricted access"))),AND(IF(Metadata!E622="",FALSE,ISNUMBER(VALUE(Metadata!E622))),Metadata!E622&gt;0))</f>
        <v>0</v>
      </c>
      <c r="Z622">
        <f>AND(IF(Metadata!F622="",FALSE,TRUE),exact(Metadata!F622,"weeks"))</f>
        <v>0</v>
      </c>
      <c r="AA622">
        <f>AND(IF(Metadata!G622="",FALSE,TRUE),exact(Metadata!G622,"mouse"))</f>
        <v>0</v>
      </c>
      <c r="AB622">
        <f>AND(IF(Metadata!H622="",FALSE,TRUE),exact(Metadata!H622,"Mus musculus"))</f>
        <v>0</v>
      </c>
      <c r="AC622">
        <f>AND(IF(Metadata!I622="",FALSE,TRUE),exact(Metadata!I622,"10090"))</f>
        <v>0</v>
      </c>
      <c r="AD622">
        <f>OR(AND(IF(Metadata!J622="",FALSE,TRUE),OR(exact(Metadata!J622,"not applicable"),exact(Metadata!J622,"missing: not collected"),exact(Metadata!J622,"missing: not provided"),exact(Metadata!J622,"missing: restricted access"))),AND(IF(Metadata!J622="",FALSE,ISNUMBER(VALUE(Metadata!J622))),Metadata!J622&gt;0))</f>
        <v>0</v>
      </c>
      <c r="AE622">
        <f>AND(IF(Metadata!K622="",FALSE,TRUE),exact(Metadata!K622,"g"))</f>
        <v>0</v>
      </c>
    </row>
    <row r="623" spans="1:31">
      <c r="A623" s="5">
        <f>IF(B623=" "," ",HYPERLINK(CONCATENATE("#metadata!",ADDRESS(INDEX($Q$2:$Q$1001,MATCH(ROWS($O$2:O623),$O$2:$O$1001,0),0),1)),INDEX($T$2:$T$1001,MATCH(ROWS($O$2:O623),$O$2:$O$1001,0),0)))</f>
        <v>0</v>
      </c>
      <c r="B623" s="4">
        <f>IF(OR(INDEX($P$2:$P$1001,MATCH(ROWS($O$2:O623),$O$2:$O$1001,0),1)&gt;=100000,INDEX($V$1005:$AE$1005,1,MATCH(COLUMNS($V$1006:V1006),$V$1006:$AE$1006,0))&gt;=100000), " ",IF(INDEX($V$2:$AE$1001,MATCH(ROWS($O$2:O623),$O$2:$O$1001,0),MATCH(COLUMNS($V$1006:V1006),$V$1006:$AE$1006,0)), HYPERLINK("#",""), HYPERLINK(CONCATENATE("#Metadata!", ADDRESS(INDEX($Q$2:$Q$1001,MATCH(ROWS($O$2:O623),$O$2:$O$1001,0),0), INDEX($V$1004:$AE$1004,1,MATCH(COLUMNS($V$1006:V1006),$V$1006:$AE$1006,0)))),"Fix")))</f>
        <v>0</v>
      </c>
      <c r="C623" s="4">
        <f>IF(OR(INDEX($P$2:$P$1001,MATCH(ROWS($O$2:O623),$O$2:$O$1001,0),1)&gt;=100000,INDEX($V$1005:$AE$1005,1,MATCH(COLUMNS($V$1006:W1006),$V$1006:$AE$1006,0))&gt;=100000), " ",IF(INDEX($V$2:$AE$1001,MATCH(ROWS($O$2:O623),$O$2:$O$1001,0),MATCH(COLUMNS($V$1006:W1006),$V$1006:$AE$1006,0)), HYPERLINK("#",""), HYPERLINK(CONCATENATE("#Metadata!", ADDRESS(INDEX($Q$2:$Q$1001,MATCH(ROWS($O$2:O623),$O$2:$O$1001,0),0), INDEX($V$1004:$AE$1004,1,MATCH(COLUMNS($V$1006:W1006),$V$1006:$AE$1006,0)))),"Fix")))</f>
        <v>0</v>
      </c>
      <c r="D623" s="4">
        <f>IF(OR(INDEX($P$2:$P$1001,MATCH(ROWS($O$2:O623),$O$2:$O$1001,0),1)&gt;=100000,INDEX($V$1005:$AE$1005,1,MATCH(COLUMNS($V$1006:X1006),$V$1006:$AE$1006,0))&gt;=100000), " ",IF(INDEX($V$2:$AE$1001,MATCH(ROWS($O$2:O623),$O$2:$O$1001,0),MATCH(COLUMNS($V$1006:X1006),$V$1006:$AE$1006,0)), HYPERLINK("#",""), HYPERLINK(CONCATENATE("#Metadata!", ADDRESS(INDEX($Q$2:$Q$1001,MATCH(ROWS($O$2:O623),$O$2:$O$1001,0),0), INDEX($V$1004:$AE$1004,1,MATCH(COLUMNS($V$1006:X1006),$V$1006:$AE$1006,0)))),"Fix")))</f>
        <v>0</v>
      </c>
      <c r="E623" s="4">
        <f>IF(OR(INDEX($P$2:$P$1001,MATCH(ROWS($O$2:O623),$O$2:$O$1001,0),1)&gt;=100000,INDEX($V$1005:$AE$1005,1,MATCH(COLUMNS($V$1006:Y1006),$V$1006:$AE$1006,0))&gt;=100000), " ",IF(INDEX($V$2:$AE$1001,MATCH(ROWS($O$2:O623),$O$2:$O$1001,0),MATCH(COLUMNS($V$1006:Y1006),$V$1006:$AE$1006,0)), HYPERLINK("#",""), HYPERLINK(CONCATENATE("#Metadata!", ADDRESS(INDEX($Q$2:$Q$1001,MATCH(ROWS($O$2:O623),$O$2:$O$1001,0),0), INDEX($V$1004:$AE$1004,1,MATCH(COLUMNS($V$1006:Y1006),$V$1006:$AE$1006,0)))),"Fix")))</f>
        <v>0</v>
      </c>
      <c r="F623" s="4">
        <f>IF(OR(INDEX($P$2:$P$1001,MATCH(ROWS($O$2:O623),$O$2:$O$1001,0),1)&gt;=100000,INDEX($V$1005:$AE$1005,1,MATCH(COLUMNS($V$1006:Z1006),$V$1006:$AE$1006,0))&gt;=100000), " ",IF(INDEX($V$2:$AE$1001,MATCH(ROWS($O$2:O623),$O$2:$O$1001,0),MATCH(COLUMNS($V$1006:Z1006),$V$1006:$AE$1006,0)), HYPERLINK("#",""), HYPERLINK(CONCATENATE("#Metadata!", ADDRESS(INDEX($Q$2:$Q$1001,MATCH(ROWS($O$2:O623),$O$2:$O$1001,0),0), INDEX($V$1004:$AE$1004,1,MATCH(COLUMNS($V$1006:Z1006),$V$1006:$AE$1006,0)))),"Fix")))</f>
        <v>0</v>
      </c>
      <c r="G623" s="4">
        <f>IF(OR(INDEX($P$2:$P$1001,MATCH(ROWS($O$2:O623),$O$2:$O$1001,0),1)&gt;=100000,INDEX($V$1005:$AE$1005,1,MATCH(COLUMNS($V$1006:AA1006),$V$1006:$AE$1006,0))&gt;=100000), " ",IF(INDEX($V$2:$AE$1001,MATCH(ROWS($O$2:O623),$O$2:$O$1001,0),MATCH(COLUMNS($V$1006:AA1006),$V$1006:$AE$1006,0)), HYPERLINK("#",""), HYPERLINK(CONCATENATE("#Metadata!", ADDRESS(INDEX($Q$2:$Q$1001,MATCH(ROWS($O$2:O623),$O$2:$O$1001,0),0), INDEX($V$1004:$AE$1004,1,MATCH(COLUMNS($V$1006:AA1006),$V$1006:$AE$1006,0)))),"Fix")))</f>
        <v>0</v>
      </c>
      <c r="H623" s="4">
        <f>IF(OR(INDEX($P$2:$P$1001,MATCH(ROWS($O$2:O623),$O$2:$O$1001,0),1)&gt;=100000,INDEX($V$1005:$AE$1005,1,MATCH(COLUMNS($V$1006:AB1006),$V$1006:$AE$1006,0))&gt;=100000), " ",IF(INDEX($V$2:$AE$1001,MATCH(ROWS($O$2:O623),$O$2:$O$1001,0),MATCH(COLUMNS($V$1006:AB1006),$V$1006:$AE$1006,0)), HYPERLINK("#",""), HYPERLINK(CONCATENATE("#Metadata!", ADDRESS(INDEX($Q$2:$Q$1001,MATCH(ROWS($O$2:O623),$O$2:$O$1001,0),0), INDEX($V$1004:$AE$1004,1,MATCH(COLUMNS($V$1006:AB1006),$V$1006:$AE$1006,0)))),"Fix")))</f>
        <v>0</v>
      </c>
      <c r="I623" s="4">
        <f>IF(OR(INDEX($P$2:$P$1001,MATCH(ROWS($O$2:O623),$O$2:$O$1001,0),1)&gt;=100000,INDEX($V$1005:$AE$1005,1,MATCH(COLUMNS($V$1006:AC1006),$V$1006:$AE$1006,0))&gt;=100000), " ",IF(INDEX($V$2:$AE$1001,MATCH(ROWS($O$2:O623),$O$2:$O$1001,0),MATCH(COLUMNS($V$1006:AC1006),$V$1006:$AE$1006,0)), HYPERLINK("#",""), HYPERLINK(CONCATENATE("#Metadata!", ADDRESS(INDEX($Q$2:$Q$1001,MATCH(ROWS($O$2:O623),$O$2:$O$1001,0),0), INDEX($V$1004:$AE$1004,1,MATCH(COLUMNS($V$1006:AC1006),$V$1006:$AE$1006,0)))),"Fix")))</f>
        <v>0</v>
      </c>
      <c r="J623" s="4">
        <f>IF(OR(INDEX($P$2:$P$1001,MATCH(ROWS($O$2:O623),$O$2:$O$1001,0),1)&gt;=100000,INDEX($V$1005:$AE$1005,1,MATCH(COLUMNS($V$1006:AD1006),$V$1006:$AE$1006,0))&gt;=100000), " ",IF(INDEX($V$2:$AE$1001,MATCH(ROWS($O$2:O623),$O$2:$O$1001,0),MATCH(COLUMNS($V$1006:AD1006),$V$1006:$AE$1006,0)), HYPERLINK("#",""), HYPERLINK(CONCATENATE("#Metadata!", ADDRESS(INDEX($Q$2:$Q$1001,MATCH(ROWS($O$2:O623),$O$2:$O$1001,0),0), INDEX($V$1004:$AE$1004,1,MATCH(COLUMNS($V$1006:AD1006),$V$1006:$AE$1006,0)))),"Fix")))</f>
        <v>0</v>
      </c>
      <c r="K623" s="4">
        <f>IF(OR(INDEX($P$2:$P$1001,MATCH(ROWS($O$2:O623),$O$2:$O$1001,0),1)&gt;=100000,INDEX($V$1005:$AE$1005,1,MATCH(COLUMNS($V$1006:AE1006),$V$1006:$AE$1006,0))&gt;=100000), " ",IF(INDEX($V$2:$AE$1001,MATCH(ROWS($O$2:O623),$O$2:$O$1001,0),MATCH(COLUMNS($V$1006:AE1006),$V$1006:$AE$1006,0)), HYPERLINK("#",""), HYPERLINK(CONCATENATE("#Metadata!", ADDRESS(INDEX($Q$2:$Q$1001,MATCH(ROWS($O$2:O623),$O$2:$O$1001,0),0), INDEX($V$1004:$AE$1004,1,MATCH(COLUMNS($V$1006:AE1006),$V$1006:$AE$1006,0)))),"Fix")))</f>
        <v>0</v>
      </c>
      <c r="O623">
        <v>0</v>
      </c>
      <c r="P623">
        <v>0</v>
      </c>
      <c r="Q623">
        <v>0</v>
      </c>
      <c r="R623">
        <f>IF(S623,TRUE,AND(V623:AE623))</f>
        <v>0</v>
      </c>
      <c r="S623">
        <f>COUNTBLANK(Metadata!B623:K623)=COLUMNS(Metadata!B623:K623)</f>
        <v>0</v>
      </c>
      <c r="T623">
        <v>0</v>
      </c>
      <c r="V623">
        <f>AND(IF(Metadata!B623="",FALSE,TRUE),COUNTIF(Metadata!B:B, Metadata!B623) = 1,NOT(ISERROR(SUMPRODUCT(SEARCH(MID(Metadata!B623,ROW(INDIRECT("1:"&amp;LEN(Metadata!B623))), 1),"0123456789abcdefghijklmnopqrstuvwxyzABCDEFGHIJKLMNOPQRSTUVWXYZ.")))))</f>
        <v>0</v>
      </c>
      <c r="W623">
        <f>AND(IF(Metadata!C623="",FALSE,TRUE),exact(Metadata!C623,"urban biome"))</f>
        <v>0</v>
      </c>
      <c r="X623">
        <f>AND(IF(Metadata!D623="",FALSE,TRUE),exact(Metadata!D623,"animal-associated habitat"))</f>
        <v>0</v>
      </c>
      <c r="Y623">
        <f>OR(AND(IF(Metadata!E623="",FALSE,TRUE),OR(exact(Metadata!E623,"not applicable"),exact(Metadata!E623,"missing: not collected"),exact(Metadata!E623,"missing: not provided"),exact(Metadata!E623,"missing: restricted access"))),AND(IF(Metadata!E623="",FALSE,ISNUMBER(VALUE(Metadata!E623))),Metadata!E623&gt;0))</f>
        <v>0</v>
      </c>
      <c r="Z623">
        <f>AND(IF(Metadata!F623="",FALSE,TRUE),exact(Metadata!F623,"weeks"))</f>
        <v>0</v>
      </c>
      <c r="AA623">
        <f>AND(IF(Metadata!G623="",FALSE,TRUE),exact(Metadata!G623,"mouse"))</f>
        <v>0</v>
      </c>
      <c r="AB623">
        <f>AND(IF(Metadata!H623="",FALSE,TRUE),exact(Metadata!H623,"Mus musculus"))</f>
        <v>0</v>
      </c>
      <c r="AC623">
        <f>AND(IF(Metadata!I623="",FALSE,TRUE),exact(Metadata!I623,"10090"))</f>
        <v>0</v>
      </c>
      <c r="AD623">
        <f>OR(AND(IF(Metadata!J623="",FALSE,TRUE),OR(exact(Metadata!J623,"not applicable"),exact(Metadata!J623,"missing: not collected"),exact(Metadata!J623,"missing: not provided"),exact(Metadata!J623,"missing: restricted access"))),AND(IF(Metadata!J623="",FALSE,ISNUMBER(VALUE(Metadata!J623))),Metadata!J623&gt;0))</f>
        <v>0</v>
      </c>
      <c r="AE623">
        <f>AND(IF(Metadata!K623="",FALSE,TRUE),exact(Metadata!K623,"g"))</f>
        <v>0</v>
      </c>
    </row>
    <row r="624" spans="1:31">
      <c r="A624" s="5">
        <f>IF(B624=" "," ",HYPERLINK(CONCATENATE("#metadata!",ADDRESS(INDEX($Q$2:$Q$1001,MATCH(ROWS($O$2:O624),$O$2:$O$1001,0),0),1)),INDEX($T$2:$T$1001,MATCH(ROWS($O$2:O624),$O$2:$O$1001,0),0)))</f>
        <v>0</v>
      </c>
      <c r="B624" s="4">
        <f>IF(OR(INDEX($P$2:$P$1001,MATCH(ROWS($O$2:O624),$O$2:$O$1001,0),1)&gt;=100000,INDEX($V$1005:$AE$1005,1,MATCH(COLUMNS($V$1006:V1006),$V$1006:$AE$1006,0))&gt;=100000), " ",IF(INDEX($V$2:$AE$1001,MATCH(ROWS($O$2:O624),$O$2:$O$1001,0),MATCH(COLUMNS($V$1006:V1006),$V$1006:$AE$1006,0)), HYPERLINK("#",""), HYPERLINK(CONCATENATE("#Metadata!", ADDRESS(INDEX($Q$2:$Q$1001,MATCH(ROWS($O$2:O624),$O$2:$O$1001,0),0), INDEX($V$1004:$AE$1004,1,MATCH(COLUMNS($V$1006:V1006),$V$1006:$AE$1006,0)))),"Fix")))</f>
        <v>0</v>
      </c>
      <c r="C624" s="4">
        <f>IF(OR(INDEX($P$2:$P$1001,MATCH(ROWS($O$2:O624),$O$2:$O$1001,0),1)&gt;=100000,INDEX($V$1005:$AE$1005,1,MATCH(COLUMNS($V$1006:W1006),$V$1006:$AE$1006,0))&gt;=100000), " ",IF(INDEX($V$2:$AE$1001,MATCH(ROWS($O$2:O624),$O$2:$O$1001,0),MATCH(COLUMNS($V$1006:W1006),$V$1006:$AE$1006,0)), HYPERLINK("#",""), HYPERLINK(CONCATENATE("#Metadata!", ADDRESS(INDEX($Q$2:$Q$1001,MATCH(ROWS($O$2:O624),$O$2:$O$1001,0),0), INDEX($V$1004:$AE$1004,1,MATCH(COLUMNS($V$1006:W1006),$V$1006:$AE$1006,0)))),"Fix")))</f>
        <v>0</v>
      </c>
      <c r="D624" s="4">
        <f>IF(OR(INDEX($P$2:$P$1001,MATCH(ROWS($O$2:O624),$O$2:$O$1001,0),1)&gt;=100000,INDEX($V$1005:$AE$1005,1,MATCH(COLUMNS($V$1006:X1006),$V$1006:$AE$1006,0))&gt;=100000), " ",IF(INDEX($V$2:$AE$1001,MATCH(ROWS($O$2:O624),$O$2:$O$1001,0),MATCH(COLUMNS($V$1006:X1006),$V$1006:$AE$1006,0)), HYPERLINK("#",""), HYPERLINK(CONCATENATE("#Metadata!", ADDRESS(INDEX($Q$2:$Q$1001,MATCH(ROWS($O$2:O624),$O$2:$O$1001,0),0), INDEX($V$1004:$AE$1004,1,MATCH(COLUMNS($V$1006:X1006),$V$1006:$AE$1006,0)))),"Fix")))</f>
        <v>0</v>
      </c>
      <c r="E624" s="4">
        <f>IF(OR(INDEX($P$2:$P$1001,MATCH(ROWS($O$2:O624),$O$2:$O$1001,0),1)&gt;=100000,INDEX($V$1005:$AE$1005,1,MATCH(COLUMNS($V$1006:Y1006),$V$1006:$AE$1006,0))&gt;=100000), " ",IF(INDEX($V$2:$AE$1001,MATCH(ROWS($O$2:O624),$O$2:$O$1001,0),MATCH(COLUMNS($V$1006:Y1006),$V$1006:$AE$1006,0)), HYPERLINK("#",""), HYPERLINK(CONCATENATE("#Metadata!", ADDRESS(INDEX($Q$2:$Q$1001,MATCH(ROWS($O$2:O624),$O$2:$O$1001,0),0), INDEX($V$1004:$AE$1004,1,MATCH(COLUMNS($V$1006:Y1006),$V$1006:$AE$1006,0)))),"Fix")))</f>
        <v>0</v>
      </c>
      <c r="F624" s="4">
        <f>IF(OR(INDEX($P$2:$P$1001,MATCH(ROWS($O$2:O624),$O$2:$O$1001,0),1)&gt;=100000,INDEX($V$1005:$AE$1005,1,MATCH(COLUMNS($V$1006:Z1006),$V$1006:$AE$1006,0))&gt;=100000), " ",IF(INDEX($V$2:$AE$1001,MATCH(ROWS($O$2:O624),$O$2:$O$1001,0),MATCH(COLUMNS($V$1006:Z1006),$V$1006:$AE$1006,0)), HYPERLINK("#",""), HYPERLINK(CONCATENATE("#Metadata!", ADDRESS(INDEX($Q$2:$Q$1001,MATCH(ROWS($O$2:O624),$O$2:$O$1001,0),0), INDEX($V$1004:$AE$1004,1,MATCH(COLUMNS($V$1006:Z1006),$V$1006:$AE$1006,0)))),"Fix")))</f>
        <v>0</v>
      </c>
      <c r="G624" s="4">
        <f>IF(OR(INDEX($P$2:$P$1001,MATCH(ROWS($O$2:O624),$O$2:$O$1001,0),1)&gt;=100000,INDEX($V$1005:$AE$1005,1,MATCH(COLUMNS($V$1006:AA1006),$V$1006:$AE$1006,0))&gt;=100000), " ",IF(INDEX($V$2:$AE$1001,MATCH(ROWS($O$2:O624),$O$2:$O$1001,0),MATCH(COLUMNS($V$1006:AA1006),$V$1006:$AE$1006,0)), HYPERLINK("#",""), HYPERLINK(CONCATENATE("#Metadata!", ADDRESS(INDEX($Q$2:$Q$1001,MATCH(ROWS($O$2:O624),$O$2:$O$1001,0),0), INDEX($V$1004:$AE$1004,1,MATCH(COLUMNS($V$1006:AA1006),$V$1006:$AE$1006,0)))),"Fix")))</f>
        <v>0</v>
      </c>
      <c r="H624" s="4">
        <f>IF(OR(INDEX($P$2:$P$1001,MATCH(ROWS($O$2:O624),$O$2:$O$1001,0),1)&gt;=100000,INDEX($V$1005:$AE$1005,1,MATCH(COLUMNS($V$1006:AB1006),$V$1006:$AE$1006,0))&gt;=100000), " ",IF(INDEX($V$2:$AE$1001,MATCH(ROWS($O$2:O624),$O$2:$O$1001,0),MATCH(COLUMNS($V$1006:AB1006),$V$1006:$AE$1006,0)), HYPERLINK("#",""), HYPERLINK(CONCATENATE("#Metadata!", ADDRESS(INDEX($Q$2:$Q$1001,MATCH(ROWS($O$2:O624),$O$2:$O$1001,0),0), INDEX($V$1004:$AE$1004,1,MATCH(COLUMNS($V$1006:AB1006),$V$1006:$AE$1006,0)))),"Fix")))</f>
        <v>0</v>
      </c>
      <c r="I624" s="4">
        <f>IF(OR(INDEX($P$2:$P$1001,MATCH(ROWS($O$2:O624),$O$2:$O$1001,0),1)&gt;=100000,INDEX($V$1005:$AE$1005,1,MATCH(COLUMNS($V$1006:AC1006),$V$1006:$AE$1006,0))&gt;=100000), " ",IF(INDEX($V$2:$AE$1001,MATCH(ROWS($O$2:O624),$O$2:$O$1001,0),MATCH(COLUMNS($V$1006:AC1006),$V$1006:$AE$1006,0)), HYPERLINK("#",""), HYPERLINK(CONCATENATE("#Metadata!", ADDRESS(INDEX($Q$2:$Q$1001,MATCH(ROWS($O$2:O624),$O$2:$O$1001,0),0), INDEX($V$1004:$AE$1004,1,MATCH(COLUMNS($V$1006:AC1006),$V$1006:$AE$1006,0)))),"Fix")))</f>
        <v>0</v>
      </c>
      <c r="J624" s="4">
        <f>IF(OR(INDEX($P$2:$P$1001,MATCH(ROWS($O$2:O624),$O$2:$O$1001,0),1)&gt;=100000,INDEX($V$1005:$AE$1005,1,MATCH(COLUMNS($V$1006:AD1006),$V$1006:$AE$1006,0))&gt;=100000), " ",IF(INDEX($V$2:$AE$1001,MATCH(ROWS($O$2:O624),$O$2:$O$1001,0),MATCH(COLUMNS($V$1006:AD1006),$V$1006:$AE$1006,0)), HYPERLINK("#",""), HYPERLINK(CONCATENATE("#Metadata!", ADDRESS(INDEX($Q$2:$Q$1001,MATCH(ROWS($O$2:O624),$O$2:$O$1001,0),0), INDEX($V$1004:$AE$1004,1,MATCH(COLUMNS($V$1006:AD1006),$V$1006:$AE$1006,0)))),"Fix")))</f>
        <v>0</v>
      </c>
      <c r="K624" s="4">
        <f>IF(OR(INDEX($P$2:$P$1001,MATCH(ROWS($O$2:O624),$O$2:$O$1001,0),1)&gt;=100000,INDEX($V$1005:$AE$1005,1,MATCH(COLUMNS($V$1006:AE1006),$V$1006:$AE$1006,0))&gt;=100000), " ",IF(INDEX($V$2:$AE$1001,MATCH(ROWS($O$2:O624),$O$2:$O$1001,0),MATCH(COLUMNS($V$1006:AE1006),$V$1006:$AE$1006,0)), HYPERLINK("#",""), HYPERLINK(CONCATENATE("#Metadata!", ADDRESS(INDEX($Q$2:$Q$1001,MATCH(ROWS($O$2:O624),$O$2:$O$1001,0),0), INDEX($V$1004:$AE$1004,1,MATCH(COLUMNS($V$1006:AE1006),$V$1006:$AE$1006,0)))),"Fix")))</f>
        <v>0</v>
      </c>
      <c r="O624">
        <v>0</v>
      </c>
      <c r="P624">
        <v>0</v>
      </c>
      <c r="Q624">
        <v>0</v>
      </c>
      <c r="R624">
        <f>IF(S624,TRUE,AND(V624:AE624))</f>
        <v>0</v>
      </c>
      <c r="S624">
        <f>COUNTBLANK(Metadata!B624:K624)=COLUMNS(Metadata!B624:K624)</f>
        <v>0</v>
      </c>
      <c r="T624">
        <v>0</v>
      </c>
      <c r="V624">
        <f>AND(IF(Metadata!B624="",FALSE,TRUE),COUNTIF(Metadata!B:B, Metadata!B624) = 1,NOT(ISERROR(SUMPRODUCT(SEARCH(MID(Metadata!B624,ROW(INDIRECT("1:"&amp;LEN(Metadata!B624))), 1),"0123456789abcdefghijklmnopqrstuvwxyzABCDEFGHIJKLMNOPQRSTUVWXYZ.")))))</f>
        <v>0</v>
      </c>
      <c r="W624">
        <f>AND(IF(Metadata!C624="",FALSE,TRUE),exact(Metadata!C624,"urban biome"))</f>
        <v>0</v>
      </c>
      <c r="X624">
        <f>AND(IF(Metadata!D624="",FALSE,TRUE),exact(Metadata!D624,"animal-associated habitat"))</f>
        <v>0</v>
      </c>
      <c r="Y624">
        <f>OR(AND(IF(Metadata!E624="",FALSE,TRUE),OR(exact(Metadata!E624,"not applicable"),exact(Metadata!E624,"missing: not collected"),exact(Metadata!E624,"missing: not provided"),exact(Metadata!E624,"missing: restricted access"))),AND(IF(Metadata!E624="",FALSE,ISNUMBER(VALUE(Metadata!E624))),Metadata!E624&gt;0))</f>
        <v>0</v>
      </c>
      <c r="Z624">
        <f>AND(IF(Metadata!F624="",FALSE,TRUE),exact(Metadata!F624,"weeks"))</f>
        <v>0</v>
      </c>
      <c r="AA624">
        <f>AND(IF(Metadata!G624="",FALSE,TRUE),exact(Metadata!G624,"mouse"))</f>
        <v>0</v>
      </c>
      <c r="AB624">
        <f>AND(IF(Metadata!H624="",FALSE,TRUE),exact(Metadata!H624,"Mus musculus"))</f>
        <v>0</v>
      </c>
      <c r="AC624">
        <f>AND(IF(Metadata!I624="",FALSE,TRUE),exact(Metadata!I624,"10090"))</f>
        <v>0</v>
      </c>
      <c r="AD624">
        <f>OR(AND(IF(Metadata!J624="",FALSE,TRUE),OR(exact(Metadata!J624,"not applicable"),exact(Metadata!J624,"missing: not collected"),exact(Metadata!J624,"missing: not provided"),exact(Metadata!J624,"missing: restricted access"))),AND(IF(Metadata!J624="",FALSE,ISNUMBER(VALUE(Metadata!J624))),Metadata!J624&gt;0))</f>
        <v>0</v>
      </c>
      <c r="AE624">
        <f>AND(IF(Metadata!K624="",FALSE,TRUE),exact(Metadata!K624,"g"))</f>
        <v>0</v>
      </c>
    </row>
    <row r="625" spans="1:31">
      <c r="A625" s="5">
        <f>IF(B625=" "," ",HYPERLINK(CONCATENATE("#metadata!",ADDRESS(INDEX($Q$2:$Q$1001,MATCH(ROWS($O$2:O625),$O$2:$O$1001,0),0),1)),INDEX($T$2:$T$1001,MATCH(ROWS($O$2:O625),$O$2:$O$1001,0),0)))</f>
        <v>0</v>
      </c>
      <c r="B625" s="4">
        <f>IF(OR(INDEX($P$2:$P$1001,MATCH(ROWS($O$2:O625),$O$2:$O$1001,0),1)&gt;=100000,INDEX($V$1005:$AE$1005,1,MATCH(COLUMNS($V$1006:V1006),$V$1006:$AE$1006,0))&gt;=100000), " ",IF(INDEX($V$2:$AE$1001,MATCH(ROWS($O$2:O625),$O$2:$O$1001,0),MATCH(COLUMNS($V$1006:V1006),$V$1006:$AE$1006,0)), HYPERLINK("#",""), HYPERLINK(CONCATENATE("#Metadata!", ADDRESS(INDEX($Q$2:$Q$1001,MATCH(ROWS($O$2:O625),$O$2:$O$1001,0),0), INDEX($V$1004:$AE$1004,1,MATCH(COLUMNS($V$1006:V1006),$V$1006:$AE$1006,0)))),"Fix")))</f>
        <v>0</v>
      </c>
      <c r="C625" s="4">
        <f>IF(OR(INDEX($P$2:$P$1001,MATCH(ROWS($O$2:O625),$O$2:$O$1001,0),1)&gt;=100000,INDEX($V$1005:$AE$1005,1,MATCH(COLUMNS($V$1006:W1006),$V$1006:$AE$1006,0))&gt;=100000), " ",IF(INDEX($V$2:$AE$1001,MATCH(ROWS($O$2:O625),$O$2:$O$1001,0),MATCH(COLUMNS($V$1006:W1006),$V$1006:$AE$1006,0)), HYPERLINK("#",""), HYPERLINK(CONCATENATE("#Metadata!", ADDRESS(INDEX($Q$2:$Q$1001,MATCH(ROWS($O$2:O625),$O$2:$O$1001,0),0), INDEX($V$1004:$AE$1004,1,MATCH(COLUMNS($V$1006:W1006),$V$1006:$AE$1006,0)))),"Fix")))</f>
        <v>0</v>
      </c>
      <c r="D625" s="4">
        <f>IF(OR(INDEX($P$2:$P$1001,MATCH(ROWS($O$2:O625),$O$2:$O$1001,0),1)&gt;=100000,INDEX($V$1005:$AE$1005,1,MATCH(COLUMNS($V$1006:X1006),$V$1006:$AE$1006,0))&gt;=100000), " ",IF(INDEX($V$2:$AE$1001,MATCH(ROWS($O$2:O625),$O$2:$O$1001,0),MATCH(COLUMNS($V$1006:X1006),$V$1006:$AE$1006,0)), HYPERLINK("#",""), HYPERLINK(CONCATENATE("#Metadata!", ADDRESS(INDEX($Q$2:$Q$1001,MATCH(ROWS($O$2:O625),$O$2:$O$1001,0),0), INDEX($V$1004:$AE$1004,1,MATCH(COLUMNS($V$1006:X1006),$V$1006:$AE$1006,0)))),"Fix")))</f>
        <v>0</v>
      </c>
      <c r="E625" s="4">
        <f>IF(OR(INDEX($P$2:$P$1001,MATCH(ROWS($O$2:O625),$O$2:$O$1001,0),1)&gt;=100000,INDEX($V$1005:$AE$1005,1,MATCH(COLUMNS($V$1006:Y1006),$V$1006:$AE$1006,0))&gt;=100000), " ",IF(INDEX($V$2:$AE$1001,MATCH(ROWS($O$2:O625),$O$2:$O$1001,0),MATCH(COLUMNS($V$1006:Y1006),$V$1006:$AE$1006,0)), HYPERLINK("#",""), HYPERLINK(CONCATENATE("#Metadata!", ADDRESS(INDEX($Q$2:$Q$1001,MATCH(ROWS($O$2:O625),$O$2:$O$1001,0),0), INDEX($V$1004:$AE$1004,1,MATCH(COLUMNS($V$1006:Y1006),$V$1006:$AE$1006,0)))),"Fix")))</f>
        <v>0</v>
      </c>
      <c r="F625" s="4">
        <f>IF(OR(INDEX($P$2:$P$1001,MATCH(ROWS($O$2:O625),$O$2:$O$1001,0),1)&gt;=100000,INDEX($V$1005:$AE$1005,1,MATCH(COLUMNS($V$1006:Z1006),$V$1006:$AE$1006,0))&gt;=100000), " ",IF(INDEX($V$2:$AE$1001,MATCH(ROWS($O$2:O625),$O$2:$O$1001,0),MATCH(COLUMNS($V$1006:Z1006),$V$1006:$AE$1006,0)), HYPERLINK("#",""), HYPERLINK(CONCATENATE("#Metadata!", ADDRESS(INDEX($Q$2:$Q$1001,MATCH(ROWS($O$2:O625),$O$2:$O$1001,0),0), INDEX($V$1004:$AE$1004,1,MATCH(COLUMNS($V$1006:Z1006),$V$1006:$AE$1006,0)))),"Fix")))</f>
        <v>0</v>
      </c>
      <c r="G625" s="4">
        <f>IF(OR(INDEX($P$2:$P$1001,MATCH(ROWS($O$2:O625),$O$2:$O$1001,0),1)&gt;=100000,INDEX($V$1005:$AE$1005,1,MATCH(COLUMNS($V$1006:AA1006),$V$1006:$AE$1006,0))&gt;=100000), " ",IF(INDEX($V$2:$AE$1001,MATCH(ROWS($O$2:O625),$O$2:$O$1001,0),MATCH(COLUMNS($V$1006:AA1006),$V$1006:$AE$1006,0)), HYPERLINK("#",""), HYPERLINK(CONCATENATE("#Metadata!", ADDRESS(INDEX($Q$2:$Q$1001,MATCH(ROWS($O$2:O625),$O$2:$O$1001,0),0), INDEX($V$1004:$AE$1004,1,MATCH(COLUMNS($V$1006:AA1006),$V$1006:$AE$1006,0)))),"Fix")))</f>
        <v>0</v>
      </c>
      <c r="H625" s="4">
        <f>IF(OR(INDEX($P$2:$P$1001,MATCH(ROWS($O$2:O625),$O$2:$O$1001,0),1)&gt;=100000,INDEX($V$1005:$AE$1005,1,MATCH(COLUMNS($V$1006:AB1006),$V$1006:$AE$1006,0))&gt;=100000), " ",IF(INDEX($V$2:$AE$1001,MATCH(ROWS($O$2:O625),$O$2:$O$1001,0),MATCH(COLUMNS($V$1006:AB1006),$V$1006:$AE$1006,0)), HYPERLINK("#",""), HYPERLINK(CONCATENATE("#Metadata!", ADDRESS(INDEX($Q$2:$Q$1001,MATCH(ROWS($O$2:O625),$O$2:$O$1001,0),0), INDEX($V$1004:$AE$1004,1,MATCH(COLUMNS($V$1006:AB1006),$V$1006:$AE$1006,0)))),"Fix")))</f>
        <v>0</v>
      </c>
      <c r="I625" s="4">
        <f>IF(OR(INDEX($P$2:$P$1001,MATCH(ROWS($O$2:O625),$O$2:$O$1001,0),1)&gt;=100000,INDEX($V$1005:$AE$1005,1,MATCH(COLUMNS($V$1006:AC1006),$V$1006:$AE$1006,0))&gt;=100000), " ",IF(INDEX($V$2:$AE$1001,MATCH(ROWS($O$2:O625),$O$2:$O$1001,0),MATCH(COLUMNS($V$1006:AC1006),$V$1006:$AE$1006,0)), HYPERLINK("#",""), HYPERLINK(CONCATENATE("#Metadata!", ADDRESS(INDEX($Q$2:$Q$1001,MATCH(ROWS($O$2:O625),$O$2:$O$1001,0),0), INDEX($V$1004:$AE$1004,1,MATCH(COLUMNS($V$1006:AC1006),$V$1006:$AE$1006,0)))),"Fix")))</f>
        <v>0</v>
      </c>
      <c r="J625" s="4">
        <f>IF(OR(INDEX($P$2:$P$1001,MATCH(ROWS($O$2:O625),$O$2:$O$1001,0),1)&gt;=100000,INDEX($V$1005:$AE$1005,1,MATCH(COLUMNS($V$1006:AD1006),$V$1006:$AE$1006,0))&gt;=100000), " ",IF(INDEX($V$2:$AE$1001,MATCH(ROWS($O$2:O625),$O$2:$O$1001,0),MATCH(COLUMNS($V$1006:AD1006),$V$1006:$AE$1006,0)), HYPERLINK("#",""), HYPERLINK(CONCATENATE("#Metadata!", ADDRESS(INDEX($Q$2:$Q$1001,MATCH(ROWS($O$2:O625),$O$2:$O$1001,0),0), INDEX($V$1004:$AE$1004,1,MATCH(COLUMNS($V$1006:AD1006),$V$1006:$AE$1006,0)))),"Fix")))</f>
        <v>0</v>
      </c>
      <c r="K625" s="4">
        <f>IF(OR(INDEX($P$2:$P$1001,MATCH(ROWS($O$2:O625),$O$2:$O$1001,0),1)&gt;=100000,INDEX($V$1005:$AE$1005,1,MATCH(COLUMNS($V$1006:AE1006),$V$1006:$AE$1006,0))&gt;=100000), " ",IF(INDEX($V$2:$AE$1001,MATCH(ROWS($O$2:O625),$O$2:$O$1001,0),MATCH(COLUMNS($V$1006:AE1006),$V$1006:$AE$1006,0)), HYPERLINK("#",""), HYPERLINK(CONCATENATE("#Metadata!", ADDRESS(INDEX($Q$2:$Q$1001,MATCH(ROWS($O$2:O625),$O$2:$O$1001,0),0), INDEX($V$1004:$AE$1004,1,MATCH(COLUMNS($V$1006:AE1006),$V$1006:$AE$1006,0)))),"Fix")))</f>
        <v>0</v>
      </c>
      <c r="O625">
        <v>0</v>
      </c>
      <c r="P625">
        <v>0</v>
      </c>
      <c r="Q625">
        <v>0</v>
      </c>
      <c r="R625">
        <f>IF(S625,TRUE,AND(V625:AE625))</f>
        <v>0</v>
      </c>
      <c r="S625">
        <f>COUNTBLANK(Metadata!B625:K625)=COLUMNS(Metadata!B625:K625)</f>
        <v>0</v>
      </c>
      <c r="T625">
        <v>0</v>
      </c>
      <c r="V625">
        <f>AND(IF(Metadata!B625="",FALSE,TRUE),COUNTIF(Metadata!B:B, Metadata!B625) = 1,NOT(ISERROR(SUMPRODUCT(SEARCH(MID(Metadata!B625,ROW(INDIRECT("1:"&amp;LEN(Metadata!B625))), 1),"0123456789abcdefghijklmnopqrstuvwxyzABCDEFGHIJKLMNOPQRSTUVWXYZ.")))))</f>
        <v>0</v>
      </c>
      <c r="W625">
        <f>AND(IF(Metadata!C625="",FALSE,TRUE),exact(Metadata!C625,"urban biome"))</f>
        <v>0</v>
      </c>
      <c r="X625">
        <f>AND(IF(Metadata!D625="",FALSE,TRUE),exact(Metadata!D625,"animal-associated habitat"))</f>
        <v>0</v>
      </c>
      <c r="Y625">
        <f>OR(AND(IF(Metadata!E625="",FALSE,TRUE),OR(exact(Metadata!E625,"not applicable"),exact(Metadata!E625,"missing: not collected"),exact(Metadata!E625,"missing: not provided"),exact(Metadata!E625,"missing: restricted access"))),AND(IF(Metadata!E625="",FALSE,ISNUMBER(VALUE(Metadata!E625))),Metadata!E625&gt;0))</f>
        <v>0</v>
      </c>
      <c r="Z625">
        <f>AND(IF(Metadata!F625="",FALSE,TRUE),exact(Metadata!F625,"weeks"))</f>
        <v>0</v>
      </c>
      <c r="AA625">
        <f>AND(IF(Metadata!G625="",FALSE,TRUE),exact(Metadata!G625,"mouse"))</f>
        <v>0</v>
      </c>
      <c r="AB625">
        <f>AND(IF(Metadata!H625="",FALSE,TRUE),exact(Metadata!H625,"Mus musculus"))</f>
        <v>0</v>
      </c>
      <c r="AC625">
        <f>AND(IF(Metadata!I625="",FALSE,TRUE),exact(Metadata!I625,"10090"))</f>
        <v>0</v>
      </c>
      <c r="AD625">
        <f>OR(AND(IF(Metadata!J625="",FALSE,TRUE),OR(exact(Metadata!J625,"not applicable"),exact(Metadata!J625,"missing: not collected"),exact(Metadata!J625,"missing: not provided"),exact(Metadata!J625,"missing: restricted access"))),AND(IF(Metadata!J625="",FALSE,ISNUMBER(VALUE(Metadata!J625))),Metadata!J625&gt;0))</f>
        <v>0</v>
      </c>
      <c r="AE625">
        <f>AND(IF(Metadata!K625="",FALSE,TRUE),exact(Metadata!K625,"g"))</f>
        <v>0</v>
      </c>
    </row>
    <row r="626" spans="1:31">
      <c r="A626" s="5">
        <f>IF(B626=" "," ",HYPERLINK(CONCATENATE("#metadata!",ADDRESS(INDEX($Q$2:$Q$1001,MATCH(ROWS($O$2:O626),$O$2:$O$1001,0),0),1)),INDEX($T$2:$T$1001,MATCH(ROWS($O$2:O626),$O$2:$O$1001,0),0)))</f>
        <v>0</v>
      </c>
      <c r="B626" s="4">
        <f>IF(OR(INDEX($P$2:$P$1001,MATCH(ROWS($O$2:O626),$O$2:$O$1001,0),1)&gt;=100000,INDEX($V$1005:$AE$1005,1,MATCH(COLUMNS($V$1006:V1006),$V$1006:$AE$1006,0))&gt;=100000), " ",IF(INDEX($V$2:$AE$1001,MATCH(ROWS($O$2:O626),$O$2:$O$1001,0),MATCH(COLUMNS($V$1006:V1006),$V$1006:$AE$1006,0)), HYPERLINK("#",""), HYPERLINK(CONCATENATE("#Metadata!", ADDRESS(INDEX($Q$2:$Q$1001,MATCH(ROWS($O$2:O626),$O$2:$O$1001,0),0), INDEX($V$1004:$AE$1004,1,MATCH(COLUMNS($V$1006:V1006),$V$1006:$AE$1006,0)))),"Fix")))</f>
        <v>0</v>
      </c>
      <c r="C626" s="4">
        <f>IF(OR(INDEX($P$2:$P$1001,MATCH(ROWS($O$2:O626),$O$2:$O$1001,0),1)&gt;=100000,INDEX($V$1005:$AE$1005,1,MATCH(COLUMNS($V$1006:W1006),$V$1006:$AE$1006,0))&gt;=100000), " ",IF(INDEX($V$2:$AE$1001,MATCH(ROWS($O$2:O626),$O$2:$O$1001,0),MATCH(COLUMNS($V$1006:W1006),$V$1006:$AE$1006,0)), HYPERLINK("#",""), HYPERLINK(CONCATENATE("#Metadata!", ADDRESS(INDEX($Q$2:$Q$1001,MATCH(ROWS($O$2:O626),$O$2:$O$1001,0),0), INDEX($V$1004:$AE$1004,1,MATCH(COLUMNS($V$1006:W1006),$V$1006:$AE$1006,0)))),"Fix")))</f>
        <v>0</v>
      </c>
      <c r="D626" s="4">
        <f>IF(OR(INDEX($P$2:$P$1001,MATCH(ROWS($O$2:O626),$O$2:$O$1001,0),1)&gt;=100000,INDEX($V$1005:$AE$1005,1,MATCH(COLUMNS($V$1006:X1006),$V$1006:$AE$1006,0))&gt;=100000), " ",IF(INDEX($V$2:$AE$1001,MATCH(ROWS($O$2:O626),$O$2:$O$1001,0),MATCH(COLUMNS($V$1006:X1006),$V$1006:$AE$1006,0)), HYPERLINK("#",""), HYPERLINK(CONCATENATE("#Metadata!", ADDRESS(INDEX($Q$2:$Q$1001,MATCH(ROWS($O$2:O626),$O$2:$O$1001,0),0), INDEX($V$1004:$AE$1004,1,MATCH(COLUMNS($V$1006:X1006),$V$1006:$AE$1006,0)))),"Fix")))</f>
        <v>0</v>
      </c>
      <c r="E626" s="4">
        <f>IF(OR(INDEX($P$2:$P$1001,MATCH(ROWS($O$2:O626),$O$2:$O$1001,0),1)&gt;=100000,INDEX($V$1005:$AE$1005,1,MATCH(COLUMNS($V$1006:Y1006),$V$1006:$AE$1006,0))&gt;=100000), " ",IF(INDEX($V$2:$AE$1001,MATCH(ROWS($O$2:O626),$O$2:$O$1001,0),MATCH(COLUMNS($V$1006:Y1006),$V$1006:$AE$1006,0)), HYPERLINK("#",""), HYPERLINK(CONCATENATE("#Metadata!", ADDRESS(INDEX($Q$2:$Q$1001,MATCH(ROWS($O$2:O626),$O$2:$O$1001,0),0), INDEX($V$1004:$AE$1004,1,MATCH(COLUMNS($V$1006:Y1006),$V$1006:$AE$1006,0)))),"Fix")))</f>
        <v>0</v>
      </c>
      <c r="F626" s="4">
        <f>IF(OR(INDEX($P$2:$P$1001,MATCH(ROWS($O$2:O626),$O$2:$O$1001,0),1)&gt;=100000,INDEX($V$1005:$AE$1005,1,MATCH(COLUMNS($V$1006:Z1006),$V$1006:$AE$1006,0))&gt;=100000), " ",IF(INDEX($V$2:$AE$1001,MATCH(ROWS($O$2:O626),$O$2:$O$1001,0),MATCH(COLUMNS($V$1006:Z1006),$V$1006:$AE$1006,0)), HYPERLINK("#",""), HYPERLINK(CONCATENATE("#Metadata!", ADDRESS(INDEX($Q$2:$Q$1001,MATCH(ROWS($O$2:O626),$O$2:$O$1001,0),0), INDEX($V$1004:$AE$1004,1,MATCH(COLUMNS($V$1006:Z1006),$V$1006:$AE$1006,0)))),"Fix")))</f>
        <v>0</v>
      </c>
      <c r="G626" s="4">
        <f>IF(OR(INDEX($P$2:$P$1001,MATCH(ROWS($O$2:O626),$O$2:$O$1001,0),1)&gt;=100000,INDEX($V$1005:$AE$1005,1,MATCH(COLUMNS($V$1006:AA1006),$V$1006:$AE$1006,0))&gt;=100000), " ",IF(INDEX($V$2:$AE$1001,MATCH(ROWS($O$2:O626),$O$2:$O$1001,0),MATCH(COLUMNS($V$1006:AA1006),$V$1006:$AE$1006,0)), HYPERLINK("#",""), HYPERLINK(CONCATENATE("#Metadata!", ADDRESS(INDEX($Q$2:$Q$1001,MATCH(ROWS($O$2:O626),$O$2:$O$1001,0),0), INDEX($V$1004:$AE$1004,1,MATCH(COLUMNS($V$1006:AA1006),$V$1006:$AE$1006,0)))),"Fix")))</f>
        <v>0</v>
      </c>
      <c r="H626" s="4">
        <f>IF(OR(INDEX($P$2:$P$1001,MATCH(ROWS($O$2:O626),$O$2:$O$1001,0),1)&gt;=100000,INDEX($V$1005:$AE$1005,1,MATCH(COLUMNS($V$1006:AB1006),$V$1006:$AE$1006,0))&gt;=100000), " ",IF(INDEX($V$2:$AE$1001,MATCH(ROWS($O$2:O626),$O$2:$O$1001,0),MATCH(COLUMNS($V$1006:AB1006),$V$1006:$AE$1006,0)), HYPERLINK("#",""), HYPERLINK(CONCATENATE("#Metadata!", ADDRESS(INDEX($Q$2:$Q$1001,MATCH(ROWS($O$2:O626),$O$2:$O$1001,0),0), INDEX($V$1004:$AE$1004,1,MATCH(COLUMNS($V$1006:AB1006),$V$1006:$AE$1006,0)))),"Fix")))</f>
        <v>0</v>
      </c>
      <c r="I626" s="4">
        <f>IF(OR(INDEX($P$2:$P$1001,MATCH(ROWS($O$2:O626),$O$2:$O$1001,0),1)&gt;=100000,INDEX($V$1005:$AE$1005,1,MATCH(COLUMNS($V$1006:AC1006),$V$1006:$AE$1006,0))&gt;=100000), " ",IF(INDEX($V$2:$AE$1001,MATCH(ROWS($O$2:O626),$O$2:$O$1001,0),MATCH(COLUMNS($V$1006:AC1006),$V$1006:$AE$1006,0)), HYPERLINK("#",""), HYPERLINK(CONCATENATE("#Metadata!", ADDRESS(INDEX($Q$2:$Q$1001,MATCH(ROWS($O$2:O626),$O$2:$O$1001,0),0), INDEX($V$1004:$AE$1004,1,MATCH(COLUMNS($V$1006:AC1006),$V$1006:$AE$1006,0)))),"Fix")))</f>
        <v>0</v>
      </c>
      <c r="J626" s="4">
        <f>IF(OR(INDEX($P$2:$P$1001,MATCH(ROWS($O$2:O626),$O$2:$O$1001,0),1)&gt;=100000,INDEX($V$1005:$AE$1005,1,MATCH(COLUMNS($V$1006:AD1006),$V$1006:$AE$1006,0))&gt;=100000), " ",IF(INDEX($V$2:$AE$1001,MATCH(ROWS($O$2:O626),$O$2:$O$1001,0),MATCH(COLUMNS($V$1006:AD1006),$V$1006:$AE$1006,0)), HYPERLINK("#",""), HYPERLINK(CONCATENATE("#Metadata!", ADDRESS(INDEX($Q$2:$Q$1001,MATCH(ROWS($O$2:O626),$O$2:$O$1001,0),0), INDEX($V$1004:$AE$1004,1,MATCH(COLUMNS($V$1006:AD1006),$V$1006:$AE$1006,0)))),"Fix")))</f>
        <v>0</v>
      </c>
      <c r="K626" s="4">
        <f>IF(OR(INDEX($P$2:$P$1001,MATCH(ROWS($O$2:O626),$O$2:$O$1001,0),1)&gt;=100000,INDEX($V$1005:$AE$1005,1,MATCH(COLUMNS($V$1006:AE1006),$V$1006:$AE$1006,0))&gt;=100000), " ",IF(INDEX($V$2:$AE$1001,MATCH(ROWS($O$2:O626),$O$2:$O$1001,0),MATCH(COLUMNS($V$1006:AE1006),$V$1006:$AE$1006,0)), HYPERLINK("#",""), HYPERLINK(CONCATENATE("#Metadata!", ADDRESS(INDEX($Q$2:$Q$1001,MATCH(ROWS($O$2:O626),$O$2:$O$1001,0),0), INDEX($V$1004:$AE$1004,1,MATCH(COLUMNS($V$1006:AE1006),$V$1006:$AE$1006,0)))),"Fix")))</f>
        <v>0</v>
      </c>
      <c r="O626">
        <v>0</v>
      </c>
      <c r="P626">
        <v>0</v>
      </c>
      <c r="Q626">
        <v>0</v>
      </c>
      <c r="R626">
        <f>IF(S626,TRUE,AND(V626:AE626))</f>
        <v>0</v>
      </c>
      <c r="S626">
        <f>COUNTBLANK(Metadata!B626:K626)=COLUMNS(Metadata!B626:K626)</f>
        <v>0</v>
      </c>
      <c r="T626">
        <v>0</v>
      </c>
      <c r="V626">
        <f>AND(IF(Metadata!B626="",FALSE,TRUE),COUNTIF(Metadata!B:B, Metadata!B626) = 1,NOT(ISERROR(SUMPRODUCT(SEARCH(MID(Metadata!B626,ROW(INDIRECT("1:"&amp;LEN(Metadata!B626))), 1),"0123456789abcdefghijklmnopqrstuvwxyzABCDEFGHIJKLMNOPQRSTUVWXYZ.")))))</f>
        <v>0</v>
      </c>
      <c r="W626">
        <f>AND(IF(Metadata!C626="",FALSE,TRUE),exact(Metadata!C626,"urban biome"))</f>
        <v>0</v>
      </c>
      <c r="X626">
        <f>AND(IF(Metadata!D626="",FALSE,TRUE),exact(Metadata!D626,"animal-associated habitat"))</f>
        <v>0</v>
      </c>
      <c r="Y626">
        <f>OR(AND(IF(Metadata!E626="",FALSE,TRUE),OR(exact(Metadata!E626,"not applicable"),exact(Metadata!E626,"missing: not collected"),exact(Metadata!E626,"missing: not provided"),exact(Metadata!E626,"missing: restricted access"))),AND(IF(Metadata!E626="",FALSE,ISNUMBER(VALUE(Metadata!E626))),Metadata!E626&gt;0))</f>
        <v>0</v>
      </c>
      <c r="Z626">
        <f>AND(IF(Metadata!F626="",FALSE,TRUE),exact(Metadata!F626,"weeks"))</f>
        <v>0</v>
      </c>
      <c r="AA626">
        <f>AND(IF(Metadata!G626="",FALSE,TRUE),exact(Metadata!G626,"mouse"))</f>
        <v>0</v>
      </c>
      <c r="AB626">
        <f>AND(IF(Metadata!H626="",FALSE,TRUE),exact(Metadata!H626,"Mus musculus"))</f>
        <v>0</v>
      </c>
      <c r="AC626">
        <f>AND(IF(Metadata!I626="",FALSE,TRUE),exact(Metadata!I626,"10090"))</f>
        <v>0</v>
      </c>
      <c r="AD626">
        <f>OR(AND(IF(Metadata!J626="",FALSE,TRUE),OR(exact(Metadata!J626,"not applicable"),exact(Metadata!J626,"missing: not collected"),exact(Metadata!J626,"missing: not provided"),exact(Metadata!J626,"missing: restricted access"))),AND(IF(Metadata!J626="",FALSE,ISNUMBER(VALUE(Metadata!J626))),Metadata!J626&gt;0))</f>
        <v>0</v>
      </c>
      <c r="AE626">
        <f>AND(IF(Metadata!K626="",FALSE,TRUE),exact(Metadata!K626,"g"))</f>
        <v>0</v>
      </c>
    </row>
    <row r="627" spans="1:31">
      <c r="A627" s="5">
        <f>IF(B627=" "," ",HYPERLINK(CONCATENATE("#metadata!",ADDRESS(INDEX($Q$2:$Q$1001,MATCH(ROWS($O$2:O627),$O$2:$O$1001,0),0),1)),INDEX($T$2:$T$1001,MATCH(ROWS($O$2:O627),$O$2:$O$1001,0),0)))</f>
        <v>0</v>
      </c>
      <c r="B627" s="4">
        <f>IF(OR(INDEX($P$2:$P$1001,MATCH(ROWS($O$2:O627),$O$2:$O$1001,0),1)&gt;=100000,INDEX($V$1005:$AE$1005,1,MATCH(COLUMNS($V$1006:V1006),$V$1006:$AE$1006,0))&gt;=100000), " ",IF(INDEX($V$2:$AE$1001,MATCH(ROWS($O$2:O627),$O$2:$O$1001,0),MATCH(COLUMNS($V$1006:V1006),$V$1006:$AE$1006,0)), HYPERLINK("#",""), HYPERLINK(CONCATENATE("#Metadata!", ADDRESS(INDEX($Q$2:$Q$1001,MATCH(ROWS($O$2:O627),$O$2:$O$1001,0),0), INDEX($V$1004:$AE$1004,1,MATCH(COLUMNS($V$1006:V1006),$V$1006:$AE$1006,0)))),"Fix")))</f>
        <v>0</v>
      </c>
      <c r="C627" s="4">
        <f>IF(OR(INDEX($P$2:$P$1001,MATCH(ROWS($O$2:O627),$O$2:$O$1001,0),1)&gt;=100000,INDEX($V$1005:$AE$1005,1,MATCH(COLUMNS($V$1006:W1006),$V$1006:$AE$1006,0))&gt;=100000), " ",IF(INDEX($V$2:$AE$1001,MATCH(ROWS($O$2:O627),$O$2:$O$1001,0),MATCH(COLUMNS($V$1006:W1006),$V$1006:$AE$1006,0)), HYPERLINK("#",""), HYPERLINK(CONCATENATE("#Metadata!", ADDRESS(INDEX($Q$2:$Q$1001,MATCH(ROWS($O$2:O627),$O$2:$O$1001,0),0), INDEX($V$1004:$AE$1004,1,MATCH(COLUMNS($V$1006:W1006),$V$1006:$AE$1006,0)))),"Fix")))</f>
        <v>0</v>
      </c>
      <c r="D627" s="4">
        <f>IF(OR(INDEX($P$2:$P$1001,MATCH(ROWS($O$2:O627),$O$2:$O$1001,0),1)&gt;=100000,INDEX($V$1005:$AE$1005,1,MATCH(COLUMNS($V$1006:X1006),$V$1006:$AE$1006,0))&gt;=100000), " ",IF(INDEX($V$2:$AE$1001,MATCH(ROWS($O$2:O627),$O$2:$O$1001,0),MATCH(COLUMNS($V$1006:X1006),$V$1006:$AE$1006,0)), HYPERLINK("#",""), HYPERLINK(CONCATENATE("#Metadata!", ADDRESS(INDEX($Q$2:$Q$1001,MATCH(ROWS($O$2:O627),$O$2:$O$1001,0),0), INDEX($V$1004:$AE$1004,1,MATCH(COLUMNS($V$1006:X1006),$V$1006:$AE$1006,0)))),"Fix")))</f>
        <v>0</v>
      </c>
      <c r="E627" s="4">
        <f>IF(OR(INDEX($P$2:$P$1001,MATCH(ROWS($O$2:O627),$O$2:$O$1001,0),1)&gt;=100000,INDEX($V$1005:$AE$1005,1,MATCH(COLUMNS($V$1006:Y1006),$V$1006:$AE$1006,0))&gt;=100000), " ",IF(INDEX($V$2:$AE$1001,MATCH(ROWS($O$2:O627),$O$2:$O$1001,0),MATCH(COLUMNS($V$1006:Y1006),$V$1006:$AE$1006,0)), HYPERLINK("#",""), HYPERLINK(CONCATENATE("#Metadata!", ADDRESS(INDEX($Q$2:$Q$1001,MATCH(ROWS($O$2:O627),$O$2:$O$1001,0),0), INDEX($V$1004:$AE$1004,1,MATCH(COLUMNS($V$1006:Y1006),$V$1006:$AE$1006,0)))),"Fix")))</f>
        <v>0</v>
      </c>
      <c r="F627" s="4">
        <f>IF(OR(INDEX($P$2:$P$1001,MATCH(ROWS($O$2:O627),$O$2:$O$1001,0),1)&gt;=100000,INDEX($V$1005:$AE$1005,1,MATCH(COLUMNS($V$1006:Z1006),$V$1006:$AE$1006,0))&gt;=100000), " ",IF(INDEX($V$2:$AE$1001,MATCH(ROWS($O$2:O627),$O$2:$O$1001,0),MATCH(COLUMNS($V$1006:Z1006),$V$1006:$AE$1006,0)), HYPERLINK("#",""), HYPERLINK(CONCATENATE("#Metadata!", ADDRESS(INDEX($Q$2:$Q$1001,MATCH(ROWS($O$2:O627),$O$2:$O$1001,0),0), INDEX($V$1004:$AE$1004,1,MATCH(COLUMNS($V$1006:Z1006),$V$1006:$AE$1006,0)))),"Fix")))</f>
        <v>0</v>
      </c>
      <c r="G627" s="4">
        <f>IF(OR(INDEX($P$2:$P$1001,MATCH(ROWS($O$2:O627),$O$2:$O$1001,0),1)&gt;=100000,INDEX($V$1005:$AE$1005,1,MATCH(COLUMNS($V$1006:AA1006),$V$1006:$AE$1006,0))&gt;=100000), " ",IF(INDEX($V$2:$AE$1001,MATCH(ROWS($O$2:O627),$O$2:$O$1001,0),MATCH(COLUMNS($V$1006:AA1006),$V$1006:$AE$1006,0)), HYPERLINK("#",""), HYPERLINK(CONCATENATE("#Metadata!", ADDRESS(INDEX($Q$2:$Q$1001,MATCH(ROWS($O$2:O627),$O$2:$O$1001,0),0), INDEX($V$1004:$AE$1004,1,MATCH(COLUMNS($V$1006:AA1006),$V$1006:$AE$1006,0)))),"Fix")))</f>
        <v>0</v>
      </c>
      <c r="H627" s="4">
        <f>IF(OR(INDEX($P$2:$P$1001,MATCH(ROWS($O$2:O627),$O$2:$O$1001,0),1)&gt;=100000,INDEX($V$1005:$AE$1005,1,MATCH(COLUMNS($V$1006:AB1006),$V$1006:$AE$1006,0))&gt;=100000), " ",IF(INDEX($V$2:$AE$1001,MATCH(ROWS($O$2:O627),$O$2:$O$1001,0),MATCH(COLUMNS($V$1006:AB1006),$V$1006:$AE$1006,0)), HYPERLINK("#",""), HYPERLINK(CONCATENATE("#Metadata!", ADDRESS(INDEX($Q$2:$Q$1001,MATCH(ROWS($O$2:O627),$O$2:$O$1001,0),0), INDEX($V$1004:$AE$1004,1,MATCH(COLUMNS($V$1006:AB1006),$V$1006:$AE$1006,0)))),"Fix")))</f>
        <v>0</v>
      </c>
      <c r="I627" s="4">
        <f>IF(OR(INDEX($P$2:$P$1001,MATCH(ROWS($O$2:O627),$O$2:$O$1001,0),1)&gt;=100000,INDEX($V$1005:$AE$1005,1,MATCH(COLUMNS($V$1006:AC1006),$V$1006:$AE$1006,0))&gt;=100000), " ",IF(INDEX($V$2:$AE$1001,MATCH(ROWS($O$2:O627),$O$2:$O$1001,0),MATCH(COLUMNS($V$1006:AC1006),$V$1006:$AE$1006,0)), HYPERLINK("#",""), HYPERLINK(CONCATENATE("#Metadata!", ADDRESS(INDEX($Q$2:$Q$1001,MATCH(ROWS($O$2:O627),$O$2:$O$1001,0),0), INDEX($V$1004:$AE$1004,1,MATCH(COLUMNS($V$1006:AC1006),$V$1006:$AE$1006,0)))),"Fix")))</f>
        <v>0</v>
      </c>
      <c r="J627" s="4">
        <f>IF(OR(INDEX($P$2:$P$1001,MATCH(ROWS($O$2:O627),$O$2:$O$1001,0),1)&gt;=100000,INDEX($V$1005:$AE$1005,1,MATCH(COLUMNS($V$1006:AD1006),$V$1006:$AE$1006,0))&gt;=100000), " ",IF(INDEX($V$2:$AE$1001,MATCH(ROWS($O$2:O627),$O$2:$O$1001,0),MATCH(COLUMNS($V$1006:AD1006),$V$1006:$AE$1006,0)), HYPERLINK("#",""), HYPERLINK(CONCATENATE("#Metadata!", ADDRESS(INDEX($Q$2:$Q$1001,MATCH(ROWS($O$2:O627),$O$2:$O$1001,0),0), INDEX($V$1004:$AE$1004,1,MATCH(COLUMNS($V$1006:AD1006),$V$1006:$AE$1006,0)))),"Fix")))</f>
        <v>0</v>
      </c>
      <c r="K627" s="4">
        <f>IF(OR(INDEX($P$2:$P$1001,MATCH(ROWS($O$2:O627),$O$2:$O$1001,0),1)&gt;=100000,INDEX($V$1005:$AE$1005,1,MATCH(COLUMNS($V$1006:AE1006),$V$1006:$AE$1006,0))&gt;=100000), " ",IF(INDEX($V$2:$AE$1001,MATCH(ROWS($O$2:O627),$O$2:$O$1001,0),MATCH(COLUMNS($V$1006:AE1006),$V$1006:$AE$1006,0)), HYPERLINK("#",""), HYPERLINK(CONCATENATE("#Metadata!", ADDRESS(INDEX($Q$2:$Q$1001,MATCH(ROWS($O$2:O627),$O$2:$O$1001,0),0), INDEX($V$1004:$AE$1004,1,MATCH(COLUMNS($V$1006:AE1006),$V$1006:$AE$1006,0)))),"Fix")))</f>
        <v>0</v>
      </c>
      <c r="O627">
        <v>0</v>
      </c>
      <c r="P627">
        <v>0</v>
      </c>
      <c r="Q627">
        <v>0</v>
      </c>
      <c r="R627">
        <f>IF(S627,TRUE,AND(V627:AE627))</f>
        <v>0</v>
      </c>
      <c r="S627">
        <f>COUNTBLANK(Metadata!B627:K627)=COLUMNS(Metadata!B627:K627)</f>
        <v>0</v>
      </c>
      <c r="T627">
        <v>0</v>
      </c>
      <c r="V627">
        <f>AND(IF(Metadata!B627="",FALSE,TRUE),COUNTIF(Metadata!B:B, Metadata!B627) = 1,NOT(ISERROR(SUMPRODUCT(SEARCH(MID(Metadata!B627,ROW(INDIRECT("1:"&amp;LEN(Metadata!B627))), 1),"0123456789abcdefghijklmnopqrstuvwxyzABCDEFGHIJKLMNOPQRSTUVWXYZ.")))))</f>
        <v>0</v>
      </c>
      <c r="W627">
        <f>AND(IF(Metadata!C627="",FALSE,TRUE),exact(Metadata!C627,"urban biome"))</f>
        <v>0</v>
      </c>
      <c r="X627">
        <f>AND(IF(Metadata!D627="",FALSE,TRUE),exact(Metadata!D627,"animal-associated habitat"))</f>
        <v>0</v>
      </c>
      <c r="Y627">
        <f>OR(AND(IF(Metadata!E627="",FALSE,TRUE),OR(exact(Metadata!E627,"not applicable"),exact(Metadata!E627,"missing: not collected"),exact(Metadata!E627,"missing: not provided"),exact(Metadata!E627,"missing: restricted access"))),AND(IF(Metadata!E627="",FALSE,ISNUMBER(VALUE(Metadata!E627))),Metadata!E627&gt;0))</f>
        <v>0</v>
      </c>
      <c r="Z627">
        <f>AND(IF(Metadata!F627="",FALSE,TRUE),exact(Metadata!F627,"weeks"))</f>
        <v>0</v>
      </c>
      <c r="AA627">
        <f>AND(IF(Metadata!G627="",FALSE,TRUE),exact(Metadata!G627,"mouse"))</f>
        <v>0</v>
      </c>
      <c r="AB627">
        <f>AND(IF(Metadata!H627="",FALSE,TRUE),exact(Metadata!H627,"Mus musculus"))</f>
        <v>0</v>
      </c>
      <c r="AC627">
        <f>AND(IF(Metadata!I627="",FALSE,TRUE),exact(Metadata!I627,"10090"))</f>
        <v>0</v>
      </c>
      <c r="AD627">
        <f>OR(AND(IF(Metadata!J627="",FALSE,TRUE),OR(exact(Metadata!J627,"not applicable"),exact(Metadata!J627,"missing: not collected"),exact(Metadata!J627,"missing: not provided"),exact(Metadata!J627,"missing: restricted access"))),AND(IF(Metadata!J627="",FALSE,ISNUMBER(VALUE(Metadata!J627))),Metadata!J627&gt;0))</f>
        <v>0</v>
      </c>
      <c r="AE627">
        <f>AND(IF(Metadata!K627="",FALSE,TRUE),exact(Metadata!K627,"g"))</f>
        <v>0</v>
      </c>
    </row>
    <row r="628" spans="1:31">
      <c r="A628" s="5">
        <f>IF(B628=" "," ",HYPERLINK(CONCATENATE("#metadata!",ADDRESS(INDEX($Q$2:$Q$1001,MATCH(ROWS($O$2:O628),$O$2:$O$1001,0),0),1)),INDEX($T$2:$T$1001,MATCH(ROWS($O$2:O628),$O$2:$O$1001,0),0)))</f>
        <v>0</v>
      </c>
      <c r="B628" s="4">
        <f>IF(OR(INDEX($P$2:$P$1001,MATCH(ROWS($O$2:O628),$O$2:$O$1001,0),1)&gt;=100000,INDEX($V$1005:$AE$1005,1,MATCH(COLUMNS($V$1006:V1006),$V$1006:$AE$1006,0))&gt;=100000), " ",IF(INDEX($V$2:$AE$1001,MATCH(ROWS($O$2:O628),$O$2:$O$1001,0),MATCH(COLUMNS($V$1006:V1006),$V$1006:$AE$1006,0)), HYPERLINK("#",""), HYPERLINK(CONCATENATE("#Metadata!", ADDRESS(INDEX($Q$2:$Q$1001,MATCH(ROWS($O$2:O628),$O$2:$O$1001,0),0), INDEX($V$1004:$AE$1004,1,MATCH(COLUMNS($V$1006:V1006),$V$1006:$AE$1006,0)))),"Fix")))</f>
        <v>0</v>
      </c>
      <c r="C628" s="4">
        <f>IF(OR(INDEX($P$2:$P$1001,MATCH(ROWS($O$2:O628),$O$2:$O$1001,0),1)&gt;=100000,INDEX($V$1005:$AE$1005,1,MATCH(COLUMNS($V$1006:W1006),$V$1006:$AE$1006,0))&gt;=100000), " ",IF(INDEX($V$2:$AE$1001,MATCH(ROWS($O$2:O628),$O$2:$O$1001,0),MATCH(COLUMNS($V$1006:W1006),$V$1006:$AE$1006,0)), HYPERLINK("#",""), HYPERLINK(CONCATENATE("#Metadata!", ADDRESS(INDEX($Q$2:$Q$1001,MATCH(ROWS($O$2:O628),$O$2:$O$1001,0),0), INDEX($V$1004:$AE$1004,1,MATCH(COLUMNS($V$1006:W1006),$V$1006:$AE$1006,0)))),"Fix")))</f>
        <v>0</v>
      </c>
      <c r="D628" s="4">
        <f>IF(OR(INDEX($P$2:$P$1001,MATCH(ROWS($O$2:O628),$O$2:$O$1001,0),1)&gt;=100000,INDEX($V$1005:$AE$1005,1,MATCH(COLUMNS($V$1006:X1006),$V$1006:$AE$1006,0))&gt;=100000), " ",IF(INDEX($V$2:$AE$1001,MATCH(ROWS($O$2:O628),$O$2:$O$1001,0),MATCH(COLUMNS($V$1006:X1006),$V$1006:$AE$1006,0)), HYPERLINK("#",""), HYPERLINK(CONCATENATE("#Metadata!", ADDRESS(INDEX($Q$2:$Q$1001,MATCH(ROWS($O$2:O628),$O$2:$O$1001,0),0), INDEX($V$1004:$AE$1004,1,MATCH(COLUMNS($V$1006:X1006),$V$1006:$AE$1006,0)))),"Fix")))</f>
        <v>0</v>
      </c>
      <c r="E628" s="4">
        <f>IF(OR(INDEX($P$2:$P$1001,MATCH(ROWS($O$2:O628),$O$2:$O$1001,0),1)&gt;=100000,INDEX($V$1005:$AE$1005,1,MATCH(COLUMNS($V$1006:Y1006),$V$1006:$AE$1006,0))&gt;=100000), " ",IF(INDEX($V$2:$AE$1001,MATCH(ROWS($O$2:O628),$O$2:$O$1001,0),MATCH(COLUMNS($V$1006:Y1006),$V$1006:$AE$1006,0)), HYPERLINK("#",""), HYPERLINK(CONCATENATE("#Metadata!", ADDRESS(INDEX($Q$2:$Q$1001,MATCH(ROWS($O$2:O628),$O$2:$O$1001,0),0), INDEX($V$1004:$AE$1004,1,MATCH(COLUMNS($V$1006:Y1006),$V$1006:$AE$1006,0)))),"Fix")))</f>
        <v>0</v>
      </c>
      <c r="F628" s="4">
        <f>IF(OR(INDEX($P$2:$P$1001,MATCH(ROWS($O$2:O628),$O$2:$O$1001,0),1)&gt;=100000,INDEX($V$1005:$AE$1005,1,MATCH(COLUMNS($V$1006:Z1006),$V$1006:$AE$1006,0))&gt;=100000), " ",IF(INDEX($V$2:$AE$1001,MATCH(ROWS($O$2:O628),$O$2:$O$1001,0),MATCH(COLUMNS($V$1006:Z1006),$V$1006:$AE$1006,0)), HYPERLINK("#",""), HYPERLINK(CONCATENATE("#Metadata!", ADDRESS(INDEX($Q$2:$Q$1001,MATCH(ROWS($O$2:O628),$O$2:$O$1001,0),0), INDEX($V$1004:$AE$1004,1,MATCH(COLUMNS($V$1006:Z1006),$V$1006:$AE$1006,0)))),"Fix")))</f>
        <v>0</v>
      </c>
      <c r="G628" s="4">
        <f>IF(OR(INDEX($P$2:$P$1001,MATCH(ROWS($O$2:O628),$O$2:$O$1001,0),1)&gt;=100000,INDEX($V$1005:$AE$1005,1,MATCH(COLUMNS($V$1006:AA1006),$V$1006:$AE$1006,0))&gt;=100000), " ",IF(INDEX($V$2:$AE$1001,MATCH(ROWS($O$2:O628),$O$2:$O$1001,0),MATCH(COLUMNS($V$1006:AA1006),$V$1006:$AE$1006,0)), HYPERLINK("#",""), HYPERLINK(CONCATENATE("#Metadata!", ADDRESS(INDEX($Q$2:$Q$1001,MATCH(ROWS($O$2:O628),$O$2:$O$1001,0),0), INDEX($V$1004:$AE$1004,1,MATCH(COLUMNS($V$1006:AA1006),$V$1006:$AE$1006,0)))),"Fix")))</f>
        <v>0</v>
      </c>
      <c r="H628" s="4">
        <f>IF(OR(INDEX($P$2:$P$1001,MATCH(ROWS($O$2:O628),$O$2:$O$1001,0),1)&gt;=100000,INDEX($V$1005:$AE$1005,1,MATCH(COLUMNS($V$1006:AB1006),$V$1006:$AE$1006,0))&gt;=100000), " ",IF(INDEX($V$2:$AE$1001,MATCH(ROWS($O$2:O628),$O$2:$O$1001,0),MATCH(COLUMNS($V$1006:AB1006),$V$1006:$AE$1006,0)), HYPERLINK("#",""), HYPERLINK(CONCATENATE("#Metadata!", ADDRESS(INDEX($Q$2:$Q$1001,MATCH(ROWS($O$2:O628),$O$2:$O$1001,0),0), INDEX($V$1004:$AE$1004,1,MATCH(COLUMNS($V$1006:AB1006),$V$1006:$AE$1006,0)))),"Fix")))</f>
        <v>0</v>
      </c>
      <c r="I628" s="4">
        <f>IF(OR(INDEX($P$2:$P$1001,MATCH(ROWS($O$2:O628),$O$2:$O$1001,0),1)&gt;=100000,INDEX($V$1005:$AE$1005,1,MATCH(COLUMNS($V$1006:AC1006),$V$1006:$AE$1006,0))&gt;=100000), " ",IF(INDEX($V$2:$AE$1001,MATCH(ROWS($O$2:O628),$O$2:$O$1001,0),MATCH(COLUMNS($V$1006:AC1006),$V$1006:$AE$1006,0)), HYPERLINK("#",""), HYPERLINK(CONCATENATE("#Metadata!", ADDRESS(INDEX($Q$2:$Q$1001,MATCH(ROWS($O$2:O628),$O$2:$O$1001,0),0), INDEX($V$1004:$AE$1004,1,MATCH(COLUMNS($V$1006:AC1006),$V$1006:$AE$1006,0)))),"Fix")))</f>
        <v>0</v>
      </c>
      <c r="J628" s="4">
        <f>IF(OR(INDEX($P$2:$P$1001,MATCH(ROWS($O$2:O628),$O$2:$O$1001,0),1)&gt;=100000,INDEX($V$1005:$AE$1005,1,MATCH(COLUMNS($V$1006:AD1006),$V$1006:$AE$1006,0))&gt;=100000), " ",IF(INDEX($V$2:$AE$1001,MATCH(ROWS($O$2:O628),$O$2:$O$1001,0),MATCH(COLUMNS($V$1006:AD1006),$V$1006:$AE$1006,0)), HYPERLINK("#",""), HYPERLINK(CONCATENATE("#Metadata!", ADDRESS(INDEX($Q$2:$Q$1001,MATCH(ROWS($O$2:O628),$O$2:$O$1001,0),0), INDEX($V$1004:$AE$1004,1,MATCH(COLUMNS($V$1006:AD1006),$V$1006:$AE$1006,0)))),"Fix")))</f>
        <v>0</v>
      </c>
      <c r="K628" s="4">
        <f>IF(OR(INDEX($P$2:$P$1001,MATCH(ROWS($O$2:O628),$O$2:$O$1001,0),1)&gt;=100000,INDEX($V$1005:$AE$1005,1,MATCH(COLUMNS($V$1006:AE1006),$V$1006:$AE$1006,0))&gt;=100000), " ",IF(INDEX($V$2:$AE$1001,MATCH(ROWS($O$2:O628),$O$2:$O$1001,0),MATCH(COLUMNS($V$1006:AE1006),$V$1006:$AE$1006,0)), HYPERLINK("#",""), HYPERLINK(CONCATENATE("#Metadata!", ADDRESS(INDEX($Q$2:$Q$1001,MATCH(ROWS($O$2:O628),$O$2:$O$1001,0),0), INDEX($V$1004:$AE$1004,1,MATCH(COLUMNS($V$1006:AE1006),$V$1006:$AE$1006,0)))),"Fix")))</f>
        <v>0</v>
      </c>
      <c r="O628">
        <v>0</v>
      </c>
      <c r="P628">
        <v>0</v>
      </c>
      <c r="Q628">
        <v>0</v>
      </c>
      <c r="R628">
        <f>IF(S628,TRUE,AND(V628:AE628))</f>
        <v>0</v>
      </c>
      <c r="S628">
        <f>COUNTBLANK(Metadata!B628:K628)=COLUMNS(Metadata!B628:K628)</f>
        <v>0</v>
      </c>
      <c r="T628">
        <v>0</v>
      </c>
      <c r="V628">
        <f>AND(IF(Metadata!B628="",FALSE,TRUE),COUNTIF(Metadata!B:B, Metadata!B628) = 1,NOT(ISERROR(SUMPRODUCT(SEARCH(MID(Metadata!B628,ROW(INDIRECT("1:"&amp;LEN(Metadata!B628))), 1),"0123456789abcdefghijklmnopqrstuvwxyzABCDEFGHIJKLMNOPQRSTUVWXYZ.")))))</f>
        <v>0</v>
      </c>
      <c r="W628">
        <f>AND(IF(Metadata!C628="",FALSE,TRUE),exact(Metadata!C628,"urban biome"))</f>
        <v>0</v>
      </c>
      <c r="X628">
        <f>AND(IF(Metadata!D628="",FALSE,TRUE),exact(Metadata!D628,"animal-associated habitat"))</f>
        <v>0</v>
      </c>
      <c r="Y628">
        <f>OR(AND(IF(Metadata!E628="",FALSE,TRUE),OR(exact(Metadata!E628,"not applicable"),exact(Metadata!E628,"missing: not collected"),exact(Metadata!E628,"missing: not provided"),exact(Metadata!E628,"missing: restricted access"))),AND(IF(Metadata!E628="",FALSE,ISNUMBER(VALUE(Metadata!E628))),Metadata!E628&gt;0))</f>
        <v>0</v>
      </c>
      <c r="Z628">
        <f>AND(IF(Metadata!F628="",FALSE,TRUE),exact(Metadata!F628,"weeks"))</f>
        <v>0</v>
      </c>
      <c r="AA628">
        <f>AND(IF(Metadata!G628="",FALSE,TRUE),exact(Metadata!G628,"mouse"))</f>
        <v>0</v>
      </c>
      <c r="AB628">
        <f>AND(IF(Metadata!H628="",FALSE,TRUE),exact(Metadata!H628,"Mus musculus"))</f>
        <v>0</v>
      </c>
      <c r="AC628">
        <f>AND(IF(Metadata!I628="",FALSE,TRUE),exact(Metadata!I628,"10090"))</f>
        <v>0</v>
      </c>
      <c r="AD628">
        <f>OR(AND(IF(Metadata!J628="",FALSE,TRUE),OR(exact(Metadata!J628,"not applicable"),exact(Metadata!J628,"missing: not collected"),exact(Metadata!J628,"missing: not provided"),exact(Metadata!J628,"missing: restricted access"))),AND(IF(Metadata!J628="",FALSE,ISNUMBER(VALUE(Metadata!J628))),Metadata!J628&gt;0))</f>
        <v>0</v>
      </c>
      <c r="AE628">
        <f>AND(IF(Metadata!K628="",FALSE,TRUE),exact(Metadata!K628,"g"))</f>
        <v>0</v>
      </c>
    </row>
    <row r="629" spans="1:31">
      <c r="A629" s="5">
        <f>IF(B629=" "," ",HYPERLINK(CONCATENATE("#metadata!",ADDRESS(INDEX($Q$2:$Q$1001,MATCH(ROWS($O$2:O629),$O$2:$O$1001,0),0),1)),INDEX($T$2:$T$1001,MATCH(ROWS($O$2:O629),$O$2:$O$1001,0),0)))</f>
        <v>0</v>
      </c>
      <c r="B629" s="4">
        <f>IF(OR(INDEX($P$2:$P$1001,MATCH(ROWS($O$2:O629),$O$2:$O$1001,0),1)&gt;=100000,INDEX($V$1005:$AE$1005,1,MATCH(COLUMNS($V$1006:V1006),$V$1006:$AE$1006,0))&gt;=100000), " ",IF(INDEX($V$2:$AE$1001,MATCH(ROWS($O$2:O629),$O$2:$O$1001,0),MATCH(COLUMNS($V$1006:V1006),$V$1006:$AE$1006,0)), HYPERLINK("#",""), HYPERLINK(CONCATENATE("#Metadata!", ADDRESS(INDEX($Q$2:$Q$1001,MATCH(ROWS($O$2:O629),$O$2:$O$1001,0),0), INDEX($V$1004:$AE$1004,1,MATCH(COLUMNS($V$1006:V1006),$V$1006:$AE$1006,0)))),"Fix")))</f>
        <v>0</v>
      </c>
      <c r="C629" s="4">
        <f>IF(OR(INDEX($P$2:$P$1001,MATCH(ROWS($O$2:O629),$O$2:$O$1001,0),1)&gt;=100000,INDEX($V$1005:$AE$1005,1,MATCH(COLUMNS($V$1006:W1006),$V$1006:$AE$1006,0))&gt;=100000), " ",IF(INDEX($V$2:$AE$1001,MATCH(ROWS($O$2:O629),$O$2:$O$1001,0),MATCH(COLUMNS($V$1006:W1006),$V$1006:$AE$1006,0)), HYPERLINK("#",""), HYPERLINK(CONCATENATE("#Metadata!", ADDRESS(INDEX($Q$2:$Q$1001,MATCH(ROWS($O$2:O629),$O$2:$O$1001,0),0), INDEX($V$1004:$AE$1004,1,MATCH(COLUMNS($V$1006:W1006),$V$1006:$AE$1006,0)))),"Fix")))</f>
        <v>0</v>
      </c>
      <c r="D629" s="4">
        <f>IF(OR(INDEX($P$2:$P$1001,MATCH(ROWS($O$2:O629),$O$2:$O$1001,0),1)&gt;=100000,INDEX($V$1005:$AE$1005,1,MATCH(COLUMNS($V$1006:X1006),$V$1006:$AE$1006,0))&gt;=100000), " ",IF(INDEX($V$2:$AE$1001,MATCH(ROWS($O$2:O629),$O$2:$O$1001,0),MATCH(COLUMNS($V$1006:X1006),$V$1006:$AE$1006,0)), HYPERLINK("#",""), HYPERLINK(CONCATENATE("#Metadata!", ADDRESS(INDEX($Q$2:$Q$1001,MATCH(ROWS($O$2:O629),$O$2:$O$1001,0),0), INDEX($V$1004:$AE$1004,1,MATCH(COLUMNS($V$1006:X1006),$V$1006:$AE$1006,0)))),"Fix")))</f>
        <v>0</v>
      </c>
      <c r="E629" s="4">
        <f>IF(OR(INDEX($P$2:$P$1001,MATCH(ROWS($O$2:O629),$O$2:$O$1001,0),1)&gt;=100000,INDEX($V$1005:$AE$1005,1,MATCH(COLUMNS($V$1006:Y1006),$V$1006:$AE$1006,0))&gt;=100000), " ",IF(INDEX($V$2:$AE$1001,MATCH(ROWS($O$2:O629),$O$2:$O$1001,0),MATCH(COLUMNS($V$1006:Y1006),$V$1006:$AE$1006,0)), HYPERLINK("#",""), HYPERLINK(CONCATENATE("#Metadata!", ADDRESS(INDEX($Q$2:$Q$1001,MATCH(ROWS($O$2:O629),$O$2:$O$1001,0),0), INDEX($V$1004:$AE$1004,1,MATCH(COLUMNS($V$1006:Y1006),$V$1006:$AE$1006,0)))),"Fix")))</f>
        <v>0</v>
      </c>
      <c r="F629" s="4">
        <f>IF(OR(INDEX($P$2:$P$1001,MATCH(ROWS($O$2:O629),$O$2:$O$1001,0),1)&gt;=100000,INDEX($V$1005:$AE$1005,1,MATCH(COLUMNS($V$1006:Z1006),$V$1006:$AE$1006,0))&gt;=100000), " ",IF(INDEX($V$2:$AE$1001,MATCH(ROWS($O$2:O629),$O$2:$O$1001,0),MATCH(COLUMNS($V$1006:Z1006),$V$1006:$AE$1006,0)), HYPERLINK("#",""), HYPERLINK(CONCATENATE("#Metadata!", ADDRESS(INDEX($Q$2:$Q$1001,MATCH(ROWS($O$2:O629),$O$2:$O$1001,0),0), INDEX($V$1004:$AE$1004,1,MATCH(COLUMNS($V$1006:Z1006),$V$1006:$AE$1006,0)))),"Fix")))</f>
        <v>0</v>
      </c>
      <c r="G629" s="4">
        <f>IF(OR(INDEX($P$2:$P$1001,MATCH(ROWS($O$2:O629),$O$2:$O$1001,0),1)&gt;=100000,INDEX($V$1005:$AE$1005,1,MATCH(COLUMNS($V$1006:AA1006),$V$1006:$AE$1006,0))&gt;=100000), " ",IF(INDEX($V$2:$AE$1001,MATCH(ROWS($O$2:O629),$O$2:$O$1001,0),MATCH(COLUMNS($V$1006:AA1006),$V$1006:$AE$1006,0)), HYPERLINK("#",""), HYPERLINK(CONCATENATE("#Metadata!", ADDRESS(INDEX($Q$2:$Q$1001,MATCH(ROWS($O$2:O629),$O$2:$O$1001,0),0), INDEX($V$1004:$AE$1004,1,MATCH(COLUMNS($V$1006:AA1006),$V$1006:$AE$1006,0)))),"Fix")))</f>
        <v>0</v>
      </c>
      <c r="H629" s="4">
        <f>IF(OR(INDEX($P$2:$P$1001,MATCH(ROWS($O$2:O629),$O$2:$O$1001,0),1)&gt;=100000,INDEX($V$1005:$AE$1005,1,MATCH(COLUMNS($V$1006:AB1006),$V$1006:$AE$1006,0))&gt;=100000), " ",IF(INDEX($V$2:$AE$1001,MATCH(ROWS($O$2:O629),$O$2:$O$1001,0),MATCH(COLUMNS($V$1006:AB1006),$V$1006:$AE$1006,0)), HYPERLINK("#",""), HYPERLINK(CONCATENATE("#Metadata!", ADDRESS(INDEX($Q$2:$Q$1001,MATCH(ROWS($O$2:O629),$O$2:$O$1001,0),0), INDEX($V$1004:$AE$1004,1,MATCH(COLUMNS($V$1006:AB1006),$V$1006:$AE$1006,0)))),"Fix")))</f>
        <v>0</v>
      </c>
      <c r="I629" s="4">
        <f>IF(OR(INDEX($P$2:$P$1001,MATCH(ROWS($O$2:O629),$O$2:$O$1001,0),1)&gt;=100000,INDEX($V$1005:$AE$1005,1,MATCH(COLUMNS($V$1006:AC1006),$V$1006:$AE$1006,0))&gt;=100000), " ",IF(INDEX($V$2:$AE$1001,MATCH(ROWS($O$2:O629),$O$2:$O$1001,0),MATCH(COLUMNS($V$1006:AC1006),$V$1006:$AE$1006,0)), HYPERLINK("#",""), HYPERLINK(CONCATENATE("#Metadata!", ADDRESS(INDEX($Q$2:$Q$1001,MATCH(ROWS($O$2:O629),$O$2:$O$1001,0),0), INDEX($V$1004:$AE$1004,1,MATCH(COLUMNS($V$1006:AC1006),$V$1006:$AE$1006,0)))),"Fix")))</f>
        <v>0</v>
      </c>
      <c r="J629" s="4">
        <f>IF(OR(INDEX($P$2:$P$1001,MATCH(ROWS($O$2:O629),$O$2:$O$1001,0),1)&gt;=100000,INDEX($V$1005:$AE$1005,1,MATCH(COLUMNS($V$1006:AD1006),$V$1006:$AE$1006,0))&gt;=100000), " ",IF(INDEX($V$2:$AE$1001,MATCH(ROWS($O$2:O629),$O$2:$O$1001,0),MATCH(COLUMNS($V$1006:AD1006),$V$1006:$AE$1006,0)), HYPERLINK("#",""), HYPERLINK(CONCATENATE("#Metadata!", ADDRESS(INDEX($Q$2:$Q$1001,MATCH(ROWS($O$2:O629),$O$2:$O$1001,0),0), INDEX($V$1004:$AE$1004,1,MATCH(COLUMNS($V$1006:AD1006),$V$1006:$AE$1006,0)))),"Fix")))</f>
        <v>0</v>
      </c>
      <c r="K629" s="4">
        <f>IF(OR(INDEX($P$2:$P$1001,MATCH(ROWS($O$2:O629),$O$2:$O$1001,0),1)&gt;=100000,INDEX($V$1005:$AE$1005,1,MATCH(COLUMNS($V$1006:AE1006),$V$1006:$AE$1006,0))&gt;=100000), " ",IF(INDEX($V$2:$AE$1001,MATCH(ROWS($O$2:O629),$O$2:$O$1001,0),MATCH(COLUMNS($V$1006:AE1006),$V$1006:$AE$1006,0)), HYPERLINK("#",""), HYPERLINK(CONCATENATE("#Metadata!", ADDRESS(INDEX($Q$2:$Q$1001,MATCH(ROWS($O$2:O629),$O$2:$O$1001,0),0), INDEX($V$1004:$AE$1004,1,MATCH(COLUMNS($V$1006:AE1006),$V$1006:$AE$1006,0)))),"Fix")))</f>
        <v>0</v>
      </c>
      <c r="O629">
        <v>0</v>
      </c>
      <c r="P629">
        <v>0</v>
      </c>
      <c r="Q629">
        <v>0</v>
      </c>
      <c r="R629">
        <f>IF(S629,TRUE,AND(V629:AE629))</f>
        <v>0</v>
      </c>
      <c r="S629">
        <f>COUNTBLANK(Metadata!B629:K629)=COLUMNS(Metadata!B629:K629)</f>
        <v>0</v>
      </c>
      <c r="T629">
        <v>0</v>
      </c>
      <c r="V629">
        <f>AND(IF(Metadata!B629="",FALSE,TRUE),COUNTIF(Metadata!B:B, Metadata!B629) = 1,NOT(ISERROR(SUMPRODUCT(SEARCH(MID(Metadata!B629,ROW(INDIRECT("1:"&amp;LEN(Metadata!B629))), 1),"0123456789abcdefghijklmnopqrstuvwxyzABCDEFGHIJKLMNOPQRSTUVWXYZ.")))))</f>
        <v>0</v>
      </c>
      <c r="W629">
        <f>AND(IF(Metadata!C629="",FALSE,TRUE),exact(Metadata!C629,"urban biome"))</f>
        <v>0</v>
      </c>
      <c r="X629">
        <f>AND(IF(Metadata!D629="",FALSE,TRUE),exact(Metadata!D629,"animal-associated habitat"))</f>
        <v>0</v>
      </c>
      <c r="Y629">
        <f>OR(AND(IF(Metadata!E629="",FALSE,TRUE),OR(exact(Metadata!E629,"not applicable"),exact(Metadata!E629,"missing: not collected"),exact(Metadata!E629,"missing: not provided"),exact(Metadata!E629,"missing: restricted access"))),AND(IF(Metadata!E629="",FALSE,ISNUMBER(VALUE(Metadata!E629))),Metadata!E629&gt;0))</f>
        <v>0</v>
      </c>
      <c r="Z629">
        <f>AND(IF(Metadata!F629="",FALSE,TRUE),exact(Metadata!F629,"weeks"))</f>
        <v>0</v>
      </c>
      <c r="AA629">
        <f>AND(IF(Metadata!G629="",FALSE,TRUE),exact(Metadata!G629,"mouse"))</f>
        <v>0</v>
      </c>
      <c r="AB629">
        <f>AND(IF(Metadata!H629="",FALSE,TRUE),exact(Metadata!H629,"Mus musculus"))</f>
        <v>0</v>
      </c>
      <c r="AC629">
        <f>AND(IF(Metadata!I629="",FALSE,TRUE),exact(Metadata!I629,"10090"))</f>
        <v>0</v>
      </c>
      <c r="AD629">
        <f>OR(AND(IF(Metadata!J629="",FALSE,TRUE),OR(exact(Metadata!J629,"not applicable"),exact(Metadata!J629,"missing: not collected"),exact(Metadata!J629,"missing: not provided"),exact(Metadata!J629,"missing: restricted access"))),AND(IF(Metadata!J629="",FALSE,ISNUMBER(VALUE(Metadata!J629))),Metadata!J629&gt;0))</f>
        <v>0</v>
      </c>
      <c r="AE629">
        <f>AND(IF(Metadata!K629="",FALSE,TRUE),exact(Metadata!K629,"g"))</f>
        <v>0</v>
      </c>
    </row>
    <row r="630" spans="1:31">
      <c r="A630" s="5">
        <f>IF(B630=" "," ",HYPERLINK(CONCATENATE("#metadata!",ADDRESS(INDEX($Q$2:$Q$1001,MATCH(ROWS($O$2:O630),$O$2:$O$1001,0),0),1)),INDEX($T$2:$T$1001,MATCH(ROWS($O$2:O630),$O$2:$O$1001,0),0)))</f>
        <v>0</v>
      </c>
      <c r="B630" s="4">
        <f>IF(OR(INDEX($P$2:$P$1001,MATCH(ROWS($O$2:O630),$O$2:$O$1001,0),1)&gt;=100000,INDEX($V$1005:$AE$1005,1,MATCH(COLUMNS($V$1006:V1006),$V$1006:$AE$1006,0))&gt;=100000), " ",IF(INDEX($V$2:$AE$1001,MATCH(ROWS($O$2:O630),$O$2:$O$1001,0),MATCH(COLUMNS($V$1006:V1006),$V$1006:$AE$1006,0)), HYPERLINK("#",""), HYPERLINK(CONCATENATE("#Metadata!", ADDRESS(INDEX($Q$2:$Q$1001,MATCH(ROWS($O$2:O630),$O$2:$O$1001,0),0), INDEX($V$1004:$AE$1004,1,MATCH(COLUMNS($V$1006:V1006),$V$1006:$AE$1006,0)))),"Fix")))</f>
        <v>0</v>
      </c>
      <c r="C630" s="4">
        <f>IF(OR(INDEX($P$2:$P$1001,MATCH(ROWS($O$2:O630),$O$2:$O$1001,0),1)&gt;=100000,INDEX($V$1005:$AE$1005,1,MATCH(COLUMNS($V$1006:W1006),$V$1006:$AE$1006,0))&gt;=100000), " ",IF(INDEX($V$2:$AE$1001,MATCH(ROWS($O$2:O630),$O$2:$O$1001,0),MATCH(COLUMNS($V$1006:W1006),$V$1006:$AE$1006,0)), HYPERLINK("#",""), HYPERLINK(CONCATENATE("#Metadata!", ADDRESS(INDEX($Q$2:$Q$1001,MATCH(ROWS($O$2:O630),$O$2:$O$1001,0),0), INDEX($V$1004:$AE$1004,1,MATCH(COLUMNS($V$1006:W1006),$V$1006:$AE$1006,0)))),"Fix")))</f>
        <v>0</v>
      </c>
      <c r="D630" s="4">
        <f>IF(OR(INDEX($P$2:$P$1001,MATCH(ROWS($O$2:O630),$O$2:$O$1001,0),1)&gt;=100000,INDEX($V$1005:$AE$1005,1,MATCH(COLUMNS($V$1006:X1006),$V$1006:$AE$1006,0))&gt;=100000), " ",IF(INDEX($V$2:$AE$1001,MATCH(ROWS($O$2:O630),$O$2:$O$1001,0),MATCH(COLUMNS($V$1006:X1006),$V$1006:$AE$1006,0)), HYPERLINK("#",""), HYPERLINK(CONCATENATE("#Metadata!", ADDRESS(INDEX($Q$2:$Q$1001,MATCH(ROWS($O$2:O630),$O$2:$O$1001,0),0), INDEX($V$1004:$AE$1004,1,MATCH(COLUMNS($V$1006:X1006),$V$1006:$AE$1006,0)))),"Fix")))</f>
        <v>0</v>
      </c>
      <c r="E630" s="4">
        <f>IF(OR(INDEX($P$2:$P$1001,MATCH(ROWS($O$2:O630),$O$2:$O$1001,0),1)&gt;=100000,INDEX($V$1005:$AE$1005,1,MATCH(COLUMNS($V$1006:Y1006),$V$1006:$AE$1006,0))&gt;=100000), " ",IF(INDEX($V$2:$AE$1001,MATCH(ROWS($O$2:O630),$O$2:$O$1001,0),MATCH(COLUMNS($V$1006:Y1006),$V$1006:$AE$1006,0)), HYPERLINK("#",""), HYPERLINK(CONCATENATE("#Metadata!", ADDRESS(INDEX($Q$2:$Q$1001,MATCH(ROWS($O$2:O630),$O$2:$O$1001,0),0), INDEX($V$1004:$AE$1004,1,MATCH(COLUMNS($V$1006:Y1006),$V$1006:$AE$1006,0)))),"Fix")))</f>
        <v>0</v>
      </c>
      <c r="F630" s="4">
        <f>IF(OR(INDEX($P$2:$P$1001,MATCH(ROWS($O$2:O630),$O$2:$O$1001,0),1)&gt;=100000,INDEX($V$1005:$AE$1005,1,MATCH(COLUMNS($V$1006:Z1006),$V$1006:$AE$1006,0))&gt;=100000), " ",IF(INDEX($V$2:$AE$1001,MATCH(ROWS($O$2:O630),$O$2:$O$1001,0),MATCH(COLUMNS($V$1006:Z1006),$V$1006:$AE$1006,0)), HYPERLINK("#",""), HYPERLINK(CONCATENATE("#Metadata!", ADDRESS(INDEX($Q$2:$Q$1001,MATCH(ROWS($O$2:O630),$O$2:$O$1001,0),0), INDEX($V$1004:$AE$1004,1,MATCH(COLUMNS($V$1006:Z1006),$V$1006:$AE$1006,0)))),"Fix")))</f>
        <v>0</v>
      </c>
      <c r="G630" s="4">
        <f>IF(OR(INDEX($P$2:$P$1001,MATCH(ROWS($O$2:O630),$O$2:$O$1001,0),1)&gt;=100000,INDEX($V$1005:$AE$1005,1,MATCH(COLUMNS($V$1006:AA1006),$V$1006:$AE$1006,0))&gt;=100000), " ",IF(INDEX($V$2:$AE$1001,MATCH(ROWS($O$2:O630),$O$2:$O$1001,0),MATCH(COLUMNS($V$1006:AA1006),$V$1006:$AE$1006,0)), HYPERLINK("#",""), HYPERLINK(CONCATENATE("#Metadata!", ADDRESS(INDEX($Q$2:$Q$1001,MATCH(ROWS($O$2:O630),$O$2:$O$1001,0),0), INDEX($V$1004:$AE$1004,1,MATCH(COLUMNS($V$1006:AA1006),$V$1006:$AE$1006,0)))),"Fix")))</f>
        <v>0</v>
      </c>
      <c r="H630" s="4">
        <f>IF(OR(INDEX($P$2:$P$1001,MATCH(ROWS($O$2:O630),$O$2:$O$1001,0),1)&gt;=100000,INDEX($V$1005:$AE$1005,1,MATCH(COLUMNS($V$1006:AB1006),$V$1006:$AE$1006,0))&gt;=100000), " ",IF(INDEX($V$2:$AE$1001,MATCH(ROWS($O$2:O630),$O$2:$O$1001,0),MATCH(COLUMNS($V$1006:AB1006),$V$1006:$AE$1006,0)), HYPERLINK("#",""), HYPERLINK(CONCATENATE("#Metadata!", ADDRESS(INDEX($Q$2:$Q$1001,MATCH(ROWS($O$2:O630),$O$2:$O$1001,0),0), INDEX($V$1004:$AE$1004,1,MATCH(COLUMNS($V$1006:AB1006),$V$1006:$AE$1006,0)))),"Fix")))</f>
        <v>0</v>
      </c>
      <c r="I630" s="4">
        <f>IF(OR(INDEX($P$2:$P$1001,MATCH(ROWS($O$2:O630),$O$2:$O$1001,0),1)&gt;=100000,INDEX($V$1005:$AE$1005,1,MATCH(COLUMNS($V$1006:AC1006),$V$1006:$AE$1006,0))&gt;=100000), " ",IF(INDEX($V$2:$AE$1001,MATCH(ROWS($O$2:O630),$O$2:$O$1001,0),MATCH(COLUMNS($V$1006:AC1006),$V$1006:$AE$1006,0)), HYPERLINK("#",""), HYPERLINK(CONCATENATE("#Metadata!", ADDRESS(INDEX($Q$2:$Q$1001,MATCH(ROWS($O$2:O630),$O$2:$O$1001,0),0), INDEX($V$1004:$AE$1004,1,MATCH(COLUMNS($V$1006:AC1006),$V$1006:$AE$1006,0)))),"Fix")))</f>
        <v>0</v>
      </c>
      <c r="J630" s="4">
        <f>IF(OR(INDEX($P$2:$P$1001,MATCH(ROWS($O$2:O630),$O$2:$O$1001,0),1)&gt;=100000,INDEX($V$1005:$AE$1005,1,MATCH(COLUMNS($V$1006:AD1006),$V$1006:$AE$1006,0))&gt;=100000), " ",IF(INDEX($V$2:$AE$1001,MATCH(ROWS($O$2:O630),$O$2:$O$1001,0),MATCH(COLUMNS($V$1006:AD1006),$V$1006:$AE$1006,0)), HYPERLINK("#",""), HYPERLINK(CONCATENATE("#Metadata!", ADDRESS(INDEX($Q$2:$Q$1001,MATCH(ROWS($O$2:O630),$O$2:$O$1001,0),0), INDEX($V$1004:$AE$1004,1,MATCH(COLUMNS($V$1006:AD1006),$V$1006:$AE$1006,0)))),"Fix")))</f>
        <v>0</v>
      </c>
      <c r="K630" s="4">
        <f>IF(OR(INDEX($P$2:$P$1001,MATCH(ROWS($O$2:O630),$O$2:$O$1001,0),1)&gt;=100000,INDEX($V$1005:$AE$1005,1,MATCH(COLUMNS($V$1006:AE1006),$V$1006:$AE$1006,0))&gt;=100000), " ",IF(INDEX($V$2:$AE$1001,MATCH(ROWS($O$2:O630),$O$2:$O$1001,0),MATCH(COLUMNS($V$1006:AE1006),$V$1006:$AE$1006,0)), HYPERLINK("#",""), HYPERLINK(CONCATENATE("#Metadata!", ADDRESS(INDEX($Q$2:$Q$1001,MATCH(ROWS($O$2:O630),$O$2:$O$1001,0),0), INDEX($V$1004:$AE$1004,1,MATCH(COLUMNS($V$1006:AE1006),$V$1006:$AE$1006,0)))),"Fix")))</f>
        <v>0</v>
      </c>
      <c r="O630">
        <v>0</v>
      </c>
      <c r="P630">
        <v>0</v>
      </c>
      <c r="Q630">
        <v>0</v>
      </c>
      <c r="R630">
        <f>IF(S630,TRUE,AND(V630:AE630))</f>
        <v>0</v>
      </c>
      <c r="S630">
        <f>COUNTBLANK(Metadata!B630:K630)=COLUMNS(Metadata!B630:K630)</f>
        <v>0</v>
      </c>
      <c r="T630">
        <v>0</v>
      </c>
      <c r="V630">
        <f>AND(IF(Metadata!B630="",FALSE,TRUE),COUNTIF(Metadata!B:B, Metadata!B630) = 1,NOT(ISERROR(SUMPRODUCT(SEARCH(MID(Metadata!B630,ROW(INDIRECT("1:"&amp;LEN(Metadata!B630))), 1),"0123456789abcdefghijklmnopqrstuvwxyzABCDEFGHIJKLMNOPQRSTUVWXYZ.")))))</f>
        <v>0</v>
      </c>
      <c r="W630">
        <f>AND(IF(Metadata!C630="",FALSE,TRUE),exact(Metadata!C630,"urban biome"))</f>
        <v>0</v>
      </c>
      <c r="X630">
        <f>AND(IF(Metadata!D630="",FALSE,TRUE),exact(Metadata!D630,"animal-associated habitat"))</f>
        <v>0</v>
      </c>
      <c r="Y630">
        <f>OR(AND(IF(Metadata!E630="",FALSE,TRUE),OR(exact(Metadata!E630,"not applicable"),exact(Metadata!E630,"missing: not collected"),exact(Metadata!E630,"missing: not provided"),exact(Metadata!E630,"missing: restricted access"))),AND(IF(Metadata!E630="",FALSE,ISNUMBER(VALUE(Metadata!E630))),Metadata!E630&gt;0))</f>
        <v>0</v>
      </c>
      <c r="Z630">
        <f>AND(IF(Metadata!F630="",FALSE,TRUE),exact(Metadata!F630,"weeks"))</f>
        <v>0</v>
      </c>
      <c r="AA630">
        <f>AND(IF(Metadata!G630="",FALSE,TRUE),exact(Metadata!G630,"mouse"))</f>
        <v>0</v>
      </c>
      <c r="AB630">
        <f>AND(IF(Metadata!H630="",FALSE,TRUE),exact(Metadata!H630,"Mus musculus"))</f>
        <v>0</v>
      </c>
      <c r="AC630">
        <f>AND(IF(Metadata!I630="",FALSE,TRUE),exact(Metadata!I630,"10090"))</f>
        <v>0</v>
      </c>
      <c r="AD630">
        <f>OR(AND(IF(Metadata!J630="",FALSE,TRUE),OR(exact(Metadata!J630,"not applicable"),exact(Metadata!J630,"missing: not collected"),exact(Metadata!J630,"missing: not provided"),exact(Metadata!J630,"missing: restricted access"))),AND(IF(Metadata!J630="",FALSE,ISNUMBER(VALUE(Metadata!J630))),Metadata!J630&gt;0))</f>
        <v>0</v>
      </c>
      <c r="AE630">
        <f>AND(IF(Metadata!K630="",FALSE,TRUE),exact(Metadata!K630,"g"))</f>
        <v>0</v>
      </c>
    </row>
    <row r="631" spans="1:31">
      <c r="A631" s="5">
        <f>IF(B631=" "," ",HYPERLINK(CONCATENATE("#metadata!",ADDRESS(INDEX($Q$2:$Q$1001,MATCH(ROWS($O$2:O631),$O$2:$O$1001,0),0),1)),INDEX($T$2:$T$1001,MATCH(ROWS($O$2:O631),$O$2:$O$1001,0),0)))</f>
        <v>0</v>
      </c>
      <c r="B631" s="4">
        <f>IF(OR(INDEX($P$2:$P$1001,MATCH(ROWS($O$2:O631),$O$2:$O$1001,0),1)&gt;=100000,INDEX($V$1005:$AE$1005,1,MATCH(COLUMNS($V$1006:V1006),$V$1006:$AE$1006,0))&gt;=100000), " ",IF(INDEX($V$2:$AE$1001,MATCH(ROWS($O$2:O631),$O$2:$O$1001,0),MATCH(COLUMNS($V$1006:V1006),$V$1006:$AE$1006,0)), HYPERLINK("#",""), HYPERLINK(CONCATENATE("#Metadata!", ADDRESS(INDEX($Q$2:$Q$1001,MATCH(ROWS($O$2:O631),$O$2:$O$1001,0),0), INDEX($V$1004:$AE$1004,1,MATCH(COLUMNS($V$1006:V1006),$V$1006:$AE$1006,0)))),"Fix")))</f>
        <v>0</v>
      </c>
      <c r="C631" s="4">
        <f>IF(OR(INDEX($P$2:$P$1001,MATCH(ROWS($O$2:O631),$O$2:$O$1001,0),1)&gt;=100000,INDEX($V$1005:$AE$1005,1,MATCH(COLUMNS($V$1006:W1006),$V$1006:$AE$1006,0))&gt;=100000), " ",IF(INDEX($V$2:$AE$1001,MATCH(ROWS($O$2:O631),$O$2:$O$1001,0),MATCH(COLUMNS($V$1006:W1006),$V$1006:$AE$1006,0)), HYPERLINK("#",""), HYPERLINK(CONCATENATE("#Metadata!", ADDRESS(INDEX($Q$2:$Q$1001,MATCH(ROWS($O$2:O631),$O$2:$O$1001,0),0), INDEX($V$1004:$AE$1004,1,MATCH(COLUMNS($V$1006:W1006),$V$1006:$AE$1006,0)))),"Fix")))</f>
        <v>0</v>
      </c>
      <c r="D631" s="4">
        <f>IF(OR(INDEX($P$2:$P$1001,MATCH(ROWS($O$2:O631),$O$2:$O$1001,0),1)&gt;=100000,INDEX($V$1005:$AE$1005,1,MATCH(COLUMNS($V$1006:X1006),$V$1006:$AE$1006,0))&gt;=100000), " ",IF(INDEX($V$2:$AE$1001,MATCH(ROWS($O$2:O631),$O$2:$O$1001,0),MATCH(COLUMNS($V$1006:X1006),$V$1006:$AE$1006,0)), HYPERLINK("#",""), HYPERLINK(CONCATENATE("#Metadata!", ADDRESS(INDEX($Q$2:$Q$1001,MATCH(ROWS($O$2:O631),$O$2:$O$1001,0),0), INDEX($V$1004:$AE$1004,1,MATCH(COLUMNS($V$1006:X1006),$V$1006:$AE$1006,0)))),"Fix")))</f>
        <v>0</v>
      </c>
      <c r="E631" s="4">
        <f>IF(OR(INDEX($P$2:$P$1001,MATCH(ROWS($O$2:O631),$O$2:$O$1001,0),1)&gt;=100000,INDEX($V$1005:$AE$1005,1,MATCH(COLUMNS($V$1006:Y1006),$V$1006:$AE$1006,0))&gt;=100000), " ",IF(INDEX($V$2:$AE$1001,MATCH(ROWS($O$2:O631),$O$2:$O$1001,0),MATCH(COLUMNS($V$1006:Y1006),$V$1006:$AE$1006,0)), HYPERLINK("#",""), HYPERLINK(CONCATENATE("#Metadata!", ADDRESS(INDEX($Q$2:$Q$1001,MATCH(ROWS($O$2:O631),$O$2:$O$1001,0),0), INDEX($V$1004:$AE$1004,1,MATCH(COLUMNS($V$1006:Y1006),$V$1006:$AE$1006,0)))),"Fix")))</f>
        <v>0</v>
      </c>
      <c r="F631" s="4">
        <f>IF(OR(INDEX($P$2:$P$1001,MATCH(ROWS($O$2:O631),$O$2:$O$1001,0),1)&gt;=100000,INDEX($V$1005:$AE$1005,1,MATCH(COLUMNS($V$1006:Z1006),$V$1006:$AE$1006,0))&gt;=100000), " ",IF(INDEX($V$2:$AE$1001,MATCH(ROWS($O$2:O631),$O$2:$O$1001,0),MATCH(COLUMNS($V$1006:Z1006),$V$1006:$AE$1006,0)), HYPERLINK("#",""), HYPERLINK(CONCATENATE("#Metadata!", ADDRESS(INDEX($Q$2:$Q$1001,MATCH(ROWS($O$2:O631),$O$2:$O$1001,0),0), INDEX($V$1004:$AE$1004,1,MATCH(COLUMNS($V$1006:Z1006),$V$1006:$AE$1006,0)))),"Fix")))</f>
        <v>0</v>
      </c>
      <c r="G631" s="4">
        <f>IF(OR(INDEX($P$2:$P$1001,MATCH(ROWS($O$2:O631),$O$2:$O$1001,0),1)&gt;=100000,INDEX($V$1005:$AE$1005,1,MATCH(COLUMNS($V$1006:AA1006),$V$1006:$AE$1006,0))&gt;=100000), " ",IF(INDEX($V$2:$AE$1001,MATCH(ROWS($O$2:O631),$O$2:$O$1001,0),MATCH(COLUMNS($V$1006:AA1006),$V$1006:$AE$1006,0)), HYPERLINK("#",""), HYPERLINK(CONCATENATE("#Metadata!", ADDRESS(INDEX($Q$2:$Q$1001,MATCH(ROWS($O$2:O631),$O$2:$O$1001,0),0), INDEX($V$1004:$AE$1004,1,MATCH(COLUMNS($V$1006:AA1006),$V$1006:$AE$1006,0)))),"Fix")))</f>
        <v>0</v>
      </c>
      <c r="H631" s="4">
        <f>IF(OR(INDEX($P$2:$P$1001,MATCH(ROWS($O$2:O631),$O$2:$O$1001,0),1)&gt;=100000,INDEX($V$1005:$AE$1005,1,MATCH(COLUMNS($V$1006:AB1006),$V$1006:$AE$1006,0))&gt;=100000), " ",IF(INDEX($V$2:$AE$1001,MATCH(ROWS($O$2:O631),$O$2:$O$1001,0),MATCH(COLUMNS($V$1006:AB1006),$V$1006:$AE$1006,0)), HYPERLINK("#",""), HYPERLINK(CONCATENATE("#Metadata!", ADDRESS(INDEX($Q$2:$Q$1001,MATCH(ROWS($O$2:O631),$O$2:$O$1001,0),0), INDEX($V$1004:$AE$1004,1,MATCH(COLUMNS($V$1006:AB1006),$V$1006:$AE$1006,0)))),"Fix")))</f>
        <v>0</v>
      </c>
      <c r="I631" s="4">
        <f>IF(OR(INDEX($P$2:$P$1001,MATCH(ROWS($O$2:O631),$O$2:$O$1001,0),1)&gt;=100000,INDEX($V$1005:$AE$1005,1,MATCH(COLUMNS($V$1006:AC1006),$V$1006:$AE$1006,0))&gt;=100000), " ",IF(INDEX($V$2:$AE$1001,MATCH(ROWS($O$2:O631),$O$2:$O$1001,0),MATCH(COLUMNS($V$1006:AC1006),$V$1006:$AE$1006,0)), HYPERLINK("#",""), HYPERLINK(CONCATENATE("#Metadata!", ADDRESS(INDEX($Q$2:$Q$1001,MATCH(ROWS($O$2:O631),$O$2:$O$1001,0),0), INDEX($V$1004:$AE$1004,1,MATCH(COLUMNS($V$1006:AC1006),$V$1006:$AE$1006,0)))),"Fix")))</f>
        <v>0</v>
      </c>
      <c r="J631" s="4">
        <f>IF(OR(INDEX($P$2:$P$1001,MATCH(ROWS($O$2:O631),$O$2:$O$1001,0),1)&gt;=100000,INDEX($V$1005:$AE$1005,1,MATCH(COLUMNS($V$1006:AD1006),$V$1006:$AE$1006,0))&gt;=100000), " ",IF(INDEX($V$2:$AE$1001,MATCH(ROWS($O$2:O631),$O$2:$O$1001,0),MATCH(COLUMNS($V$1006:AD1006),$V$1006:$AE$1006,0)), HYPERLINK("#",""), HYPERLINK(CONCATENATE("#Metadata!", ADDRESS(INDEX($Q$2:$Q$1001,MATCH(ROWS($O$2:O631),$O$2:$O$1001,0),0), INDEX($V$1004:$AE$1004,1,MATCH(COLUMNS($V$1006:AD1006),$V$1006:$AE$1006,0)))),"Fix")))</f>
        <v>0</v>
      </c>
      <c r="K631" s="4">
        <f>IF(OR(INDEX($P$2:$P$1001,MATCH(ROWS($O$2:O631),$O$2:$O$1001,0),1)&gt;=100000,INDEX($V$1005:$AE$1005,1,MATCH(COLUMNS($V$1006:AE1006),$V$1006:$AE$1006,0))&gt;=100000), " ",IF(INDEX($V$2:$AE$1001,MATCH(ROWS($O$2:O631),$O$2:$O$1001,0),MATCH(COLUMNS($V$1006:AE1006),$V$1006:$AE$1006,0)), HYPERLINK("#",""), HYPERLINK(CONCATENATE("#Metadata!", ADDRESS(INDEX($Q$2:$Q$1001,MATCH(ROWS($O$2:O631),$O$2:$O$1001,0),0), INDEX($V$1004:$AE$1004,1,MATCH(COLUMNS($V$1006:AE1006),$V$1006:$AE$1006,0)))),"Fix")))</f>
        <v>0</v>
      </c>
      <c r="O631">
        <v>0</v>
      </c>
      <c r="P631">
        <v>0</v>
      </c>
      <c r="Q631">
        <v>0</v>
      </c>
      <c r="R631">
        <f>IF(S631,TRUE,AND(V631:AE631))</f>
        <v>0</v>
      </c>
      <c r="S631">
        <f>COUNTBLANK(Metadata!B631:K631)=COLUMNS(Metadata!B631:K631)</f>
        <v>0</v>
      </c>
      <c r="T631">
        <v>0</v>
      </c>
      <c r="V631">
        <f>AND(IF(Metadata!B631="",FALSE,TRUE),COUNTIF(Metadata!B:B, Metadata!B631) = 1,NOT(ISERROR(SUMPRODUCT(SEARCH(MID(Metadata!B631,ROW(INDIRECT("1:"&amp;LEN(Metadata!B631))), 1),"0123456789abcdefghijklmnopqrstuvwxyzABCDEFGHIJKLMNOPQRSTUVWXYZ.")))))</f>
        <v>0</v>
      </c>
      <c r="W631">
        <f>AND(IF(Metadata!C631="",FALSE,TRUE),exact(Metadata!C631,"urban biome"))</f>
        <v>0</v>
      </c>
      <c r="X631">
        <f>AND(IF(Metadata!D631="",FALSE,TRUE),exact(Metadata!D631,"animal-associated habitat"))</f>
        <v>0</v>
      </c>
      <c r="Y631">
        <f>OR(AND(IF(Metadata!E631="",FALSE,TRUE),OR(exact(Metadata!E631,"not applicable"),exact(Metadata!E631,"missing: not collected"),exact(Metadata!E631,"missing: not provided"),exact(Metadata!E631,"missing: restricted access"))),AND(IF(Metadata!E631="",FALSE,ISNUMBER(VALUE(Metadata!E631))),Metadata!E631&gt;0))</f>
        <v>0</v>
      </c>
      <c r="Z631">
        <f>AND(IF(Metadata!F631="",FALSE,TRUE),exact(Metadata!F631,"weeks"))</f>
        <v>0</v>
      </c>
      <c r="AA631">
        <f>AND(IF(Metadata!G631="",FALSE,TRUE),exact(Metadata!G631,"mouse"))</f>
        <v>0</v>
      </c>
      <c r="AB631">
        <f>AND(IF(Metadata!H631="",FALSE,TRUE),exact(Metadata!H631,"Mus musculus"))</f>
        <v>0</v>
      </c>
      <c r="AC631">
        <f>AND(IF(Metadata!I631="",FALSE,TRUE),exact(Metadata!I631,"10090"))</f>
        <v>0</v>
      </c>
      <c r="AD631">
        <f>OR(AND(IF(Metadata!J631="",FALSE,TRUE),OR(exact(Metadata!J631,"not applicable"),exact(Metadata!J631,"missing: not collected"),exact(Metadata!J631,"missing: not provided"),exact(Metadata!J631,"missing: restricted access"))),AND(IF(Metadata!J631="",FALSE,ISNUMBER(VALUE(Metadata!J631))),Metadata!J631&gt;0))</f>
        <v>0</v>
      </c>
      <c r="AE631">
        <f>AND(IF(Metadata!K631="",FALSE,TRUE),exact(Metadata!K631,"g"))</f>
        <v>0</v>
      </c>
    </row>
    <row r="632" spans="1:31">
      <c r="A632" s="5">
        <f>IF(B632=" "," ",HYPERLINK(CONCATENATE("#metadata!",ADDRESS(INDEX($Q$2:$Q$1001,MATCH(ROWS($O$2:O632),$O$2:$O$1001,0),0),1)),INDEX($T$2:$T$1001,MATCH(ROWS($O$2:O632),$O$2:$O$1001,0),0)))</f>
        <v>0</v>
      </c>
      <c r="B632" s="4">
        <f>IF(OR(INDEX($P$2:$P$1001,MATCH(ROWS($O$2:O632),$O$2:$O$1001,0),1)&gt;=100000,INDEX($V$1005:$AE$1005,1,MATCH(COLUMNS($V$1006:V1006),$V$1006:$AE$1006,0))&gt;=100000), " ",IF(INDEX($V$2:$AE$1001,MATCH(ROWS($O$2:O632),$O$2:$O$1001,0),MATCH(COLUMNS($V$1006:V1006),$V$1006:$AE$1006,0)), HYPERLINK("#",""), HYPERLINK(CONCATENATE("#Metadata!", ADDRESS(INDEX($Q$2:$Q$1001,MATCH(ROWS($O$2:O632),$O$2:$O$1001,0),0), INDEX($V$1004:$AE$1004,1,MATCH(COLUMNS($V$1006:V1006),$V$1006:$AE$1006,0)))),"Fix")))</f>
        <v>0</v>
      </c>
      <c r="C632" s="4">
        <f>IF(OR(INDEX($P$2:$P$1001,MATCH(ROWS($O$2:O632),$O$2:$O$1001,0),1)&gt;=100000,INDEX($V$1005:$AE$1005,1,MATCH(COLUMNS($V$1006:W1006),$V$1006:$AE$1006,0))&gt;=100000), " ",IF(INDEX($V$2:$AE$1001,MATCH(ROWS($O$2:O632),$O$2:$O$1001,0),MATCH(COLUMNS($V$1006:W1006),$V$1006:$AE$1006,0)), HYPERLINK("#",""), HYPERLINK(CONCATENATE("#Metadata!", ADDRESS(INDEX($Q$2:$Q$1001,MATCH(ROWS($O$2:O632),$O$2:$O$1001,0),0), INDEX($V$1004:$AE$1004,1,MATCH(COLUMNS($V$1006:W1006),$V$1006:$AE$1006,0)))),"Fix")))</f>
        <v>0</v>
      </c>
      <c r="D632" s="4">
        <f>IF(OR(INDEX($P$2:$P$1001,MATCH(ROWS($O$2:O632),$O$2:$O$1001,0),1)&gt;=100000,INDEX($V$1005:$AE$1005,1,MATCH(COLUMNS($V$1006:X1006),$V$1006:$AE$1006,0))&gt;=100000), " ",IF(INDEX($V$2:$AE$1001,MATCH(ROWS($O$2:O632),$O$2:$O$1001,0),MATCH(COLUMNS($V$1006:X1006),$V$1006:$AE$1006,0)), HYPERLINK("#",""), HYPERLINK(CONCATENATE("#Metadata!", ADDRESS(INDEX($Q$2:$Q$1001,MATCH(ROWS($O$2:O632),$O$2:$O$1001,0),0), INDEX($V$1004:$AE$1004,1,MATCH(COLUMNS($V$1006:X1006),$V$1006:$AE$1006,0)))),"Fix")))</f>
        <v>0</v>
      </c>
      <c r="E632" s="4">
        <f>IF(OR(INDEX($P$2:$P$1001,MATCH(ROWS($O$2:O632),$O$2:$O$1001,0),1)&gt;=100000,INDEX($V$1005:$AE$1005,1,MATCH(COLUMNS($V$1006:Y1006),$V$1006:$AE$1006,0))&gt;=100000), " ",IF(INDEX($V$2:$AE$1001,MATCH(ROWS($O$2:O632),$O$2:$O$1001,0),MATCH(COLUMNS($V$1006:Y1006),$V$1006:$AE$1006,0)), HYPERLINK("#",""), HYPERLINK(CONCATENATE("#Metadata!", ADDRESS(INDEX($Q$2:$Q$1001,MATCH(ROWS($O$2:O632),$O$2:$O$1001,0),0), INDEX($V$1004:$AE$1004,1,MATCH(COLUMNS($V$1006:Y1006),$V$1006:$AE$1006,0)))),"Fix")))</f>
        <v>0</v>
      </c>
      <c r="F632" s="4">
        <f>IF(OR(INDEX($P$2:$P$1001,MATCH(ROWS($O$2:O632),$O$2:$O$1001,0),1)&gt;=100000,INDEX($V$1005:$AE$1005,1,MATCH(COLUMNS($V$1006:Z1006),$V$1006:$AE$1006,0))&gt;=100000), " ",IF(INDEX($V$2:$AE$1001,MATCH(ROWS($O$2:O632),$O$2:$O$1001,0),MATCH(COLUMNS($V$1006:Z1006),$V$1006:$AE$1006,0)), HYPERLINK("#",""), HYPERLINK(CONCATENATE("#Metadata!", ADDRESS(INDEX($Q$2:$Q$1001,MATCH(ROWS($O$2:O632),$O$2:$O$1001,0),0), INDEX($V$1004:$AE$1004,1,MATCH(COLUMNS($V$1006:Z1006),$V$1006:$AE$1006,0)))),"Fix")))</f>
        <v>0</v>
      </c>
      <c r="G632" s="4">
        <f>IF(OR(INDEX($P$2:$P$1001,MATCH(ROWS($O$2:O632),$O$2:$O$1001,0),1)&gt;=100000,INDEX($V$1005:$AE$1005,1,MATCH(COLUMNS($V$1006:AA1006),$V$1006:$AE$1006,0))&gt;=100000), " ",IF(INDEX($V$2:$AE$1001,MATCH(ROWS($O$2:O632),$O$2:$O$1001,0),MATCH(COLUMNS($V$1006:AA1006),$V$1006:$AE$1006,0)), HYPERLINK("#",""), HYPERLINK(CONCATENATE("#Metadata!", ADDRESS(INDEX($Q$2:$Q$1001,MATCH(ROWS($O$2:O632),$O$2:$O$1001,0),0), INDEX($V$1004:$AE$1004,1,MATCH(COLUMNS($V$1006:AA1006),$V$1006:$AE$1006,0)))),"Fix")))</f>
        <v>0</v>
      </c>
      <c r="H632" s="4">
        <f>IF(OR(INDEX($P$2:$P$1001,MATCH(ROWS($O$2:O632),$O$2:$O$1001,0),1)&gt;=100000,INDEX($V$1005:$AE$1005,1,MATCH(COLUMNS($V$1006:AB1006),$V$1006:$AE$1006,0))&gt;=100000), " ",IF(INDEX($V$2:$AE$1001,MATCH(ROWS($O$2:O632),$O$2:$O$1001,0),MATCH(COLUMNS($V$1006:AB1006),$V$1006:$AE$1006,0)), HYPERLINK("#",""), HYPERLINK(CONCATENATE("#Metadata!", ADDRESS(INDEX($Q$2:$Q$1001,MATCH(ROWS($O$2:O632),$O$2:$O$1001,0),0), INDEX($V$1004:$AE$1004,1,MATCH(COLUMNS($V$1006:AB1006),$V$1006:$AE$1006,0)))),"Fix")))</f>
        <v>0</v>
      </c>
      <c r="I632" s="4">
        <f>IF(OR(INDEX($P$2:$P$1001,MATCH(ROWS($O$2:O632),$O$2:$O$1001,0),1)&gt;=100000,INDEX($V$1005:$AE$1005,1,MATCH(COLUMNS($V$1006:AC1006),$V$1006:$AE$1006,0))&gt;=100000), " ",IF(INDEX($V$2:$AE$1001,MATCH(ROWS($O$2:O632),$O$2:$O$1001,0),MATCH(COLUMNS($V$1006:AC1006),$V$1006:$AE$1006,0)), HYPERLINK("#",""), HYPERLINK(CONCATENATE("#Metadata!", ADDRESS(INDEX($Q$2:$Q$1001,MATCH(ROWS($O$2:O632),$O$2:$O$1001,0),0), INDEX($V$1004:$AE$1004,1,MATCH(COLUMNS($V$1006:AC1006),$V$1006:$AE$1006,0)))),"Fix")))</f>
        <v>0</v>
      </c>
      <c r="J632" s="4">
        <f>IF(OR(INDEX($P$2:$P$1001,MATCH(ROWS($O$2:O632),$O$2:$O$1001,0),1)&gt;=100000,INDEX($V$1005:$AE$1005,1,MATCH(COLUMNS($V$1006:AD1006),$V$1006:$AE$1006,0))&gt;=100000), " ",IF(INDEX($V$2:$AE$1001,MATCH(ROWS($O$2:O632),$O$2:$O$1001,0),MATCH(COLUMNS($V$1006:AD1006),$V$1006:$AE$1006,0)), HYPERLINK("#",""), HYPERLINK(CONCATENATE("#Metadata!", ADDRESS(INDEX($Q$2:$Q$1001,MATCH(ROWS($O$2:O632),$O$2:$O$1001,0),0), INDEX($V$1004:$AE$1004,1,MATCH(COLUMNS($V$1006:AD1006),$V$1006:$AE$1006,0)))),"Fix")))</f>
        <v>0</v>
      </c>
      <c r="K632" s="4">
        <f>IF(OR(INDEX($P$2:$P$1001,MATCH(ROWS($O$2:O632),$O$2:$O$1001,0),1)&gt;=100000,INDEX($V$1005:$AE$1005,1,MATCH(COLUMNS($V$1006:AE1006),$V$1006:$AE$1006,0))&gt;=100000), " ",IF(INDEX($V$2:$AE$1001,MATCH(ROWS($O$2:O632),$O$2:$O$1001,0),MATCH(COLUMNS($V$1006:AE1006),$V$1006:$AE$1006,0)), HYPERLINK("#",""), HYPERLINK(CONCATENATE("#Metadata!", ADDRESS(INDEX($Q$2:$Q$1001,MATCH(ROWS($O$2:O632),$O$2:$O$1001,0),0), INDEX($V$1004:$AE$1004,1,MATCH(COLUMNS($V$1006:AE1006),$V$1006:$AE$1006,0)))),"Fix")))</f>
        <v>0</v>
      </c>
      <c r="O632">
        <v>0</v>
      </c>
      <c r="P632">
        <v>0</v>
      </c>
      <c r="Q632">
        <v>0</v>
      </c>
      <c r="R632">
        <f>IF(S632,TRUE,AND(V632:AE632))</f>
        <v>0</v>
      </c>
      <c r="S632">
        <f>COUNTBLANK(Metadata!B632:K632)=COLUMNS(Metadata!B632:K632)</f>
        <v>0</v>
      </c>
      <c r="T632">
        <v>0</v>
      </c>
      <c r="V632">
        <f>AND(IF(Metadata!B632="",FALSE,TRUE),COUNTIF(Metadata!B:B, Metadata!B632) = 1,NOT(ISERROR(SUMPRODUCT(SEARCH(MID(Metadata!B632,ROW(INDIRECT("1:"&amp;LEN(Metadata!B632))), 1),"0123456789abcdefghijklmnopqrstuvwxyzABCDEFGHIJKLMNOPQRSTUVWXYZ.")))))</f>
        <v>0</v>
      </c>
      <c r="W632">
        <f>AND(IF(Metadata!C632="",FALSE,TRUE),exact(Metadata!C632,"urban biome"))</f>
        <v>0</v>
      </c>
      <c r="X632">
        <f>AND(IF(Metadata!D632="",FALSE,TRUE),exact(Metadata!D632,"animal-associated habitat"))</f>
        <v>0</v>
      </c>
      <c r="Y632">
        <f>OR(AND(IF(Metadata!E632="",FALSE,TRUE),OR(exact(Metadata!E632,"not applicable"),exact(Metadata!E632,"missing: not collected"),exact(Metadata!E632,"missing: not provided"),exact(Metadata!E632,"missing: restricted access"))),AND(IF(Metadata!E632="",FALSE,ISNUMBER(VALUE(Metadata!E632))),Metadata!E632&gt;0))</f>
        <v>0</v>
      </c>
      <c r="Z632">
        <f>AND(IF(Metadata!F632="",FALSE,TRUE),exact(Metadata!F632,"weeks"))</f>
        <v>0</v>
      </c>
      <c r="AA632">
        <f>AND(IF(Metadata!G632="",FALSE,TRUE),exact(Metadata!G632,"mouse"))</f>
        <v>0</v>
      </c>
      <c r="AB632">
        <f>AND(IF(Metadata!H632="",FALSE,TRUE),exact(Metadata!H632,"Mus musculus"))</f>
        <v>0</v>
      </c>
      <c r="AC632">
        <f>AND(IF(Metadata!I632="",FALSE,TRUE),exact(Metadata!I632,"10090"))</f>
        <v>0</v>
      </c>
      <c r="AD632">
        <f>OR(AND(IF(Metadata!J632="",FALSE,TRUE),OR(exact(Metadata!J632,"not applicable"),exact(Metadata!J632,"missing: not collected"),exact(Metadata!J632,"missing: not provided"),exact(Metadata!J632,"missing: restricted access"))),AND(IF(Metadata!J632="",FALSE,ISNUMBER(VALUE(Metadata!J632))),Metadata!J632&gt;0))</f>
        <v>0</v>
      </c>
      <c r="AE632">
        <f>AND(IF(Metadata!K632="",FALSE,TRUE),exact(Metadata!K632,"g"))</f>
        <v>0</v>
      </c>
    </row>
    <row r="633" spans="1:31">
      <c r="A633" s="5">
        <f>IF(B633=" "," ",HYPERLINK(CONCATENATE("#metadata!",ADDRESS(INDEX($Q$2:$Q$1001,MATCH(ROWS($O$2:O633),$O$2:$O$1001,0),0),1)),INDEX($T$2:$T$1001,MATCH(ROWS($O$2:O633),$O$2:$O$1001,0),0)))</f>
        <v>0</v>
      </c>
      <c r="B633" s="4">
        <f>IF(OR(INDEX($P$2:$P$1001,MATCH(ROWS($O$2:O633),$O$2:$O$1001,0),1)&gt;=100000,INDEX($V$1005:$AE$1005,1,MATCH(COLUMNS($V$1006:V1006),$V$1006:$AE$1006,0))&gt;=100000), " ",IF(INDEX($V$2:$AE$1001,MATCH(ROWS($O$2:O633),$O$2:$O$1001,0),MATCH(COLUMNS($V$1006:V1006),$V$1006:$AE$1006,0)), HYPERLINK("#",""), HYPERLINK(CONCATENATE("#Metadata!", ADDRESS(INDEX($Q$2:$Q$1001,MATCH(ROWS($O$2:O633),$O$2:$O$1001,0),0), INDEX($V$1004:$AE$1004,1,MATCH(COLUMNS($V$1006:V1006),$V$1006:$AE$1006,0)))),"Fix")))</f>
        <v>0</v>
      </c>
      <c r="C633" s="4">
        <f>IF(OR(INDEX($P$2:$P$1001,MATCH(ROWS($O$2:O633),$O$2:$O$1001,0),1)&gt;=100000,INDEX($V$1005:$AE$1005,1,MATCH(COLUMNS($V$1006:W1006),$V$1006:$AE$1006,0))&gt;=100000), " ",IF(INDEX($V$2:$AE$1001,MATCH(ROWS($O$2:O633),$O$2:$O$1001,0),MATCH(COLUMNS($V$1006:W1006),$V$1006:$AE$1006,0)), HYPERLINK("#",""), HYPERLINK(CONCATENATE("#Metadata!", ADDRESS(INDEX($Q$2:$Q$1001,MATCH(ROWS($O$2:O633),$O$2:$O$1001,0),0), INDEX($V$1004:$AE$1004,1,MATCH(COLUMNS($V$1006:W1006),$V$1006:$AE$1006,0)))),"Fix")))</f>
        <v>0</v>
      </c>
      <c r="D633" s="4">
        <f>IF(OR(INDEX($P$2:$P$1001,MATCH(ROWS($O$2:O633),$O$2:$O$1001,0),1)&gt;=100000,INDEX($V$1005:$AE$1005,1,MATCH(COLUMNS($V$1006:X1006),$V$1006:$AE$1006,0))&gt;=100000), " ",IF(INDEX($V$2:$AE$1001,MATCH(ROWS($O$2:O633),$O$2:$O$1001,0),MATCH(COLUMNS($V$1006:X1006),$V$1006:$AE$1006,0)), HYPERLINK("#",""), HYPERLINK(CONCATENATE("#Metadata!", ADDRESS(INDEX($Q$2:$Q$1001,MATCH(ROWS($O$2:O633),$O$2:$O$1001,0),0), INDEX($V$1004:$AE$1004,1,MATCH(COLUMNS($V$1006:X1006),$V$1006:$AE$1006,0)))),"Fix")))</f>
        <v>0</v>
      </c>
      <c r="E633" s="4">
        <f>IF(OR(INDEX($P$2:$P$1001,MATCH(ROWS($O$2:O633),$O$2:$O$1001,0),1)&gt;=100000,INDEX($V$1005:$AE$1005,1,MATCH(COLUMNS($V$1006:Y1006),$V$1006:$AE$1006,0))&gt;=100000), " ",IF(INDEX($V$2:$AE$1001,MATCH(ROWS($O$2:O633),$O$2:$O$1001,0),MATCH(COLUMNS($V$1006:Y1006),$V$1006:$AE$1006,0)), HYPERLINK("#",""), HYPERLINK(CONCATENATE("#Metadata!", ADDRESS(INDEX($Q$2:$Q$1001,MATCH(ROWS($O$2:O633),$O$2:$O$1001,0),0), INDEX($V$1004:$AE$1004,1,MATCH(COLUMNS($V$1006:Y1006),$V$1006:$AE$1006,0)))),"Fix")))</f>
        <v>0</v>
      </c>
      <c r="F633" s="4">
        <f>IF(OR(INDEX($P$2:$P$1001,MATCH(ROWS($O$2:O633),$O$2:$O$1001,0),1)&gt;=100000,INDEX($V$1005:$AE$1005,1,MATCH(COLUMNS($V$1006:Z1006),$V$1006:$AE$1006,0))&gt;=100000), " ",IF(INDEX($V$2:$AE$1001,MATCH(ROWS($O$2:O633),$O$2:$O$1001,0),MATCH(COLUMNS($V$1006:Z1006),$V$1006:$AE$1006,0)), HYPERLINK("#",""), HYPERLINK(CONCATENATE("#Metadata!", ADDRESS(INDEX($Q$2:$Q$1001,MATCH(ROWS($O$2:O633),$O$2:$O$1001,0),0), INDEX($V$1004:$AE$1004,1,MATCH(COLUMNS($V$1006:Z1006),$V$1006:$AE$1006,0)))),"Fix")))</f>
        <v>0</v>
      </c>
      <c r="G633" s="4">
        <f>IF(OR(INDEX($P$2:$P$1001,MATCH(ROWS($O$2:O633),$O$2:$O$1001,0),1)&gt;=100000,INDEX($V$1005:$AE$1005,1,MATCH(COLUMNS($V$1006:AA1006),$V$1006:$AE$1006,0))&gt;=100000), " ",IF(INDEX($V$2:$AE$1001,MATCH(ROWS($O$2:O633),$O$2:$O$1001,0),MATCH(COLUMNS($V$1006:AA1006),$V$1006:$AE$1006,0)), HYPERLINK("#",""), HYPERLINK(CONCATENATE("#Metadata!", ADDRESS(INDEX($Q$2:$Q$1001,MATCH(ROWS($O$2:O633),$O$2:$O$1001,0),0), INDEX($V$1004:$AE$1004,1,MATCH(COLUMNS($V$1006:AA1006),$V$1006:$AE$1006,0)))),"Fix")))</f>
        <v>0</v>
      </c>
      <c r="H633" s="4">
        <f>IF(OR(INDEX($P$2:$P$1001,MATCH(ROWS($O$2:O633),$O$2:$O$1001,0),1)&gt;=100000,INDEX($V$1005:$AE$1005,1,MATCH(COLUMNS($V$1006:AB1006),$V$1006:$AE$1006,0))&gt;=100000), " ",IF(INDEX($V$2:$AE$1001,MATCH(ROWS($O$2:O633),$O$2:$O$1001,0),MATCH(COLUMNS($V$1006:AB1006),$V$1006:$AE$1006,0)), HYPERLINK("#",""), HYPERLINK(CONCATENATE("#Metadata!", ADDRESS(INDEX($Q$2:$Q$1001,MATCH(ROWS($O$2:O633),$O$2:$O$1001,0),0), INDEX($V$1004:$AE$1004,1,MATCH(COLUMNS($V$1006:AB1006),$V$1006:$AE$1006,0)))),"Fix")))</f>
        <v>0</v>
      </c>
      <c r="I633" s="4">
        <f>IF(OR(INDEX($P$2:$P$1001,MATCH(ROWS($O$2:O633),$O$2:$O$1001,0),1)&gt;=100000,INDEX($V$1005:$AE$1005,1,MATCH(COLUMNS($V$1006:AC1006),$V$1006:$AE$1006,0))&gt;=100000), " ",IF(INDEX($V$2:$AE$1001,MATCH(ROWS($O$2:O633),$O$2:$O$1001,0),MATCH(COLUMNS($V$1006:AC1006),$V$1006:$AE$1006,0)), HYPERLINK("#",""), HYPERLINK(CONCATENATE("#Metadata!", ADDRESS(INDEX($Q$2:$Q$1001,MATCH(ROWS($O$2:O633),$O$2:$O$1001,0),0), INDEX($V$1004:$AE$1004,1,MATCH(COLUMNS($V$1006:AC1006),$V$1006:$AE$1006,0)))),"Fix")))</f>
        <v>0</v>
      </c>
      <c r="J633" s="4">
        <f>IF(OR(INDEX($P$2:$P$1001,MATCH(ROWS($O$2:O633),$O$2:$O$1001,0),1)&gt;=100000,INDEX($V$1005:$AE$1005,1,MATCH(COLUMNS($V$1006:AD1006),$V$1006:$AE$1006,0))&gt;=100000), " ",IF(INDEX($V$2:$AE$1001,MATCH(ROWS($O$2:O633),$O$2:$O$1001,0),MATCH(COLUMNS($V$1006:AD1006),$V$1006:$AE$1006,0)), HYPERLINK("#",""), HYPERLINK(CONCATENATE("#Metadata!", ADDRESS(INDEX($Q$2:$Q$1001,MATCH(ROWS($O$2:O633),$O$2:$O$1001,0),0), INDEX($V$1004:$AE$1004,1,MATCH(COLUMNS($V$1006:AD1006),$V$1006:$AE$1006,0)))),"Fix")))</f>
        <v>0</v>
      </c>
      <c r="K633" s="4">
        <f>IF(OR(INDEX($P$2:$P$1001,MATCH(ROWS($O$2:O633),$O$2:$O$1001,0),1)&gt;=100000,INDEX($V$1005:$AE$1005,1,MATCH(COLUMNS($V$1006:AE1006),$V$1006:$AE$1006,0))&gt;=100000), " ",IF(INDEX($V$2:$AE$1001,MATCH(ROWS($O$2:O633),$O$2:$O$1001,0),MATCH(COLUMNS($V$1006:AE1006),$V$1006:$AE$1006,0)), HYPERLINK("#",""), HYPERLINK(CONCATENATE("#Metadata!", ADDRESS(INDEX($Q$2:$Q$1001,MATCH(ROWS($O$2:O633),$O$2:$O$1001,0),0), INDEX($V$1004:$AE$1004,1,MATCH(COLUMNS($V$1006:AE1006),$V$1006:$AE$1006,0)))),"Fix")))</f>
        <v>0</v>
      </c>
      <c r="O633">
        <v>0</v>
      </c>
      <c r="P633">
        <v>0</v>
      </c>
      <c r="Q633">
        <v>0</v>
      </c>
      <c r="R633">
        <f>IF(S633,TRUE,AND(V633:AE633))</f>
        <v>0</v>
      </c>
      <c r="S633">
        <f>COUNTBLANK(Metadata!B633:K633)=COLUMNS(Metadata!B633:K633)</f>
        <v>0</v>
      </c>
      <c r="T633">
        <v>0</v>
      </c>
      <c r="V633">
        <f>AND(IF(Metadata!B633="",FALSE,TRUE),COUNTIF(Metadata!B:B, Metadata!B633) = 1,NOT(ISERROR(SUMPRODUCT(SEARCH(MID(Metadata!B633,ROW(INDIRECT("1:"&amp;LEN(Metadata!B633))), 1),"0123456789abcdefghijklmnopqrstuvwxyzABCDEFGHIJKLMNOPQRSTUVWXYZ.")))))</f>
        <v>0</v>
      </c>
      <c r="W633">
        <f>AND(IF(Metadata!C633="",FALSE,TRUE),exact(Metadata!C633,"urban biome"))</f>
        <v>0</v>
      </c>
      <c r="X633">
        <f>AND(IF(Metadata!D633="",FALSE,TRUE),exact(Metadata!D633,"animal-associated habitat"))</f>
        <v>0</v>
      </c>
      <c r="Y633">
        <f>OR(AND(IF(Metadata!E633="",FALSE,TRUE),OR(exact(Metadata!E633,"not applicable"),exact(Metadata!E633,"missing: not collected"),exact(Metadata!E633,"missing: not provided"),exact(Metadata!E633,"missing: restricted access"))),AND(IF(Metadata!E633="",FALSE,ISNUMBER(VALUE(Metadata!E633))),Metadata!E633&gt;0))</f>
        <v>0</v>
      </c>
      <c r="Z633">
        <f>AND(IF(Metadata!F633="",FALSE,TRUE),exact(Metadata!F633,"weeks"))</f>
        <v>0</v>
      </c>
      <c r="AA633">
        <f>AND(IF(Metadata!G633="",FALSE,TRUE),exact(Metadata!G633,"mouse"))</f>
        <v>0</v>
      </c>
      <c r="AB633">
        <f>AND(IF(Metadata!H633="",FALSE,TRUE),exact(Metadata!H633,"Mus musculus"))</f>
        <v>0</v>
      </c>
      <c r="AC633">
        <f>AND(IF(Metadata!I633="",FALSE,TRUE),exact(Metadata!I633,"10090"))</f>
        <v>0</v>
      </c>
      <c r="AD633">
        <f>OR(AND(IF(Metadata!J633="",FALSE,TRUE),OR(exact(Metadata!J633,"not applicable"),exact(Metadata!J633,"missing: not collected"),exact(Metadata!J633,"missing: not provided"),exact(Metadata!J633,"missing: restricted access"))),AND(IF(Metadata!J633="",FALSE,ISNUMBER(VALUE(Metadata!J633))),Metadata!J633&gt;0))</f>
        <v>0</v>
      </c>
      <c r="AE633">
        <f>AND(IF(Metadata!K633="",FALSE,TRUE),exact(Metadata!K633,"g"))</f>
        <v>0</v>
      </c>
    </row>
    <row r="634" spans="1:31">
      <c r="A634" s="5">
        <f>IF(B634=" "," ",HYPERLINK(CONCATENATE("#metadata!",ADDRESS(INDEX($Q$2:$Q$1001,MATCH(ROWS($O$2:O634),$O$2:$O$1001,0),0),1)),INDEX($T$2:$T$1001,MATCH(ROWS($O$2:O634),$O$2:$O$1001,0),0)))</f>
        <v>0</v>
      </c>
      <c r="B634" s="4">
        <f>IF(OR(INDEX($P$2:$P$1001,MATCH(ROWS($O$2:O634),$O$2:$O$1001,0),1)&gt;=100000,INDEX($V$1005:$AE$1005,1,MATCH(COLUMNS($V$1006:V1006),$V$1006:$AE$1006,0))&gt;=100000), " ",IF(INDEX($V$2:$AE$1001,MATCH(ROWS($O$2:O634),$O$2:$O$1001,0),MATCH(COLUMNS($V$1006:V1006),$V$1006:$AE$1006,0)), HYPERLINK("#",""), HYPERLINK(CONCATENATE("#Metadata!", ADDRESS(INDEX($Q$2:$Q$1001,MATCH(ROWS($O$2:O634),$O$2:$O$1001,0),0), INDEX($V$1004:$AE$1004,1,MATCH(COLUMNS($V$1006:V1006),$V$1006:$AE$1006,0)))),"Fix")))</f>
        <v>0</v>
      </c>
      <c r="C634" s="4">
        <f>IF(OR(INDEX($P$2:$P$1001,MATCH(ROWS($O$2:O634),$O$2:$O$1001,0),1)&gt;=100000,INDEX($V$1005:$AE$1005,1,MATCH(COLUMNS($V$1006:W1006),$V$1006:$AE$1006,0))&gt;=100000), " ",IF(INDEX($V$2:$AE$1001,MATCH(ROWS($O$2:O634),$O$2:$O$1001,0),MATCH(COLUMNS($V$1006:W1006),$V$1006:$AE$1006,0)), HYPERLINK("#",""), HYPERLINK(CONCATENATE("#Metadata!", ADDRESS(INDEX($Q$2:$Q$1001,MATCH(ROWS($O$2:O634),$O$2:$O$1001,0),0), INDEX($V$1004:$AE$1004,1,MATCH(COLUMNS($V$1006:W1006),$V$1006:$AE$1006,0)))),"Fix")))</f>
        <v>0</v>
      </c>
      <c r="D634" s="4">
        <f>IF(OR(INDEX($P$2:$P$1001,MATCH(ROWS($O$2:O634),$O$2:$O$1001,0),1)&gt;=100000,INDEX($V$1005:$AE$1005,1,MATCH(COLUMNS($V$1006:X1006),$V$1006:$AE$1006,0))&gt;=100000), " ",IF(INDEX($V$2:$AE$1001,MATCH(ROWS($O$2:O634),$O$2:$O$1001,0),MATCH(COLUMNS($V$1006:X1006),$V$1006:$AE$1006,0)), HYPERLINK("#",""), HYPERLINK(CONCATENATE("#Metadata!", ADDRESS(INDEX($Q$2:$Q$1001,MATCH(ROWS($O$2:O634),$O$2:$O$1001,0),0), INDEX($V$1004:$AE$1004,1,MATCH(COLUMNS($V$1006:X1006),$V$1006:$AE$1006,0)))),"Fix")))</f>
        <v>0</v>
      </c>
      <c r="E634" s="4">
        <f>IF(OR(INDEX($P$2:$P$1001,MATCH(ROWS($O$2:O634),$O$2:$O$1001,0),1)&gt;=100000,INDEX($V$1005:$AE$1005,1,MATCH(COLUMNS($V$1006:Y1006),$V$1006:$AE$1006,0))&gt;=100000), " ",IF(INDEX($V$2:$AE$1001,MATCH(ROWS($O$2:O634),$O$2:$O$1001,0),MATCH(COLUMNS($V$1006:Y1006),$V$1006:$AE$1006,0)), HYPERLINK("#",""), HYPERLINK(CONCATENATE("#Metadata!", ADDRESS(INDEX($Q$2:$Q$1001,MATCH(ROWS($O$2:O634),$O$2:$O$1001,0),0), INDEX($V$1004:$AE$1004,1,MATCH(COLUMNS($V$1006:Y1006),$V$1006:$AE$1006,0)))),"Fix")))</f>
        <v>0</v>
      </c>
      <c r="F634" s="4">
        <f>IF(OR(INDEX($P$2:$P$1001,MATCH(ROWS($O$2:O634),$O$2:$O$1001,0),1)&gt;=100000,INDEX($V$1005:$AE$1005,1,MATCH(COLUMNS($V$1006:Z1006),$V$1006:$AE$1006,0))&gt;=100000), " ",IF(INDEX($V$2:$AE$1001,MATCH(ROWS($O$2:O634),$O$2:$O$1001,0),MATCH(COLUMNS($V$1006:Z1006),$V$1006:$AE$1006,0)), HYPERLINK("#",""), HYPERLINK(CONCATENATE("#Metadata!", ADDRESS(INDEX($Q$2:$Q$1001,MATCH(ROWS($O$2:O634),$O$2:$O$1001,0),0), INDEX($V$1004:$AE$1004,1,MATCH(COLUMNS($V$1006:Z1006),$V$1006:$AE$1006,0)))),"Fix")))</f>
        <v>0</v>
      </c>
      <c r="G634" s="4">
        <f>IF(OR(INDEX($P$2:$P$1001,MATCH(ROWS($O$2:O634),$O$2:$O$1001,0),1)&gt;=100000,INDEX($V$1005:$AE$1005,1,MATCH(COLUMNS($V$1006:AA1006),$V$1006:$AE$1006,0))&gt;=100000), " ",IF(INDEX($V$2:$AE$1001,MATCH(ROWS($O$2:O634),$O$2:$O$1001,0),MATCH(COLUMNS($V$1006:AA1006),$V$1006:$AE$1006,0)), HYPERLINK("#",""), HYPERLINK(CONCATENATE("#Metadata!", ADDRESS(INDEX($Q$2:$Q$1001,MATCH(ROWS($O$2:O634),$O$2:$O$1001,0),0), INDEX($V$1004:$AE$1004,1,MATCH(COLUMNS($V$1006:AA1006),$V$1006:$AE$1006,0)))),"Fix")))</f>
        <v>0</v>
      </c>
      <c r="H634" s="4">
        <f>IF(OR(INDEX($P$2:$P$1001,MATCH(ROWS($O$2:O634),$O$2:$O$1001,0),1)&gt;=100000,INDEX($V$1005:$AE$1005,1,MATCH(COLUMNS($V$1006:AB1006),$V$1006:$AE$1006,0))&gt;=100000), " ",IF(INDEX($V$2:$AE$1001,MATCH(ROWS($O$2:O634),$O$2:$O$1001,0),MATCH(COLUMNS($V$1006:AB1006),$V$1006:$AE$1006,0)), HYPERLINK("#",""), HYPERLINK(CONCATENATE("#Metadata!", ADDRESS(INDEX($Q$2:$Q$1001,MATCH(ROWS($O$2:O634),$O$2:$O$1001,0),0), INDEX($V$1004:$AE$1004,1,MATCH(COLUMNS($V$1006:AB1006),$V$1006:$AE$1006,0)))),"Fix")))</f>
        <v>0</v>
      </c>
      <c r="I634" s="4">
        <f>IF(OR(INDEX($P$2:$P$1001,MATCH(ROWS($O$2:O634),$O$2:$O$1001,0),1)&gt;=100000,INDEX($V$1005:$AE$1005,1,MATCH(COLUMNS($V$1006:AC1006),$V$1006:$AE$1006,0))&gt;=100000), " ",IF(INDEX($V$2:$AE$1001,MATCH(ROWS($O$2:O634),$O$2:$O$1001,0),MATCH(COLUMNS($V$1006:AC1006),$V$1006:$AE$1006,0)), HYPERLINK("#",""), HYPERLINK(CONCATENATE("#Metadata!", ADDRESS(INDEX($Q$2:$Q$1001,MATCH(ROWS($O$2:O634),$O$2:$O$1001,0),0), INDEX($V$1004:$AE$1004,1,MATCH(COLUMNS($V$1006:AC1006),$V$1006:$AE$1006,0)))),"Fix")))</f>
        <v>0</v>
      </c>
      <c r="J634" s="4">
        <f>IF(OR(INDEX($P$2:$P$1001,MATCH(ROWS($O$2:O634),$O$2:$O$1001,0),1)&gt;=100000,INDEX($V$1005:$AE$1005,1,MATCH(COLUMNS($V$1006:AD1006),$V$1006:$AE$1006,0))&gt;=100000), " ",IF(INDEX($V$2:$AE$1001,MATCH(ROWS($O$2:O634),$O$2:$O$1001,0),MATCH(COLUMNS($V$1006:AD1006),$V$1006:$AE$1006,0)), HYPERLINK("#",""), HYPERLINK(CONCATENATE("#Metadata!", ADDRESS(INDEX($Q$2:$Q$1001,MATCH(ROWS($O$2:O634),$O$2:$O$1001,0),0), INDEX($V$1004:$AE$1004,1,MATCH(COLUMNS($V$1006:AD1006),$V$1006:$AE$1006,0)))),"Fix")))</f>
        <v>0</v>
      </c>
      <c r="K634" s="4">
        <f>IF(OR(INDEX($P$2:$P$1001,MATCH(ROWS($O$2:O634),$O$2:$O$1001,0),1)&gt;=100000,INDEX($V$1005:$AE$1005,1,MATCH(COLUMNS($V$1006:AE1006),$V$1006:$AE$1006,0))&gt;=100000), " ",IF(INDEX($V$2:$AE$1001,MATCH(ROWS($O$2:O634),$O$2:$O$1001,0),MATCH(COLUMNS($V$1006:AE1006),$V$1006:$AE$1006,0)), HYPERLINK("#",""), HYPERLINK(CONCATENATE("#Metadata!", ADDRESS(INDEX($Q$2:$Q$1001,MATCH(ROWS($O$2:O634),$O$2:$O$1001,0),0), INDEX($V$1004:$AE$1004,1,MATCH(COLUMNS($V$1006:AE1006),$V$1006:$AE$1006,0)))),"Fix")))</f>
        <v>0</v>
      </c>
      <c r="O634">
        <v>0</v>
      </c>
      <c r="P634">
        <v>0</v>
      </c>
      <c r="Q634">
        <v>0</v>
      </c>
      <c r="R634">
        <f>IF(S634,TRUE,AND(V634:AE634))</f>
        <v>0</v>
      </c>
      <c r="S634">
        <f>COUNTBLANK(Metadata!B634:K634)=COLUMNS(Metadata!B634:K634)</f>
        <v>0</v>
      </c>
      <c r="T634">
        <v>0</v>
      </c>
      <c r="V634">
        <f>AND(IF(Metadata!B634="",FALSE,TRUE),COUNTIF(Metadata!B:B, Metadata!B634) = 1,NOT(ISERROR(SUMPRODUCT(SEARCH(MID(Metadata!B634,ROW(INDIRECT("1:"&amp;LEN(Metadata!B634))), 1),"0123456789abcdefghijklmnopqrstuvwxyzABCDEFGHIJKLMNOPQRSTUVWXYZ.")))))</f>
        <v>0</v>
      </c>
      <c r="W634">
        <f>AND(IF(Metadata!C634="",FALSE,TRUE),exact(Metadata!C634,"urban biome"))</f>
        <v>0</v>
      </c>
      <c r="X634">
        <f>AND(IF(Metadata!D634="",FALSE,TRUE),exact(Metadata!D634,"animal-associated habitat"))</f>
        <v>0</v>
      </c>
      <c r="Y634">
        <f>OR(AND(IF(Metadata!E634="",FALSE,TRUE),OR(exact(Metadata!E634,"not applicable"),exact(Metadata!E634,"missing: not collected"),exact(Metadata!E634,"missing: not provided"),exact(Metadata!E634,"missing: restricted access"))),AND(IF(Metadata!E634="",FALSE,ISNUMBER(VALUE(Metadata!E634))),Metadata!E634&gt;0))</f>
        <v>0</v>
      </c>
      <c r="Z634">
        <f>AND(IF(Metadata!F634="",FALSE,TRUE),exact(Metadata!F634,"weeks"))</f>
        <v>0</v>
      </c>
      <c r="AA634">
        <f>AND(IF(Metadata!G634="",FALSE,TRUE),exact(Metadata!G634,"mouse"))</f>
        <v>0</v>
      </c>
      <c r="AB634">
        <f>AND(IF(Metadata!H634="",FALSE,TRUE),exact(Metadata!H634,"Mus musculus"))</f>
        <v>0</v>
      </c>
      <c r="AC634">
        <f>AND(IF(Metadata!I634="",FALSE,TRUE),exact(Metadata!I634,"10090"))</f>
        <v>0</v>
      </c>
      <c r="AD634">
        <f>OR(AND(IF(Metadata!J634="",FALSE,TRUE),OR(exact(Metadata!J634,"not applicable"),exact(Metadata!J634,"missing: not collected"),exact(Metadata!J634,"missing: not provided"),exact(Metadata!J634,"missing: restricted access"))),AND(IF(Metadata!J634="",FALSE,ISNUMBER(VALUE(Metadata!J634))),Metadata!J634&gt;0))</f>
        <v>0</v>
      </c>
      <c r="AE634">
        <f>AND(IF(Metadata!K634="",FALSE,TRUE),exact(Metadata!K634,"g"))</f>
        <v>0</v>
      </c>
    </row>
    <row r="635" spans="1:31">
      <c r="A635" s="5">
        <f>IF(B635=" "," ",HYPERLINK(CONCATENATE("#metadata!",ADDRESS(INDEX($Q$2:$Q$1001,MATCH(ROWS($O$2:O635),$O$2:$O$1001,0),0),1)),INDEX($T$2:$T$1001,MATCH(ROWS($O$2:O635),$O$2:$O$1001,0),0)))</f>
        <v>0</v>
      </c>
      <c r="B635" s="4">
        <f>IF(OR(INDEX($P$2:$P$1001,MATCH(ROWS($O$2:O635),$O$2:$O$1001,0),1)&gt;=100000,INDEX($V$1005:$AE$1005,1,MATCH(COLUMNS($V$1006:V1006),$V$1006:$AE$1006,0))&gt;=100000), " ",IF(INDEX($V$2:$AE$1001,MATCH(ROWS($O$2:O635),$O$2:$O$1001,0),MATCH(COLUMNS($V$1006:V1006),$V$1006:$AE$1006,0)), HYPERLINK("#",""), HYPERLINK(CONCATENATE("#Metadata!", ADDRESS(INDEX($Q$2:$Q$1001,MATCH(ROWS($O$2:O635),$O$2:$O$1001,0),0), INDEX($V$1004:$AE$1004,1,MATCH(COLUMNS($V$1006:V1006),$V$1006:$AE$1006,0)))),"Fix")))</f>
        <v>0</v>
      </c>
      <c r="C635" s="4">
        <f>IF(OR(INDEX($P$2:$P$1001,MATCH(ROWS($O$2:O635),$O$2:$O$1001,0),1)&gt;=100000,INDEX($V$1005:$AE$1005,1,MATCH(COLUMNS($V$1006:W1006),$V$1006:$AE$1006,0))&gt;=100000), " ",IF(INDEX($V$2:$AE$1001,MATCH(ROWS($O$2:O635),$O$2:$O$1001,0),MATCH(COLUMNS($V$1006:W1006),$V$1006:$AE$1006,0)), HYPERLINK("#",""), HYPERLINK(CONCATENATE("#Metadata!", ADDRESS(INDEX($Q$2:$Q$1001,MATCH(ROWS($O$2:O635),$O$2:$O$1001,0),0), INDEX($V$1004:$AE$1004,1,MATCH(COLUMNS($V$1006:W1006),$V$1006:$AE$1006,0)))),"Fix")))</f>
        <v>0</v>
      </c>
      <c r="D635" s="4">
        <f>IF(OR(INDEX($P$2:$P$1001,MATCH(ROWS($O$2:O635),$O$2:$O$1001,0),1)&gt;=100000,INDEX($V$1005:$AE$1005,1,MATCH(COLUMNS($V$1006:X1006),$V$1006:$AE$1006,0))&gt;=100000), " ",IF(INDEX($V$2:$AE$1001,MATCH(ROWS($O$2:O635),$O$2:$O$1001,0),MATCH(COLUMNS($V$1006:X1006),$V$1006:$AE$1006,0)), HYPERLINK("#",""), HYPERLINK(CONCATENATE("#Metadata!", ADDRESS(INDEX($Q$2:$Q$1001,MATCH(ROWS($O$2:O635),$O$2:$O$1001,0),0), INDEX($V$1004:$AE$1004,1,MATCH(COLUMNS($V$1006:X1006),$V$1006:$AE$1006,0)))),"Fix")))</f>
        <v>0</v>
      </c>
      <c r="E635" s="4">
        <f>IF(OR(INDEX($P$2:$P$1001,MATCH(ROWS($O$2:O635),$O$2:$O$1001,0),1)&gt;=100000,INDEX($V$1005:$AE$1005,1,MATCH(COLUMNS($V$1006:Y1006),$V$1006:$AE$1006,0))&gt;=100000), " ",IF(INDEX($V$2:$AE$1001,MATCH(ROWS($O$2:O635),$O$2:$O$1001,0),MATCH(COLUMNS($V$1006:Y1006),$V$1006:$AE$1006,0)), HYPERLINK("#",""), HYPERLINK(CONCATENATE("#Metadata!", ADDRESS(INDEX($Q$2:$Q$1001,MATCH(ROWS($O$2:O635),$O$2:$O$1001,0),0), INDEX($V$1004:$AE$1004,1,MATCH(COLUMNS($V$1006:Y1006),$V$1006:$AE$1006,0)))),"Fix")))</f>
        <v>0</v>
      </c>
      <c r="F635" s="4">
        <f>IF(OR(INDEX($P$2:$P$1001,MATCH(ROWS($O$2:O635),$O$2:$O$1001,0),1)&gt;=100000,INDEX($V$1005:$AE$1005,1,MATCH(COLUMNS($V$1006:Z1006),$V$1006:$AE$1006,0))&gt;=100000), " ",IF(INDEX($V$2:$AE$1001,MATCH(ROWS($O$2:O635),$O$2:$O$1001,0),MATCH(COLUMNS($V$1006:Z1006),$V$1006:$AE$1006,0)), HYPERLINK("#",""), HYPERLINK(CONCATENATE("#Metadata!", ADDRESS(INDEX($Q$2:$Q$1001,MATCH(ROWS($O$2:O635),$O$2:$O$1001,0),0), INDEX($V$1004:$AE$1004,1,MATCH(COLUMNS($V$1006:Z1006),$V$1006:$AE$1006,0)))),"Fix")))</f>
        <v>0</v>
      </c>
      <c r="G635" s="4">
        <f>IF(OR(INDEX($P$2:$P$1001,MATCH(ROWS($O$2:O635),$O$2:$O$1001,0),1)&gt;=100000,INDEX($V$1005:$AE$1005,1,MATCH(COLUMNS($V$1006:AA1006),$V$1006:$AE$1006,0))&gt;=100000), " ",IF(INDEX($V$2:$AE$1001,MATCH(ROWS($O$2:O635),$O$2:$O$1001,0),MATCH(COLUMNS($V$1006:AA1006),$V$1006:$AE$1006,0)), HYPERLINK("#",""), HYPERLINK(CONCATENATE("#Metadata!", ADDRESS(INDEX($Q$2:$Q$1001,MATCH(ROWS($O$2:O635),$O$2:$O$1001,0),0), INDEX($V$1004:$AE$1004,1,MATCH(COLUMNS($V$1006:AA1006),$V$1006:$AE$1006,0)))),"Fix")))</f>
        <v>0</v>
      </c>
      <c r="H635" s="4">
        <f>IF(OR(INDEX($P$2:$P$1001,MATCH(ROWS($O$2:O635),$O$2:$O$1001,0),1)&gt;=100000,INDEX($V$1005:$AE$1005,1,MATCH(COLUMNS($V$1006:AB1006),$V$1006:$AE$1006,0))&gt;=100000), " ",IF(INDEX($V$2:$AE$1001,MATCH(ROWS($O$2:O635),$O$2:$O$1001,0),MATCH(COLUMNS($V$1006:AB1006),$V$1006:$AE$1006,0)), HYPERLINK("#",""), HYPERLINK(CONCATENATE("#Metadata!", ADDRESS(INDEX($Q$2:$Q$1001,MATCH(ROWS($O$2:O635),$O$2:$O$1001,0),0), INDEX($V$1004:$AE$1004,1,MATCH(COLUMNS($V$1006:AB1006),$V$1006:$AE$1006,0)))),"Fix")))</f>
        <v>0</v>
      </c>
      <c r="I635" s="4">
        <f>IF(OR(INDEX($P$2:$P$1001,MATCH(ROWS($O$2:O635),$O$2:$O$1001,0),1)&gt;=100000,INDEX($V$1005:$AE$1005,1,MATCH(COLUMNS($V$1006:AC1006),$V$1006:$AE$1006,0))&gt;=100000), " ",IF(INDEX($V$2:$AE$1001,MATCH(ROWS($O$2:O635),$O$2:$O$1001,0),MATCH(COLUMNS($V$1006:AC1006),$V$1006:$AE$1006,0)), HYPERLINK("#",""), HYPERLINK(CONCATENATE("#Metadata!", ADDRESS(INDEX($Q$2:$Q$1001,MATCH(ROWS($O$2:O635),$O$2:$O$1001,0),0), INDEX($V$1004:$AE$1004,1,MATCH(COLUMNS($V$1006:AC1006),$V$1006:$AE$1006,0)))),"Fix")))</f>
        <v>0</v>
      </c>
      <c r="J635" s="4">
        <f>IF(OR(INDEX($P$2:$P$1001,MATCH(ROWS($O$2:O635),$O$2:$O$1001,0),1)&gt;=100000,INDEX($V$1005:$AE$1005,1,MATCH(COLUMNS($V$1006:AD1006),$V$1006:$AE$1006,0))&gt;=100000), " ",IF(INDEX($V$2:$AE$1001,MATCH(ROWS($O$2:O635),$O$2:$O$1001,0),MATCH(COLUMNS($V$1006:AD1006),$V$1006:$AE$1006,0)), HYPERLINK("#",""), HYPERLINK(CONCATENATE("#Metadata!", ADDRESS(INDEX($Q$2:$Q$1001,MATCH(ROWS($O$2:O635),$O$2:$O$1001,0),0), INDEX($V$1004:$AE$1004,1,MATCH(COLUMNS($V$1006:AD1006),$V$1006:$AE$1006,0)))),"Fix")))</f>
        <v>0</v>
      </c>
      <c r="K635" s="4">
        <f>IF(OR(INDEX($P$2:$P$1001,MATCH(ROWS($O$2:O635),$O$2:$O$1001,0),1)&gt;=100000,INDEX($V$1005:$AE$1005,1,MATCH(COLUMNS($V$1006:AE1006),$V$1006:$AE$1006,0))&gt;=100000), " ",IF(INDEX($V$2:$AE$1001,MATCH(ROWS($O$2:O635),$O$2:$O$1001,0),MATCH(COLUMNS($V$1006:AE1006),$V$1006:$AE$1006,0)), HYPERLINK("#",""), HYPERLINK(CONCATENATE("#Metadata!", ADDRESS(INDEX($Q$2:$Q$1001,MATCH(ROWS($O$2:O635),$O$2:$O$1001,0),0), INDEX($V$1004:$AE$1004,1,MATCH(COLUMNS($V$1006:AE1006),$V$1006:$AE$1006,0)))),"Fix")))</f>
        <v>0</v>
      </c>
      <c r="O635">
        <v>0</v>
      </c>
      <c r="P635">
        <v>0</v>
      </c>
      <c r="Q635">
        <v>0</v>
      </c>
      <c r="R635">
        <f>IF(S635,TRUE,AND(V635:AE635))</f>
        <v>0</v>
      </c>
      <c r="S635">
        <f>COUNTBLANK(Metadata!B635:K635)=COLUMNS(Metadata!B635:K635)</f>
        <v>0</v>
      </c>
      <c r="T635">
        <v>0</v>
      </c>
      <c r="V635">
        <f>AND(IF(Metadata!B635="",FALSE,TRUE),COUNTIF(Metadata!B:B, Metadata!B635) = 1,NOT(ISERROR(SUMPRODUCT(SEARCH(MID(Metadata!B635,ROW(INDIRECT("1:"&amp;LEN(Metadata!B635))), 1),"0123456789abcdefghijklmnopqrstuvwxyzABCDEFGHIJKLMNOPQRSTUVWXYZ.")))))</f>
        <v>0</v>
      </c>
      <c r="W635">
        <f>AND(IF(Metadata!C635="",FALSE,TRUE),exact(Metadata!C635,"urban biome"))</f>
        <v>0</v>
      </c>
      <c r="X635">
        <f>AND(IF(Metadata!D635="",FALSE,TRUE),exact(Metadata!D635,"animal-associated habitat"))</f>
        <v>0</v>
      </c>
      <c r="Y635">
        <f>OR(AND(IF(Metadata!E635="",FALSE,TRUE),OR(exact(Metadata!E635,"not applicable"),exact(Metadata!E635,"missing: not collected"),exact(Metadata!E635,"missing: not provided"),exact(Metadata!E635,"missing: restricted access"))),AND(IF(Metadata!E635="",FALSE,ISNUMBER(VALUE(Metadata!E635))),Metadata!E635&gt;0))</f>
        <v>0</v>
      </c>
      <c r="Z635">
        <f>AND(IF(Metadata!F635="",FALSE,TRUE),exact(Metadata!F635,"weeks"))</f>
        <v>0</v>
      </c>
      <c r="AA635">
        <f>AND(IF(Metadata!G635="",FALSE,TRUE),exact(Metadata!G635,"mouse"))</f>
        <v>0</v>
      </c>
      <c r="AB635">
        <f>AND(IF(Metadata!H635="",FALSE,TRUE),exact(Metadata!H635,"Mus musculus"))</f>
        <v>0</v>
      </c>
      <c r="AC635">
        <f>AND(IF(Metadata!I635="",FALSE,TRUE),exact(Metadata!I635,"10090"))</f>
        <v>0</v>
      </c>
      <c r="AD635">
        <f>OR(AND(IF(Metadata!J635="",FALSE,TRUE),OR(exact(Metadata!J635,"not applicable"),exact(Metadata!J635,"missing: not collected"),exact(Metadata!J635,"missing: not provided"),exact(Metadata!J635,"missing: restricted access"))),AND(IF(Metadata!J635="",FALSE,ISNUMBER(VALUE(Metadata!J635))),Metadata!J635&gt;0))</f>
        <v>0</v>
      </c>
      <c r="AE635">
        <f>AND(IF(Metadata!K635="",FALSE,TRUE),exact(Metadata!K635,"g"))</f>
        <v>0</v>
      </c>
    </row>
    <row r="636" spans="1:31">
      <c r="A636" s="5">
        <f>IF(B636=" "," ",HYPERLINK(CONCATENATE("#metadata!",ADDRESS(INDEX($Q$2:$Q$1001,MATCH(ROWS($O$2:O636),$O$2:$O$1001,0),0),1)),INDEX($T$2:$T$1001,MATCH(ROWS($O$2:O636),$O$2:$O$1001,0),0)))</f>
        <v>0</v>
      </c>
      <c r="B636" s="4">
        <f>IF(OR(INDEX($P$2:$P$1001,MATCH(ROWS($O$2:O636),$O$2:$O$1001,0),1)&gt;=100000,INDEX($V$1005:$AE$1005,1,MATCH(COLUMNS($V$1006:V1006),$V$1006:$AE$1006,0))&gt;=100000), " ",IF(INDEX($V$2:$AE$1001,MATCH(ROWS($O$2:O636),$O$2:$O$1001,0),MATCH(COLUMNS($V$1006:V1006),$V$1006:$AE$1006,0)), HYPERLINK("#",""), HYPERLINK(CONCATENATE("#Metadata!", ADDRESS(INDEX($Q$2:$Q$1001,MATCH(ROWS($O$2:O636),$O$2:$O$1001,0),0), INDEX($V$1004:$AE$1004,1,MATCH(COLUMNS($V$1006:V1006),$V$1006:$AE$1006,0)))),"Fix")))</f>
        <v>0</v>
      </c>
      <c r="C636" s="4">
        <f>IF(OR(INDEX($P$2:$P$1001,MATCH(ROWS($O$2:O636),$O$2:$O$1001,0),1)&gt;=100000,INDEX($V$1005:$AE$1005,1,MATCH(COLUMNS($V$1006:W1006),$V$1006:$AE$1006,0))&gt;=100000), " ",IF(INDEX($V$2:$AE$1001,MATCH(ROWS($O$2:O636),$O$2:$O$1001,0),MATCH(COLUMNS($V$1006:W1006),$V$1006:$AE$1006,0)), HYPERLINK("#",""), HYPERLINK(CONCATENATE("#Metadata!", ADDRESS(INDEX($Q$2:$Q$1001,MATCH(ROWS($O$2:O636),$O$2:$O$1001,0),0), INDEX($V$1004:$AE$1004,1,MATCH(COLUMNS($V$1006:W1006),$V$1006:$AE$1006,0)))),"Fix")))</f>
        <v>0</v>
      </c>
      <c r="D636" s="4">
        <f>IF(OR(INDEX($P$2:$P$1001,MATCH(ROWS($O$2:O636),$O$2:$O$1001,0),1)&gt;=100000,INDEX($V$1005:$AE$1005,1,MATCH(COLUMNS($V$1006:X1006),$V$1006:$AE$1006,0))&gt;=100000), " ",IF(INDEX($V$2:$AE$1001,MATCH(ROWS($O$2:O636),$O$2:$O$1001,0),MATCH(COLUMNS($V$1006:X1006),$V$1006:$AE$1006,0)), HYPERLINK("#",""), HYPERLINK(CONCATENATE("#Metadata!", ADDRESS(INDEX($Q$2:$Q$1001,MATCH(ROWS($O$2:O636),$O$2:$O$1001,0),0), INDEX($V$1004:$AE$1004,1,MATCH(COLUMNS($V$1006:X1006),$V$1006:$AE$1006,0)))),"Fix")))</f>
        <v>0</v>
      </c>
      <c r="E636" s="4">
        <f>IF(OR(INDEX($P$2:$P$1001,MATCH(ROWS($O$2:O636),$O$2:$O$1001,0),1)&gt;=100000,INDEX($V$1005:$AE$1005,1,MATCH(COLUMNS($V$1006:Y1006),$V$1006:$AE$1006,0))&gt;=100000), " ",IF(INDEX($V$2:$AE$1001,MATCH(ROWS($O$2:O636),$O$2:$O$1001,0),MATCH(COLUMNS($V$1006:Y1006),$V$1006:$AE$1006,0)), HYPERLINK("#",""), HYPERLINK(CONCATENATE("#Metadata!", ADDRESS(INDEX($Q$2:$Q$1001,MATCH(ROWS($O$2:O636),$O$2:$O$1001,0),0), INDEX($V$1004:$AE$1004,1,MATCH(COLUMNS($V$1006:Y1006),$V$1006:$AE$1006,0)))),"Fix")))</f>
        <v>0</v>
      </c>
      <c r="F636" s="4">
        <f>IF(OR(INDEX($P$2:$P$1001,MATCH(ROWS($O$2:O636),$O$2:$O$1001,0),1)&gt;=100000,INDEX($V$1005:$AE$1005,1,MATCH(COLUMNS($V$1006:Z1006),$V$1006:$AE$1006,0))&gt;=100000), " ",IF(INDEX($V$2:$AE$1001,MATCH(ROWS($O$2:O636),$O$2:$O$1001,0),MATCH(COLUMNS($V$1006:Z1006),$V$1006:$AE$1006,0)), HYPERLINK("#",""), HYPERLINK(CONCATENATE("#Metadata!", ADDRESS(INDEX($Q$2:$Q$1001,MATCH(ROWS($O$2:O636),$O$2:$O$1001,0),0), INDEX($V$1004:$AE$1004,1,MATCH(COLUMNS($V$1006:Z1006),$V$1006:$AE$1006,0)))),"Fix")))</f>
        <v>0</v>
      </c>
      <c r="G636" s="4">
        <f>IF(OR(INDEX($P$2:$P$1001,MATCH(ROWS($O$2:O636),$O$2:$O$1001,0),1)&gt;=100000,INDEX($V$1005:$AE$1005,1,MATCH(COLUMNS($V$1006:AA1006),$V$1006:$AE$1006,0))&gt;=100000), " ",IF(INDEX($V$2:$AE$1001,MATCH(ROWS($O$2:O636),$O$2:$O$1001,0),MATCH(COLUMNS($V$1006:AA1006),$V$1006:$AE$1006,0)), HYPERLINK("#",""), HYPERLINK(CONCATENATE("#Metadata!", ADDRESS(INDEX($Q$2:$Q$1001,MATCH(ROWS($O$2:O636),$O$2:$O$1001,0),0), INDEX($V$1004:$AE$1004,1,MATCH(COLUMNS($V$1006:AA1006),$V$1006:$AE$1006,0)))),"Fix")))</f>
        <v>0</v>
      </c>
      <c r="H636" s="4">
        <f>IF(OR(INDEX($P$2:$P$1001,MATCH(ROWS($O$2:O636),$O$2:$O$1001,0),1)&gt;=100000,INDEX($V$1005:$AE$1005,1,MATCH(COLUMNS($V$1006:AB1006),$V$1006:$AE$1006,0))&gt;=100000), " ",IF(INDEX($V$2:$AE$1001,MATCH(ROWS($O$2:O636),$O$2:$O$1001,0),MATCH(COLUMNS($V$1006:AB1006),$V$1006:$AE$1006,0)), HYPERLINK("#",""), HYPERLINK(CONCATENATE("#Metadata!", ADDRESS(INDEX($Q$2:$Q$1001,MATCH(ROWS($O$2:O636),$O$2:$O$1001,0),0), INDEX($V$1004:$AE$1004,1,MATCH(COLUMNS($V$1006:AB1006),$V$1006:$AE$1006,0)))),"Fix")))</f>
        <v>0</v>
      </c>
      <c r="I636" s="4">
        <f>IF(OR(INDEX($P$2:$P$1001,MATCH(ROWS($O$2:O636),$O$2:$O$1001,0),1)&gt;=100000,INDEX($V$1005:$AE$1005,1,MATCH(COLUMNS($V$1006:AC1006),$V$1006:$AE$1006,0))&gt;=100000), " ",IF(INDEX($V$2:$AE$1001,MATCH(ROWS($O$2:O636),$O$2:$O$1001,0),MATCH(COLUMNS($V$1006:AC1006),$V$1006:$AE$1006,0)), HYPERLINK("#",""), HYPERLINK(CONCATENATE("#Metadata!", ADDRESS(INDEX($Q$2:$Q$1001,MATCH(ROWS($O$2:O636),$O$2:$O$1001,0),0), INDEX($V$1004:$AE$1004,1,MATCH(COLUMNS($V$1006:AC1006),$V$1006:$AE$1006,0)))),"Fix")))</f>
        <v>0</v>
      </c>
      <c r="J636" s="4">
        <f>IF(OR(INDEX($P$2:$P$1001,MATCH(ROWS($O$2:O636),$O$2:$O$1001,0),1)&gt;=100000,INDEX($V$1005:$AE$1005,1,MATCH(COLUMNS($V$1006:AD1006),$V$1006:$AE$1006,0))&gt;=100000), " ",IF(INDEX($V$2:$AE$1001,MATCH(ROWS($O$2:O636),$O$2:$O$1001,0),MATCH(COLUMNS($V$1006:AD1006),$V$1006:$AE$1006,0)), HYPERLINK("#",""), HYPERLINK(CONCATENATE("#Metadata!", ADDRESS(INDEX($Q$2:$Q$1001,MATCH(ROWS($O$2:O636),$O$2:$O$1001,0),0), INDEX($V$1004:$AE$1004,1,MATCH(COLUMNS($V$1006:AD1006),$V$1006:$AE$1006,0)))),"Fix")))</f>
        <v>0</v>
      </c>
      <c r="K636" s="4">
        <f>IF(OR(INDEX($P$2:$P$1001,MATCH(ROWS($O$2:O636),$O$2:$O$1001,0),1)&gt;=100000,INDEX($V$1005:$AE$1005,1,MATCH(COLUMNS($V$1006:AE1006),$V$1006:$AE$1006,0))&gt;=100000), " ",IF(INDEX($V$2:$AE$1001,MATCH(ROWS($O$2:O636),$O$2:$O$1001,0),MATCH(COLUMNS($V$1006:AE1006),$V$1006:$AE$1006,0)), HYPERLINK("#",""), HYPERLINK(CONCATENATE("#Metadata!", ADDRESS(INDEX($Q$2:$Q$1001,MATCH(ROWS($O$2:O636),$O$2:$O$1001,0),0), INDEX($V$1004:$AE$1004,1,MATCH(COLUMNS($V$1006:AE1006),$V$1006:$AE$1006,0)))),"Fix")))</f>
        <v>0</v>
      </c>
      <c r="O636">
        <v>0</v>
      </c>
      <c r="P636">
        <v>0</v>
      </c>
      <c r="Q636">
        <v>0</v>
      </c>
      <c r="R636">
        <f>IF(S636,TRUE,AND(V636:AE636))</f>
        <v>0</v>
      </c>
      <c r="S636">
        <f>COUNTBLANK(Metadata!B636:K636)=COLUMNS(Metadata!B636:K636)</f>
        <v>0</v>
      </c>
      <c r="T636">
        <v>0</v>
      </c>
      <c r="V636">
        <f>AND(IF(Metadata!B636="",FALSE,TRUE),COUNTIF(Metadata!B:B, Metadata!B636) = 1,NOT(ISERROR(SUMPRODUCT(SEARCH(MID(Metadata!B636,ROW(INDIRECT("1:"&amp;LEN(Metadata!B636))), 1),"0123456789abcdefghijklmnopqrstuvwxyzABCDEFGHIJKLMNOPQRSTUVWXYZ.")))))</f>
        <v>0</v>
      </c>
      <c r="W636">
        <f>AND(IF(Metadata!C636="",FALSE,TRUE),exact(Metadata!C636,"urban biome"))</f>
        <v>0</v>
      </c>
      <c r="X636">
        <f>AND(IF(Metadata!D636="",FALSE,TRUE),exact(Metadata!D636,"animal-associated habitat"))</f>
        <v>0</v>
      </c>
      <c r="Y636">
        <f>OR(AND(IF(Metadata!E636="",FALSE,TRUE),OR(exact(Metadata!E636,"not applicable"),exact(Metadata!E636,"missing: not collected"),exact(Metadata!E636,"missing: not provided"),exact(Metadata!E636,"missing: restricted access"))),AND(IF(Metadata!E636="",FALSE,ISNUMBER(VALUE(Metadata!E636))),Metadata!E636&gt;0))</f>
        <v>0</v>
      </c>
      <c r="Z636">
        <f>AND(IF(Metadata!F636="",FALSE,TRUE),exact(Metadata!F636,"weeks"))</f>
        <v>0</v>
      </c>
      <c r="AA636">
        <f>AND(IF(Metadata!G636="",FALSE,TRUE),exact(Metadata!G636,"mouse"))</f>
        <v>0</v>
      </c>
      <c r="AB636">
        <f>AND(IF(Metadata!H636="",FALSE,TRUE),exact(Metadata!H636,"Mus musculus"))</f>
        <v>0</v>
      </c>
      <c r="AC636">
        <f>AND(IF(Metadata!I636="",FALSE,TRUE),exact(Metadata!I636,"10090"))</f>
        <v>0</v>
      </c>
      <c r="AD636">
        <f>OR(AND(IF(Metadata!J636="",FALSE,TRUE),OR(exact(Metadata!J636,"not applicable"),exact(Metadata!J636,"missing: not collected"),exact(Metadata!J636,"missing: not provided"),exact(Metadata!J636,"missing: restricted access"))),AND(IF(Metadata!J636="",FALSE,ISNUMBER(VALUE(Metadata!J636))),Metadata!J636&gt;0))</f>
        <v>0</v>
      </c>
      <c r="AE636">
        <f>AND(IF(Metadata!K636="",FALSE,TRUE),exact(Metadata!K636,"g"))</f>
        <v>0</v>
      </c>
    </row>
    <row r="637" spans="1:31">
      <c r="A637" s="5">
        <f>IF(B637=" "," ",HYPERLINK(CONCATENATE("#metadata!",ADDRESS(INDEX($Q$2:$Q$1001,MATCH(ROWS($O$2:O637),$O$2:$O$1001,0),0),1)),INDEX($T$2:$T$1001,MATCH(ROWS($O$2:O637),$O$2:$O$1001,0),0)))</f>
        <v>0</v>
      </c>
      <c r="B637" s="4">
        <f>IF(OR(INDEX($P$2:$P$1001,MATCH(ROWS($O$2:O637),$O$2:$O$1001,0),1)&gt;=100000,INDEX($V$1005:$AE$1005,1,MATCH(COLUMNS($V$1006:V1006),$V$1006:$AE$1006,0))&gt;=100000), " ",IF(INDEX($V$2:$AE$1001,MATCH(ROWS($O$2:O637),$O$2:$O$1001,0),MATCH(COLUMNS($V$1006:V1006),$V$1006:$AE$1006,0)), HYPERLINK("#",""), HYPERLINK(CONCATENATE("#Metadata!", ADDRESS(INDEX($Q$2:$Q$1001,MATCH(ROWS($O$2:O637),$O$2:$O$1001,0),0), INDEX($V$1004:$AE$1004,1,MATCH(COLUMNS($V$1006:V1006),$V$1006:$AE$1006,0)))),"Fix")))</f>
        <v>0</v>
      </c>
      <c r="C637" s="4">
        <f>IF(OR(INDEX($P$2:$P$1001,MATCH(ROWS($O$2:O637),$O$2:$O$1001,0),1)&gt;=100000,INDEX($V$1005:$AE$1005,1,MATCH(COLUMNS($V$1006:W1006),$V$1006:$AE$1006,0))&gt;=100000), " ",IF(INDEX($V$2:$AE$1001,MATCH(ROWS($O$2:O637),$O$2:$O$1001,0),MATCH(COLUMNS($V$1006:W1006),$V$1006:$AE$1006,0)), HYPERLINK("#",""), HYPERLINK(CONCATENATE("#Metadata!", ADDRESS(INDEX($Q$2:$Q$1001,MATCH(ROWS($O$2:O637),$O$2:$O$1001,0),0), INDEX($V$1004:$AE$1004,1,MATCH(COLUMNS($V$1006:W1006),$V$1006:$AE$1006,0)))),"Fix")))</f>
        <v>0</v>
      </c>
      <c r="D637" s="4">
        <f>IF(OR(INDEX($P$2:$P$1001,MATCH(ROWS($O$2:O637),$O$2:$O$1001,0),1)&gt;=100000,INDEX($V$1005:$AE$1005,1,MATCH(COLUMNS($V$1006:X1006),$V$1006:$AE$1006,0))&gt;=100000), " ",IF(INDEX($V$2:$AE$1001,MATCH(ROWS($O$2:O637),$O$2:$O$1001,0),MATCH(COLUMNS($V$1006:X1006),$V$1006:$AE$1006,0)), HYPERLINK("#",""), HYPERLINK(CONCATENATE("#Metadata!", ADDRESS(INDEX($Q$2:$Q$1001,MATCH(ROWS($O$2:O637),$O$2:$O$1001,0),0), INDEX($V$1004:$AE$1004,1,MATCH(COLUMNS($V$1006:X1006),$V$1006:$AE$1006,0)))),"Fix")))</f>
        <v>0</v>
      </c>
      <c r="E637" s="4">
        <f>IF(OR(INDEX($P$2:$P$1001,MATCH(ROWS($O$2:O637),$O$2:$O$1001,0),1)&gt;=100000,INDEX($V$1005:$AE$1005,1,MATCH(COLUMNS($V$1006:Y1006),$V$1006:$AE$1006,0))&gt;=100000), " ",IF(INDEX($V$2:$AE$1001,MATCH(ROWS($O$2:O637),$O$2:$O$1001,0),MATCH(COLUMNS($V$1006:Y1006),$V$1006:$AE$1006,0)), HYPERLINK("#",""), HYPERLINK(CONCATENATE("#Metadata!", ADDRESS(INDEX($Q$2:$Q$1001,MATCH(ROWS($O$2:O637),$O$2:$O$1001,0),0), INDEX($V$1004:$AE$1004,1,MATCH(COLUMNS($V$1006:Y1006),$V$1006:$AE$1006,0)))),"Fix")))</f>
        <v>0</v>
      </c>
      <c r="F637" s="4">
        <f>IF(OR(INDEX($P$2:$P$1001,MATCH(ROWS($O$2:O637),$O$2:$O$1001,0),1)&gt;=100000,INDEX($V$1005:$AE$1005,1,MATCH(COLUMNS($V$1006:Z1006),$V$1006:$AE$1006,0))&gt;=100000), " ",IF(INDEX($V$2:$AE$1001,MATCH(ROWS($O$2:O637),$O$2:$O$1001,0),MATCH(COLUMNS($V$1006:Z1006),$V$1006:$AE$1006,0)), HYPERLINK("#",""), HYPERLINK(CONCATENATE("#Metadata!", ADDRESS(INDEX($Q$2:$Q$1001,MATCH(ROWS($O$2:O637),$O$2:$O$1001,0),0), INDEX($V$1004:$AE$1004,1,MATCH(COLUMNS($V$1006:Z1006),$V$1006:$AE$1006,0)))),"Fix")))</f>
        <v>0</v>
      </c>
      <c r="G637" s="4">
        <f>IF(OR(INDEX($P$2:$P$1001,MATCH(ROWS($O$2:O637),$O$2:$O$1001,0),1)&gt;=100000,INDEX($V$1005:$AE$1005,1,MATCH(COLUMNS($V$1006:AA1006),$V$1006:$AE$1006,0))&gt;=100000), " ",IF(INDEX($V$2:$AE$1001,MATCH(ROWS($O$2:O637),$O$2:$O$1001,0),MATCH(COLUMNS($V$1006:AA1006),$V$1006:$AE$1006,0)), HYPERLINK("#",""), HYPERLINK(CONCATENATE("#Metadata!", ADDRESS(INDEX($Q$2:$Q$1001,MATCH(ROWS($O$2:O637),$O$2:$O$1001,0),0), INDEX($V$1004:$AE$1004,1,MATCH(COLUMNS($V$1006:AA1006),$V$1006:$AE$1006,0)))),"Fix")))</f>
        <v>0</v>
      </c>
      <c r="H637" s="4">
        <f>IF(OR(INDEX($P$2:$P$1001,MATCH(ROWS($O$2:O637),$O$2:$O$1001,0),1)&gt;=100000,INDEX($V$1005:$AE$1005,1,MATCH(COLUMNS($V$1006:AB1006),$V$1006:$AE$1006,0))&gt;=100000), " ",IF(INDEX($V$2:$AE$1001,MATCH(ROWS($O$2:O637),$O$2:$O$1001,0),MATCH(COLUMNS($V$1006:AB1006),$V$1006:$AE$1006,0)), HYPERLINK("#",""), HYPERLINK(CONCATENATE("#Metadata!", ADDRESS(INDEX($Q$2:$Q$1001,MATCH(ROWS($O$2:O637),$O$2:$O$1001,0),0), INDEX($V$1004:$AE$1004,1,MATCH(COLUMNS($V$1006:AB1006),$V$1006:$AE$1006,0)))),"Fix")))</f>
        <v>0</v>
      </c>
      <c r="I637" s="4">
        <f>IF(OR(INDEX($P$2:$P$1001,MATCH(ROWS($O$2:O637),$O$2:$O$1001,0),1)&gt;=100000,INDEX($V$1005:$AE$1005,1,MATCH(COLUMNS($V$1006:AC1006),$V$1006:$AE$1006,0))&gt;=100000), " ",IF(INDEX($V$2:$AE$1001,MATCH(ROWS($O$2:O637),$O$2:$O$1001,0),MATCH(COLUMNS($V$1006:AC1006),$V$1006:$AE$1006,0)), HYPERLINK("#",""), HYPERLINK(CONCATENATE("#Metadata!", ADDRESS(INDEX($Q$2:$Q$1001,MATCH(ROWS($O$2:O637),$O$2:$O$1001,0),0), INDEX($V$1004:$AE$1004,1,MATCH(COLUMNS($V$1006:AC1006),$V$1006:$AE$1006,0)))),"Fix")))</f>
        <v>0</v>
      </c>
      <c r="J637" s="4">
        <f>IF(OR(INDEX($P$2:$P$1001,MATCH(ROWS($O$2:O637),$O$2:$O$1001,0),1)&gt;=100000,INDEX($V$1005:$AE$1005,1,MATCH(COLUMNS($V$1006:AD1006),$V$1006:$AE$1006,0))&gt;=100000), " ",IF(INDEX($V$2:$AE$1001,MATCH(ROWS($O$2:O637),$O$2:$O$1001,0),MATCH(COLUMNS($V$1006:AD1006),$V$1006:$AE$1006,0)), HYPERLINK("#",""), HYPERLINK(CONCATENATE("#Metadata!", ADDRESS(INDEX($Q$2:$Q$1001,MATCH(ROWS($O$2:O637),$O$2:$O$1001,0),0), INDEX($V$1004:$AE$1004,1,MATCH(COLUMNS($V$1006:AD1006),$V$1006:$AE$1006,0)))),"Fix")))</f>
        <v>0</v>
      </c>
      <c r="K637" s="4">
        <f>IF(OR(INDEX($P$2:$P$1001,MATCH(ROWS($O$2:O637),$O$2:$O$1001,0),1)&gt;=100000,INDEX($V$1005:$AE$1005,1,MATCH(COLUMNS($V$1006:AE1006),$V$1006:$AE$1006,0))&gt;=100000), " ",IF(INDEX($V$2:$AE$1001,MATCH(ROWS($O$2:O637),$O$2:$O$1001,0),MATCH(COLUMNS($V$1006:AE1006),$V$1006:$AE$1006,0)), HYPERLINK("#",""), HYPERLINK(CONCATENATE("#Metadata!", ADDRESS(INDEX($Q$2:$Q$1001,MATCH(ROWS($O$2:O637),$O$2:$O$1001,0),0), INDEX($V$1004:$AE$1004,1,MATCH(COLUMNS($V$1006:AE1006),$V$1006:$AE$1006,0)))),"Fix")))</f>
        <v>0</v>
      </c>
      <c r="O637">
        <v>0</v>
      </c>
      <c r="P637">
        <v>0</v>
      </c>
      <c r="Q637">
        <v>0</v>
      </c>
      <c r="R637">
        <f>IF(S637,TRUE,AND(V637:AE637))</f>
        <v>0</v>
      </c>
      <c r="S637">
        <f>COUNTBLANK(Metadata!B637:K637)=COLUMNS(Metadata!B637:K637)</f>
        <v>0</v>
      </c>
      <c r="T637">
        <v>0</v>
      </c>
      <c r="V637">
        <f>AND(IF(Metadata!B637="",FALSE,TRUE),COUNTIF(Metadata!B:B, Metadata!B637) = 1,NOT(ISERROR(SUMPRODUCT(SEARCH(MID(Metadata!B637,ROW(INDIRECT("1:"&amp;LEN(Metadata!B637))), 1),"0123456789abcdefghijklmnopqrstuvwxyzABCDEFGHIJKLMNOPQRSTUVWXYZ.")))))</f>
        <v>0</v>
      </c>
      <c r="W637">
        <f>AND(IF(Metadata!C637="",FALSE,TRUE),exact(Metadata!C637,"urban biome"))</f>
        <v>0</v>
      </c>
      <c r="X637">
        <f>AND(IF(Metadata!D637="",FALSE,TRUE),exact(Metadata!D637,"animal-associated habitat"))</f>
        <v>0</v>
      </c>
      <c r="Y637">
        <f>OR(AND(IF(Metadata!E637="",FALSE,TRUE),OR(exact(Metadata!E637,"not applicable"),exact(Metadata!E637,"missing: not collected"),exact(Metadata!E637,"missing: not provided"),exact(Metadata!E637,"missing: restricted access"))),AND(IF(Metadata!E637="",FALSE,ISNUMBER(VALUE(Metadata!E637))),Metadata!E637&gt;0))</f>
        <v>0</v>
      </c>
      <c r="Z637">
        <f>AND(IF(Metadata!F637="",FALSE,TRUE),exact(Metadata!F637,"weeks"))</f>
        <v>0</v>
      </c>
      <c r="AA637">
        <f>AND(IF(Metadata!G637="",FALSE,TRUE),exact(Metadata!G637,"mouse"))</f>
        <v>0</v>
      </c>
      <c r="AB637">
        <f>AND(IF(Metadata!H637="",FALSE,TRUE),exact(Metadata!H637,"Mus musculus"))</f>
        <v>0</v>
      </c>
      <c r="AC637">
        <f>AND(IF(Metadata!I637="",FALSE,TRUE),exact(Metadata!I637,"10090"))</f>
        <v>0</v>
      </c>
      <c r="AD637">
        <f>OR(AND(IF(Metadata!J637="",FALSE,TRUE),OR(exact(Metadata!J637,"not applicable"),exact(Metadata!J637,"missing: not collected"),exact(Metadata!J637,"missing: not provided"),exact(Metadata!J637,"missing: restricted access"))),AND(IF(Metadata!J637="",FALSE,ISNUMBER(VALUE(Metadata!J637))),Metadata!J637&gt;0))</f>
        <v>0</v>
      </c>
      <c r="AE637">
        <f>AND(IF(Metadata!K637="",FALSE,TRUE),exact(Metadata!K637,"g"))</f>
        <v>0</v>
      </c>
    </row>
    <row r="638" spans="1:31">
      <c r="A638" s="5">
        <f>IF(B638=" "," ",HYPERLINK(CONCATENATE("#metadata!",ADDRESS(INDEX($Q$2:$Q$1001,MATCH(ROWS($O$2:O638),$O$2:$O$1001,0),0),1)),INDEX($T$2:$T$1001,MATCH(ROWS($O$2:O638),$O$2:$O$1001,0),0)))</f>
        <v>0</v>
      </c>
      <c r="B638" s="4">
        <f>IF(OR(INDEX($P$2:$P$1001,MATCH(ROWS($O$2:O638),$O$2:$O$1001,0),1)&gt;=100000,INDEX($V$1005:$AE$1005,1,MATCH(COLUMNS($V$1006:V1006),$V$1006:$AE$1006,0))&gt;=100000), " ",IF(INDEX($V$2:$AE$1001,MATCH(ROWS($O$2:O638),$O$2:$O$1001,0),MATCH(COLUMNS($V$1006:V1006),$V$1006:$AE$1006,0)), HYPERLINK("#",""), HYPERLINK(CONCATENATE("#Metadata!", ADDRESS(INDEX($Q$2:$Q$1001,MATCH(ROWS($O$2:O638),$O$2:$O$1001,0),0), INDEX($V$1004:$AE$1004,1,MATCH(COLUMNS($V$1006:V1006),$V$1006:$AE$1006,0)))),"Fix")))</f>
        <v>0</v>
      </c>
      <c r="C638" s="4">
        <f>IF(OR(INDEX($P$2:$P$1001,MATCH(ROWS($O$2:O638),$O$2:$O$1001,0),1)&gt;=100000,INDEX($V$1005:$AE$1005,1,MATCH(COLUMNS($V$1006:W1006),$V$1006:$AE$1006,0))&gt;=100000), " ",IF(INDEX($V$2:$AE$1001,MATCH(ROWS($O$2:O638),$O$2:$O$1001,0),MATCH(COLUMNS($V$1006:W1006),$V$1006:$AE$1006,0)), HYPERLINK("#",""), HYPERLINK(CONCATENATE("#Metadata!", ADDRESS(INDEX($Q$2:$Q$1001,MATCH(ROWS($O$2:O638),$O$2:$O$1001,0),0), INDEX($V$1004:$AE$1004,1,MATCH(COLUMNS($V$1006:W1006),$V$1006:$AE$1006,0)))),"Fix")))</f>
        <v>0</v>
      </c>
      <c r="D638" s="4">
        <f>IF(OR(INDEX($P$2:$P$1001,MATCH(ROWS($O$2:O638),$O$2:$O$1001,0),1)&gt;=100000,INDEX($V$1005:$AE$1005,1,MATCH(COLUMNS($V$1006:X1006),$V$1006:$AE$1006,0))&gt;=100000), " ",IF(INDEX($V$2:$AE$1001,MATCH(ROWS($O$2:O638),$O$2:$O$1001,0),MATCH(COLUMNS($V$1006:X1006),$V$1006:$AE$1006,0)), HYPERLINK("#",""), HYPERLINK(CONCATENATE("#Metadata!", ADDRESS(INDEX($Q$2:$Q$1001,MATCH(ROWS($O$2:O638),$O$2:$O$1001,0),0), INDEX($V$1004:$AE$1004,1,MATCH(COLUMNS($V$1006:X1006),$V$1006:$AE$1006,0)))),"Fix")))</f>
        <v>0</v>
      </c>
      <c r="E638" s="4">
        <f>IF(OR(INDEX($P$2:$P$1001,MATCH(ROWS($O$2:O638),$O$2:$O$1001,0),1)&gt;=100000,INDEX($V$1005:$AE$1005,1,MATCH(COLUMNS($V$1006:Y1006),$V$1006:$AE$1006,0))&gt;=100000), " ",IF(INDEX($V$2:$AE$1001,MATCH(ROWS($O$2:O638),$O$2:$O$1001,0),MATCH(COLUMNS($V$1006:Y1006),$V$1006:$AE$1006,0)), HYPERLINK("#",""), HYPERLINK(CONCATENATE("#Metadata!", ADDRESS(INDEX($Q$2:$Q$1001,MATCH(ROWS($O$2:O638),$O$2:$O$1001,0),0), INDEX($V$1004:$AE$1004,1,MATCH(COLUMNS($V$1006:Y1006),$V$1006:$AE$1006,0)))),"Fix")))</f>
        <v>0</v>
      </c>
      <c r="F638" s="4">
        <f>IF(OR(INDEX($P$2:$P$1001,MATCH(ROWS($O$2:O638),$O$2:$O$1001,0),1)&gt;=100000,INDEX($V$1005:$AE$1005,1,MATCH(COLUMNS($V$1006:Z1006),$V$1006:$AE$1006,0))&gt;=100000), " ",IF(INDEX($V$2:$AE$1001,MATCH(ROWS($O$2:O638),$O$2:$O$1001,0),MATCH(COLUMNS($V$1006:Z1006),$V$1006:$AE$1006,0)), HYPERLINK("#",""), HYPERLINK(CONCATENATE("#Metadata!", ADDRESS(INDEX($Q$2:$Q$1001,MATCH(ROWS($O$2:O638),$O$2:$O$1001,0),0), INDEX($V$1004:$AE$1004,1,MATCH(COLUMNS($V$1006:Z1006),$V$1006:$AE$1006,0)))),"Fix")))</f>
        <v>0</v>
      </c>
      <c r="G638" s="4">
        <f>IF(OR(INDEX($P$2:$P$1001,MATCH(ROWS($O$2:O638),$O$2:$O$1001,0),1)&gt;=100000,INDEX($V$1005:$AE$1005,1,MATCH(COLUMNS($V$1006:AA1006),$V$1006:$AE$1006,0))&gt;=100000), " ",IF(INDEX($V$2:$AE$1001,MATCH(ROWS($O$2:O638),$O$2:$O$1001,0),MATCH(COLUMNS($V$1006:AA1006),$V$1006:$AE$1006,0)), HYPERLINK("#",""), HYPERLINK(CONCATENATE("#Metadata!", ADDRESS(INDEX($Q$2:$Q$1001,MATCH(ROWS($O$2:O638),$O$2:$O$1001,0),0), INDEX($V$1004:$AE$1004,1,MATCH(COLUMNS($V$1006:AA1006),$V$1006:$AE$1006,0)))),"Fix")))</f>
        <v>0</v>
      </c>
      <c r="H638" s="4">
        <f>IF(OR(INDEX($P$2:$P$1001,MATCH(ROWS($O$2:O638),$O$2:$O$1001,0),1)&gt;=100000,INDEX($V$1005:$AE$1005,1,MATCH(COLUMNS($V$1006:AB1006),$V$1006:$AE$1006,0))&gt;=100000), " ",IF(INDEX($V$2:$AE$1001,MATCH(ROWS($O$2:O638),$O$2:$O$1001,0),MATCH(COLUMNS($V$1006:AB1006),$V$1006:$AE$1006,0)), HYPERLINK("#",""), HYPERLINK(CONCATENATE("#Metadata!", ADDRESS(INDEX($Q$2:$Q$1001,MATCH(ROWS($O$2:O638),$O$2:$O$1001,0),0), INDEX($V$1004:$AE$1004,1,MATCH(COLUMNS($V$1006:AB1006),$V$1006:$AE$1006,0)))),"Fix")))</f>
        <v>0</v>
      </c>
      <c r="I638" s="4">
        <f>IF(OR(INDEX($P$2:$P$1001,MATCH(ROWS($O$2:O638),$O$2:$O$1001,0),1)&gt;=100000,INDEX($V$1005:$AE$1005,1,MATCH(COLUMNS($V$1006:AC1006),$V$1006:$AE$1006,0))&gt;=100000), " ",IF(INDEX($V$2:$AE$1001,MATCH(ROWS($O$2:O638),$O$2:$O$1001,0),MATCH(COLUMNS($V$1006:AC1006),$V$1006:$AE$1006,0)), HYPERLINK("#",""), HYPERLINK(CONCATENATE("#Metadata!", ADDRESS(INDEX($Q$2:$Q$1001,MATCH(ROWS($O$2:O638),$O$2:$O$1001,0),0), INDEX($V$1004:$AE$1004,1,MATCH(COLUMNS($V$1006:AC1006),$V$1006:$AE$1006,0)))),"Fix")))</f>
        <v>0</v>
      </c>
      <c r="J638" s="4">
        <f>IF(OR(INDEX($P$2:$P$1001,MATCH(ROWS($O$2:O638),$O$2:$O$1001,0),1)&gt;=100000,INDEX($V$1005:$AE$1005,1,MATCH(COLUMNS($V$1006:AD1006),$V$1006:$AE$1006,0))&gt;=100000), " ",IF(INDEX($V$2:$AE$1001,MATCH(ROWS($O$2:O638),$O$2:$O$1001,0),MATCH(COLUMNS($V$1006:AD1006),$V$1006:$AE$1006,0)), HYPERLINK("#",""), HYPERLINK(CONCATENATE("#Metadata!", ADDRESS(INDEX($Q$2:$Q$1001,MATCH(ROWS($O$2:O638),$O$2:$O$1001,0),0), INDEX($V$1004:$AE$1004,1,MATCH(COLUMNS($V$1006:AD1006),$V$1006:$AE$1006,0)))),"Fix")))</f>
        <v>0</v>
      </c>
      <c r="K638" s="4">
        <f>IF(OR(INDEX($P$2:$P$1001,MATCH(ROWS($O$2:O638),$O$2:$O$1001,0),1)&gt;=100000,INDEX($V$1005:$AE$1005,1,MATCH(COLUMNS($V$1006:AE1006),$V$1006:$AE$1006,0))&gt;=100000), " ",IF(INDEX($V$2:$AE$1001,MATCH(ROWS($O$2:O638),$O$2:$O$1001,0),MATCH(COLUMNS($V$1006:AE1006),$V$1006:$AE$1006,0)), HYPERLINK("#",""), HYPERLINK(CONCATENATE("#Metadata!", ADDRESS(INDEX($Q$2:$Q$1001,MATCH(ROWS($O$2:O638),$O$2:$O$1001,0),0), INDEX($V$1004:$AE$1004,1,MATCH(COLUMNS($V$1006:AE1006),$V$1006:$AE$1006,0)))),"Fix")))</f>
        <v>0</v>
      </c>
      <c r="O638">
        <v>0</v>
      </c>
      <c r="P638">
        <v>0</v>
      </c>
      <c r="Q638">
        <v>0</v>
      </c>
      <c r="R638">
        <f>IF(S638,TRUE,AND(V638:AE638))</f>
        <v>0</v>
      </c>
      <c r="S638">
        <f>COUNTBLANK(Metadata!B638:K638)=COLUMNS(Metadata!B638:K638)</f>
        <v>0</v>
      </c>
      <c r="T638">
        <v>0</v>
      </c>
      <c r="V638">
        <f>AND(IF(Metadata!B638="",FALSE,TRUE),COUNTIF(Metadata!B:B, Metadata!B638) = 1,NOT(ISERROR(SUMPRODUCT(SEARCH(MID(Metadata!B638,ROW(INDIRECT("1:"&amp;LEN(Metadata!B638))), 1),"0123456789abcdefghijklmnopqrstuvwxyzABCDEFGHIJKLMNOPQRSTUVWXYZ.")))))</f>
        <v>0</v>
      </c>
      <c r="W638">
        <f>AND(IF(Metadata!C638="",FALSE,TRUE),exact(Metadata!C638,"urban biome"))</f>
        <v>0</v>
      </c>
      <c r="X638">
        <f>AND(IF(Metadata!D638="",FALSE,TRUE),exact(Metadata!D638,"animal-associated habitat"))</f>
        <v>0</v>
      </c>
      <c r="Y638">
        <f>OR(AND(IF(Metadata!E638="",FALSE,TRUE),OR(exact(Metadata!E638,"not applicable"),exact(Metadata!E638,"missing: not collected"),exact(Metadata!E638,"missing: not provided"),exact(Metadata!E638,"missing: restricted access"))),AND(IF(Metadata!E638="",FALSE,ISNUMBER(VALUE(Metadata!E638))),Metadata!E638&gt;0))</f>
        <v>0</v>
      </c>
      <c r="Z638">
        <f>AND(IF(Metadata!F638="",FALSE,TRUE),exact(Metadata!F638,"weeks"))</f>
        <v>0</v>
      </c>
      <c r="AA638">
        <f>AND(IF(Metadata!G638="",FALSE,TRUE),exact(Metadata!G638,"mouse"))</f>
        <v>0</v>
      </c>
      <c r="AB638">
        <f>AND(IF(Metadata!H638="",FALSE,TRUE),exact(Metadata!H638,"Mus musculus"))</f>
        <v>0</v>
      </c>
      <c r="AC638">
        <f>AND(IF(Metadata!I638="",FALSE,TRUE),exact(Metadata!I638,"10090"))</f>
        <v>0</v>
      </c>
      <c r="AD638">
        <f>OR(AND(IF(Metadata!J638="",FALSE,TRUE),OR(exact(Metadata!J638,"not applicable"),exact(Metadata!J638,"missing: not collected"),exact(Metadata!J638,"missing: not provided"),exact(Metadata!J638,"missing: restricted access"))),AND(IF(Metadata!J638="",FALSE,ISNUMBER(VALUE(Metadata!J638))),Metadata!J638&gt;0))</f>
        <v>0</v>
      </c>
      <c r="AE638">
        <f>AND(IF(Metadata!K638="",FALSE,TRUE),exact(Metadata!K638,"g"))</f>
        <v>0</v>
      </c>
    </row>
    <row r="639" spans="1:31">
      <c r="A639" s="5">
        <f>IF(B639=" "," ",HYPERLINK(CONCATENATE("#metadata!",ADDRESS(INDEX($Q$2:$Q$1001,MATCH(ROWS($O$2:O639),$O$2:$O$1001,0),0),1)),INDEX($T$2:$T$1001,MATCH(ROWS($O$2:O639),$O$2:$O$1001,0),0)))</f>
        <v>0</v>
      </c>
      <c r="B639" s="4">
        <f>IF(OR(INDEX($P$2:$P$1001,MATCH(ROWS($O$2:O639),$O$2:$O$1001,0),1)&gt;=100000,INDEX($V$1005:$AE$1005,1,MATCH(COLUMNS($V$1006:V1006),$V$1006:$AE$1006,0))&gt;=100000), " ",IF(INDEX($V$2:$AE$1001,MATCH(ROWS($O$2:O639),$O$2:$O$1001,0),MATCH(COLUMNS($V$1006:V1006),$V$1006:$AE$1006,0)), HYPERLINK("#",""), HYPERLINK(CONCATENATE("#Metadata!", ADDRESS(INDEX($Q$2:$Q$1001,MATCH(ROWS($O$2:O639),$O$2:$O$1001,0),0), INDEX($V$1004:$AE$1004,1,MATCH(COLUMNS($V$1006:V1006),$V$1006:$AE$1006,0)))),"Fix")))</f>
        <v>0</v>
      </c>
      <c r="C639" s="4">
        <f>IF(OR(INDEX($P$2:$P$1001,MATCH(ROWS($O$2:O639),$O$2:$O$1001,0),1)&gt;=100000,INDEX($V$1005:$AE$1005,1,MATCH(COLUMNS($V$1006:W1006),$V$1006:$AE$1006,0))&gt;=100000), " ",IF(INDEX($V$2:$AE$1001,MATCH(ROWS($O$2:O639),$O$2:$O$1001,0),MATCH(COLUMNS($V$1006:W1006),$V$1006:$AE$1006,0)), HYPERLINK("#",""), HYPERLINK(CONCATENATE("#Metadata!", ADDRESS(INDEX($Q$2:$Q$1001,MATCH(ROWS($O$2:O639),$O$2:$O$1001,0),0), INDEX($V$1004:$AE$1004,1,MATCH(COLUMNS($V$1006:W1006),$V$1006:$AE$1006,0)))),"Fix")))</f>
        <v>0</v>
      </c>
      <c r="D639" s="4">
        <f>IF(OR(INDEX($P$2:$P$1001,MATCH(ROWS($O$2:O639),$O$2:$O$1001,0),1)&gt;=100000,INDEX($V$1005:$AE$1005,1,MATCH(COLUMNS($V$1006:X1006),$V$1006:$AE$1006,0))&gt;=100000), " ",IF(INDEX($V$2:$AE$1001,MATCH(ROWS($O$2:O639),$O$2:$O$1001,0),MATCH(COLUMNS($V$1006:X1006),$V$1006:$AE$1006,0)), HYPERLINK("#",""), HYPERLINK(CONCATENATE("#Metadata!", ADDRESS(INDEX($Q$2:$Q$1001,MATCH(ROWS($O$2:O639),$O$2:$O$1001,0),0), INDEX($V$1004:$AE$1004,1,MATCH(COLUMNS($V$1006:X1006),$V$1006:$AE$1006,0)))),"Fix")))</f>
        <v>0</v>
      </c>
      <c r="E639" s="4">
        <f>IF(OR(INDEX($P$2:$P$1001,MATCH(ROWS($O$2:O639),$O$2:$O$1001,0),1)&gt;=100000,INDEX($V$1005:$AE$1005,1,MATCH(COLUMNS($V$1006:Y1006),$V$1006:$AE$1006,0))&gt;=100000), " ",IF(INDEX($V$2:$AE$1001,MATCH(ROWS($O$2:O639),$O$2:$O$1001,0),MATCH(COLUMNS($V$1006:Y1006),$V$1006:$AE$1006,0)), HYPERLINK("#",""), HYPERLINK(CONCATENATE("#Metadata!", ADDRESS(INDEX($Q$2:$Q$1001,MATCH(ROWS($O$2:O639),$O$2:$O$1001,0),0), INDEX($V$1004:$AE$1004,1,MATCH(COLUMNS($V$1006:Y1006),$V$1006:$AE$1006,0)))),"Fix")))</f>
        <v>0</v>
      </c>
      <c r="F639" s="4">
        <f>IF(OR(INDEX($P$2:$P$1001,MATCH(ROWS($O$2:O639),$O$2:$O$1001,0),1)&gt;=100000,INDEX($V$1005:$AE$1005,1,MATCH(COLUMNS($V$1006:Z1006),$V$1006:$AE$1006,0))&gt;=100000), " ",IF(INDEX($V$2:$AE$1001,MATCH(ROWS($O$2:O639),$O$2:$O$1001,0),MATCH(COLUMNS($V$1006:Z1006),$V$1006:$AE$1006,0)), HYPERLINK("#",""), HYPERLINK(CONCATENATE("#Metadata!", ADDRESS(INDEX($Q$2:$Q$1001,MATCH(ROWS($O$2:O639),$O$2:$O$1001,0),0), INDEX($V$1004:$AE$1004,1,MATCH(COLUMNS($V$1006:Z1006),$V$1006:$AE$1006,0)))),"Fix")))</f>
        <v>0</v>
      </c>
      <c r="G639" s="4">
        <f>IF(OR(INDEX($P$2:$P$1001,MATCH(ROWS($O$2:O639),$O$2:$O$1001,0),1)&gt;=100000,INDEX($V$1005:$AE$1005,1,MATCH(COLUMNS($V$1006:AA1006),$V$1006:$AE$1006,0))&gt;=100000), " ",IF(INDEX($V$2:$AE$1001,MATCH(ROWS($O$2:O639),$O$2:$O$1001,0),MATCH(COLUMNS($V$1006:AA1006),$V$1006:$AE$1006,0)), HYPERLINK("#",""), HYPERLINK(CONCATENATE("#Metadata!", ADDRESS(INDEX($Q$2:$Q$1001,MATCH(ROWS($O$2:O639),$O$2:$O$1001,0),0), INDEX($V$1004:$AE$1004,1,MATCH(COLUMNS($V$1006:AA1006),$V$1006:$AE$1006,0)))),"Fix")))</f>
        <v>0</v>
      </c>
      <c r="H639" s="4">
        <f>IF(OR(INDEX($P$2:$P$1001,MATCH(ROWS($O$2:O639),$O$2:$O$1001,0),1)&gt;=100000,INDEX($V$1005:$AE$1005,1,MATCH(COLUMNS($V$1006:AB1006),$V$1006:$AE$1006,0))&gt;=100000), " ",IF(INDEX($V$2:$AE$1001,MATCH(ROWS($O$2:O639),$O$2:$O$1001,0),MATCH(COLUMNS($V$1006:AB1006),$V$1006:$AE$1006,0)), HYPERLINK("#",""), HYPERLINK(CONCATENATE("#Metadata!", ADDRESS(INDEX($Q$2:$Q$1001,MATCH(ROWS($O$2:O639),$O$2:$O$1001,0),0), INDEX($V$1004:$AE$1004,1,MATCH(COLUMNS($V$1006:AB1006),$V$1006:$AE$1006,0)))),"Fix")))</f>
        <v>0</v>
      </c>
      <c r="I639" s="4">
        <f>IF(OR(INDEX($P$2:$P$1001,MATCH(ROWS($O$2:O639),$O$2:$O$1001,0),1)&gt;=100000,INDEX($V$1005:$AE$1005,1,MATCH(COLUMNS($V$1006:AC1006),$V$1006:$AE$1006,0))&gt;=100000), " ",IF(INDEX($V$2:$AE$1001,MATCH(ROWS($O$2:O639),$O$2:$O$1001,0),MATCH(COLUMNS($V$1006:AC1006),$V$1006:$AE$1006,0)), HYPERLINK("#",""), HYPERLINK(CONCATENATE("#Metadata!", ADDRESS(INDEX($Q$2:$Q$1001,MATCH(ROWS($O$2:O639),$O$2:$O$1001,0),0), INDEX($V$1004:$AE$1004,1,MATCH(COLUMNS($V$1006:AC1006),$V$1006:$AE$1006,0)))),"Fix")))</f>
        <v>0</v>
      </c>
      <c r="J639" s="4">
        <f>IF(OR(INDEX($P$2:$P$1001,MATCH(ROWS($O$2:O639),$O$2:$O$1001,0),1)&gt;=100000,INDEX($V$1005:$AE$1005,1,MATCH(COLUMNS($V$1006:AD1006),$V$1006:$AE$1006,0))&gt;=100000), " ",IF(INDEX($V$2:$AE$1001,MATCH(ROWS($O$2:O639),$O$2:$O$1001,0),MATCH(COLUMNS($V$1006:AD1006),$V$1006:$AE$1006,0)), HYPERLINK("#",""), HYPERLINK(CONCATENATE("#Metadata!", ADDRESS(INDEX($Q$2:$Q$1001,MATCH(ROWS($O$2:O639),$O$2:$O$1001,0),0), INDEX($V$1004:$AE$1004,1,MATCH(COLUMNS($V$1006:AD1006),$V$1006:$AE$1006,0)))),"Fix")))</f>
        <v>0</v>
      </c>
      <c r="K639" s="4">
        <f>IF(OR(INDEX($P$2:$P$1001,MATCH(ROWS($O$2:O639),$O$2:$O$1001,0),1)&gt;=100000,INDEX($V$1005:$AE$1005,1,MATCH(COLUMNS($V$1006:AE1006),$V$1006:$AE$1006,0))&gt;=100000), " ",IF(INDEX($V$2:$AE$1001,MATCH(ROWS($O$2:O639),$O$2:$O$1001,0),MATCH(COLUMNS($V$1006:AE1006),$V$1006:$AE$1006,0)), HYPERLINK("#",""), HYPERLINK(CONCATENATE("#Metadata!", ADDRESS(INDEX($Q$2:$Q$1001,MATCH(ROWS($O$2:O639),$O$2:$O$1001,0),0), INDEX($V$1004:$AE$1004,1,MATCH(COLUMNS($V$1006:AE1006),$V$1006:$AE$1006,0)))),"Fix")))</f>
        <v>0</v>
      </c>
      <c r="O639">
        <v>0</v>
      </c>
      <c r="P639">
        <v>0</v>
      </c>
      <c r="Q639">
        <v>0</v>
      </c>
      <c r="R639">
        <f>IF(S639,TRUE,AND(V639:AE639))</f>
        <v>0</v>
      </c>
      <c r="S639">
        <f>COUNTBLANK(Metadata!B639:K639)=COLUMNS(Metadata!B639:K639)</f>
        <v>0</v>
      </c>
      <c r="T639">
        <v>0</v>
      </c>
      <c r="V639">
        <f>AND(IF(Metadata!B639="",FALSE,TRUE),COUNTIF(Metadata!B:B, Metadata!B639) = 1,NOT(ISERROR(SUMPRODUCT(SEARCH(MID(Metadata!B639,ROW(INDIRECT("1:"&amp;LEN(Metadata!B639))), 1),"0123456789abcdefghijklmnopqrstuvwxyzABCDEFGHIJKLMNOPQRSTUVWXYZ.")))))</f>
        <v>0</v>
      </c>
      <c r="W639">
        <f>AND(IF(Metadata!C639="",FALSE,TRUE),exact(Metadata!C639,"urban biome"))</f>
        <v>0</v>
      </c>
      <c r="X639">
        <f>AND(IF(Metadata!D639="",FALSE,TRUE),exact(Metadata!D639,"animal-associated habitat"))</f>
        <v>0</v>
      </c>
      <c r="Y639">
        <f>OR(AND(IF(Metadata!E639="",FALSE,TRUE),OR(exact(Metadata!E639,"not applicable"),exact(Metadata!E639,"missing: not collected"),exact(Metadata!E639,"missing: not provided"),exact(Metadata!E639,"missing: restricted access"))),AND(IF(Metadata!E639="",FALSE,ISNUMBER(VALUE(Metadata!E639))),Metadata!E639&gt;0))</f>
        <v>0</v>
      </c>
      <c r="Z639">
        <f>AND(IF(Metadata!F639="",FALSE,TRUE),exact(Metadata!F639,"weeks"))</f>
        <v>0</v>
      </c>
      <c r="AA639">
        <f>AND(IF(Metadata!G639="",FALSE,TRUE),exact(Metadata!G639,"mouse"))</f>
        <v>0</v>
      </c>
      <c r="AB639">
        <f>AND(IF(Metadata!H639="",FALSE,TRUE),exact(Metadata!H639,"Mus musculus"))</f>
        <v>0</v>
      </c>
      <c r="AC639">
        <f>AND(IF(Metadata!I639="",FALSE,TRUE),exact(Metadata!I639,"10090"))</f>
        <v>0</v>
      </c>
      <c r="AD639">
        <f>OR(AND(IF(Metadata!J639="",FALSE,TRUE),OR(exact(Metadata!J639,"not applicable"),exact(Metadata!J639,"missing: not collected"),exact(Metadata!J639,"missing: not provided"),exact(Metadata!J639,"missing: restricted access"))),AND(IF(Metadata!J639="",FALSE,ISNUMBER(VALUE(Metadata!J639))),Metadata!J639&gt;0))</f>
        <v>0</v>
      </c>
      <c r="AE639">
        <f>AND(IF(Metadata!K639="",FALSE,TRUE),exact(Metadata!K639,"g"))</f>
        <v>0</v>
      </c>
    </row>
    <row r="640" spans="1:31">
      <c r="A640" s="5">
        <f>IF(B640=" "," ",HYPERLINK(CONCATENATE("#metadata!",ADDRESS(INDEX($Q$2:$Q$1001,MATCH(ROWS($O$2:O640),$O$2:$O$1001,0),0),1)),INDEX($T$2:$T$1001,MATCH(ROWS($O$2:O640),$O$2:$O$1001,0),0)))</f>
        <v>0</v>
      </c>
      <c r="B640" s="4">
        <f>IF(OR(INDEX($P$2:$P$1001,MATCH(ROWS($O$2:O640),$O$2:$O$1001,0),1)&gt;=100000,INDEX($V$1005:$AE$1005,1,MATCH(COLUMNS($V$1006:V1006),$V$1006:$AE$1006,0))&gt;=100000), " ",IF(INDEX($V$2:$AE$1001,MATCH(ROWS($O$2:O640),$O$2:$O$1001,0),MATCH(COLUMNS($V$1006:V1006),$V$1006:$AE$1006,0)), HYPERLINK("#",""), HYPERLINK(CONCATENATE("#Metadata!", ADDRESS(INDEX($Q$2:$Q$1001,MATCH(ROWS($O$2:O640),$O$2:$O$1001,0),0), INDEX($V$1004:$AE$1004,1,MATCH(COLUMNS($V$1006:V1006),$V$1006:$AE$1006,0)))),"Fix")))</f>
        <v>0</v>
      </c>
      <c r="C640" s="4">
        <f>IF(OR(INDEX($P$2:$P$1001,MATCH(ROWS($O$2:O640),$O$2:$O$1001,0),1)&gt;=100000,INDEX($V$1005:$AE$1005,1,MATCH(COLUMNS($V$1006:W1006),$V$1006:$AE$1006,0))&gt;=100000), " ",IF(INDEX($V$2:$AE$1001,MATCH(ROWS($O$2:O640),$O$2:$O$1001,0),MATCH(COLUMNS($V$1006:W1006),$V$1006:$AE$1006,0)), HYPERLINK("#",""), HYPERLINK(CONCATENATE("#Metadata!", ADDRESS(INDEX($Q$2:$Q$1001,MATCH(ROWS($O$2:O640),$O$2:$O$1001,0),0), INDEX($V$1004:$AE$1004,1,MATCH(COLUMNS($V$1006:W1006),$V$1006:$AE$1006,0)))),"Fix")))</f>
        <v>0</v>
      </c>
      <c r="D640" s="4">
        <f>IF(OR(INDEX($P$2:$P$1001,MATCH(ROWS($O$2:O640),$O$2:$O$1001,0),1)&gt;=100000,INDEX($V$1005:$AE$1005,1,MATCH(COLUMNS($V$1006:X1006),$V$1006:$AE$1006,0))&gt;=100000), " ",IF(INDEX($V$2:$AE$1001,MATCH(ROWS($O$2:O640),$O$2:$O$1001,0),MATCH(COLUMNS($V$1006:X1006),$V$1006:$AE$1006,0)), HYPERLINK("#",""), HYPERLINK(CONCATENATE("#Metadata!", ADDRESS(INDEX($Q$2:$Q$1001,MATCH(ROWS($O$2:O640),$O$2:$O$1001,0),0), INDEX($V$1004:$AE$1004,1,MATCH(COLUMNS($V$1006:X1006),$V$1006:$AE$1006,0)))),"Fix")))</f>
        <v>0</v>
      </c>
      <c r="E640" s="4">
        <f>IF(OR(INDEX($P$2:$P$1001,MATCH(ROWS($O$2:O640),$O$2:$O$1001,0),1)&gt;=100000,INDEX($V$1005:$AE$1005,1,MATCH(COLUMNS($V$1006:Y1006),$V$1006:$AE$1006,0))&gt;=100000), " ",IF(INDEX($V$2:$AE$1001,MATCH(ROWS($O$2:O640),$O$2:$O$1001,0),MATCH(COLUMNS($V$1006:Y1006),$V$1006:$AE$1006,0)), HYPERLINK("#",""), HYPERLINK(CONCATENATE("#Metadata!", ADDRESS(INDEX($Q$2:$Q$1001,MATCH(ROWS($O$2:O640),$O$2:$O$1001,0),0), INDEX($V$1004:$AE$1004,1,MATCH(COLUMNS($V$1006:Y1006),$V$1006:$AE$1006,0)))),"Fix")))</f>
        <v>0</v>
      </c>
      <c r="F640" s="4">
        <f>IF(OR(INDEX($P$2:$P$1001,MATCH(ROWS($O$2:O640),$O$2:$O$1001,0),1)&gt;=100000,INDEX($V$1005:$AE$1005,1,MATCH(COLUMNS($V$1006:Z1006),$V$1006:$AE$1006,0))&gt;=100000), " ",IF(INDEX($V$2:$AE$1001,MATCH(ROWS($O$2:O640),$O$2:$O$1001,0),MATCH(COLUMNS($V$1006:Z1006),$V$1006:$AE$1006,0)), HYPERLINK("#",""), HYPERLINK(CONCATENATE("#Metadata!", ADDRESS(INDEX($Q$2:$Q$1001,MATCH(ROWS($O$2:O640),$O$2:$O$1001,0),0), INDEX($V$1004:$AE$1004,1,MATCH(COLUMNS($V$1006:Z1006),$V$1006:$AE$1006,0)))),"Fix")))</f>
        <v>0</v>
      </c>
      <c r="G640" s="4">
        <f>IF(OR(INDEX($P$2:$P$1001,MATCH(ROWS($O$2:O640),$O$2:$O$1001,0),1)&gt;=100000,INDEX($V$1005:$AE$1005,1,MATCH(COLUMNS($V$1006:AA1006),$V$1006:$AE$1006,0))&gt;=100000), " ",IF(INDEX($V$2:$AE$1001,MATCH(ROWS($O$2:O640),$O$2:$O$1001,0),MATCH(COLUMNS($V$1006:AA1006),$V$1006:$AE$1006,0)), HYPERLINK("#",""), HYPERLINK(CONCATENATE("#Metadata!", ADDRESS(INDEX($Q$2:$Q$1001,MATCH(ROWS($O$2:O640),$O$2:$O$1001,0),0), INDEX($V$1004:$AE$1004,1,MATCH(COLUMNS($V$1006:AA1006),$V$1006:$AE$1006,0)))),"Fix")))</f>
        <v>0</v>
      </c>
      <c r="H640" s="4">
        <f>IF(OR(INDEX($P$2:$P$1001,MATCH(ROWS($O$2:O640),$O$2:$O$1001,0),1)&gt;=100000,INDEX($V$1005:$AE$1005,1,MATCH(COLUMNS($V$1006:AB1006),$V$1006:$AE$1006,0))&gt;=100000), " ",IF(INDEX($V$2:$AE$1001,MATCH(ROWS($O$2:O640),$O$2:$O$1001,0),MATCH(COLUMNS($V$1006:AB1006),$V$1006:$AE$1006,0)), HYPERLINK("#",""), HYPERLINK(CONCATENATE("#Metadata!", ADDRESS(INDEX($Q$2:$Q$1001,MATCH(ROWS($O$2:O640),$O$2:$O$1001,0),0), INDEX($V$1004:$AE$1004,1,MATCH(COLUMNS($V$1006:AB1006),$V$1006:$AE$1006,0)))),"Fix")))</f>
        <v>0</v>
      </c>
      <c r="I640" s="4">
        <f>IF(OR(INDEX($P$2:$P$1001,MATCH(ROWS($O$2:O640),$O$2:$O$1001,0),1)&gt;=100000,INDEX($V$1005:$AE$1005,1,MATCH(COLUMNS($V$1006:AC1006),$V$1006:$AE$1006,0))&gt;=100000), " ",IF(INDEX($V$2:$AE$1001,MATCH(ROWS($O$2:O640),$O$2:$O$1001,0),MATCH(COLUMNS($V$1006:AC1006),$V$1006:$AE$1006,0)), HYPERLINK("#",""), HYPERLINK(CONCATENATE("#Metadata!", ADDRESS(INDEX($Q$2:$Q$1001,MATCH(ROWS($O$2:O640),$O$2:$O$1001,0),0), INDEX($V$1004:$AE$1004,1,MATCH(COLUMNS($V$1006:AC1006),$V$1006:$AE$1006,0)))),"Fix")))</f>
        <v>0</v>
      </c>
      <c r="J640" s="4">
        <f>IF(OR(INDEX($P$2:$P$1001,MATCH(ROWS($O$2:O640),$O$2:$O$1001,0),1)&gt;=100000,INDEX($V$1005:$AE$1005,1,MATCH(COLUMNS($V$1006:AD1006),$V$1006:$AE$1006,0))&gt;=100000), " ",IF(INDEX($V$2:$AE$1001,MATCH(ROWS($O$2:O640),$O$2:$O$1001,0),MATCH(COLUMNS($V$1006:AD1006),$V$1006:$AE$1006,0)), HYPERLINK("#",""), HYPERLINK(CONCATENATE("#Metadata!", ADDRESS(INDEX($Q$2:$Q$1001,MATCH(ROWS($O$2:O640),$O$2:$O$1001,0),0), INDEX($V$1004:$AE$1004,1,MATCH(COLUMNS($V$1006:AD1006),$V$1006:$AE$1006,0)))),"Fix")))</f>
        <v>0</v>
      </c>
      <c r="K640" s="4">
        <f>IF(OR(INDEX($P$2:$P$1001,MATCH(ROWS($O$2:O640),$O$2:$O$1001,0),1)&gt;=100000,INDEX($V$1005:$AE$1005,1,MATCH(COLUMNS($V$1006:AE1006),$V$1006:$AE$1006,0))&gt;=100000), " ",IF(INDEX($V$2:$AE$1001,MATCH(ROWS($O$2:O640),$O$2:$O$1001,0),MATCH(COLUMNS($V$1006:AE1006),$V$1006:$AE$1006,0)), HYPERLINK("#",""), HYPERLINK(CONCATENATE("#Metadata!", ADDRESS(INDEX($Q$2:$Q$1001,MATCH(ROWS($O$2:O640),$O$2:$O$1001,0),0), INDEX($V$1004:$AE$1004,1,MATCH(COLUMNS($V$1006:AE1006),$V$1006:$AE$1006,0)))),"Fix")))</f>
        <v>0</v>
      </c>
      <c r="O640">
        <v>0</v>
      </c>
      <c r="P640">
        <v>0</v>
      </c>
      <c r="Q640">
        <v>0</v>
      </c>
      <c r="R640">
        <f>IF(S640,TRUE,AND(V640:AE640))</f>
        <v>0</v>
      </c>
      <c r="S640">
        <f>COUNTBLANK(Metadata!B640:K640)=COLUMNS(Metadata!B640:K640)</f>
        <v>0</v>
      </c>
      <c r="T640">
        <v>0</v>
      </c>
      <c r="V640">
        <f>AND(IF(Metadata!B640="",FALSE,TRUE),COUNTIF(Metadata!B:B, Metadata!B640) = 1,NOT(ISERROR(SUMPRODUCT(SEARCH(MID(Metadata!B640,ROW(INDIRECT("1:"&amp;LEN(Metadata!B640))), 1),"0123456789abcdefghijklmnopqrstuvwxyzABCDEFGHIJKLMNOPQRSTUVWXYZ.")))))</f>
        <v>0</v>
      </c>
      <c r="W640">
        <f>AND(IF(Metadata!C640="",FALSE,TRUE),exact(Metadata!C640,"urban biome"))</f>
        <v>0</v>
      </c>
      <c r="X640">
        <f>AND(IF(Metadata!D640="",FALSE,TRUE),exact(Metadata!D640,"animal-associated habitat"))</f>
        <v>0</v>
      </c>
      <c r="Y640">
        <f>OR(AND(IF(Metadata!E640="",FALSE,TRUE),OR(exact(Metadata!E640,"not applicable"),exact(Metadata!E640,"missing: not collected"),exact(Metadata!E640,"missing: not provided"),exact(Metadata!E640,"missing: restricted access"))),AND(IF(Metadata!E640="",FALSE,ISNUMBER(VALUE(Metadata!E640))),Metadata!E640&gt;0))</f>
        <v>0</v>
      </c>
      <c r="Z640">
        <f>AND(IF(Metadata!F640="",FALSE,TRUE),exact(Metadata!F640,"weeks"))</f>
        <v>0</v>
      </c>
      <c r="AA640">
        <f>AND(IF(Metadata!G640="",FALSE,TRUE),exact(Metadata!G640,"mouse"))</f>
        <v>0</v>
      </c>
      <c r="AB640">
        <f>AND(IF(Metadata!H640="",FALSE,TRUE),exact(Metadata!H640,"Mus musculus"))</f>
        <v>0</v>
      </c>
      <c r="AC640">
        <f>AND(IF(Metadata!I640="",FALSE,TRUE),exact(Metadata!I640,"10090"))</f>
        <v>0</v>
      </c>
      <c r="AD640">
        <f>OR(AND(IF(Metadata!J640="",FALSE,TRUE),OR(exact(Metadata!J640,"not applicable"),exact(Metadata!J640,"missing: not collected"),exact(Metadata!J640,"missing: not provided"),exact(Metadata!J640,"missing: restricted access"))),AND(IF(Metadata!J640="",FALSE,ISNUMBER(VALUE(Metadata!J640))),Metadata!J640&gt;0))</f>
        <v>0</v>
      </c>
      <c r="AE640">
        <f>AND(IF(Metadata!K640="",FALSE,TRUE),exact(Metadata!K640,"g"))</f>
        <v>0</v>
      </c>
    </row>
    <row r="641" spans="1:31">
      <c r="A641" s="5">
        <f>IF(B641=" "," ",HYPERLINK(CONCATENATE("#metadata!",ADDRESS(INDEX($Q$2:$Q$1001,MATCH(ROWS($O$2:O641),$O$2:$O$1001,0),0),1)),INDEX($T$2:$T$1001,MATCH(ROWS($O$2:O641),$O$2:$O$1001,0),0)))</f>
        <v>0</v>
      </c>
      <c r="B641" s="4">
        <f>IF(OR(INDEX($P$2:$P$1001,MATCH(ROWS($O$2:O641),$O$2:$O$1001,0),1)&gt;=100000,INDEX($V$1005:$AE$1005,1,MATCH(COLUMNS($V$1006:V1006),$V$1006:$AE$1006,0))&gt;=100000), " ",IF(INDEX($V$2:$AE$1001,MATCH(ROWS($O$2:O641),$O$2:$O$1001,0),MATCH(COLUMNS($V$1006:V1006),$V$1006:$AE$1006,0)), HYPERLINK("#",""), HYPERLINK(CONCATENATE("#Metadata!", ADDRESS(INDEX($Q$2:$Q$1001,MATCH(ROWS($O$2:O641),$O$2:$O$1001,0),0), INDEX($V$1004:$AE$1004,1,MATCH(COLUMNS($V$1006:V1006),$V$1006:$AE$1006,0)))),"Fix")))</f>
        <v>0</v>
      </c>
      <c r="C641" s="4">
        <f>IF(OR(INDEX($P$2:$P$1001,MATCH(ROWS($O$2:O641),$O$2:$O$1001,0),1)&gt;=100000,INDEX($V$1005:$AE$1005,1,MATCH(COLUMNS($V$1006:W1006),$V$1006:$AE$1006,0))&gt;=100000), " ",IF(INDEX($V$2:$AE$1001,MATCH(ROWS($O$2:O641),$O$2:$O$1001,0),MATCH(COLUMNS($V$1006:W1006),$V$1006:$AE$1006,0)), HYPERLINK("#",""), HYPERLINK(CONCATENATE("#Metadata!", ADDRESS(INDEX($Q$2:$Q$1001,MATCH(ROWS($O$2:O641),$O$2:$O$1001,0),0), INDEX($V$1004:$AE$1004,1,MATCH(COLUMNS($V$1006:W1006),$V$1006:$AE$1006,0)))),"Fix")))</f>
        <v>0</v>
      </c>
      <c r="D641" s="4">
        <f>IF(OR(INDEX($P$2:$P$1001,MATCH(ROWS($O$2:O641),$O$2:$O$1001,0),1)&gt;=100000,INDEX($V$1005:$AE$1005,1,MATCH(COLUMNS($V$1006:X1006),$V$1006:$AE$1006,0))&gt;=100000), " ",IF(INDEX($V$2:$AE$1001,MATCH(ROWS($O$2:O641),$O$2:$O$1001,0),MATCH(COLUMNS($V$1006:X1006),$V$1006:$AE$1006,0)), HYPERLINK("#",""), HYPERLINK(CONCATENATE("#Metadata!", ADDRESS(INDEX($Q$2:$Q$1001,MATCH(ROWS($O$2:O641),$O$2:$O$1001,0),0), INDEX($V$1004:$AE$1004,1,MATCH(COLUMNS($V$1006:X1006),$V$1006:$AE$1006,0)))),"Fix")))</f>
        <v>0</v>
      </c>
      <c r="E641" s="4">
        <f>IF(OR(INDEX($P$2:$P$1001,MATCH(ROWS($O$2:O641),$O$2:$O$1001,0),1)&gt;=100000,INDEX($V$1005:$AE$1005,1,MATCH(COLUMNS($V$1006:Y1006),$V$1006:$AE$1006,0))&gt;=100000), " ",IF(INDEX($V$2:$AE$1001,MATCH(ROWS($O$2:O641),$O$2:$O$1001,0),MATCH(COLUMNS($V$1006:Y1006),$V$1006:$AE$1006,0)), HYPERLINK("#",""), HYPERLINK(CONCATENATE("#Metadata!", ADDRESS(INDEX($Q$2:$Q$1001,MATCH(ROWS($O$2:O641),$O$2:$O$1001,0),0), INDEX($V$1004:$AE$1004,1,MATCH(COLUMNS($V$1006:Y1006),$V$1006:$AE$1006,0)))),"Fix")))</f>
        <v>0</v>
      </c>
      <c r="F641" s="4">
        <f>IF(OR(INDEX($P$2:$P$1001,MATCH(ROWS($O$2:O641),$O$2:$O$1001,0),1)&gt;=100000,INDEX($V$1005:$AE$1005,1,MATCH(COLUMNS($V$1006:Z1006),$V$1006:$AE$1006,0))&gt;=100000), " ",IF(INDEX($V$2:$AE$1001,MATCH(ROWS($O$2:O641),$O$2:$O$1001,0),MATCH(COLUMNS($V$1006:Z1006),$V$1006:$AE$1006,0)), HYPERLINK("#",""), HYPERLINK(CONCATENATE("#Metadata!", ADDRESS(INDEX($Q$2:$Q$1001,MATCH(ROWS($O$2:O641),$O$2:$O$1001,0),0), INDEX($V$1004:$AE$1004,1,MATCH(COLUMNS($V$1006:Z1006),$V$1006:$AE$1006,0)))),"Fix")))</f>
        <v>0</v>
      </c>
      <c r="G641" s="4">
        <f>IF(OR(INDEX($P$2:$P$1001,MATCH(ROWS($O$2:O641),$O$2:$O$1001,0),1)&gt;=100000,INDEX($V$1005:$AE$1005,1,MATCH(COLUMNS($V$1006:AA1006),$V$1006:$AE$1006,0))&gt;=100000), " ",IF(INDEX($V$2:$AE$1001,MATCH(ROWS($O$2:O641),$O$2:$O$1001,0),MATCH(COLUMNS($V$1006:AA1006),$V$1006:$AE$1006,0)), HYPERLINK("#",""), HYPERLINK(CONCATENATE("#Metadata!", ADDRESS(INDEX($Q$2:$Q$1001,MATCH(ROWS($O$2:O641),$O$2:$O$1001,0),0), INDEX($V$1004:$AE$1004,1,MATCH(COLUMNS($V$1006:AA1006),$V$1006:$AE$1006,0)))),"Fix")))</f>
        <v>0</v>
      </c>
      <c r="H641" s="4">
        <f>IF(OR(INDEX($P$2:$P$1001,MATCH(ROWS($O$2:O641),$O$2:$O$1001,0),1)&gt;=100000,INDEX($V$1005:$AE$1005,1,MATCH(COLUMNS($V$1006:AB1006),$V$1006:$AE$1006,0))&gt;=100000), " ",IF(INDEX($V$2:$AE$1001,MATCH(ROWS($O$2:O641),$O$2:$O$1001,0),MATCH(COLUMNS($V$1006:AB1006),$V$1006:$AE$1006,0)), HYPERLINK("#",""), HYPERLINK(CONCATENATE("#Metadata!", ADDRESS(INDEX($Q$2:$Q$1001,MATCH(ROWS($O$2:O641),$O$2:$O$1001,0),0), INDEX($V$1004:$AE$1004,1,MATCH(COLUMNS($V$1006:AB1006),$V$1006:$AE$1006,0)))),"Fix")))</f>
        <v>0</v>
      </c>
      <c r="I641" s="4">
        <f>IF(OR(INDEX($P$2:$P$1001,MATCH(ROWS($O$2:O641),$O$2:$O$1001,0),1)&gt;=100000,INDEX($V$1005:$AE$1005,1,MATCH(COLUMNS($V$1006:AC1006),$V$1006:$AE$1006,0))&gt;=100000), " ",IF(INDEX($V$2:$AE$1001,MATCH(ROWS($O$2:O641),$O$2:$O$1001,0),MATCH(COLUMNS($V$1006:AC1006),$V$1006:$AE$1006,0)), HYPERLINK("#",""), HYPERLINK(CONCATENATE("#Metadata!", ADDRESS(INDEX($Q$2:$Q$1001,MATCH(ROWS($O$2:O641),$O$2:$O$1001,0),0), INDEX($V$1004:$AE$1004,1,MATCH(COLUMNS($V$1006:AC1006),$V$1006:$AE$1006,0)))),"Fix")))</f>
        <v>0</v>
      </c>
      <c r="J641" s="4">
        <f>IF(OR(INDEX($P$2:$P$1001,MATCH(ROWS($O$2:O641),$O$2:$O$1001,0),1)&gt;=100000,INDEX($V$1005:$AE$1005,1,MATCH(COLUMNS($V$1006:AD1006),$V$1006:$AE$1006,0))&gt;=100000), " ",IF(INDEX($V$2:$AE$1001,MATCH(ROWS($O$2:O641),$O$2:$O$1001,0),MATCH(COLUMNS($V$1006:AD1006),$V$1006:$AE$1006,0)), HYPERLINK("#",""), HYPERLINK(CONCATENATE("#Metadata!", ADDRESS(INDEX($Q$2:$Q$1001,MATCH(ROWS($O$2:O641),$O$2:$O$1001,0),0), INDEX($V$1004:$AE$1004,1,MATCH(COLUMNS($V$1006:AD1006),$V$1006:$AE$1006,0)))),"Fix")))</f>
        <v>0</v>
      </c>
      <c r="K641" s="4">
        <f>IF(OR(INDEX($P$2:$P$1001,MATCH(ROWS($O$2:O641),$O$2:$O$1001,0),1)&gt;=100000,INDEX($V$1005:$AE$1005,1,MATCH(COLUMNS($V$1006:AE1006),$V$1006:$AE$1006,0))&gt;=100000), " ",IF(INDEX($V$2:$AE$1001,MATCH(ROWS($O$2:O641),$O$2:$O$1001,0),MATCH(COLUMNS($V$1006:AE1006),$V$1006:$AE$1006,0)), HYPERLINK("#",""), HYPERLINK(CONCATENATE("#Metadata!", ADDRESS(INDEX($Q$2:$Q$1001,MATCH(ROWS($O$2:O641),$O$2:$O$1001,0),0), INDEX($V$1004:$AE$1004,1,MATCH(COLUMNS($V$1006:AE1006),$V$1006:$AE$1006,0)))),"Fix")))</f>
        <v>0</v>
      </c>
      <c r="O641">
        <v>0</v>
      </c>
      <c r="P641">
        <v>0</v>
      </c>
      <c r="Q641">
        <v>0</v>
      </c>
      <c r="R641">
        <f>IF(S641,TRUE,AND(V641:AE641))</f>
        <v>0</v>
      </c>
      <c r="S641">
        <f>COUNTBLANK(Metadata!B641:K641)=COLUMNS(Metadata!B641:K641)</f>
        <v>0</v>
      </c>
      <c r="T641">
        <v>0</v>
      </c>
      <c r="V641">
        <f>AND(IF(Metadata!B641="",FALSE,TRUE),COUNTIF(Metadata!B:B, Metadata!B641) = 1,NOT(ISERROR(SUMPRODUCT(SEARCH(MID(Metadata!B641,ROW(INDIRECT("1:"&amp;LEN(Metadata!B641))), 1),"0123456789abcdefghijklmnopqrstuvwxyzABCDEFGHIJKLMNOPQRSTUVWXYZ.")))))</f>
        <v>0</v>
      </c>
      <c r="W641">
        <f>AND(IF(Metadata!C641="",FALSE,TRUE),exact(Metadata!C641,"urban biome"))</f>
        <v>0</v>
      </c>
      <c r="X641">
        <f>AND(IF(Metadata!D641="",FALSE,TRUE),exact(Metadata!D641,"animal-associated habitat"))</f>
        <v>0</v>
      </c>
      <c r="Y641">
        <f>OR(AND(IF(Metadata!E641="",FALSE,TRUE),OR(exact(Metadata!E641,"not applicable"),exact(Metadata!E641,"missing: not collected"),exact(Metadata!E641,"missing: not provided"),exact(Metadata!E641,"missing: restricted access"))),AND(IF(Metadata!E641="",FALSE,ISNUMBER(VALUE(Metadata!E641))),Metadata!E641&gt;0))</f>
        <v>0</v>
      </c>
      <c r="Z641">
        <f>AND(IF(Metadata!F641="",FALSE,TRUE),exact(Metadata!F641,"weeks"))</f>
        <v>0</v>
      </c>
      <c r="AA641">
        <f>AND(IF(Metadata!G641="",FALSE,TRUE),exact(Metadata!G641,"mouse"))</f>
        <v>0</v>
      </c>
      <c r="AB641">
        <f>AND(IF(Metadata!H641="",FALSE,TRUE),exact(Metadata!H641,"Mus musculus"))</f>
        <v>0</v>
      </c>
      <c r="AC641">
        <f>AND(IF(Metadata!I641="",FALSE,TRUE),exact(Metadata!I641,"10090"))</f>
        <v>0</v>
      </c>
      <c r="AD641">
        <f>OR(AND(IF(Metadata!J641="",FALSE,TRUE),OR(exact(Metadata!J641,"not applicable"),exact(Metadata!J641,"missing: not collected"),exact(Metadata!J641,"missing: not provided"),exact(Metadata!J641,"missing: restricted access"))),AND(IF(Metadata!J641="",FALSE,ISNUMBER(VALUE(Metadata!J641))),Metadata!J641&gt;0))</f>
        <v>0</v>
      </c>
      <c r="AE641">
        <f>AND(IF(Metadata!K641="",FALSE,TRUE),exact(Metadata!K641,"g"))</f>
        <v>0</v>
      </c>
    </row>
    <row r="642" spans="1:31">
      <c r="A642" s="5">
        <f>IF(B642=" "," ",HYPERLINK(CONCATENATE("#metadata!",ADDRESS(INDEX($Q$2:$Q$1001,MATCH(ROWS($O$2:O642),$O$2:$O$1001,0),0),1)),INDEX($T$2:$T$1001,MATCH(ROWS($O$2:O642),$O$2:$O$1001,0),0)))</f>
        <v>0</v>
      </c>
      <c r="B642" s="4">
        <f>IF(OR(INDEX($P$2:$P$1001,MATCH(ROWS($O$2:O642),$O$2:$O$1001,0),1)&gt;=100000,INDEX($V$1005:$AE$1005,1,MATCH(COLUMNS($V$1006:V1006),$V$1006:$AE$1006,0))&gt;=100000), " ",IF(INDEX($V$2:$AE$1001,MATCH(ROWS($O$2:O642),$O$2:$O$1001,0),MATCH(COLUMNS($V$1006:V1006),$V$1006:$AE$1006,0)), HYPERLINK("#",""), HYPERLINK(CONCATENATE("#Metadata!", ADDRESS(INDEX($Q$2:$Q$1001,MATCH(ROWS($O$2:O642),$O$2:$O$1001,0),0), INDEX($V$1004:$AE$1004,1,MATCH(COLUMNS($V$1006:V1006),$V$1006:$AE$1006,0)))),"Fix")))</f>
        <v>0</v>
      </c>
      <c r="C642" s="4">
        <f>IF(OR(INDEX($P$2:$P$1001,MATCH(ROWS($O$2:O642),$O$2:$O$1001,0),1)&gt;=100000,INDEX($V$1005:$AE$1005,1,MATCH(COLUMNS($V$1006:W1006),$V$1006:$AE$1006,0))&gt;=100000), " ",IF(INDEX($V$2:$AE$1001,MATCH(ROWS($O$2:O642),$O$2:$O$1001,0),MATCH(COLUMNS($V$1006:W1006),$V$1006:$AE$1006,0)), HYPERLINK("#",""), HYPERLINK(CONCATENATE("#Metadata!", ADDRESS(INDEX($Q$2:$Q$1001,MATCH(ROWS($O$2:O642),$O$2:$O$1001,0),0), INDEX($V$1004:$AE$1004,1,MATCH(COLUMNS($V$1006:W1006),$V$1006:$AE$1006,0)))),"Fix")))</f>
        <v>0</v>
      </c>
      <c r="D642" s="4">
        <f>IF(OR(INDEX($P$2:$P$1001,MATCH(ROWS($O$2:O642),$O$2:$O$1001,0),1)&gt;=100000,INDEX($V$1005:$AE$1005,1,MATCH(COLUMNS($V$1006:X1006),$V$1006:$AE$1006,0))&gt;=100000), " ",IF(INDEX($V$2:$AE$1001,MATCH(ROWS($O$2:O642),$O$2:$O$1001,0),MATCH(COLUMNS($V$1006:X1006),$V$1006:$AE$1006,0)), HYPERLINK("#",""), HYPERLINK(CONCATENATE("#Metadata!", ADDRESS(INDEX($Q$2:$Q$1001,MATCH(ROWS($O$2:O642),$O$2:$O$1001,0),0), INDEX($V$1004:$AE$1004,1,MATCH(COLUMNS($V$1006:X1006),$V$1006:$AE$1006,0)))),"Fix")))</f>
        <v>0</v>
      </c>
      <c r="E642" s="4">
        <f>IF(OR(INDEX($P$2:$P$1001,MATCH(ROWS($O$2:O642),$O$2:$O$1001,0),1)&gt;=100000,INDEX($V$1005:$AE$1005,1,MATCH(COLUMNS($V$1006:Y1006),$V$1006:$AE$1006,0))&gt;=100000), " ",IF(INDEX($V$2:$AE$1001,MATCH(ROWS($O$2:O642),$O$2:$O$1001,0),MATCH(COLUMNS($V$1006:Y1006),$V$1006:$AE$1006,0)), HYPERLINK("#",""), HYPERLINK(CONCATENATE("#Metadata!", ADDRESS(INDEX($Q$2:$Q$1001,MATCH(ROWS($O$2:O642),$O$2:$O$1001,0),0), INDEX($V$1004:$AE$1004,1,MATCH(COLUMNS($V$1006:Y1006),$V$1006:$AE$1006,0)))),"Fix")))</f>
        <v>0</v>
      </c>
      <c r="F642" s="4">
        <f>IF(OR(INDEX($P$2:$P$1001,MATCH(ROWS($O$2:O642),$O$2:$O$1001,0),1)&gt;=100000,INDEX($V$1005:$AE$1005,1,MATCH(COLUMNS($V$1006:Z1006),$V$1006:$AE$1006,0))&gt;=100000), " ",IF(INDEX($V$2:$AE$1001,MATCH(ROWS($O$2:O642),$O$2:$O$1001,0),MATCH(COLUMNS($V$1006:Z1006),$V$1006:$AE$1006,0)), HYPERLINK("#",""), HYPERLINK(CONCATENATE("#Metadata!", ADDRESS(INDEX($Q$2:$Q$1001,MATCH(ROWS($O$2:O642),$O$2:$O$1001,0),0), INDEX($V$1004:$AE$1004,1,MATCH(COLUMNS($V$1006:Z1006),$V$1006:$AE$1006,0)))),"Fix")))</f>
        <v>0</v>
      </c>
      <c r="G642" s="4">
        <f>IF(OR(INDEX($P$2:$P$1001,MATCH(ROWS($O$2:O642),$O$2:$O$1001,0),1)&gt;=100000,INDEX($V$1005:$AE$1005,1,MATCH(COLUMNS($V$1006:AA1006),$V$1006:$AE$1006,0))&gt;=100000), " ",IF(INDEX($V$2:$AE$1001,MATCH(ROWS($O$2:O642),$O$2:$O$1001,0),MATCH(COLUMNS($V$1006:AA1006),$V$1006:$AE$1006,0)), HYPERLINK("#",""), HYPERLINK(CONCATENATE("#Metadata!", ADDRESS(INDEX($Q$2:$Q$1001,MATCH(ROWS($O$2:O642),$O$2:$O$1001,0),0), INDEX($V$1004:$AE$1004,1,MATCH(COLUMNS($V$1006:AA1006),$V$1006:$AE$1006,0)))),"Fix")))</f>
        <v>0</v>
      </c>
      <c r="H642" s="4">
        <f>IF(OR(INDEX($P$2:$P$1001,MATCH(ROWS($O$2:O642),$O$2:$O$1001,0),1)&gt;=100000,INDEX($V$1005:$AE$1005,1,MATCH(COLUMNS($V$1006:AB1006),$V$1006:$AE$1006,0))&gt;=100000), " ",IF(INDEX($V$2:$AE$1001,MATCH(ROWS($O$2:O642),$O$2:$O$1001,0),MATCH(COLUMNS($V$1006:AB1006),$V$1006:$AE$1006,0)), HYPERLINK("#",""), HYPERLINK(CONCATENATE("#Metadata!", ADDRESS(INDEX($Q$2:$Q$1001,MATCH(ROWS($O$2:O642),$O$2:$O$1001,0),0), INDEX($V$1004:$AE$1004,1,MATCH(COLUMNS($V$1006:AB1006),$V$1006:$AE$1006,0)))),"Fix")))</f>
        <v>0</v>
      </c>
      <c r="I642" s="4">
        <f>IF(OR(INDEX($P$2:$P$1001,MATCH(ROWS($O$2:O642),$O$2:$O$1001,0),1)&gt;=100000,INDEX($V$1005:$AE$1005,1,MATCH(COLUMNS($V$1006:AC1006),$V$1006:$AE$1006,0))&gt;=100000), " ",IF(INDEX($V$2:$AE$1001,MATCH(ROWS($O$2:O642),$O$2:$O$1001,0),MATCH(COLUMNS($V$1006:AC1006),$V$1006:$AE$1006,0)), HYPERLINK("#",""), HYPERLINK(CONCATENATE("#Metadata!", ADDRESS(INDEX($Q$2:$Q$1001,MATCH(ROWS($O$2:O642),$O$2:$O$1001,0),0), INDEX($V$1004:$AE$1004,1,MATCH(COLUMNS($V$1006:AC1006),$V$1006:$AE$1006,0)))),"Fix")))</f>
        <v>0</v>
      </c>
      <c r="J642" s="4">
        <f>IF(OR(INDEX($P$2:$P$1001,MATCH(ROWS($O$2:O642),$O$2:$O$1001,0),1)&gt;=100000,INDEX($V$1005:$AE$1005,1,MATCH(COLUMNS($V$1006:AD1006),$V$1006:$AE$1006,0))&gt;=100000), " ",IF(INDEX($V$2:$AE$1001,MATCH(ROWS($O$2:O642),$O$2:$O$1001,0),MATCH(COLUMNS($V$1006:AD1006),$V$1006:$AE$1006,0)), HYPERLINK("#",""), HYPERLINK(CONCATENATE("#Metadata!", ADDRESS(INDEX($Q$2:$Q$1001,MATCH(ROWS($O$2:O642),$O$2:$O$1001,0),0), INDEX($V$1004:$AE$1004,1,MATCH(COLUMNS($V$1006:AD1006),$V$1006:$AE$1006,0)))),"Fix")))</f>
        <v>0</v>
      </c>
      <c r="K642" s="4">
        <f>IF(OR(INDEX($P$2:$P$1001,MATCH(ROWS($O$2:O642),$O$2:$O$1001,0),1)&gt;=100000,INDEX($V$1005:$AE$1005,1,MATCH(COLUMNS($V$1006:AE1006),$V$1006:$AE$1006,0))&gt;=100000), " ",IF(INDEX($V$2:$AE$1001,MATCH(ROWS($O$2:O642),$O$2:$O$1001,0),MATCH(COLUMNS($V$1006:AE1006),$V$1006:$AE$1006,0)), HYPERLINK("#",""), HYPERLINK(CONCATENATE("#Metadata!", ADDRESS(INDEX($Q$2:$Q$1001,MATCH(ROWS($O$2:O642),$O$2:$O$1001,0),0), INDEX($V$1004:$AE$1004,1,MATCH(COLUMNS($V$1006:AE1006),$V$1006:$AE$1006,0)))),"Fix")))</f>
        <v>0</v>
      </c>
      <c r="O642">
        <v>0</v>
      </c>
      <c r="P642">
        <v>0</v>
      </c>
      <c r="Q642">
        <v>0</v>
      </c>
      <c r="R642">
        <f>IF(S642,TRUE,AND(V642:AE642))</f>
        <v>0</v>
      </c>
      <c r="S642">
        <f>COUNTBLANK(Metadata!B642:K642)=COLUMNS(Metadata!B642:K642)</f>
        <v>0</v>
      </c>
      <c r="T642">
        <v>0</v>
      </c>
      <c r="V642">
        <f>AND(IF(Metadata!B642="",FALSE,TRUE),COUNTIF(Metadata!B:B, Metadata!B642) = 1,NOT(ISERROR(SUMPRODUCT(SEARCH(MID(Metadata!B642,ROW(INDIRECT("1:"&amp;LEN(Metadata!B642))), 1),"0123456789abcdefghijklmnopqrstuvwxyzABCDEFGHIJKLMNOPQRSTUVWXYZ.")))))</f>
        <v>0</v>
      </c>
      <c r="W642">
        <f>AND(IF(Metadata!C642="",FALSE,TRUE),exact(Metadata!C642,"urban biome"))</f>
        <v>0</v>
      </c>
      <c r="X642">
        <f>AND(IF(Metadata!D642="",FALSE,TRUE),exact(Metadata!D642,"animal-associated habitat"))</f>
        <v>0</v>
      </c>
      <c r="Y642">
        <f>OR(AND(IF(Metadata!E642="",FALSE,TRUE),OR(exact(Metadata!E642,"not applicable"),exact(Metadata!E642,"missing: not collected"),exact(Metadata!E642,"missing: not provided"),exact(Metadata!E642,"missing: restricted access"))),AND(IF(Metadata!E642="",FALSE,ISNUMBER(VALUE(Metadata!E642))),Metadata!E642&gt;0))</f>
        <v>0</v>
      </c>
      <c r="Z642">
        <f>AND(IF(Metadata!F642="",FALSE,TRUE),exact(Metadata!F642,"weeks"))</f>
        <v>0</v>
      </c>
      <c r="AA642">
        <f>AND(IF(Metadata!G642="",FALSE,TRUE),exact(Metadata!G642,"mouse"))</f>
        <v>0</v>
      </c>
      <c r="AB642">
        <f>AND(IF(Metadata!H642="",FALSE,TRUE),exact(Metadata!H642,"Mus musculus"))</f>
        <v>0</v>
      </c>
      <c r="AC642">
        <f>AND(IF(Metadata!I642="",FALSE,TRUE),exact(Metadata!I642,"10090"))</f>
        <v>0</v>
      </c>
      <c r="AD642">
        <f>OR(AND(IF(Metadata!J642="",FALSE,TRUE),OR(exact(Metadata!J642,"not applicable"),exact(Metadata!J642,"missing: not collected"),exact(Metadata!J642,"missing: not provided"),exact(Metadata!J642,"missing: restricted access"))),AND(IF(Metadata!J642="",FALSE,ISNUMBER(VALUE(Metadata!J642))),Metadata!J642&gt;0))</f>
        <v>0</v>
      </c>
      <c r="AE642">
        <f>AND(IF(Metadata!K642="",FALSE,TRUE),exact(Metadata!K642,"g"))</f>
        <v>0</v>
      </c>
    </row>
    <row r="643" spans="1:31">
      <c r="A643" s="5">
        <f>IF(B643=" "," ",HYPERLINK(CONCATENATE("#metadata!",ADDRESS(INDEX($Q$2:$Q$1001,MATCH(ROWS($O$2:O643),$O$2:$O$1001,0),0),1)),INDEX($T$2:$T$1001,MATCH(ROWS($O$2:O643),$O$2:$O$1001,0),0)))</f>
        <v>0</v>
      </c>
      <c r="B643" s="4">
        <f>IF(OR(INDEX($P$2:$P$1001,MATCH(ROWS($O$2:O643),$O$2:$O$1001,0),1)&gt;=100000,INDEX($V$1005:$AE$1005,1,MATCH(COLUMNS($V$1006:V1006),$V$1006:$AE$1006,0))&gt;=100000), " ",IF(INDEX($V$2:$AE$1001,MATCH(ROWS($O$2:O643),$O$2:$O$1001,0),MATCH(COLUMNS($V$1006:V1006),$V$1006:$AE$1006,0)), HYPERLINK("#",""), HYPERLINK(CONCATENATE("#Metadata!", ADDRESS(INDEX($Q$2:$Q$1001,MATCH(ROWS($O$2:O643),$O$2:$O$1001,0),0), INDEX($V$1004:$AE$1004,1,MATCH(COLUMNS($V$1006:V1006),$V$1006:$AE$1006,0)))),"Fix")))</f>
        <v>0</v>
      </c>
      <c r="C643" s="4">
        <f>IF(OR(INDEX($P$2:$P$1001,MATCH(ROWS($O$2:O643),$O$2:$O$1001,0),1)&gt;=100000,INDEX($V$1005:$AE$1005,1,MATCH(COLUMNS($V$1006:W1006),$V$1006:$AE$1006,0))&gt;=100000), " ",IF(INDEX($V$2:$AE$1001,MATCH(ROWS($O$2:O643),$O$2:$O$1001,0),MATCH(COLUMNS($V$1006:W1006),$V$1006:$AE$1006,0)), HYPERLINK("#",""), HYPERLINK(CONCATENATE("#Metadata!", ADDRESS(INDEX($Q$2:$Q$1001,MATCH(ROWS($O$2:O643),$O$2:$O$1001,0),0), INDEX($V$1004:$AE$1004,1,MATCH(COLUMNS($V$1006:W1006),$V$1006:$AE$1006,0)))),"Fix")))</f>
        <v>0</v>
      </c>
      <c r="D643" s="4">
        <f>IF(OR(INDEX($P$2:$P$1001,MATCH(ROWS($O$2:O643),$O$2:$O$1001,0),1)&gt;=100000,INDEX($V$1005:$AE$1005,1,MATCH(COLUMNS($V$1006:X1006),$V$1006:$AE$1006,0))&gt;=100000), " ",IF(INDEX($V$2:$AE$1001,MATCH(ROWS($O$2:O643),$O$2:$O$1001,0),MATCH(COLUMNS($V$1006:X1006),$V$1006:$AE$1006,0)), HYPERLINK("#",""), HYPERLINK(CONCATENATE("#Metadata!", ADDRESS(INDEX($Q$2:$Q$1001,MATCH(ROWS($O$2:O643),$O$2:$O$1001,0),0), INDEX($V$1004:$AE$1004,1,MATCH(COLUMNS($V$1006:X1006),$V$1006:$AE$1006,0)))),"Fix")))</f>
        <v>0</v>
      </c>
      <c r="E643" s="4">
        <f>IF(OR(INDEX($P$2:$P$1001,MATCH(ROWS($O$2:O643),$O$2:$O$1001,0),1)&gt;=100000,INDEX($V$1005:$AE$1005,1,MATCH(COLUMNS($V$1006:Y1006),$V$1006:$AE$1006,0))&gt;=100000), " ",IF(INDEX($V$2:$AE$1001,MATCH(ROWS($O$2:O643),$O$2:$O$1001,0),MATCH(COLUMNS($V$1006:Y1006),$V$1006:$AE$1006,0)), HYPERLINK("#",""), HYPERLINK(CONCATENATE("#Metadata!", ADDRESS(INDEX($Q$2:$Q$1001,MATCH(ROWS($O$2:O643),$O$2:$O$1001,0),0), INDEX($V$1004:$AE$1004,1,MATCH(COLUMNS($V$1006:Y1006),$V$1006:$AE$1006,0)))),"Fix")))</f>
        <v>0</v>
      </c>
      <c r="F643" s="4">
        <f>IF(OR(INDEX($P$2:$P$1001,MATCH(ROWS($O$2:O643),$O$2:$O$1001,0),1)&gt;=100000,INDEX($V$1005:$AE$1005,1,MATCH(COLUMNS($V$1006:Z1006),$V$1006:$AE$1006,0))&gt;=100000), " ",IF(INDEX($V$2:$AE$1001,MATCH(ROWS($O$2:O643),$O$2:$O$1001,0),MATCH(COLUMNS($V$1006:Z1006),$V$1006:$AE$1006,0)), HYPERLINK("#",""), HYPERLINK(CONCATENATE("#Metadata!", ADDRESS(INDEX($Q$2:$Q$1001,MATCH(ROWS($O$2:O643),$O$2:$O$1001,0),0), INDEX($V$1004:$AE$1004,1,MATCH(COLUMNS($V$1006:Z1006),$V$1006:$AE$1006,0)))),"Fix")))</f>
        <v>0</v>
      </c>
      <c r="G643" s="4">
        <f>IF(OR(INDEX($P$2:$P$1001,MATCH(ROWS($O$2:O643),$O$2:$O$1001,0),1)&gt;=100000,INDEX($V$1005:$AE$1005,1,MATCH(COLUMNS($V$1006:AA1006),$V$1006:$AE$1006,0))&gt;=100000), " ",IF(INDEX($V$2:$AE$1001,MATCH(ROWS($O$2:O643),$O$2:$O$1001,0),MATCH(COLUMNS($V$1006:AA1006),$V$1006:$AE$1006,0)), HYPERLINK("#",""), HYPERLINK(CONCATENATE("#Metadata!", ADDRESS(INDEX($Q$2:$Q$1001,MATCH(ROWS($O$2:O643),$O$2:$O$1001,0),0), INDEX($V$1004:$AE$1004,1,MATCH(COLUMNS($V$1006:AA1006),$V$1006:$AE$1006,0)))),"Fix")))</f>
        <v>0</v>
      </c>
      <c r="H643" s="4">
        <f>IF(OR(INDEX($P$2:$P$1001,MATCH(ROWS($O$2:O643),$O$2:$O$1001,0),1)&gt;=100000,INDEX($V$1005:$AE$1005,1,MATCH(COLUMNS($V$1006:AB1006),$V$1006:$AE$1006,0))&gt;=100000), " ",IF(INDEX($V$2:$AE$1001,MATCH(ROWS($O$2:O643),$O$2:$O$1001,0),MATCH(COLUMNS($V$1006:AB1006),$V$1006:$AE$1006,0)), HYPERLINK("#",""), HYPERLINK(CONCATENATE("#Metadata!", ADDRESS(INDEX($Q$2:$Q$1001,MATCH(ROWS($O$2:O643),$O$2:$O$1001,0),0), INDEX($V$1004:$AE$1004,1,MATCH(COLUMNS($V$1006:AB1006),$V$1006:$AE$1006,0)))),"Fix")))</f>
        <v>0</v>
      </c>
      <c r="I643" s="4">
        <f>IF(OR(INDEX($P$2:$P$1001,MATCH(ROWS($O$2:O643),$O$2:$O$1001,0),1)&gt;=100000,INDEX($V$1005:$AE$1005,1,MATCH(COLUMNS($V$1006:AC1006),$V$1006:$AE$1006,0))&gt;=100000), " ",IF(INDEX($V$2:$AE$1001,MATCH(ROWS($O$2:O643),$O$2:$O$1001,0),MATCH(COLUMNS($V$1006:AC1006),$V$1006:$AE$1006,0)), HYPERLINK("#",""), HYPERLINK(CONCATENATE("#Metadata!", ADDRESS(INDEX($Q$2:$Q$1001,MATCH(ROWS($O$2:O643),$O$2:$O$1001,0),0), INDEX($V$1004:$AE$1004,1,MATCH(COLUMNS($V$1006:AC1006),$V$1006:$AE$1006,0)))),"Fix")))</f>
        <v>0</v>
      </c>
      <c r="J643" s="4">
        <f>IF(OR(INDEX($P$2:$P$1001,MATCH(ROWS($O$2:O643),$O$2:$O$1001,0),1)&gt;=100000,INDEX($V$1005:$AE$1005,1,MATCH(COLUMNS($V$1006:AD1006),$V$1006:$AE$1006,0))&gt;=100000), " ",IF(INDEX($V$2:$AE$1001,MATCH(ROWS($O$2:O643),$O$2:$O$1001,0),MATCH(COLUMNS($V$1006:AD1006),$V$1006:$AE$1006,0)), HYPERLINK("#",""), HYPERLINK(CONCATENATE("#Metadata!", ADDRESS(INDEX($Q$2:$Q$1001,MATCH(ROWS($O$2:O643),$O$2:$O$1001,0),0), INDEX($V$1004:$AE$1004,1,MATCH(COLUMNS($V$1006:AD1006),$V$1006:$AE$1006,0)))),"Fix")))</f>
        <v>0</v>
      </c>
      <c r="K643" s="4">
        <f>IF(OR(INDEX($P$2:$P$1001,MATCH(ROWS($O$2:O643),$O$2:$O$1001,0),1)&gt;=100000,INDEX($V$1005:$AE$1005,1,MATCH(COLUMNS($V$1006:AE1006),$V$1006:$AE$1006,0))&gt;=100000), " ",IF(INDEX($V$2:$AE$1001,MATCH(ROWS($O$2:O643),$O$2:$O$1001,0),MATCH(COLUMNS($V$1006:AE1006),$V$1006:$AE$1006,0)), HYPERLINK("#",""), HYPERLINK(CONCATENATE("#Metadata!", ADDRESS(INDEX($Q$2:$Q$1001,MATCH(ROWS($O$2:O643),$O$2:$O$1001,0),0), INDEX($V$1004:$AE$1004,1,MATCH(COLUMNS($V$1006:AE1006),$V$1006:$AE$1006,0)))),"Fix")))</f>
        <v>0</v>
      </c>
      <c r="O643">
        <v>0</v>
      </c>
      <c r="P643">
        <v>0</v>
      </c>
      <c r="Q643">
        <v>0</v>
      </c>
      <c r="R643">
        <f>IF(S643,TRUE,AND(V643:AE643))</f>
        <v>0</v>
      </c>
      <c r="S643">
        <f>COUNTBLANK(Metadata!B643:K643)=COLUMNS(Metadata!B643:K643)</f>
        <v>0</v>
      </c>
      <c r="T643">
        <v>0</v>
      </c>
      <c r="V643">
        <f>AND(IF(Metadata!B643="",FALSE,TRUE),COUNTIF(Metadata!B:B, Metadata!B643) = 1,NOT(ISERROR(SUMPRODUCT(SEARCH(MID(Metadata!B643,ROW(INDIRECT("1:"&amp;LEN(Metadata!B643))), 1),"0123456789abcdefghijklmnopqrstuvwxyzABCDEFGHIJKLMNOPQRSTUVWXYZ.")))))</f>
        <v>0</v>
      </c>
      <c r="W643">
        <f>AND(IF(Metadata!C643="",FALSE,TRUE),exact(Metadata!C643,"urban biome"))</f>
        <v>0</v>
      </c>
      <c r="X643">
        <f>AND(IF(Metadata!D643="",FALSE,TRUE),exact(Metadata!D643,"animal-associated habitat"))</f>
        <v>0</v>
      </c>
      <c r="Y643">
        <f>OR(AND(IF(Metadata!E643="",FALSE,TRUE),OR(exact(Metadata!E643,"not applicable"),exact(Metadata!E643,"missing: not collected"),exact(Metadata!E643,"missing: not provided"),exact(Metadata!E643,"missing: restricted access"))),AND(IF(Metadata!E643="",FALSE,ISNUMBER(VALUE(Metadata!E643))),Metadata!E643&gt;0))</f>
        <v>0</v>
      </c>
      <c r="Z643">
        <f>AND(IF(Metadata!F643="",FALSE,TRUE),exact(Metadata!F643,"weeks"))</f>
        <v>0</v>
      </c>
      <c r="AA643">
        <f>AND(IF(Metadata!G643="",FALSE,TRUE),exact(Metadata!G643,"mouse"))</f>
        <v>0</v>
      </c>
      <c r="AB643">
        <f>AND(IF(Metadata!H643="",FALSE,TRUE),exact(Metadata!H643,"Mus musculus"))</f>
        <v>0</v>
      </c>
      <c r="AC643">
        <f>AND(IF(Metadata!I643="",FALSE,TRUE),exact(Metadata!I643,"10090"))</f>
        <v>0</v>
      </c>
      <c r="AD643">
        <f>OR(AND(IF(Metadata!J643="",FALSE,TRUE),OR(exact(Metadata!J643,"not applicable"),exact(Metadata!J643,"missing: not collected"),exact(Metadata!J643,"missing: not provided"),exact(Metadata!J643,"missing: restricted access"))),AND(IF(Metadata!J643="",FALSE,ISNUMBER(VALUE(Metadata!J643))),Metadata!J643&gt;0))</f>
        <v>0</v>
      </c>
      <c r="AE643">
        <f>AND(IF(Metadata!K643="",FALSE,TRUE),exact(Metadata!K643,"g"))</f>
        <v>0</v>
      </c>
    </row>
    <row r="644" spans="1:31">
      <c r="A644" s="5">
        <f>IF(B644=" "," ",HYPERLINK(CONCATENATE("#metadata!",ADDRESS(INDEX($Q$2:$Q$1001,MATCH(ROWS($O$2:O644),$O$2:$O$1001,0),0),1)),INDEX($T$2:$T$1001,MATCH(ROWS($O$2:O644),$O$2:$O$1001,0),0)))</f>
        <v>0</v>
      </c>
      <c r="B644" s="4">
        <f>IF(OR(INDEX($P$2:$P$1001,MATCH(ROWS($O$2:O644),$O$2:$O$1001,0),1)&gt;=100000,INDEX($V$1005:$AE$1005,1,MATCH(COLUMNS($V$1006:V1006),$V$1006:$AE$1006,0))&gt;=100000), " ",IF(INDEX($V$2:$AE$1001,MATCH(ROWS($O$2:O644),$O$2:$O$1001,0),MATCH(COLUMNS($V$1006:V1006),$V$1006:$AE$1006,0)), HYPERLINK("#",""), HYPERLINK(CONCATENATE("#Metadata!", ADDRESS(INDEX($Q$2:$Q$1001,MATCH(ROWS($O$2:O644),$O$2:$O$1001,0),0), INDEX($V$1004:$AE$1004,1,MATCH(COLUMNS($V$1006:V1006),$V$1006:$AE$1006,0)))),"Fix")))</f>
        <v>0</v>
      </c>
      <c r="C644" s="4">
        <f>IF(OR(INDEX($P$2:$P$1001,MATCH(ROWS($O$2:O644),$O$2:$O$1001,0),1)&gt;=100000,INDEX($V$1005:$AE$1005,1,MATCH(COLUMNS($V$1006:W1006),$V$1006:$AE$1006,0))&gt;=100000), " ",IF(INDEX($V$2:$AE$1001,MATCH(ROWS($O$2:O644),$O$2:$O$1001,0),MATCH(COLUMNS($V$1006:W1006),$V$1006:$AE$1006,0)), HYPERLINK("#",""), HYPERLINK(CONCATENATE("#Metadata!", ADDRESS(INDEX($Q$2:$Q$1001,MATCH(ROWS($O$2:O644),$O$2:$O$1001,0),0), INDEX($V$1004:$AE$1004,1,MATCH(COLUMNS($V$1006:W1006),$V$1006:$AE$1006,0)))),"Fix")))</f>
        <v>0</v>
      </c>
      <c r="D644" s="4">
        <f>IF(OR(INDEX($P$2:$P$1001,MATCH(ROWS($O$2:O644),$O$2:$O$1001,0),1)&gt;=100000,INDEX($V$1005:$AE$1005,1,MATCH(COLUMNS($V$1006:X1006),$V$1006:$AE$1006,0))&gt;=100000), " ",IF(INDEX($V$2:$AE$1001,MATCH(ROWS($O$2:O644),$O$2:$O$1001,0),MATCH(COLUMNS($V$1006:X1006),$V$1006:$AE$1006,0)), HYPERLINK("#",""), HYPERLINK(CONCATENATE("#Metadata!", ADDRESS(INDEX($Q$2:$Q$1001,MATCH(ROWS($O$2:O644),$O$2:$O$1001,0),0), INDEX($V$1004:$AE$1004,1,MATCH(COLUMNS($V$1006:X1006),$V$1006:$AE$1006,0)))),"Fix")))</f>
        <v>0</v>
      </c>
      <c r="E644" s="4">
        <f>IF(OR(INDEX($P$2:$P$1001,MATCH(ROWS($O$2:O644),$O$2:$O$1001,0),1)&gt;=100000,INDEX($V$1005:$AE$1005,1,MATCH(COLUMNS($V$1006:Y1006),$V$1006:$AE$1006,0))&gt;=100000), " ",IF(INDEX($V$2:$AE$1001,MATCH(ROWS($O$2:O644),$O$2:$O$1001,0),MATCH(COLUMNS($V$1006:Y1006),$V$1006:$AE$1006,0)), HYPERLINK("#",""), HYPERLINK(CONCATENATE("#Metadata!", ADDRESS(INDEX($Q$2:$Q$1001,MATCH(ROWS($O$2:O644),$O$2:$O$1001,0),0), INDEX($V$1004:$AE$1004,1,MATCH(COLUMNS($V$1006:Y1006),$V$1006:$AE$1006,0)))),"Fix")))</f>
        <v>0</v>
      </c>
      <c r="F644" s="4">
        <f>IF(OR(INDEX($P$2:$P$1001,MATCH(ROWS($O$2:O644),$O$2:$O$1001,0),1)&gt;=100000,INDEX($V$1005:$AE$1005,1,MATCH(COLUMNS($V$1006:Z1006),$V$1006:$AE$1006,0))&gt;=100000), " ",IF(INDEX($V$2:$AE$1001,MATCH(ROWS($O$2:O644),$O$2:$O$1001,0),MATCH(COLUMNS($V$1006:Z1006),$V$1006:$AE$1006,0)), HYPERLINK("#",""), HYPERLINK(CONCATENATE("#Metadata!", ADDRESS(INDEX($Q$2:$Q$1001,MATCH(ROWS($O$2:O644),$O$2:$O$1001,0),0), INDEX($V$1004:$AE$1004,1,MATCH(COLUMNS($V$1006:Z1006),$V$1006:$AE$1006,0)))),"Fix")))</f>
        <v>0</v>
      </c>
      <c r="G644" s="4">
        <f>IF(OR(INDEX($P$2:$P$1001,MATCH(ROWS($O$2:O644),$O$2:$O$1001,0),1)&gt;=100000,INDEX($V$1005:$AE$1005,1,MATCH(COLUMNS($V$1006:AA1006),$V$1006:$AE$1006,0))&gt;=100000), " ",IF(INDEX($V$2:$AE$1001,MATCH(ROWS($O$2:O644),$O$2:$O$1001,0),MATCH(COLUMNS($V$1006:AA1006),$V$1006:$AE$1006,0)), HYPERLINK("#",""), HYPERLINK(CONCATENATE("#Metadata!", ADDRESS(INDEX($Q$2:$Q$1001,MATCH(ROWS($O$2:O644),$O$2:$O$1001,0),0), INDEX($V$1004:$AE$1004,1,MATCH(COLUMNS($V$1006:AA1006),$V$1006:$AE$1006,0)))),"Fix")))</f>
        <v>0</v>
      </c>
      <c r="H644" s="4">
        <f>IF(OR(INDEX($P$2:$P$1001,MATCH(ROWS($O$2:O644),$O$2:$O$1001,0),1)&gt;=100000,INDEX($V$1005:$AE$1005,1,MATCH(COLUMNS($V$1006:AB1006),$V$1006:$AE$1006,0))&gt;=100000), " ",IF(INDEX($V$2:$AE$1001,MATCH(ROWS($O$2:O644),$O$2:$O$1001,0),MATCH(COLUMNS($V$1006:AB1006),$V$1006:$AE$1006,0)), HYPERLINK("#",""), HYPERLINK(CONCATENATE("#Metadata!", ADDRESS(INDEX($Q$2:$Q$1001,MATCH(ROWS($O$2:O644),$O$2:$O$1001,0),0), INDEX($V$1004:$AE$1004,1,MATCH(COLUMNS($V$1006:AB1006),$V$1006:$AE$1006,0)))),"Fix")))</f>
        <v>0</v>
      </c>
      <c r="I644" s="4">
        <f>IF(OR(INDEX($P$2:$P$1001,MATCH(ROWS($O$2:O644),$O$2:$O$1001,0),1)&gt;=100000,INDEX($V$1005:$AE$1005,1,MATCH(COLUMNS($V$1006:AC1006),$V$1006:$AE$1006,0))&gt;=100000), " ",IF(INDEX($V$2:$AE$1001,MATCH(ROWS($O$2:O644),$O$2:$O$1001,0),MATCH(COLUMNS($V$1006:AC1006),$V$1006:$AE$1006,0)), HYPERLINK("#",""), HYPERLINK(CONCATENATE("#Metadata!", ADDRESS(INDEX($Q$2:$Q$1001,MATCH(ROWS($O$2:O644),$O$2:$O$1001,0),0), INDEX($V$1004:$AE$1004,1,MATCH(COLUMNS($V$1006:AC1006),$V$1006:$AE$1006,0)))),"Fix")))</f>
        <v>0</v>
      </c>
      <c r="J644" s="4">
        <f>IF(OR(INDEX($P$2:$P$1001,MATCH(ROWS($O$2:O644),$O$2:$O$1001,0),1)&gt;=100000,INDEX($V$1005:$AE$1005,1,MATCH(COLUMNS($V$1006:AD1006),$V$1006:$AE$1006,0))&gt;=100000), " ",IF(INDEX($V$2:$AE$1001,MATCH(ROWS($O$2:O644),$O$2:$O$1001,0),MATCH(COLUMNS($V$1006:AD1006),$V$1006:$AE$1006,0)), HYPERLINK("#",""), HYPERLINK(CONCATENATE("#Metadata!", ADDRESS(INDEX($Q$2:$Q$1001,MATCH(ROWS($O$2:O644),$O$2:$O$1001,0),0), INDEX($V$1004:$AE$1004,1,MATCH(COLUMNS($V$1006:AD1006),$V$1006:$AE$1006,0)))),"Fix")))</f>
        <v>0</v>
      </c>
      <c r="K644" s="4">
        <f>IF(OR(INDEX($P$2:$P$1001,MATCH(ROWS($O$2:O644),$O$2:$O$1001,0),1)&gt;=100000,INDEX($V$1005:$AE$1005,1,MATCH(COLUMNS($V$1006:AE1006),$V$1006:$AE$1006,0))&gt;=100000), " ",IF(INDEX($V$2:$AE$1001,MATCH(ROWS($O$2:O644),$O$2:$O$1001,0),MATCH(COLUMNS($V$1006:AE1006),$V$1006:$AE$1006,0)), HYPERLINK("#",""), HYPERLINK(CONCATENATE("#Metadata!", ADDRESS(INDEX($Q$2:$Q$1001,MATCH(ROWS($O$2:O644),$O$2:$O$1001,0),0), INDEX($V$1004:$AE$1004,1,MATCH(COLUMNS($V$1006:AE1006),$V$1006:$AE$1006,0)))),"Fix")))</f>
        <v>0</v>
      </c>
      <c r="O644">
        <v>0</v>
      </c>
      <c r="P644">
        <v>0</v>
      </c>
      <c r="Q644">
        <v>0</v>
      </c>
      <c r="R644">
        <f>IF(S644,TRUE,AND(V644:AE644))</f>
        <v>0</v>
      </c>
      <c r="S644">
        <f>COUNTBLANK(Metadata!B644:K644)=COLUMNS(Metadata!B644:K644)</f>
        <v>0</v>
      </c>
      <c r="T644">
        <v>0</v>
      </c>
      <c r="V644">
        <f>AND(IF(Metadata!B644="",FALSE,TRUE),COUNTIF(Metadata!B:B, Metadata!B644) = 1,NOT(ISERROR(SUMPRODUCT(SEARCH(MID(Metadata!B644,ROW(INDIRECT("1:"&amp;LEN(Metadata!B644))), 1),"0123456789abcdefghijklmnopqrstuvwxyzABCDEFGHIJKLMNOPQRSTUVWXYZ.")))))</f>
        <v>0</v>
      </c>
      <c r="W644">
        <f>AND(IF(Metadata!C644="",FALSE,TRUE),exact(Metadata!C644,"urban biome"))</f>
        <v>0</v>
      </c>
      <c r="X644">
        <f>AND(IF(Metadata!D644="",FALSE,TRUE),exact(Metadata!D644,"animal-associated habitat"))</f>
        <v>0</v>
      </c>
      <c r="Y644">
        <f>OR(AND(IF(Metadata!E644="",FALSE,TRUE),OR(exact(Metadata!E644,"not applicable"),exact(Metadata!E644,"missing: not collected"),exact(Metadata!E644,"missing: not provided"),exact(Metadata!E644,"missing: restricted access"))),AND(IF(Metadata!E644="",FALSE,ISNUMBER(VALUE(Metadata!E644))),Metadata!E644&gt;0))</f>
        <v>0</v>
      </c>
      <c r="Z644">
        <f>AND(IF(Metadata!F644="",FALSE,TRUE),exact(Metadata!F644,"weeks"))</f>
        <v>0</v>
      </c>
      <c r="AA644">
        <f>AND(IF(Metadata!G644="",FALSE,TRUE),exact(Metadata!G644,"mouse"))</f>
        <v>0</v>
      </c>
      <c r="AB644">
        <f>AND(IF(Metadata!H644="",FALSE,TRUE),exact(Metadata!H644,"Mus musculus"))</f>
        <v>0</v>
      </c>
      <c r="AC644">
        <f>AND(IF(Metadata!I644="",FALSE,TRUE),exact(Metadata!I644,"10090"))</f>
        <v>0</v>
      </c>
      <c r="AD644">
        <f>OR(AND(IF(Metadata!J644="",FALSE,TRUE),OR(exact(Metadata!J644,"not applicable"),exact(Metadata!J644,"missing: not collected"),exact(Metadata!J644,"missing: not provided"),exact(Metadata!J644,"missing: restricted access"))),AND(IF(Metadata!J644="",FALSE,ISNUMBER(VALUE(Metadata!J644))),Metadata!J644&gt;0))</f>
        <v>0</v>
      </c>
      <c r="AE644">
        <f>AND(IF(Metadata!K644="",FALSE,TRUE),exact(Metadata!K644,"g"))</f>
        <v>0</v>
      </c>
    </row>
    <row r="645" spans="1:31">
      <c r="A645" s="5">
        <f>IF(B645=" "," ",HYPERLINK(CONCATENATE("#metadata!",ADDRESS(INDEX($Q$2:$Q$1001,MATCH(ROWS($O$2:O645),$O$2:$O$1001,0),0),1)),INDEX($T$2:$T$1001,MATCH(ROWS($O$2:O645),$O$2:$O$1001,0),0)))</f>
        <v>0</v>
      </c>
      <c r="B645" s="4">
        <f>IF(OR(INDEX($P$2:$P$1001,MATCH(ROWS($O$2:O645),$O$2:$O$1001,0),1)&gt;=100000,INDEX($V$1005:$AE$1005,1,MATCH(COLUMNS($V$1006:V1006),$V$1006:$AE$1006,0))&gt;=100000), " ",IF(INDEX($V$2:$AE$1001,MATCH(ROWS($O$2:O645),$O$2:$O$1001,0),MATCH(COLUMNS($V$1006:V1006),$V$1006:$AE$1006,0)), HYPERLINK("#",""), HYPERLINK(CONCATENATE("#Metadata!", ADDRESS(INDEX($Q$2:$Q$1001,MATCH(ROWS($O$2:O645),$O$2:$O$1001,0),0), INDEX($V$1004:$AE$1004,1,MATCH(COLUMNS($V$1006:V1006),$V$1006:$AE$1006,0)))),"Fix")))</f>
        <v>0</v>
      </c>
      <c r="C645" s="4">
        <f>IF(OR(INDEX($P$2:$P$1001,MATCH(ROWS($O$2:O645),$O$2:$O$1001,0),1)&gt;=100000,INDEX($V$1005:$AE$1005,1,MATCH(COLUMNS($V$1006:W1006),$V$1006:$AE$1006,0))&gt;=100000), " ",IF(INDEX($V$2:$AE$1001,MATCH(ROWS($O$2:O645),$O$2:$O$1001,0),MATCH(COLUMNS($V$1006:W1006),$V$1006:$AE$1006,0)), HYPERLINK("#",""), HYPERLINK(CONCATENATE("#Metadata!", ADDRESS(INDEX($Q$2:$Q$1001,MATCH(ROWS($O$2:O645),$O$2:$O$1001,0),0), INDEX($V$1004:$AE$1004,1,MATCH(COLUMNS($V$1006:W1006),$V$1006:$AE$1006,0)))),"Fix")))</f>
        <v>0</v>
      </c>
      <c r="D645" s="4">
        <f>IF(OR(INDEX($P$2:$P$1001,MATCH(ROWS($O$2:O645),$O$2:$O$1001,0),1)&gt;=100000,INDEX($V$1005:$AE$1005,1,MATCH(COLUMNS($V$1006:X1006),$V$1006:$AE$1006,0))&gt;=100000), " ",IF(INDEX($V$2:$AE$1001,MATCH(ROWS($O$2:O645),$O$2:$O$1001,0),MATCH(COLUMNS($V$1006:X1006),$V$1006:$AE$1006,0)), HYPERLINK("#",""), HYPERLINK(CONCATENATE("#Metadata!", ADDRESS(INDEX($Q$2:$Q$1001,MATCH(ROWS($O$2:O645),$O$2:$O$1001,0),0), INDEX($V$1004:$AE$1004,1,MATCH(COLUMNS($V$1006:X1006),$V$1006:$AE$1006,0)))),"Fix")))</f>
        <v>0</v>
      </c>
      <c r="E645" s="4">
        <f>IF(OR(INDEX($P$2:$P$1001,MATCH(ROWS($O$2:O645),$O$2:$O$1001,0),1)&gt;=100000,INDEX($V$1005:$AE$1005,1,MATCH(COLUMNS($V$1006:Y1006),$V$1006:$AE$1006,0))&gt;=100000), " ",IF(INDEX($V$2:$AE$1001,MATCH(ROWS($O$2:O645),$O$2:$O$1001,0),MATCH(COLUMNS($V$1006:Y1006),$V$1006:$AE$1006,0)), HYPERLINK("#",""), HYPERLINK(CONCATENATE("#Metadata!", ADDRESS(INDEX($Q$2:$Q$1001,MATCH(ROWS($O$2:O645),$O$2:$O$1001,0),0), INDEX($V$1004:$AE$1004,1,MATCH(COLUMNS($V$1006:Y1006),$V$1006:$AE$1006,0)))),"Fix")))</f>
        <v>0</v>
      </c>
      <c r="F645" s="4">
        <f>IF(OR(INDEX($P$2:$P$1001,MATCH(ROWS($O$2:O645),$O$2:$O$1001,0),1)&gt;=100000,INDEX($V$1005:$AE$1005,1,MATCH(COLUMNS($V$1006:Z1006),$V$1006:$AE$1006,0))&gt;=100000), " ",IF(INDEX($V$2:$AE$1001,MATCH(ROWS($O$2:O645),$O$2:$O$1001,0),MATCH(COLUMNS($V$1006:Z1006),$V$1006:$AE$1006,0)), HYPERLINK("#",""), HYPERLINK(CONCATENATE("#Metadata!", ADDRESS(INDEX($Q$2:$Q$1001,MATCH(ROWS($O$2:O645),$O$2:$O$1001,0),0), INDEX($V$1004:$AE$1004,1,MATCH(COLUMNS($V$1006:Z1006),$V$1006:$AE$1006,0)))),"Fix")))</f>
        <v>0</v>
      </c>
      <c r="G645" s="4">
        <f>IF(OR(INDEX($P$2:$P$1001,MATCH(ROWS($O$2:O645),$O$2:$O$1001,0),1)&gt;=100000,INDEX($V$1005:$AE$1005,1,MATCH(COLUMNS($V$1006:AA1006),$V$1006:$AE$1006,0))&gt;=100000), " ",IF(INDEX($V$2:$AE$1001,MATCH(ROWS($O$2:O645),$O$2:$O$1001,0),MATCH(COLUMNS($V$1006:AA1006),$V$1006:$AE$1006,0)), HYPERLINK("#",""), HYPERLINK(CONCATENATE("#Metadata!", ADDRESS(INDEX($Q$2:$Q$1001,MATCH(ROWS($O$2:O645),$O$2:$O$1001,0),0), INDEX($V$1004:$AE$1004,1,MATCH(COLUMNS($V$1006:AA1006),$V$1006:$AE$1006,0)))),"Fix")))</f>
        <v>0</v>
      </c>
      <c r="H645" s="4">
        <f>IF(OR(INDEX($P$2:$P$1001,MATCH(ROWS($O$2:O645),$O$2:$O$1001,0),1)&gt;=100000,INDEX($V$1005:$AE$1005,1,MATCH(COLUMNS($V$1006:AB1006),$V$1006:$AE$1006,0))&gt;=100000), " ",IF(INDEX($V$2:$AE$1001,MATCH(ROWS($O$2:O645),$O$2:$O$1001,0),MATCH(COLUMNS($V$1006:AB1006),$V$1006:$AE$1006,0)), HYPERLINK("#",""), HYPERLINK(CONCATENATE("#Metadata!", ADDRESS(INDEX($Q$2:$Q$1001,MATCH(ROWS($O$2:O645),$O$2:$O$1001,0),0), INDEX($V$1004:$AE$1004,1,MATCH(COLUMNS($V$1006:AB1006),$V$1006:$AE$1006,0)))),"Fix")))</f>
        <v>0</v>
      </c>
      <c r="I645" s="4">
        <f>IF(OR(INDEX($P$2:$P$1001,MATCH(ROWS($O$2:O645),$O$2:$O$1001,0),1)&gt;=100000,INDEX($V$1005:$AE$1005,1,MATCH(COLUMNS($V$1006:AC1006),$V$1006:$AE$1006,0))&gt;=100000), " ",IF(INDEX($V$2:$AE$1001,MATCH(ROWS($O$2:O645),$O$2:$O$1001,0),MATCH(COLUMNS($V$1006:AC1006),$V$1006:$AE$1006,0)), HYPERLINK("#",""), HYPERLINK(CONCATENATE("#Metadata!", ADDRESS(INDEX($Q$2:$Q$1001,MATCH(ROWS($O$2:O645),$O$2:$O$1001,0),0), INDEX($V$1004:$AE$1004,1,MATCH(COLUMNS($V$1006:AC1006),$V$1006:$AE$1006,0)))),"Fix")))</f>
        <v>0</v>
      </c>
      <c r="J645" s="4">
        <f>IF(OR(INDEX($P$2:$P$1001,MATCH(ROWS($O$2:O645),$O$2:$O$1001,0),1)&gt;=100000,INDEX($V$1005:$AE$1005,1,MATCH(COLUMNS($V$1006:AD1006),$V$1006:$AE$1006,0))&gt;=100000), " ",IF(INDEX($V$2:$AE$1001,MATCH(ROWS($O$2:O645),$O$2:$O$1001,0),MATCH(COLUMNS($V$1006:AD1006),$V$1006:$AE$1006,0)), HYPERLINK("#",""), HYPERLINK(CONCATENATE("#Metadata!", ADDRESS(INDEX($Q$2:$Q$1001,MATCH(ROWS($O$2:O645),$O$2:$O$1001,0),0), INDEX($V$1004:$AE$1004,1,MATCH(COLUMNS($V$1006:AD1006),$V$1006:$AE$1006,0)))),"Fix")))</f>
        <v>0</v>
      </c>
      <c r="K645" s="4">
        <f>IF(OR(INDEX($P$2:$P$1001,MATCH(ROWS($O$2:O645),$O$2:$O$1001,0),1)&gt;=100000,INDEX($V$1005:$AE$1005,1,MATCH(COLUMNS($V$1006:AE1006),$V$1006:$AE$1006,0))&gt;=100000), " ",IF(INDEX($V$2:$AE$1001,MATCH(ROWS($O$2:O645),$O$2:$O$1001,0),MATCH(COLUMNS($V$1006:AE1006),$V$1006:$AE$1006,0)), HYPERLINK("#",""), HYPERLINK(CONCATENATE("#Metadata!", ADDRESS(INDEX($Q$2:$Q$1001,MATCH(ROWS($O$2:O645),$O$2:$O$1001,0),0), INDEX($V$1004:$AE$1004,1,MATCH(COLUMNS($V$1006:AE1006),$V$1006:$AE$1006,0)))),"Fix")))</f>
        <v>0</v>
      </c>
      <c r="O645">
        <v>0</v>
      </c>
      <c r="P645">
        <v>0</v>
      </c>
      <c r="Q645">
        <v>0</v>
      </c>
      <c r="R645">
        <f>IF(S645,TRUE,AND(V645:AE645))</f>
        <v>0</v>
      </c>
      <c r="S645">
        <f>COUNTBLANK(Metadata!B645:K645)=COLUMNS(Metadata!B645:K645)</f>
        <v>0</v>
      </c>
      <c r="T645">
        <v>0</v>
      </c>
      <c r="V645">
        <f>AND(IF(Metadata!B645="",FALSE,TRUE),COUNTIF(Metadata!B:B, Metadata!B645) = 1,NOT(ISERROR(SUMPRODUCT(SEARCH(MID(Metadata!B645,ROW(INDIRECT("1:"&amp;LEN(Metadata!B645))), 1),"0123456789abcdefghijklmnopqrstuvwxyzABCDEFGHIJKLMNOPQRSTUVWXYZ.")))))</f>
        <v>0</v>
      </c>
      <c r="W645">
        <f>AND(IF(Metadata!C645="",FALSE,TRUE),exact(Metadata!C645,"urban biome"))</f>
        <v>0</v>
      </c>
      <c r="X645">
        <f>AND(IF(Metadata!D645="",FALSE,TRUE),exact(Metadata!D645,"animal-associated habitat"))</f>
        <v>0</v>
      </c>
      <c r="Y645">
        <f>OR(AND(IF(Metadata!E645="",FALSE,TRUE),OR(exact(Metadata!E645,"not applicable"),exact(Metadata!E645,"missing: not collected"),exact(Metadata!E645,"missing: not provided"),exact(Metadata!E645,"missing: restricted access"))),AND(IF(Metadata!E645="",FALSE,ISNUMBER(VALUE(Metadata!E645))),Metadata!E645&gt;0))</f>
        <v>0</v>
      </c>
      <c r="Z645">
        <f>AND(IF(Metadata!F645="",FALSE,TRUE),exact(Metadata!F645,"weeks"))</f>
        <v>0</v>
      </c>
      <c r="AA645">
        <f>AND(IF(Metadata!G645="",FALSE,TRUE),exact(Metadata!G645,"mouse"))</f>
        <v>0</v>
      </c>
      <c r="AB645">
        <f>AND(IF(Metadata!H645="",FALSE,TRUE),exact(Metadata!H645,"Mus musculus"))</f>
        <v>0</v>
      </c>
      <c r="AC645">
        <f>AND(IF(Metadata!I645="",FALSE,TRUE),exact(Metadata!I645,"10090"))</f>
        <v>0</v>
      </c>
      <c r="AD645">
        <f>OR(AND(IF(Metadata!J645="",FALSE,TRUE),OR(exact(Metadata!J645,"not applicable"),exact(Metadata!J645,"missing: not collected"),exact(Metadata!J645,"missing: not provided"),exact(Metadata!J645,"missing: restricted access"))),AND(IF(Metadata!J645="",FALSE,ISNUMBER(VALUE(Metadata!J645))),Metadata!J645&gt;0))</f>
        <v>0</v>
      </c>
      <c r="AE645">
        <f>AND(IF(Metadata!K645="",FALSE,TRUE),exact(Metadata!K645,"g"))</f>
        <v>0</v>
      </c>
    </row>
    <row r="646" spans="1:31">
      <c r="A646" s="5">
        <f>IF(B646=" "," ",HYPERLINK(CONCATENATE("#metadata!",ADDRESS(INDEX($Q$2:$Q$1001,MATCH(ROWS($O$2:O646),$O$2:$O$1001,0),0),1)),INDEX($T$2:$T$1001,MATCH(ROWS($O$2:O646),$O$2:$O$1001,0),0)))</f>
        <v>0</v>
      </c>
      <c r="B646" s="4">
        <f>IF(OR(INDEX($P$2:$P$1001,MATCH(ROWS($O$2:O646),$O$2:$O$1001,0),1)&gt;=100000,INDEX($V$1005:$AE$1005,1,MATCH(COLUMNS($V$1006:V1006),$V$1006:$AE$1006,0))&gt;=100000), " ",IF(INDEX($V$2:$AE$1001,MATCH(ROWS($O$2:O646),$O$2:$O$1001,0),MATCH(COLUMNS($V$1006:V1006),$V$1006:$AE$1006,0)), HYPERLINK("#",""), HYPERLINK(CONCATENATE("#Metadata!", ADDRESS(INDEX($Q$2:$Q$1001,MATCH(ROWS($O$2:O646),$O$2:$O$1001,0),0), INDEX($V$1004:$AE$1004,1,MATCH(COLUMNS($V$1006:V1006),$V$1006:$AE$1006,0)))),"Fix")))</f>
        <v>0</v>
      </c>
      <c r="C646" s="4">
        <f>IF(OR(INDEX($P$2:$P$1001,MATCH(ROWS($O$2:O646),$O$2:$O$1001,0),1)&gt;=100000,INDEX($V$1005:$AE$1005,1,MATCH(COLUMNS($V$1006:W1006),$V$1006:$AE$1006,0))&gt;=100000), " ",IF(INDEX($V$2:$AE$1001,MATCH(ROWS($O$2:O646),$O$2:$O$1001,0),MATCH(COLUMNS($V$1006:W1006),$V$1006:$AE$1006,0)), HYPERLINK("#",""), HYPERLINK(CONCATENATE("#Metadata!", ADDRESS(INDEX($Q$2:$Q$1001,MATCH(ROWS($O$2:O646),$O$2:$O$1001,0),0), INDEX($V$1004:$AE$1004,1,MATCH(COLUMNS($V$1006:W1006),$V$1006:$AE$1006,0)))),"Fix")))</f>
        <v>0</v>
      </c>
      <c r="D646" s="4">
        <f>IF(OR(INDEX($P$2:$P$1001,MATCH(ROWS($O$2:O646),$O$2:$O$1001,0),1)&gt;=100000,INDEX($V$1005:$AE$1005,1,MATCH(COLUMNS($V$1006:X1006),$V$1006:$AE$1006,0))&gt;=100000), " ",IF(INDEX($V$2:$AE$1001,MATCH(ROWS($O$2:O646),$O$2:$O$1001,0),MATCH(COLUMNS($V$1006:X1006),$V$1006:$AE$1006,0)), HYPERLINK("#",""), HYPERLINK(CONCATENATE("#Metadata!", ADDRESS(INDEX($Q$2:$Q$1001,MATCH(ROWS($O$2:O646),$O$2:$O$1001,0),0), INDEX($V$1004:$AE$1004,1,MATCH(COLUMNS($V$1006:X1006),$V$1006:$AE$1006,0)))),"Fix")))</f>
        <v>0</v>
      </c>
      <c r="E646" s="4">
        <f>IF(OR(INDEX($P$2:$P$1001,MATCH(ROWS($O$2:O646),$O$2:$O$1001,0),1)&gt;=100000,INDEX($V$1005:$AE$1005,1,MATCH(COLUMNS($V$1006:Y1006),$V$1006:$AE$1006,0))&gt;=100000), " ",IF(INDEX($V$2:$AE$1001,MATCH(ROWS($O$2:O646),$O$2:$O$1001,0),MATCH(COLUMNS($V$1006:Y1006),$V$1006:$AE$1006,0)), HYPERLINK("#",""), HYPERLINK(CONCATENATE("#Metadata!", ADDRESS(INDEX($Q$2:$Q$1001,MATCH(ROWS($O$2:O646),$O$2:$O$1001,0),0), INDEX($V$1004:$AE$1004,1,MATCH(COLUMNS($V$1006:Y1006),$V$1006:$AE$1006,0)))),"Fix")))</f>
        <v>0</v>
      </c>
      <c r="F646" s="4">
        <f>IF(OR(INDEX($P$2:$P$1001,MATCH(ROWS($O$2:O646),$O$2:$O$1001,0),1)&gt;=100000,INDEX($V$1005:$AE$1005,1,MATCH(COLUMNS($V$1006:Z1006),$V$1006:$AE$1006,0))&gt;=100000), " ",IF(INDEX($V$2:$AE$1001,MATCH(ROWS($O$2:O646),$O$2:$O$1001,0),MATCH(COLUMNS($V$1006:Z1006),$V$1006:$AE$1006,0)), HYPERLINK("#",""), HYPERLINK(CONCATENATE("#Metadata!", ADDRESS(INDEX($Q$2:$Q$1001,MATCH(ROWS($O$2:O646),$O$2:$O$1001,0),0), INDEX($V$1004:$AE$1004,1,MATCH(COLUMNS($V$1006:Z1006),$V$1006:$AE$1006,0)))),"Fix")))</f>
        <v>0</v>
      </c>
      <c r="G646" s="4">
        <f>IF(OR(INDEX($P$2:$P$1001,MATCH(ROWS($O$2:O646),$O$2:$O$1001,0),1)&gt;=100000,INDEX($V$1005:$AE$1005,1,MATCH(COLUMNS($V$1006:AA1006),$V$1006:$AE$1006,0))&gt;=100000), " ",IF(INDEX($V$2:$AE$1001,MATCH(ROWS($O$2:O646),$O$2:$O$1001,0),MATCH(COLUMNS($V$1006:AA1006),$V$1006:$AE$1006,0)), HYPERLINK("#",""), HYPERLINK(CONCATENATE("#Metadata!", ADDRESS(INDEX($Q$2:$Q$1001,MATCH(ROWS($O$2:O646),$O$2:$O$1001,0),0), INDEX($V$1004:$AE$1004,1,MATCH(COLUMNS($V$1006:AA1006),$V$1006:$AE$1006,0)))),"Fix")))</f>
        <v>0</v>
      </c>
      <c r="H646" s="4">
        <f>IF(OR(INDEX($P$2:$P$1001,MATCH(ROWS($O$2:O646),$O$2:$O$1001,0),1)&gt;=100000,INDEX($V$1005:$AE$1005,1,MATCH(COLUMNS($V$1006:AB1006),$V$1006:$AE$1006,0))&gt;=100000), " ",IF(INDEX($V$2:$AE$1001,MATCH(ROWS($O$2:O646),$O$2:$O$1001,0),MATCH(COLUMNS($V$1006:AB1006),$V$1006:$AE$1006,0)), HYPERLINK("#",""), HYPERLINK(CONCATENATE("#Metadata!", ADDRESS(INDEX($Q$2:$Q$1001,MATCH(ROWS($O$2:O646),$O$2:$O$1001,0),0), INDEX($V$1004:$AE$1004,1,MATCH(COLUMNS($V$1006:AB1006),$V$1006:$AE$1006,0)))),"Fix")))</f>
        <v>0</v>
      </c>
      <c r="I646" s="4">
        <f>IF(OR(INDEX($P$2:$P$1001,MATCH(ROWS($O$2:O646),$O$2:$O$1001,0),1)&gt;=100000,INDEX($V$1005:$AE$1005,1,MATCH(COLUMNS($V$1006:AC1006),$V$1006:$AE$1006,0))&gt;=100000), " ",IF(INDEX($V$2:$AE$1001,MATCH(ROWS($O$2:O646),$O$2:$O$1001,0),MATCH(COLUMNS($V$1006:AC1006),$V$1006:$AE$1006,0)), HYPERLINK("#",""), HYPERLINK(CONCATENATE("#Metadata!", ADDRESS(INDEX($Q$2:$Q$1001,MATCH(ROWS($O$2:O646),$O$2:$O$1001,0),0), INDEX($V$1004:$AE$1004,1,MATCH(COLUMNS($V$1006:AC1006),$V$1006:$AE$1006,0)))),"Fix")))</f>
        <v>0</v>
      </c>
      <c r="J646" s="4">
        <f>IF(OR(INDEX($P$2:$P$1001,MATCH(ROWS($O$2:O646),$O$2:$O$1001,0),1)&gt;=100000,INDEX($V$1005:$AE$1005,1,MATCH(COLUMNS($V$1006:AD1006),$V$1006:$AE$1006,0))&gt;=100000), " ",IF(INDEX($V$2:$AE$1001,MATCH(ROWS($O$2:O646),$O$2:$O$1001,0),MATCH(COLUMNS($V$1006:AD1006),$V$1006:$AE$1006,0)), HYPERLINK("#",""), HYPERLINK(CONCATENATE("#Metadata!", ADDRESS(INDEX($Q$2:$Q$1001,MATCH(ROWS($O$2:O646),$O$2:$O$1001,0),0), INDEX($V$1004:$AE$1004,1,MATCH(COLUMNS($V$1006:AD1006),$V$1006:$AE$1006,0)))),"Fix")))</f>
        <v>0</v>
      </c>
      <c r="K646" s="4">
        <f>IF(OR(INDEX($P$2:$P$1001,MATCH(ROWS($O$2:O646),$O$2:$O$1001,0),1)&gt;=100000,INDEX($V$1005:$AE$1005,1,MATCH(COLUMNS($V$1006:AE1006),$V$1006:$AE$1006,0))&gt;=100000), " ",IF(INDEX($V$2:$AE$1001,MATCH(ROWS($O$2:O646),$O$2:$O$1001,0),MATCH(COLUMNS($V$1006:AE1006),$V$1006:$AE$1006,0)), HYPERLINK("#",""), HYPERLINK(CONCATENATE("#Metadata!", ADDRESS(INDEX($Q$2:$Q$1001,MATCH(ROWS($O$2:O646),$O$2:$O$1001,0),0), INDEX($V$1004:$AE$1004,1,MATCH(COLUMNS($V$1006:AE1006),$V$1006:$AE$1006,0)))),"Fix")))</f>
        <v>0</v>
      </c>
      <c r="O646">
        <v>0</v>
      </c>
      <c r="P646">
        <v>0</v>
      </c>
      <c r="Q646">
        <v>0</v>
      </c>
      <c r="R646">
        <f>IF(S646,TRUE,AND(V646:AE646))</f>
        <v>0</v>
      </c>
      <c r="S646">
        <f>COUNTBLANK(Metadata!B646:K646)=COLUMNS(Metadata!B646:K646)</f>
        <v>0</v>
      </c>
      <c r="T646">
        <v>0</v>
      </c>
      <c r="V646">
        <f>AND(IF(Metadata!B646="",FALSE,TRUE),COUNTIF(Metadata!B:B, Metadata!B646) = 1,NOT(ISERROR(SUMPRODUCT(SEARCH(MID(Metadata!B646,ROW(INDIRECT("1:"&amp;LEN(Metadata!B646))), 1),"0123456789abcdefghijklmnopqrstuvwxyzABCDEFGHIJKLMNOPQRSTUVWXYZ.")))))</f>
        <v>0</v>
      </c>
      <c r="W646">
        <f>AND(IF(Metadata!C646="",FALSE,TRUE),exact(Metadata!C646,"urban biome"))</f>
        <v>0</v>
      </c>
      <c r="X646">
        <f>AND(IF(Metadata!D646="",FALSE,TRUE),exact(Metadata!D646,"animal-associated habitat"))</f>
        <v>0</v>
      </c>
      <c r="Y646">
        <f>OR(AND(IF(Metadata!E646="",FALSE,TRUE),OR(exact(Metadata!E646,"not applicable"),exact(Metadata!E646,"missing: not collected"),exact(Metadata!E646,"missing: not provided"),exact(Metadata!E646,"missing: restricted access"))),AND(IF(Metadata!E646="",FALSE,ISNUMBER(VALUE(Metadata!E646))),Metadata!E646&gt;0))</f>
        <v>0</v>
      </c>
      <c r="Z646">
        <f>AND(IF(Metadata!F646="",FALSE,TRUE),exact(Metadata!F646,"weeks"))</f>
        <v>0</v>
      </c>
      <c r="AA646">
        <f>AND(IF(Metadata!G646="",FALSE,TRUE),exact(Metadata!G646,"mouse"))</f>
        <v>0</v>
      </c>
      <c r="AB646">
        <f>AND(IF(Metadata!H646="",FALSE,TRUE),exact(Metadata!H646,"Mus musculus"))</f>
        <v>0</v>
      </c>
      <c r="AC646">
        <f>AND(IF(Metadata!I646="",FALSE,TRUE),exact(Metadata!I646,"10090"))</f>
        <v>0</v>
      </c>
      <c r="AD646">
        <f>OR(AND(IF(Metadata!J646="",FALSE,TRUE),OR(exact(Metadata!J646,"not applicable"),exact(Metadata!J646,"missing: not collected"),exact(Metadata!J646,"missing: not provided"),exact(Metadata!J646,"missing: restricted access"))),AND(IF(Metadata!J646="",FALSE,ISNUMBER(VALUE(Metadata!J646))),Metadata!J646&gt;0))</f>
        <v>0</v>
      </c>
      <c r="AE646">
        <f>AND(IF(Metadata!K646="",FALSE,TRUE),exact(Metadata!K646,"g"))</f>
        <v>0</v>
      </c>
    </row>
    <row r="647" spans="1:31">
      <c r="A647" s="5">
        <f>IF(B647=" "," ",HYPERLINK(CONCATENATE("#metadata!",ADDRESS(INDEX($Q$2:$Q$1001,MATCH(ROWS($O$2:O647),$O$2:$O$1001,0),0),1)),INDEX($T$2:$T$1001,MATCH(ROWS($O$2:O647),$O$2:$O$1001,0),0)))</f>
        <v>0</v>
      </c>
      <c r="B647" s="4">
        <f>IF(OR(INDEX($P$2:$P$1001,MATCH(ROWS($O$2:O647),$O$2:$O$1001,0),1)&gt;=100000,INDEX($V$1005:$AE$1005,1,MATCH(COLUMNS($V$1006:V1006),$V$1006:$AE$1006,0))&gt;=100000), " ",IF(INDEX($V$2:$AE$1001,MATCH(ROWS($O$2:O647),$O$2:$O$1001,0),MATCH(COLUMNS($V$1006:V1006),$V$1006:$AE$1006,0)), HYPERLINK("#",""), HYPERLINK(CONCATENATE("#Metadata!", ADDRESS(INDEX($Q$2:$Q$1001,MATCH(ROWS($O$2:O647),$O$2:$O$1001,0),0), INDEX($V$1004:$AE$1004,1,MATCH(COLUMNS($V$1006:V1006),$V$1006:$AE$1006,0)))),"Fix")))</f>
        <v>0</v>
      </c>
      <c r="C647" s="4">
        <f>IF(OR(INDEX($P$2:$P$1001,MATCH(ROWS($O$2:O647),$O$2:$O$1001,0),1)&gt;=100000,INDEX($V$1005:$AE$1005,1,MATCH(COLUMNS($V$1006:W1006),$V$1006:$AE$1006,0))&gt;=100000), " ",IF(INDEX($V$2:$AE$1001,MATCH(ROWS($O$2:O647),$O$2:$O$1001,0),MATCH(COLUMNS($V$1006:W1006),$V$1006:$AE$1006,0)), HYPERLINK("#",""), HYPERLINK(CONCATENATE("#Metadata!", ADDRESS(INDEX($Q$2:$Q$1001,MATCH(ROWS($O$2:O647),$O$2:$O$1001,0),0), INDEX($V$1004:$AE$1004,1,MATCH(COLUMNS($V$1006:W1006),$V$1006:$AE$1006,0)))),"Fix")))</f>
        <v>0</v>
      </c>
      <c r="D647" s="4">
        <f>IF(OR(INDEX($P$2:$P$1001,MATCH(ROWS($O$2:O647),$O$2:$O$1001,0),1)&gt;=100000,INDEX($V$1005:$AE$1005,1,MATCH(COLUMNS($V$1006:X1006),$V$1006:$AE$1006,0))&gt;=100000), " ",IF(INDEX($V$2:$AE$1001,MATCH(ROWS($O$2:O647),$O$2:$O$1001,0),MATCH(COLUMNS($V$1006:X1006),$V$1006:$AE$1006,0)), HYPERLINK("#",""), HYPERLINK(CONCATENATE("#Metadata!", ADDRESS(INDEX($Q$2:$Q$1001,MATCH(ROWS($O$2:O647),$O$2:$O$1001,0),0), INDEX($V$1004:$AE$1004,1,MATCH(COLUMNS($V$1006:X1006),$V$1006:$AE$1006,0)))),"Fix")))</f>
        <v>0</v>
      </c>
      <c r="E647" s="4">
        <f>IF(OR(INDEX($P$2:$P$1001,MATCH(ROWS($O$2:O647),$O$2:$O$1001,0),1)&gt;=100000,INDEX($V$1005:$AE$1005,1,MATCH(COLUMNS($V$1006:Y1006),$V$1006:$AE$1006,0))&gt;=100000), " ",IF(INDEX($V$2:$AE$1001,MATCH(ROWS($O$2:O647),$O$2:$O$1001,0),MATCH(COLUMNS($V$1006:Y1006),$V$1006:$AE$1006,0)), HYPERLINK("#",""), HYPERLINK(CONCATENATE("#Metadata!", ADDRESS(INDEX($Q$2:$Q$1001,MATCH(ROWS($O$2:O647),$O$2:$O$1001,0),0), INDEX($V$1004:$AE$1004,1,MATCH(COLUMNS($V$1006:Y1006),$V$1006:$AE$1006,0)))),"Fix")))</f>
        <v>0</v>
      </c>
      <c r="F647" s="4">
        <f>IF(OR(INDEX($P$2:$P$1001,MATCH(ROWS($O$2:O647),$O$2:$O$1001,0),1)&gt;=100000,INDEX($V$1005:$AE$1005,1,MATCH(COLUMNS($V$1006:Z1006),$V$1006:$AE$1006,0))&gt;=100000), " ",IF(INDEX($V$2:$AE$1001,MATCH(ROWS($O$2:O647),$O$2:$O$1001,0),MATCH(COLUMNS($V$1006:Z1006),$V$1006:$AE$1006,0)), HYPERLINK("#",""), HYPERLINK(CONCATENATE("#Metadata!", ADDRESS(INDEX($Q$2:$Q$1001,MATCH(ROWS($O$2:O647),$O$2:$O$1001,0),0), INDEX($V$1004:$AE$1004,1,MATCH(COLUMNS($V$1006:Z1006),$V$1006:$AE$1006,0)))),"Fix")))</f>
        <v>0</v>
      </c>
      <c r="G647" s="4">
        <f>IF(OR(INDEX($P$2:$P$1001,MATCH(ROWS($O$2:O647),$O$2:$O$1001,0),1)&gt;=100000,INDEX($V$1005:$AE$1005,1,MATCH(COLUMNS($V$1006:AA1006),$V$1006:$AE$1006,0))&gt;=100000), " ",IF(INDEX($V$2:$AE$1001,MATCH(ROWS($O$2:O647),$O$2:$O$1001,0),MATCH(COLUMNS($V$1006:AA1006),$V$1006:$AE$1006,0)), HYPERLINK("#",""), HYPERLINK(CONCATENATE("#Metadata!", ADDRESS(INDEX($Q$2:$Q$1001,MATCH(ROWS($O$2:O647),$O$2:$O$1001,0),0), INDEX($V$1004:$AE$1004,1,MATCH(COLUMNS($V$1006:AA1006),$V$1006:$AE$1006,0)))),"Fix")))</f>
        <v>0</v>
      </c>
      <c r="H647" s="4">
        <f>IF(OR(INDEX($P$2:$P$1001,MATCH(ROWS($O$2:O647),$O$2:$O$1001,0),1)&gt;=100000,INDEX($V$1005:$AE$1005,1,MATCH(COLUMNS($V$1006:AB1006),$V$1006:$AE$1006,0))&gt;=100000), " ",IF(INDEX($V$2:$AE$1001,MATCH(ROWS($O$2:O647),$O$2:$O$1001,0),MATCH(COLUMNS($V$1006:AB1006),$V$1006:$AE$1006,0)), HYPERLINK("#",""), HYPERLINK(CONCATENATE("#Metadata!", ADDRESS(INDEX($Q$2:$Q$1001,MATCH(ROWS($O$2:O647),$O$2:$O$1001,0),0), INDEX($V$1004:$AE$1004,1,MATCH(COLUMNS($V$1006:AB1006),$V$1006:$AE$1006,0)))),"Fix")))</f>
        <v>0</v>
      </c>
      <c r="I647" s="4">
        <f>IF(OR(INDEX($P$2:$P$1001,MATCH(ROWS($O$2:O647),$O$2:$O$1001,0),1)&gt;=100000,INDEX($V$1005:$AE$1005,1,MATCH(COLUMNS($V$1006:AC1006),$V$1006:$AE$1006,0))&gt;=100000), " ",IF(INDEX($V$2:$AE$1001,MATCH(ROWS($O$2:O647),$O$2:$O$1001,0),MATCH(COLUMNS($V$1006:AC1006),$V$1006:$AE$1006,0)), HYPERLINK("#",""), HYPERLINK(CONCATENATE("#Metadata!", ADDRESS(INDEX($Q$2:$Q$1001,MATCH(ROWS($O$2:O647),$O$2:$O$1001,0),0), INDEX($V$1004:$AE$1004,1,MATCH(COLUMNS($V$1006:AC1006),$V$1006:$AE$1006,0)))),"Fix")))</f>
        <v>0</v>
      </c>
      <c r="J647" s="4">
        <f>IF(OR(INDEX($P$2:$P$1001,MATCH(ROWS($O$2:O647),$O$2:$O$1001,0),1)&gt;=100000,INDEX($V$1005:$AE$1005,1,MATCH(COLUMNS($V$1006:AD1006),$V$1006:$AE$1006,0))&gt;=100000), " ",IF(INDEX($V$2:$AE$1001,MATCH(ROWS($O$2:O647),$O$2:$O$1001,0),MATCH(COLUMNS($V$1006:AD1006),$V$1006:$AE$1006,0)), HYPERLINK("#",""), HYPERLINK(CONCATENATE("#Metadata!", ADDRESS(INDEX($Q$2:$Q$1001,MATCH(ROWS($O$2:O647),$O$2:$O$1001,0),0), INDEX($V$1004:$AE$1004,1,MATCH(COLUMNS($V$1006:AD1006),$V$1006:$AE$1006,0)))),"Fix")))</f>
        <v>0</v>
      </c>
      <c r="K647" s="4">
        <f>IF(OR(INDEX($P$2:$P$1001,MATCH(ROWS($O$2:O647),$O$2:$O$1001,0),1)&gt;=100000,INDEX($V$1005:$AE$1005,1,MATCH(COLUMNS($V$1006:AE1006),$V$1006:$AE$1006,0))&gt;=100000), " ",IF(INDEX($V$2:$AE$1001,MATCH(ROWS($O$2:O647),$O$2:$O$1001,0),MATCH(COLUMNS($V$1006:AE1006),$V$1006:$AE$1006,0)), HYPERLINK("#",""), HYPERLINK(CONCATENATE("#Metadata!", ADDRESS(INDEX($Q$2:$Q$1001,MATCH(ROWS($O$2:O647),$O$2:$O$1001,0),0), INDEX($V$1004:$AE$1004,1,MATCH(COLUMNS($V$1006:AE1006),$V$1006:$AE$1006,0)))),"Fix")))</f>
        <v>0</v>
      </c>
      <c r="O647">
        <v>0</v>
      </c>
      <c r="P647">
        <v>0</v>
      </c>
      <c r="Q647">
        <v>0</v>
      </c>
      <c r="R647">
        <f>IF(S647,TRUE,AND(V647:AE647))</f>
        <v>0</v>
      </c>
      <c r="S647">
        <f>COUNTBLANK(Metadata!B647:K647)=COLUMNS(Metadata!B647:K647)</f>
        <v>0</v>
      </c>
      <c r="T647">
        <v>0</v>
      </c>
      <c r="V647">
        <f>AND(IF(Metadata!B647="",FALSE,TRUE),COUNTIF(Metadata!B:B, Metadata!B647) = 1,NOT(ISERROR(SUMPRODUCT(SEARCH(MID(Metadata!B647,ROW(INDIRECT("1:"&amp;LEN(Metadata!B647))), 1),"0123456789abcdefghijklmnopqrstuvwxyzABCDEFGHIJKLMNOPQRSTUVWXYZ.")))))</f>
        <v>0</v>
      </c>
      <c r="W647">
        <f>AND(IF(Metadata!C647="",FALSE,TRUE),exact(Metadata!C647,"urban biome"))</f>
        <v>0</v>
      </c>
      <c r="X647">
        <f>AND(IF(Metadata!D647="",FALSE,TRUE),exact(Metadata!D647,"animal-associated habitat"))</f>
        <v>0</v>
      </c>
      <c r="Y647">
        <f>OR(AND(IF(Metadata!E647="",FALSE,TRUE),OR(exact(Metadata!E647,"not applicable"),exact(Metadata!E647,"missing: not collected"),exact(Metadata!E647,"missing: not provided"),exact(Metadata!E647,"missing: restricted access"))),AND(IF(Metadata!E647="",FALSE,ISNUMBER(VALUE(Metadata!E647))),Metadata!E647&gt;0))</f>
        <v>0</v>
      </c>
      <c r="Z647">
        <f>AND(IF(Metadata!F647="",FALSE,TRUE),exact(Metadata!F647,"weeks"))</f>
        <v>0</v>
      </c>
      <c r="AA647">
        <f>AND(IF(Metadata!G647="",FALSE,TRUE),exact(Metadata!G647,"mouse"))</f>
        <v>0</v>
      </c>
      <c r="AB647">
        <f>AND(IF(Metadata!H647="",FALSE,TRUE),exact(Metadata!H647,"Mus musculus"))</f>
        <v>0</v>
      </c>
      <c r="AC647">
        <f>AND(IF(Metadata!I647="",FALSE,TRUE),exact(Metadata!I647,"10090"))</f>
        <v>0</v>
      </c>
      <c r="AD647">
        <f>OR(AND(IF(Metadata!J647="",FALSE,TRUE),OR(exact(Metadata!J647,"not applicable"),exact(Metadata!J647,"missing: not collected"),exact(Metadata!J647,"missing: not provided"),exact(Metadata!J647,"missing: restricted access"))),AND(IF(Metadata!J647="",FALSE,ISNUMBER(VALUE(Metadata!J647))),Metadata!J647&gt;0))</f>
        <v>0</v>
      </c>
      <c r="AE647">
        <f>AND(IF(Metadata!K647="",FALSE,TRUE),exact(Metadata!K647,"g"))</f>
        <v>0</v>
      </c>
    </row>
    <row r="648" spans="1:31">
      <c r="A648" s="5">
        <f>IF(B648=" "," ",HYPERLINK(CONCATENATE("#metadata!",ADDRESS(INDEX($Q$2:$Q$1001,MATCH(ROWS($O$2:O648),$O$2:$O$1001,0),0),1)),INDEX($T$2:$T$1001,MATCH(ROWS($O$2:O648),$O$2:$O$1001,0),0)))</f>
        <v>0</v>
      </c>
      <c r="B648" s="4">
        <f>IF(OR(INDEX($P$2:$P$1001,MATCH(ROWS($O$2:O648),$O$2:$O$1001,0),1)&gt;=100000,INDEX($V$1005:$AE$1005,1,MATCH(COLUMNS($V$1006:V1006),$V$1006:$AE$1006,0))&gt;=100000), " ",IF(INDEX($V$2:$AE$1001,MATCH(ROWS($O$2:O648),$O$2:$O$1001,0),MATCH(COLUMNS($V$1006:V1006),$V$1006:$AE$1006,0)), HYPERLINK("#",""), HYPERLINK(CONCATENATE("#Metadata!", ADDRESS(INDEX($Q$2:$Q$1001,MATCH(ROWS($O$2:O648),$O$2:$O$1001,0),0), INDEX($V$1004:$AE$1004,1,MATCH(COLUMNS($V$1006:V1006),$V$1006:$AE$1006,0)))),"Fix")))</f>
        <v>0</v>
      </c>
      <c r="C648" s="4">
        <f>IF(OR(INDEX($P$2:$P$1001,MATCH(ROWS($O$2:O648),$O$2:$O$1001,0),1)&gt;=100000,INDEX($V$1005:$AE$1005,1,MATCH(COLUMNS($V$1006:W1006),$V$1006:$AE$1006,0))&gt;=100000), " ",IF(INDEX($V$2:$AE$1001,MATCH(ROWS($O$2:O648),$O$2:$O$1001,0),MATCH(COLUMNS($V$1006:W1006),$V$1006:$AE$1006,0)), HYPERLINK("#",""), HYPERLINK(CONCATENATE("#Metadata!", ADDRESS(INDEX($Q$2:$Q$1001,MATCH(ROWS($O$2:O648),$O$2:$O$1001,0),0), INDEX($V$1004:$AE$1004,1,MATCH(COLUMNS($V$1006:W1006),$V$1006:$AE$1006,0)))),"Fix")))</f>
        <v>0</v>
      </c>
      <c r="D648" s="4">
        <f>IF(OR(INDEX($P$2:$P$1001,MATCH(ROWS($O$2:O648),$O$2:$O$1001,0),1)&gt;=100000,INDEX($V$1005:$AE$1005,1,MATCH(COLUMNS($V$1006:X1006),$V$1006:$AE$1006,0))&gt;=100000), " ",IF(INDEX($V$2:$AE$1001,MATCH(ROWS($O$2:O648),$O$2:$O$1001,0),MATCH(COLUMNS($V$1006:X1006),$V$1006:$AE$1006,0)), HYPERLINK("#",""), HYPERLINK(CONCATENATE("#Metadata!", ADDRESS(INDEX($Q$2:$Q$1001,MATCH(ROWS($O$2:O648),$O$2:$O$1001,0),0), INDEX($V$1004:$AE$1004,1,MATCH(COLUMNS($V$1006:X1006),$V$1006:$AE$1006,0)))),"Fix")))</f>
        <v>0</v>
      </c>
      <c r="E648" s="4">
        <f>IF(OR(INDEX($P$2:$P$1001,MATCH(ROWS($O$2:O648),$O$2:$O$1001,0),1)&gt;=100000,INDEX($V$1005:$AE$1005,1,MATCH(COLUMNS($V$1006:Y1006),$V$1006:$AE$1006,0))&gt;=100000), " ",IF(INDEX($V$2:$AE$1001,MATCH(ROWS($O$2:O648),$O$2:$O$1001,0),MATCH(COLUMNS($V$1006:Y1006),$V$1006:$AE$1006,0)), HYPERLINK("#",""), HYPERLINK(CONCATENATE("#Metadata!", ADDRESS(INDEX($Q$2:$Q$1001,MATCH(ROWS($O$2:O648),$O$2:$O$1001,0),0), INDEX($V$1004:$AE$1004,1,MATCH(COLUMNS($V$1006:Y1006),$V$1006:$AE$1006,0)))),"Fix")))</f>
        <v>0</v>
      </c>
      <c r="F648" s="4">
        <f>IF(OR(INDEX($P$2:$P$1001,MATCH(ROWS($O$2:O648),$O$2:$O$1001,0),1)&gt;=100000,INDEX($V$1005:$AE$1005,1,MATCH(COLUMNS($V$1006:Z1006),$V$1006:$AE$1006,0))&gt;=100000), " ",IF(INDEX($V$2:$AE$1001,MATCH(ROWS($O$2:O648),$O$2:$O$1001,0),MATCH(COLUMNS($V$1006:Z1006),$V$1006:$AE$1006,0)), HYPERLINK("#",""), HYPERLINK(CONCATENATE("#Metadata!", ADDRESS(INDEX($Q$2:$Q$1001,MATCH(ROWS($O$2:O648),$O$2:$O$1001,0),0), INDEX($V$1004:$AE$1004,1,MATCH(COLUMNS($V$1006:Z1006),$V$1006:$AE$1006,0)))),"Fix")))</f>
        <v>0</v>
      </c>
      <c r="G648" s="4">
        <f>IF(OR(INDEX($P$2:$P$1001,MATCH(ROWS($O$2:O648),$O$2:$O$1001,0),1)&gt;=100000,INDEX($V$1005:$AE$1005,1,MATCH(COLUMNS($V$1006:AA1006),$V$1006:$AE$1006,0))&gt;=100000), " ",IF(INDEX($V$2:$AE$1001,MATCH(ROWS($O$2:O648),$O$2:$O$1001,0),MATCH(COLUMNS($V$1006:AA1006),$V$1006:$AE$1006,0)), HYPERLINK("#",""), HYPERLINK(CONCATENATE("#Metadata!", ADDRESS(INDEX($Q$2:$Q$1001,MATCH(ROWS($O$2:O648),$O$2:$O$1001,0),0), INDEX($V$1004:$AE$1004,1,MATCH(COLUMNS($V$1006:AA1006),$V$1006:$AE$1006,0)))),"Fix")))</f>
        <v>0</v>
      </c>
      <c r="H648" s="4">
        <f>IF(OR(INDEX($P$2:$P$1001,MATCH(ROWS($O$2:O648),$O$2:$O$1001,0),1)&gt;=100000,INDEX($V$1005:$AE$1005,1,MATCH(COLUMNS($V$1006:AB1006),$V$1006:$AE$1006,0))&gt;=100000), " ",IF(INDEX($V$2:$AE$1001,MATCH(ROWS($O$2:O648),$O$2:$O$1001,0),MATCH(COLUMNS($V$1006:AB1006),$V$1006:$AE$1006,0)), HYPERLINK("#",""), HYPERLINK(CONCATENATE("#Metadata!", ADDRESS(INDEX($Q$2:$Q$1001,MATCH(ROWS($O$2:O648),$O$2:$O$1001,0),0), INDEX($V$1004:$AE$1004,1,MATCH(COLUMNS($V$1006:AB1006),$V$1006:$AE$1006,0)))),"Fix")))</f>
        <v>0</v>
      </c>
      <c r="I648" s="4">
        <f>IF(OR(INDEX($P$2:$P$1001,MATCH(ROWS($O$2:O648),$O$2:$O$1001,0),1)&gt;=100000,INDEX($V$1005:$AE$1005,1,MATCH(COLUMNS($V$1006:AC1006),$V$1006:$AE$1006,0))&gt;=100000), " ",IF(INDEX($V$2:$AE$1001,MATCH(ROWS($O$2:O648),$O$2:$O$1001,0),MATCH(COLUMNS($V$1006:AC1006),$V$1006:$AE$1006,0)), HYPERLINK("#",""), HYPERLINK(CONCATENATE("#Metadata!", ADDRESS(INDEX($Q$2:$Q$1001,MATCH(ROWS($O$2:O648),$O$2:$O$1001,0),0), INDEX($V$1004:$AE$1004,1,MATCH(COLUMNS($V$1006:AC1006),$V$1006:$AE$1006,0)))),"Fix")))</f>
        <v>0</v>
      </c>
      <c r="J648" s="4">
        <f>IF(OR(INDEX($P$2:$P$1001,MATCH(ROWS($O$2:O648),$O$2:$O$1001,0),1)&gt;=100000,INDEX($V$1005:$AE$1005,1,MATCH(COLUMNS($V$1006:AD1006),$V$1006:$AE$1006,0))&gt;=100000), " ",IF(INDEX($V$2:$AE$1001,MATCH(ROWS($O$2:O648),$O$2:$O$1001,0),MATCH(COLUMNS($V$1006:AD1006),$V$1006:$AE$1006,0)), HYPERLINK("#",""), HYPERLINK(CONCATENATE("#Metadata!", ADDRESS(INDEX($Q$2:$Q$1001,MATCH(ROWS($O$2:O648),$O$2:$O$1001,0),0), INDEX($V$1004:$AE$1004,1,MATCH(COLUMNS($V$1006:AD1006),$V$1006:$AE$1006,0)))),"Fix")))</f>
        <v>0</v>
      </c>
      <c r="K648" s="4">
        <f>IF(OR(INDEX($P$2:$P$1001,MATCH(ROWS($O$2:O648),$O$2:$O$1001,0),1)&gt;=100000,INDEX($V$1005:$AE$1005,1,MATCH(COLUMNS($V$1006:AE1006),$V$1006:$AE$1006,0))&gt;=100000), " ",IF(INDEX($V$2:$AE$1001,MATCH(ROWS($O$2:O648),$O$2:$O$1001,0),MATCH(COLUMNS($V$1006:AE1006),$V$1006:$AE$1006,0)), HYPERLINK("#",""), HYPERLINK(CONCATENATE("#Metadata!", ADDRESS(INDEX($Q$2:$Q$1001,MATCH(ROWS($O$2:O648),$O$2:$O$1001,0),0), INDEX($V$1004:$AE$1004,1,MATCH(COLUMNS($V$1006:AE1006),$V$1006:$AE$1006,0)))),"Fix")))</f>
        <v>0</v>
      </c>
      <c r="O648">
        <v>0</v>
      </c>
      <c r="P648">
        <v>0</v>
      </c>
      <c r="Q648">
        <v>0</v>
      </c>
      <c r="R648">
        <f>IF(S648,TRUE,AND(V648:AE648))</f>
        <v>0</v>
      </c>
      <c r="S648">
        <f>COUNTBLANK(Metadata!B648:K648)=COLUMNS(Metadata!B648:K648)</f>
        <v>0</v>
      </c>
      <c r="T648">
        <v>0</v>
      </c>
      <c r="V648">
        <f>AND(IF(Metadata!B648="",FALSE,TRUE),COUNTIF(Metadata!B:B, Metadata!B648) = 1,NOT(ISERROR(SUMPRODUCT(SEARCH(MID(Metadata!B648,ROW(INDIRECT("1:"&amp;LEN(Metadata!B648))), 1),"0123456789abcdefghijklmnopqrstuvwxyzABCDEFGHIJKLMNOPQRSTUVWXYZ.")))))</f>
        <v>0</v>
      </c>
      <c r="W648">
        <f>AND(IF(Metadata!C648="",FALSE,TRUE),exact(Metadata!C648,"urban biome"))</f>
        <v>0</v>
      </c>
      <c r="X648">
        <f>AND(IF(Metadata!D648="",FALSE,TRUE),exact(Metadata!D648,"animal-associated habitat"))</f>
        <v>0</v>
      </c>
      <c r="Y648">
        <f>OR(AND(IF(Metadata!E648="",FALSE,TRUE),OR(exact(Metadata!E648,"not applicable"),exact(Metadata!E648,"missing: not collected"),exact(Metadata!E648,"missing: not provided"),exact(Metadata!E648,"missing: restricted access"))),AND(IF(Metadata!E648="",FALSE,ISNUMBER(VALUE(Metadata!E648))),Metadata!E648&gt;0))</f>
        <v>0</v>
      </c>
      <c r="Z648">
        <f>AND(IF(Metadata!F648="",FALSE,TRUE),exact(Metadata!F648,"weeks"))</f>
        <v>0</v>
      </c>
      <c r="AA648">
        <f>AND(IF(Metadata!G648="",FALSE,TRUE),exact(Metadata!G648,"mouse"))</f>
        <v>0</v>
      </c>
      <c r="AB648">
        <f>AND(IF(Metadata!H648="",FALSE,TRUE),exact(Metadata!H648,"Mus musculus"))</f>
        <v>0</v>
      </c>
      <c r="AC648">
        <f>AND(IF(Metadata!I648="",FALSE,TRUE),exact(Metadata!I648,"10090"))</f>
        <v>0</v>
      </c>
      <c r="AD648">
        <f>OR(AND(IF(Metadata!J648="",FALSE,TRUE),OR(exact(Metadata!J648,"not applicable"),exact(Metadata!J648,"missing: not collected"),exact(Metadata!J648,"missing: not provided"),exact(Metadata!J648,"missing: restricted access"))),AND(IF(Metadata!J648="",FALSE,ISNUMBER(VALUE(Metadata!J648))),Metadata!J648&gt;0))</f>
        <v>0</v>
      </c>
      <c r="AE648">
        <f>AND(IF(Metadata!K648="",FALSE,TRUE),exact(Metadata!K648,"g"))</f>
        <v>0</v>
      </c>
    </row>
    <row r="649" spans="1:31">
      <c r="A649" s="5">
        <f>IF(B649=" "," ",HYPERLINK(CONCATENATE("#metadata!",ADDRESS(INDEX($Q$2:$Q$1001,MATCH(ROWS($O$2:O649),$O$2:$O$1001,0),0),1)),INDEX($T$2:$T$1001,MATCH(ROWS($O$2:O649),$O$2:$O$1001,0),0)))</f>
        <v>0</v>
      </c>
      <c r="B649" s="4">
        <f>IF(OR(INDEX($P$2:$P$1001,MATCH(ROWS($O$2:O649),$O$2:$O$1001,0),1)&gt;=100000,INDEX($V$1005:$AE$1005,1,MATCH(COLUMNS($V$1006:V1006),$V$1006:$AE$1006,0))&gt;=100000), " ",IF(INDEX($V$2:$AE$1001,MATCH(ROWS($O$2:O649),$O$2:$O$1001,0),MATCH(COLUMNS($V$1006:V1006),$V$1006:$AE$1006,0)), HYPERLINK("#",""), HYPERLINK(CONCATENATE("#Metadata!", ADDRESS(INDEX($Q$2:$Q$1001,MATCH(ROWS($O$2:O649),$O$2:$O$1001,0),0), INDEX($V$1004:$AE$1004,1,MATCH(COLUMNS($V$1006:V1006),$V$1006:$AE$1006,0)))),"Fix")))</f>
        <v>0</v>
      </c>
      <c r="C649" s="4">
        <f>IF(OR(INDEX($P$2:$P$1001,MATCH(ROWS($O$2:O649),$O$2:$O$1001,0),1)&gt;=100000,INDEX($V$1005:$AE$1005,1,MATCH(COLUMNS($V$1006:W1006),$V$1006:$AE$1006,0))&gt;=100000), " ",IF(INDEX($V$2:$AE$1001,MATCH(ROWS($O$2:O649),$O$2:$O$1001,0),MATCH(COLUMNS($V$1006:W1006),$V$1006:$AE$1006,0)), HYPERLINK("#",""), HYPERLINK(CONCATENATE("#Metadata!", ADDRESS(INDEX($Q$2:$Q$1001,MATCH(ROWS($O$2:O649),$O$2:$O$1001,0),0), INDEX($V$1004:$AE$1004,1,MATCH(COLUMNS($V$1006:W1006),$V$1006:$AE$1006,0)))),"Fix")))</f>
        <v>0</v>
      </c>
      <c r="D649" s="4">
        <f>IF(OR(INDEX($P$2:$P$1001,MATCH(ROWS($O$2:O649),$O$2:$O$1001,0),1)&gt;=100000,INDEX($V$1005:$AE$1005,1,MATCH(COLUMNS($V$1006:X1006),$V$1006:$AE$1006,0))&gt;=100000), " ",IF(INDEX($V$2:$AE$1001,MATCH(ROWS($O$2:O649),$O$2:$O$1001,0),MATCH(COLUMNS($V$1006:X1006),$V$1006:$AE$1006,0)), HYPERLINK("#",""), HYPERLINK(CONCATENATE("#Metadata!", ADDRESS(INDEX($Q$2:$Q$1001,MATCH(ROWS($O$2:O649),$O$2:$O$1001,0),0), INDEX($V$1004:$AE$1004,1,MATCH(COLUMNS($V$1006:X1006),$V$1006:$AE$1006,0)))),"Fix")))</f>
        <v>0</v>
      </c>
      <c r="E649" s="4">
        <f>IF(OR(INDEX($P$2:$P$1001,MATCH(ROWS($O$2:O649),$O$2:$O$1001,0),1)&gt;=100000,INDEX($V$1005:$AE$1005,1,MATCH(COLUMNS($V$1006:Y1006),$V$1006:$AE$1006,0))&gt;=100000), " ",IF(INDEX($V$2:$AE$1001,MATCH(ROWS($O$2:O649),$O$2:$O$1001,0),MATCH(COLUMNS($V$1006:Y1006),$V$1006:$AE$1006,0)), HYPERLINK("#",""), HYPERLINK(CONCATENATE("#Metadata!", ADDRESS(INDEX($Q$2:$Q$1001,MATCH(ROWS($O$2:O649),$O$2:$O$1001,0),0), INDEX($V$1004:$AE$1004,1,MATCH(COLUMNS($V$1006:Y1006),$V$1006:$AE$1006,0)))),"Fix")))</f>
        <v>0</v>
      </c>
      <c r="F649" s="4">
        <f>IF(OR(INDEX($P$2:$P$1001,MATCH(ROWS($O$2:O649),$O$2:$O$1001,0),1)&gt;=100000,INDEX($V$1005:$AE$1005,1,MATCH(COLUMNS($V$1006:Z1006),$V$1006:$AE$1006,0))&gt;=100000), " ",IF(INDEX($V$2:$AE$1001,MATCH(ROWS($O$2:O649),$O$2:$O$1001,0),MATCH(COLUMNS($V$1006:Z1006),$V$1006:$AE$1006,0)), HYPERLINK("#",""), HYPERLINK(CONCATENATE("#Metadata!", ADDRESS(INDEX($Q$2:$Q$1001,MATCH(ROWS($O$2:O649),$O$2:$O$1001,0),0), INDEX($V$1004:$AE$1004,1,MATCH(COLUMNS($V$1006:Z1006),$V$1006:$AE$1006,0)))),"Fix")))</f>
        <v>0</v>
      </c>
      <c r="G649" s="4">
        <f>IF(OR(INDEX($P$2:$P$1001,MATCH(ROWS($O$2:O649),$O$2:$O$1001,0),1)&gt;=100000,INDEX($V$1005:$AE$1005,1,MATCH(COLUMNS($V$1006:AA1006),$V$1006:$AE$1006,0))&gt;=100000), " ",IF(INDEX($V$2:$AE$1001,MATCH(ROWS($O$2:O649),$O$2:$O$1001,0),MATCH(COLUMNS($V$1006:AA1006),$V$1006:$AE$1006,0)), HYPERLINK("#",""), HYPERLINK(CONCATENATE("#Metadata!", ADDRESS(INDEX($Q$2:$Q$1001,MATCH(ROWS($O$2:O649),$O$2:$O$1001,0),0), INDEX($V$1004:$AE$1004,1,MATCH(COLUMNS($V$1006:AA1006),$V$1006:$AE$1006,0)))),"Fix")))</f>
        <v>0</v>
      </c>
      <c r="H649" s="4">
        <f>IF(OR(INDEX($P$2:$P$1001,MATCH(ROWS($O$2:O649),$O$2:$O$1001,0),1)&gt;=100000,INDEX($V$1005:$AE$1005,1,MATCH(COLUMNS($V$1006:AB1006),$V$1006:$AE$1006,0))&gt;=100000), " ",IF(INDEX($V$2:$AE$1001,MATCH(ROWS($O$2:O649),$O$2:$O$1001,0),MATCH(COLUMNS($V$1006:AB1006),$V$1006:$AE$1006,0)), HYPERLINK("#",""), HYPERLINK(CONCATENATE("#Metadata!", ADDRESS(INDEX($Q$2:$Q$1001,MATCH(ROWS($O$2:O649),$O$2:$O$1001,0),0), INDEX($V$1004:$AE$1004,1,MATCH(COLUMNS($V$1006:AB1006),$V$1006:$AE$1006,0)))),"Fix")))</f>
        <v>0</v>
      </c>
      <c r="I649" s="4">
        <f>IF(OR(INDEX($P$2:$P$1001,MATCH(ROWS($O$2:O649),$O$2:$O$1001,0),1)&gt;=100000,INDEX($V$1005:$AE$1005,1,MATCH(COLUMNS($V$1006:AC1006),$V$1006:$AE$1006,0))&gt;=100000), " ",IF(INDEX($V$2:$AE$1001,MATCH(ROWS($O$2:O649),$O$2:$O$1001,0),MATCH(COLUMNS($V$1006:AC1006),$V$1006:$AE$1006,0)), HYPERLINK("#",""), HYPERLINK(CONCATENATE("#Metadata!", ADDRESS(INDEX($Q$2:$Q$1001,MATCH(ROWS($O$2:O649),$O$2:$O$1001,0),0), INDEX($V$1004:$AE$1004,1,MATCH(COLUMNS($V$1006:AC1006),$V$1006:$AE$1006,0)))),"Fix")))</f>
        <v>0</v>
      </c>
      <c r="J649" s="4">
        <f>IF(OR(INDEX($P$2:$P$1001,MATCH(ROWS($O$2:O649),$O$2:$O$1001,0),1)&gt;=100000,INDEX($V$1005:$AE$1005,1,MATCH(COLUMNS($V$1006:AD1006),$V$1006:$AE$1006,0))&gt;=100000), " ",IF(INDEX($V$2:$AE$1001,MATCH(ROWS($O$2:O649),$O$2:$O$1001,0),MATCH(COLUMNS($V$1006:AD1006),$V$1006:$AE$1006,0)), HYPERLINK("#",""), HYPERLINK(CONCATENATE("#Metadata!", ADDRESS(INDEX($Q$2:$Q$1001,MATCH(ROWS($O$2:O649),$O$2:$O$1001,0),0), INDEX($V$1004:$AE$1004,1,MATCH(COLUMNS($V$1006:AD1006),$V$1006:$AE$1006,0)))),"Fix")))</f>
        <v>0</v>
      </c>
      <c r="K649" s="4">
        <f>IF(OR(INDEX($P$2:$P$1001,MATCH(ROWS($O$2:O649),$O$2:$O$1001,0),1)&gt;=100000,INDEX($V$1005:$AE$1005,1,MATCH(COLUMNS($V$1006:AE1006),$V$1006:$AE$1006,0))&gt;=100000), " ",IF(INDEX($V$2:$AE$1001,MATCH(ROWS($O$2:O649),$O$2:$O$1001,0),MATCH(COLUMNS($V$1006:AE1006),$V$1006:$AE$1006,0)), HYPERLINK("#",""), HYPERLINK(CONCATENATE("#Metadata!", ADDRESS(INDEX($Q$2:$Q$1001,MATCH(ROWS($O$2:O649),$O$2:$O$1001,0),0), INDEX($V$1004:$AE$1004,1,MATCH(COLUMNS($V$1006:AE1006),$V$1006:$AE$1006,0)))),"Fix")))</f>
        <v>0</v>
      </c>
      <c r="O649">
        <v>0</v>
      </c>
      <c r="P649">
        <v>0</v>
      </c>
      <c r="Q649">
        <v>0</v>
      </c>
      <c r="R649">
        <f>IF(S649,TRUE,AND(V649:AE649))</f>
        <v>0</v>
      </c>
      <c r="S649">
        <f>COUNTBLANK(Metadata!B649:K649)=COLUMNS(Metadata!B649:K649)</f>
        <v>0</v>
      </c>
      <c r="T649">
        <v>0</v>
      </c>
      <c r="V649">
        <f>AND(IF(Metadata!B649="",FALSE,TRUE),COUNTIF(Metadata!B:B, Metadata!B649) = 1,NOT(ISERROR(SUMPRODUCT(SEARCH(MID(Metadata!B649,ROW(INDIRECT("1:"&amp;LEN(Metadata!B649))), 1),"0123456789abcdefghijklmnopqrstuvwxyzABCDEFGHIJKLMNOPQRSTUVWXYZ.")))))</f>
        <v>0</v>
      </c>
      <c r="W649">
        <f>AND(IF(Metadata!C649="",FALSE,TRUE),exact(Metadata!C649,"urban biome"))</f>
        <v>0</v>
      </c>
      <c r="X649">
        <f>AND(IF(Metadata!D649="",FALSE,TRUE),exact(Metadata!D649,"animal-associated habitat"))</f>
        <v>0</v>
      </c>
      <c r="Y649">
        <f>OR(AND(IF(Metadata!E649="",FALSE,TRUE),OR(exact(Metadata!E649,"not applicable"),exact(Metadata!E649,"missing: not collected"),exact(Metadata!E649,"missing: not provided"),exact(Metadata!E649,"missing: restricted access"))),AND(IF(Metadata!E649="",FALSE,ISNUMBER(VALUE(Metadata!E649))),Metadata!E649&gt;0))</f>
        <v>0</v>
      </c>
      <c r="Z649">
        <f>AND(IF(Metadata!F649="",FALSE,TRUE),exact(Metadata!F649,"weeks"))</f>
        <v>0</v>
      </c>
      <c r="AA649">
        <f>AND(IF(Metadata!G649="",FALSE,TRUE),exact(Metadata!G649,"mouse"))</f>
        <v>0</v>
      </c>
      <c r="AB649">
        <f>AND(IF(Metadata!H649="",FALSE,TRUE),exact(Metadata!H649,"Mus musculus"))</f>
        <v>0</v>
      </c>
      <c r="AC649">
        <f>AND(IF(Metadata!I649="",FALSE,TRUE),exact(Metadata!I649,"10090"))</f>
        <v>0</v>
      </c>
      <c r="AD649">
        <f>OR(AND(IF(Metadata!J649="",FALSE,TRUE),OR(exact(Metadata!J649,"not applicable"),exact(Metadata!J649,"missing: not collected"),exact(Metadata!J649,"missing: not provided"),exact(Metadata!J649,"missing: restricted access"))),AND(IF(Metadata!J649="",FALSE,ISNUMBER(VALUE(Metadata!J649))),Metadata!J649&gt;0))</f>
        <v>0</v>
      </c>
      <c r="AE649">
        <f>AND(IF(Metadata!K649="",FALSE,TRUE),exact(Metadata!K649,"g"))</f>
        <v>0</v>
      </c>
    </row>
    <row r="650" spans="1:31">
      <c r="A650" s="5">
        <f>IF(B650=" "," ",HYPERLINK(CONCATENATE("#metadata!",ADDRESS(INDEX($Q$2:$Q$1001,MATCH(ROWS($O$2:O650),$O$2:$O$1001,0),0),1)),INDEX($T$2:$T$1001,MATCH(ROWS($O$2:O650),$O$2:$O$1001,0),0)))</f>
        <v>0</v>
      </c>
      <c r="B650" s="4">
        <f>IF(OR(INDEX($P$2:$P$1001,MATCH(ROWS($O$2:O650),$O$2:$O$1001,0),1)&gt;=100000,INDEX($V$1005:$AE$1005,1,MATCH(COLUMNS($V$1006:V1006),$V$1006:$AE$1006,0))&gt;=100000), " ",IF(INDEX($V$2:$AE$1001,MATCH(ROWS($O$2:O650),$O$2:$O$1001,0),MATCH(COLUMNS($V$1006:V1006),$V$1006:$AE$1006,0)), HYPERLINK("#",""), HYPERLINK(CONCATENATE("#Metadata!", ADDRESS(INDEX($Q$2:$Q$1001,MATCH(ROWS($O$2:O650),$O$2:$O$1001,0),0), INDEX($V$1004:$AE$1004,1,MATCH(COLUMNS($V$1006:V1006),$V$1006:$AE$1006,0)))),"Fix")))</f>
        <v>0</v>
      </c>
      <c r="C650" s="4">
        <f>IF(OR(INDEX($P$2:$P$1001,MATCH(ROWS($O$2:O650),$O$2:$O$1001,0),1)&gt;=100000,INDEX($V$1005:$AE$1005,1,MATCH(COLUMNS($V$1006:W1006),$V$1006:$AE$1006,0))&gt;=100000), " ",IF(INDEX($V$2:$AE$1001,MATCH(ROWS($O$2:O650),$O$2:$O$1001,0),MATCH(COLUMNS($V$1006:W1006),$V$1006:$AE$1006,0)), HYPERLINK("#",""), HYPERLINK(CONCATENATE("#Metadata!", ADDRESS(INDEX($Q$2:$Q$1001,MATCH(ROWS($O$2:O650),$O$2:$O$1001,0),0), INDEX($V$1004:$AE$1004,1,MATCH(COLUMNS($V$1006:W1006),$V$1006:$AE$1006,0)))),"Fix")))</f>
        <v>0</v>
      </c>
      <c r="D650" s="4">
        <f>IF(OR(INDEX($P$2:$P$1001,MATCH(ROWS($O$2:O650),$O$2:$O$1001,0),1)&gt;=100000,INDEX($V$1005:$AE$1005,1,MATCH(COLUMNS($V$1006:X1006),$V$1006:$AE$1006,0))&gt;=100000), " ",IF(INDEX($V$2:$AE$1001,MATCH(ROWS($O$2:O650),$O$2:$O$1001,0),MATCH(COLUMNS($V$1006:X1006),$V$1006:$AE$1006,0)), HYPERLINK("#",""), HYPERLINK(CONCATENATE("#Metadata!", ADDRESS(INDEX($Q$2:$Q$1001,MATCH(ROWS($O$2:O650),$O$2:$O$1001,0),0), INDEX($V$1004:$AE$1004,1,MATCH(COLUMNS($V$1006:X1006),$V$1006:$AE$1006,0)))),"Fix")))</f>
        <v>0</v>
      </c>
      <c r="E650" s="4">
        <f>IF(OR(INDEX($P$2:$P$1001,MATCH(ROWS($O$2:O650),$O$2:$O$1001,0),1)&gt;=100000,INDEX($V$1005:$AE$1005,1,MATCH(COLUMNS($V$1006:Y1006),$V$1006:$AE$1006,0))&gt;=100000), " ",IF(INDEX($V$2:$AE$1001,MATCH(ROWS($O$2:O650),$O$2:$O$1001,0),MATCH(COLUMNS($V$1006:Y1006),$V$1006:$AE$1006,0)), HYPERLINK("#",""), HYPERLINK(CONCATENATE("#Metadata!", ADDRESS(INDEX($Q$2:$Q$1001,MATCH(ROWS($O$2:O650),$O$2:$O$1001,0),0), INDEX($V$1004:$AE$1004,1,MATCH(COLUMNS($V$1006:Y1006),$V$1006:$AE$1006,0)))),"Fix")))</f>
        <v>0</v>
      </c>
      <c r="F650" s="4">
        <f>IF(OR(INDEX($P$2:$P$1001,MATCH(ROWS($O$2:O650),$O$2:$O$1001,0),1)&gt;=100000,INDEX($V$1005:$AE$1005,1,MATCH(COLUMNS($V$1006:Z1006),$V$1006:$AE$1006,0))&gt;=100000), " ",IF(INDEX($V$2:$AE$1001,MATCH(ROWS($O$2:O650),$O$2:$O$1001,0),MATCH(COLUMNS($V$1006:Z1006),$V$1006:$AE$1006,0)), HYPERLINK("#",""), HYPERLINK(CONCATENATE("#Metadata!", ADDRESS(INDEX($Q$2:$Q$1001,MATCH(ROWS($O$2:O650),$O$2:$O$1001,0),0), INDEX($V$1004:$AE$1004,1,MATCH(COLUMNS($V$1006:Z1006),$V$1006:$AE$1006,0)))),"Fix")))</f>
        <v>0</v>
      </c>
      <c r="G650" s="4">
        <f>IF(OR(INDEX($P$2:$P$1001,MATCH(ROWS($O$2:O650),$O$2:$O$1001,0),1)&gt;=100000,INDEX($V$1005:$AE$1005,1,MATCH(COLUMNS($V$1006:AA1006),$V$1006:$AE$1006,0))&gt;=100000), " ",IF(INDEX($V$2:$AE$1001,MATCH(ROWS($O$2:O650),$O$2:$O$1001,0),MATCH(COLUMNS($V$1006:AA1006),$V$1006:$AE$1006,0)), HYPERLINK("#",""), HYPERLINK(CONCATENATE("#Metadata!", ADDRESS(INDEX($Q$2:$Q$1001,MATCH(ROWS($O$2:O650),$O$2:$O$1001,0),0), INDEX($V$1004:$AE$1004,1,MATCH(COLUMNS($V$1006:AA1006),$V$1006:$AE$1006,0)))),"Fix")))</f>
        <v>0</v>
      </c>
      <c r="H650" s="4">
        <f>IF(OR(INDEX($P$2:$P$1001,MATCH(ROWS($O$2:O650),$O$2:$O$1001,0),1)&gt;=100000,INDEX($V$1005:$AE$1005,1,MATCH(COLUMNS($V$1006:AB1006),$V$1006:$AE$1006,0))&gt;=100000), " ",IF(INDEX($V$2:$AE$1001,MATCH(ROWS($O$2:O650),$O$2:$O$1001,0),MATCH(COLUMNS($V$1006:AB1006),$V$1006:$AE$1006,0)), HYPERLINK("#",""), HYPERLINK(CONCATENATE("#Metadata!", ADDRESS(INDEX($Q$2:$Q$1001,MATCH(ROWS($O$2:O650),$O$2:$O$1001,0),0), INDEX($V$1004:$AE$1004,1,MATCH(COLUMNS($V$1006:AB1006),$V$1006:$AE$1006,0)))),"Fix")))</f>
        <v>0</v>
      </c>
      <c r="I650" s="4">
        <f>IF(OR(INDEX($P$2:$P$1001,MATCH(ROWS($O$2:O650),$O$2:$O$1001,0),1)&gt;=100000,INDEX($V$1005:$AE$1005,1,MATCH(COLUMNS($V$1006:AC1006),$V$1006:$AE$1006,0))&gt;=100000), " ",IF(INDEX($V$2:$AE$1001,MATCH(ROWS($O$2:O650),$O$2:$O$1001,0),MATCH(COLUMNS($V$1006:AC1006),$V$1006:$AE$1006,0)), HYPERLINK("#",""), HYPERLINK(CONCATENATE("#Metadata!", ADDRESS(INDEX($Q$2:$Q$1001,MATCH(ROWS($O$2:O650),$O$2:$O$1001,0),0), INDEX($V$1004:$AE$1004,1,MATCH(COLUMNS($V$1006:AC1006),$V$1006:$AE$1006,0)))),"Fix")))</f>
        <v>0</v>
      </c>
      <c r="J650" s="4">
        <f>IF(OR(INDEX($P$2:$P$1001,MATCH(ROWS($O$2:O650),$O$2:$O$1001,0),1)&gt;=100000,INDEX($V$1005:$AE$1005,1,MATCH(COLUMNS($V$1006:AD1006),$V$1006:$AE$1006,0))&gt;=100000), " ",IF(INDEX($V$2:$AE$1001,MATCH(ROWS($O$2:O650),$O$2:$O$1001,0),MATCH(COLUMNS($V$1006:AD1006),$V$1006:$AE$1006,0)), HYPERLINK("#",""), HYPERLINK(CONCATENATE("#Metadata!", ADDRESS(INDEX($Q$2:$Q$1001,MATCH(ROWS($O$2:O650),$O$2:$O$1001,0),0), INDEX($V$1004:$AE$1004,1,MATCH(COLUMNS($V$1006:AD1006),$V$1006:$AE$1006,0)))),"Fix")))</f>
        <v>0</v>
      </c>
      <c r="K650" s="4">
        <f>IF(OR(INDEX($P$2:$P$1001,MATCH(ROWS($O$2:O650),$O$2:$O$1001,0),1)&gt;=100000,INDEX($V$1005:$AE$1005,1,MATCH(COLUMNS($V$1006:AE1006),$V$1006:$AE$1006,0))&gt;=100000), " ",IF(INDEX($V$2:$AE$1001,MATCH(ROWS($O$2:O650),$O$2:$O$1001,0),MATCH(COLUMNS($V$1006:AE1006),$V$1006:$AE$1006,0)), HYPERLINK("#",""), HYPERLINK(CONCATENATE("#Metadata!", ADDRESS(INDEX($Q$2:$Q$1001,MATCH(ROWS($O$2:O650),$O$2:$O$1001,0),0), INDEX($V$1004:$AE$1004,1,MATCH(COLUMNS($V$1006:AE1006),$V$1006:$AE$1006,0)))),"Fix")))</f>
        <v>0</v>
      </c>
      <c r="O650">
        <v>0</v>
      </c>
      <c r="P650">
        <v>0</v>
      </c>
      <c r="Q650">
        <v>0</v>
      </c>
      <c r="R650">
        <f>IF(S650,TRUE,AND(V650:AE650))</f>
        <v>0</v>
      </c>
      <c r="S650">
        <f>COUNTBLANK(Metadata!B650:K650)=COLUMNS(Metadata!B650:K650)</f>
        <v>0</v>
      </c>
      <c r="T650">
        <v>0</v>
      </c>
      <c r="V650">
        <f>AND(IF(Metadata!B650="",FALSE,TRUE),COUNTIF(Metadata!B:B, Metadata!B650) = 1,NOT(ISERROR(SUMPRODUCT(SEARCH(MID(Metadata!B650,ROW(INDIRECT("1:"&amp;LEN(Metadata!B650))), 1),"0123456789abcdefghijklmnopqrstuvwxyzABCDEFGHIJKLMNOPQRSTUVWXYZ.")))))</f>
        <v>0</v>
      </c>
      <c r="W650">
        <f>AND(IF(Metadata!C650="",FALSE,TRUE),exact(Metadata!C650,"urban biome"))</f>
        <v>0</v>
      </c>
      <c r="X650">
        <f>AND(IF(Metadata!D650="",FALSE,TRUE),exact(Metadata!D650,"animal-associated habitat"))</f>
        <v>0</v>
      </c>
      <c r="Y650">
        <f>OR(AND(IF(Metadata!E650="",FALSE,TRUE),OR(exact(Metadata!E650,"not applicable"),exact(Metadata!E650,"missing: not collected"),exact(Metadata!E650,"missing: not provided"),exact(Metadata!E650,"missing: restricted access"))),AND(IF(Metadata!E650="",FALSE,ISNUMBER(VALUE(Metadata!E650))),Metadata!E650&gt;0))</f>
        <v>0</v>
      </c>
      <c r="Z650">
        <f>AND(IF(Metadata!F650="",FALSE,TRUE),exact(Metadata!F650,"weeks"))</f>
        <v>0</v>
      </c>
      <c r="AA650">
        <f>AND(IF(Metadata!G650="",FALSE,TRUE),exact(Metadata!G650,"mouse"))</f>
        <v>0</v>
      </c>
      <c r="AB650">
        <f>AND(IF(Metadata!H650="",FALSE,TRUE),exact(Metadata!H650,"Mus musculus"))</f>
        <v>0</v>
      </c>
      <c r="AC650">
        <f>AND(IF(Metadata!I650="",FALSE,TRUE),exact(Metadata!I650,"10090"))</f>
        <v>0</v>
      </c>
      <c r="AD650">
        <f>OR(AND(IF(Metadata!J650="",FALSE,TRUE),OR(exact(Metadata!J650,"not applicable"),exact(Metadata!J650,"missing: not collected"),exact(Metadata!J650,"missing: not provided"),exact(Metadata!J650,"missing: restricted access"))),AND(IF(Metadata!J650="",FALSE,ISNUMBER(VALUE(Metadata!J650))),Metadata!J650&gt;0))</f>
        <v>0</v>
      </c>
      <c r="AE650">
        <f>AND(IF(Metadata!K650="",FALSE,TRUE),exact(Metadata!K650,"g"))</f>
        <v>0</v>
      </c>
    </row>
    <row r="651" spans="1:31">
      <c r="A651" s="5">
        <f>IF(B651=" "," ",HYPERLINK(CONCATENATE("#metadata!",ADDRESS(INDEX($Q$2:$Q$1001,MATCH(ROWS($O$2:O651),$O$2:$O$1001,0),0),1)),INDEX($T$2:$T$1001,MATCH(ROWS($O$2:O651),$O$2:$O$1001,0),0)))</f>
        <v>0</v>
      </c>
      <c r="B651" s="4">
        <f>IF(OR(INDEX($P$2:$P$1001,MATCH(ROWS($O$2:O651),$O$2:$O$1001,0),1)&gt;=100000,INDEX($V$1005:$AE$1005,1,MATCH(COLUMNS($V$1006:V1006),$V$1006:$AE$1006,0))&gt;=100000), " ",IF(INDEX($V$2:$AE$1001,MATCH(ROWS($O$2:O651),$O$2:$O$1001,0),MATCH(COLUMNS($V$1006:V1006),$V$1006:$AE$1006,0)), HYPERLINK("#",""), HYPERLINK(CONCATENATE("#Metadata!", ADDRESS(INDEX($Q$2:$Q$1001,MATCH(ROWS($O$2:O651),$O$2:$O$1001,0),0), INDEX($V$1004:$AE$1004,1,MATCH(COLUMNS($V$1006:V1006),$V$1006:$AE$1006,0)))),"Fix")))</f>
        <v>0</v>
      </c>
      <c r="C651" s="4">
        <f>IF(OR(INDEX($P$2:$P$1001,MATCH(ROWS($O$2:O651),$O$2:$O$1001,0),1)&gt;=100000,INDEX($V$1005:$AE$1005,1,MATCH(COLUMNS($V$1006:W1006),$V$1006:$AE$1006,0))&gt;=100000), " ",IF(INDEX($V$2:$AE$1001,MATCH(ROWS($O$2:O651),$O$2:$O$1001,0),MATCH(COLUMNS($V$1006:W1006),$V$1006:$AE$1006,0)), HYPERLINK("#",""), HYPERLINK(CONCATENATE("#Metadata!", ADDRESS(INDEX($Q$2:$Q$1001,MATCH(ROWS($O$2:O651),$O$2:$O$1001,0),0), INDEX($V$1004:$AE$1004,1,MATCH(COLUMNS($V$1006:W1006),$V$1006:$AE$1006,0)))),"Fix")))</f>
        <v>0</v>
      </c>
      <c r="D651" s="4">
        <f>IF(OR(INDEX($P$2:$P$1001,MATCH(ROWS($O$2:O651),$O$2:$O$1001,0),1)&gt;=100000,INDEX($V$1005:$AE$1005,1,MATCH(COLUMNS($V$1006:X1006),$V$1006:$AE$1006,0))&gt;=100000), " ",IF(INDEX($V$2:$AE$1001,MATCH(ROWS($O$2:O651),$O$2:$O$1001,0),MATCH(COLUMNS($V$1006:X1006),$V$1006:$AE$1006,0)), HYPERLINK("#",""), HYPERLINK(CONCATENATE("#Metadata!", ADDRESS(INDEX($Q$2:$Q$1001,MATCH(ROWS($O$2:O651),$O$2:$O$1001,0),0), INDEX($V$1004:$AE$1004,1,MATCH(COLUMNS($V$1006:X1006),$V$1006:$AE$1006,0)))),"Fix")))</f>
        <v>0</v>
      </c>
      <c r="E651" s="4">
        <f>IF(OR(INDEX($P$2:$P$1001,MATCH(ROWS($O$2:O651),$O$2:$O$1001,0),1)&gt;=100000,INDEX($V$1005:$AE$1005,1,MATCH(COLUMNS($V$1006:Y1006),$V$1006:$AE$1006,0))&gt;=100000), " ",IF(INDEX($V$2:$AE$1001,MATCH(ROWS($O$2:O651),$O$2:$O$1001,0),MATCH(COLUMNS($V$1006:Y1006),$V$1006:$AE$1006,0)), HYPERLINK("#",""), HYPERLINK(CONCATENATE("#Metadata!", ADDRESS(INDEX($Q$2:$Q$1001,MATCH(ROWS($O$2:O651),$O$2:$O$1001,0),0), INDEX($V$1004:$AE$1004,1,MATCH(COLUMNS($V$1006:Y1006),$V$1006:$AE$1006,0)))),"Fix")))</f>
        <v>0</v>
      </c>
      <c r="F651" s="4">
        <f>IF(OR(INDEX($P$2:$P$1001,MATCH(ROWS($O$2:O651),$O$2:$O$1001,0),1)&gt;=100000,INDEX($V$1005:$AE$1005,1,MATCH(COLUMNS($V$1006:Z1006),$V$1006:$AE$1006,0))&gt;=100000), " ",IF(INDEX($V$2:$AE$1001,MATCH(ROWS($O$2:O651),$O$2:$O$1001,0),MATCH(COLUMNS($V$1006:Z1006),$V$1006:$AE$1006,0)), HYPERLINK("#",""), HYPERLINK(CONCATENATE("#Metadata!", ADDRESS(INDEX($Q$2:$Q$1001,MATCH(ROWS($O$2:O651),$O$2:$O$1001,0),0), INDEX($V$1004:$AE$1004,1,MATCH(COLUMNS($V$1006:Z1006),$V$1006:$AE$1006,0)))),"Fix")))</f>
        <v>0</v>
      </c>
      <c r="G651" s="4">
        <f>IF(OR(INDEX($P$2:$P$1001,MATCH(ROWS($O$2:O651),$O$2:$O$1001,0),1)&gt;=100000,INDEX($V$1005:$AE$1005,1,MATCH(COLUMNS($V$1006:AA1006),$V$1006:$AE$1006,0))&gt;=100000), " ",IF(INDEX($V$2:$AE$1001,MATCH(ROWS($O$2:O651),$O$2:$O$1001,0),MATCH(COLUMNS($V$1006:AA1006),$V$1006:$AE$1006,0)), HYPERLINK("#",""), HYPERLINK(CONCATENATE("#Metadata!", ADDRESS(INDEX($Q$2:$Q$1001,MATCH(ROWS($O$2:O651),$O$2:$O$1001,0),0), INDEX($V$1004:$AE$1004,1,MATCH(COLUMNS($V$1006:AA1006),$V$1006:$AE$1006,0)))),"Fix")))</f>
        <v>0</v>
      </c>
      <c r="H651" s="4">
        <f>IF(OR(INDEX($P$2:$P$1001,MATCH(ROWS($O$2:O651),$O$2:$O$1001,0),1)&gt;=100000,INDEX($V$1005:$AE$1005,1,MATCH(COLUMNS($V$1006:AB1006),$V$1006:$AE$1006,0))&gt;=100000), " ",IF(INDEX($V$2:$AE$1001,MATCH(ROWS($O$2:O651),$O$2:$O$1001,0),MATCH(COLUMNS($V$1006:AB1006),$V$1006:$AE$1006,0)), HYPERLINK("#",""), HYPERLINK(CONCATENATE("#Metadata!", ADDRESS(INDEX($Q$2:$Q$1001,MATCH(ROWS($O$2:O651),$O$2:$O$1001,0),0), INDEX($V$1004:$AE$1004,1,MATCH(COLUMNS($V$1006:AB1006),$V$1006:$AE$1006,0)))),"Fix")))</f>
        <v>0</v>
      </c>
      <c r="I651" s="4">
        <f>IF(OR(INDEX($P$2:$P$1001,MATCH(ROWS($O$2:O651),$O$2:$O$1001,0),1)&gt;=100000,INDEX($V$1005:$AE$1005,1,MATCH(COLUMNS($V$1006:AC1006),$V$1006:$AE$1006,0))&gt;=100000), " ",IF(INDEX($V$2:$AE$1001,MATCH(ROWS($O$2:O651),$O$2:$O$1001,0),MATCH(COLUMNS($V$1006:AC1006),$V$1006:$AE$1006,0)), HYPERLINK("#",""), HYPERLINK(CONCATENATE("#Metadata!", ADDRESS(INDEX($Q$2:$Q$1001,MATCH(ROWS($O$2:O651),$O$2:$O$1001,0),0), INDEX($V$1004:$AE$1004,1,MATCH(COLUMNS($V$1006:AC1006),$V$1006:$AE$1006,0)))),"Fix")))</f>
        <v>0</v>
      </c>
      <c r="J651" s="4">
        <f>IF(OR(INDEX($P$2:$P$1001,MATCH(ROWS($O$2:O651),$O$2:$O$1001,0),1)&gt;=100000,INDEX($V$1005:$AE$1005,1,MATCH(COLUMNS($V$1006:AD1006),$V$1006:$AE$1006,0))&gt;=100000), " ",IF(INDEX($V$2:$AE$1001,MATCH(ROWS($O$2:O651),$O$2:$O$1001,0),MATCH(COLUMNS($V$1006:AD1006),$V$1006:$AE$1006,0)), HYPERLINK("#",""), HYPERLINK(CONCATENATE("#Metadata!", ADDRESS(INDEX($Q$2:$Q$1001,MATCH(ROWS($O$2:O651),$O$2:$O$1001,0),0), INDEX($V$1004:$AE$1004,1,MATCH(COLUMNS($V$1006:AD1006),$V$1006:$AE$1006,0)))),"Fix")))</f>
        <v>0</v>
      </c>
      <c r="K651" s="4">
        <f>IF(OR(INDEX($P$2:$P$1001,MATCH(ROWS($O$2:O651),$O$2:$O$1001,0),1)&gt;=100000,INDEX($V$1005:$AE$1005,1,MATCH(COLUMNS($V$1006:AE1006),$V$1006:$AE$1006,0))&gt;=100000), " ",IF(INDEX($V$2:$AE$1001,MATCH(ROWS($O$2:O651),$O$2:$O$1001,0),MATCH(COLUMNS($V$1006:AE1006),$V$1006:$AE$1006,0)), HYPERLINK("#",""), HYPERLINK(CONCATENATE("#Metadata!", ADDRESS(INDEX($Q$2:$Q$1001,MATCH(ROWS($O$2:O651),$O$2:$O$1001,0),0), INDEX($V$1004:$AE$1004,1,MATCH(COLUMNS($V$1006:AE1006),$V$1006:$AE$1006,0)))),"Fix")))</f>
        <v>0</v>
      </c>
      <c r="O651">
        <v>0</v>
      </c>
      <c r="P651">
        <v>0</v>
      </c>
      <c r="Q651">
        <v>0</v>
      </c>
      <c r="R651">
        <f>IF(S651,TRUE,AND(V651:AE651))</f>
        <v>0</v>
      </c>
      <c r="S651">
        <f>COUNTBLANK(Metadata!B651:K651)=COLUMNS(Metadata!B651:K651)</f>
        <v>0</v>
      </c>
      <c r="T651">
        <v>0</v>
      </c>
      <c r="V651">
        <f>AND(IF(Metadata!B651="",FALSE,TRUE),COUNTIF(Metadata!B:B, Metadata!B651) = 1,NOT(ISERROR(SUMPRODUCT(SEARCH(MID(Metadata!B651,ROW(INDIRECT("1:"&amp;LEN(Metadata!B651))), 1),"0123456789abcdefghijklmnopqrstuvwxyzABCDEFGHIJKLMNOPQRSTUVWXYZ.")))))</f>
        <v>0</v>
      </c>
      <c r="W651">
        <f>AND(IF(Metadata!C651="",FALSE,TRUE),exact(Metadata!C651,"urban biome"))</f>
        <v>0</v>
      </c>
      <c r="X651">
        <f>AND(IF(Metadata!D651="",FALSE,TRUE),exact(Metadata!D651,"animal-associated habitat"))</f>
        <v>0</v>
      </c>
      <c r="Y651">
        <f>OR(AND(IF(Metadata!E651="",FALSE,TRUE),OR(exact(Metadata!E651,"not applicable"),exact(Metadata!E651,"missing: not collected"),exact(Metadata!E651,"missing: not provided"),exact(Metadata!E651,"missing: restricted access"))),AND(IF(Metadata!E651="",FALSE,ISNUMBER(VALUE(Metadata!E651))),Metadata!E651&gt;0))</f>
        <v>0</v>
      </c>
      <c r="Z651">
        <f>AND(IF(Metadata!F651="",FALSE,TRUE),exact(Metadata!F651,"weeks"))</f>
        <v>0</v>
      </c>
      <c r="AA651">
        <f>AND(IF(Metadata!G651="",FALSE,TRUE),exact(Metadata!G651,"mouse"))</f>
        <v>0</v>
      </c>
      <c r="AB651">
        <f>AND(IF(Metadata!H651="",FALSE,TRUE),exact(Metadata!H651,"Mus musculus"))</f>
        <v>0</v>
      </c>
      <c r="AC651">
        <f>AND(IF(Metadata!I651="",FALSE,TRUE),exact(Metadata!I651,"10090"))</f>
        <v>0</v>
      </c>
      <c r="AD651">
        <f>OR(AND(IF(Metadata!J651="",FALSE,TRUE),OR(exact(Metadata!J651,"not applicable"),exact(Metadata!J651,"missing: not collected"),exact(Metadata!J651,"missing: not provided"),exact(Metadata!J651,"missing: restricted access"))),AND(IF(Metadata!J651="",FALSE,ISNUMBER(VALUE(Metadata!J651))),Metadata!J651&gt;0))</f>
        <v>0</v>
      </c>
      <c r="AE651">
        <f>AND(IF(Metadata!K651="",FALSE,TRUE),exact(Metadata!K651,"g"))</f>
        <v>0</v>
      </c>
    </row>
    <row r="652" spans="1:31">
      <c r="A652" s="5">
        <f>IF(B652=" "," ",HYPERLINK(CONCATENATE("#metadata!",ADDRESS(INDEX($Q$2:$Q$1001,MATCH(ROWS($O$2:O652),$O$2:$O$1001,0),0),1)),INDEX($T$2:$T$1001,MATCH(ROWS($O$2:O652),$O$2:$O$1001,0),0)))</f>
        <v>0</v>
      </c>
      <c r="B652" s="4">
        <f>IF(OR(INDEX($P$2:$P$1001,MATCH(ROWS($O$2:O652),$O$2:$O$1001,0),1)&gt;=100000,INDEX($V$1005:$AE$1005,1,MATCH(COLUMNS($V$1006:V1006),$V$1006:$AE$1006,0))&gt;=100000), " ",IF(INDEX($V$2:$AE$1001,MATCH(ROWS($O$2:O652),$O$2:$O$1001,0),MATCH(COLUMNS($V$1006:V1006),$V$1006:$AE$1006,0)), HYPERLINK("#",""), HYPERLINK(CONCATENATE("#Metadata!", ADDRESS(INDEX($Q$2:$Q$1001,MATCH(ROWS($O$2:O652),$O$2:$O$1001,0),0), INDEX($V$1004:$AE$1004,1,MATCH(COLUMNS($V$1006:V1006),$V$1006:$AE$1006,0)))),"Fix")))</f>
        <v>0</v>
      </c>
      <c r="C652" s="4">
        <f>IF(OR(INDEX($P$2:$P$1001,MATCH(ROWS($O$2:O652),$O$2:$O$1001,0),1)&gt;=100000,INDEX($V$1005:$AE$1005,1,MATCH(COLUMNS($V$1006:W1006),$V$1006:$AE$1006,0))&gt;=100000), " ",IF(INDEX($V$2:$AE$1001,MATCH(ROWS($O$2:O652),$O$2:$O$1001,0),MATCH(COLUMNS($V$1006:W1006),$V$1006:$AE$1006,0)), HYPERLINK("#",""), HYPERLINK(CONCATENATE("#Metadata!", ADDRESS(INDEX($Q$2:$Q$1001,MATCH(ROWS($O$2:O652),$O$2:$O$1001,0),0), INDEX($V$1004:$AE$1004,1,MATCH(COLUMNS($V$1006:W1006),$V$1006:$AE$1006,0)))),"Fix")))</f>
        <v>0</v>
      </c>
      <c r="D652" s="4">
        <f>IF(OR(INDEX($P$2:$P$1001,MATCH(ROWS($O$2:O652),$O$2:$O$1001,0),1)&gt;=100000,INDEX($V$1005:$AE$1005,1,MATCH(COLUMNS($V$1006:X1006),$V$1006:$AE$1006,0))&gt;=100000), " ",IF(INDEX($V$2:$AE$1001,MATCH(ROWS($O$2:O652),$O$2:$O$1001,0),MATCH(COLUMNS($V$1006:X1006),$V$1006:$AE$1006,0)), HYPERLINK("#",""), HYPERLINK(CONCATENATE("#Metadata!", ADDRESS(INDEX($Q$2:$Q$1001,MATCH(ROWS($O$2:O652),$O$2:$O$1001,0),0), INDEX($V$1004:$AE$1004,1,MATCH(COLUMNS($V$1006:X1006),$V$1006:$AE$1006,0)))),"Fix")))</f>
        <v>0</v>
      </c>
      <c r="E652" s="4">
        <f>IF(OR(INDEX($P$2:$P$1001,MATCH(ROWS($O$2:O652),$O$2:$O$1001,0),1)&gt;=100000,INDEX($V$1005:$AE$1005,1,MATCH(COLUMNS($V$1006:Y1006),$V$1006:$AE$1006,0))&gt;=100000), " ",IF(INDEX($V$2:$AE$1001,MATCH(ROWS($O$2:O652),$O$2:$O$1001,0),MATCH(COLUMNS($V$1006:Y1006),$V$1006:$AE$1006,0)), HYPERLINK("#",""), HYPERLINK(CONCATENATE("#Metadata!", ADDRESS(INDEX($Q$2:$Q$1001,MATCH(ROWS($O$2:O652),$O$2:$O$1001,0),0), INDEX($V$1004:$AE$1004,1,MATCH(COLUMNS($V$1006:Y1006),$V$1006:$AE$1006,0)))),"Fix")))</f>
        <v>0</v>
      </c>
      <c r="F652" s="4">
        <f>IF(OR(INDEX($P$2:$P$1001,MATCH(ROWS($O$2:O652),$O$2:$O$1001,0),1)&gt;=100000,INDEX($V$1005:$AE$1005,1,MATCH(COLUMNS($V$1006:Z1006),$V$1006:$AE$1006,0))&gt;=100000), " ",IF(INDEX($V$2:$AE$1001,MATCH(ROWS($O$2:O652),$O$2:$O$1001,0),MATCH(COLUMNS($V$1006:Z1006),$V$1006:$AE$1006,0)), HYPERLINK("#",""), HYPERLINK(CONCATENATE("#Metadata!", ADDRESS(INDEX($Q$2:$Q$1001,MATCH(ROWS($O$2:O652),$O$2:$O$1001,0),0), INDEX($V$1004:$AE$1004,1,MATCH(COLUMNS($V$1006:Z1006),$V$1006:$AE$1006,0)))),"Fix")))</f>
        <v>0</v>
      </c>
      <c r="G652" s="4">
        <f>IF(OR(INDEX($P$2:$P$1001,MATCH(ROWS($O$2:O652),$O$2:$O$1001,0),1)&gt;=100000,INDEX($V$1005:$AE$1005,1,MATCH(COLUMNS($V$1006:AA1006),$V$1006:$AE$1006,0))&gt;=100000), " ",IF(INDEX($V$2:$AE$1001,MATCH(ROWS($O$2:O652),$O$2:$O$1001,0),MATCH(COLUMNS($V$1006:AA1006),$V$1006:$AE$1006,0)), HYPERLINK("#",""), HYPERLINK(CONCATENATE("#Metadata!", ADDRESS(INDEX($Q$2:$Q$1001,MATCH(ROWS($O$2:O652),$O$2:$O$1001,0),0), INDEX($V$1004:$AE$1004,1,MATCH(COLUMNS($V$1006:AA1006),$V$1006:$AE$1006,0)))),"Fix")))</f>
        <v>0</v>
      </c>
      <c r="H652" s="4">
        <f>IF(OR(INDEX($P$2:$P$1001,MATCH(ROWS($O$2:O652),$O$2:$O$1001,0),1)&gt;=100000,INDEX($V$1005:$AE$1005,1,MATCH(COLUMNS($V$1006:AB1006),$V$1006:$AE$1006,0))&gt;=100000), " ",IF(INDEX($V$2:$AE$1001,MATCH(ROWS($O$2:O652),$O$2:$O$1001,0),MATCH(COLUMNS($V$1006:AB1006),$V$1006:$AE$1006,0)), HYPERLINK("#",""), HYPERLINK(CONCATENATE("#Metadata!", ADDRESS(INDEX($Q$2:$Q$1001,MATCH(ROWS($O$2:O652),$O$2:$O$1001,0),0), INDEX($V$1004:$AE$1004,1,MATCH(COLUMNS($V$1006:AB1006),$V$1006:$AE$1006,0)))),"Fix")))</f>
        <v>0</v>
      </c>
      <c r="I652" s="4">
        <f>IF(OR(INDEX($P$2:$P$1001,MATCH(ROWS($O$2:O652),$O$2:$O$1001,0),1)&gt;=100000,INDEX($V$1005:$AE$1005,1,MATCH(COLUMNS($V$1006:AC1006),$V$1006:$AE$1006,0))&gt;=100000), " ",IF(INDEX($V$2:$AE$1001,MATCH(ROWS($O$2:O652),$O$2:$O$1001,0),MATCH(COLUMNS($V$1006:AC1006),$V$1006:$AE$1006,0)), HYPERLINK("#",""), HYPERLINK(CONCATENATE("#Metadata!", ADDRESS(INDEX($Q$2:$Q$1001,MATCH(ROWS($O$2:O652),$O$2:$O$1001,0),0), INDEX($V$1004:$AE$1004,1,MATCH(COLUMNS($V$1006:AC1006),$V$1006:$AE$1006,0)))),"Fix")))</f>
        <v>0</v>
      </c>
      <c r="J652" s="4">
        <f>IF(OR(INDEX($P$2:$P$1001,MATCH(ROWS($O$2:O652),$O$2:$O$1001,0),1)&gt;=100000,INDEX($V$1005:$AE$1005,1,MATCH(COLUMNS($V$1006:AD1006),$V$1006:$AE$1006,0))&gt;=100000), " ",IF(INDEX($V$2:$AE$1001,MATCH(ROWS($O$2:O652),$O$2:$O$1001,0),MATCH(COLUMNS($V$1006:AD1006),$V$1006:$AE$1006,0)), HYPERLINK("#",""), HYPERLINK(CONCATENATE("#Metadata!", ADDRESS(INDEX($Q$2:$Q$1001,MATCH(ROWS($O$2:O652),$O$2:$O$1001,0),0), INDEX($V$1004:$AE$1004,1,MATCH(COLUMNS($V$1006:AD1006),$V$1006:$AE$1006,0)))),"Fix")))</f>
        <v>0</v>
      </c>
      <c r="K652" s="4">
        <f>IF(OR(INDEX($P$2:$P$1001,MATCH(ROWS($O$2:O652),$O$2:$O$1001,0),1)&gt;=100000,INDEX($V$1005:$AE$1005,1,MATCH(COLUMNS($V$1006:AE1006),$V$1006:$AE$1006,0))&gt;=100000), " ",IF(INDEX($V$2:$AE$1001,MATCH(ROWS($O$2:O652),$O$2:$O$1001,0),MATCH(COLUMNS($V$1006:AE1006),$V$1006:$AE$1006,0)), HYPERLINK("#",""), HYPERLINK(CONCATENATE("#Metadata!", ADDRESS(INDEX($Q$2:$Q$1001,MATCH(ROWS($O$2:O652),$O$2:$O$1001,0),0), INDEX($V$1004:$AE$1004,1,MATCH(COLUMNS($V$1006:AE1006),$V$1006:$AE$1006,0)))),"Fix")))</f>
        <v>0</v>
      </c>
      <c r="O652">
        <v>0</v>
      </c>
      <c r="P652">
        <v>0</v>
      </c>
      <c r="Q652">
        <v>0</v>
      </c>
      <c r="R652">
        <f>IF(S652,TRUE,AND(V652:AE652))</f>
        <v>0</v>
      </c>
      <c r="S652">
        <f>COUNTBLANK(Metadata!B652:K652)=COLUMNS(Metadata!B652:K652)</f>
        <v>0</v>
      </c>
      <c r="T652">
        <v>0</v>
      </c>
      <c r="V652">
        <f>AND(IF(Metadata!B652="",FALSE,TRUE),COUNTIF(Metadata!B:B, Metadata!B652) = 1,NOT(ISERROR(SUMPRODUCT(SEARCH(MID(Metadata!B652,ROW(INDIRECT("1:"&amp;LEN(Metadata!B652))), 1),"0123456789abcdefghijklmnopqrstuvwxyzABCDEFGHIJKLMNOPQRSTUVWXYZ.")))))</f>
        <v>0</v>
      </c>
      <c r="W652">
        <f>AND(IF(Metadata!C652="",FALSE,TRUE),exact(Metadata!C652,"urban biome"))</f>
        <v>0</v>
      </c>
      <c r="X652">
        <f>AND(IF(Metadata!D652="",FALSE,TRUE),exact(Metadata!D652,"animal-associated habitat"))</f>
        <v>0</v>
      </c>
      <c r="Y652">
        <f>OR(AND(IF(Metadata!E652="",FALSE,TRUE),OR(exact(Metadata!E652,"not applicable"),exact(Metadata!E652,"missing: not collected"),exact(Metadata!E652,"missing: not provided"),exact(Metadata!E652,"missing: restricted access"))),AND(IF(Metadata!E652="",FALSE,ISNUMBER(VALUE(Metadata!E652))),Metadata!E652&gt;0))</f>
        <v>0</v>
      </c>
      <c r="Z652">
        <f>AND(IF(Metadata!F652="",FALSE,TRUE),exact(Metadata!F652,"weeks"))</f>
        <v>0</v>
      </c>
      <c r="AA652">
        <f>AND(IF(Metadata!G652="",FALSE,TRUE),exact(Metadata!G652,"mouse"))</f>
        <v>0</v>
      </c>
      <c r="AB652">
        <f>AND(IF(Metadata!H652="",FALSE,TRUE),exact(Metadata!H652,"Mus musculus"))</f>
        <v>0</v>
      </c>
      <c r="AC652">
        <f>AND(IF(Metadata!I652="",FALSE,TRUE),exact(Metadata!I652,"10090"))</f>
        <v>0</v>
      </c>
      <c r="AD652">
        <f>OR(AND(IF(Metadata!J652="",FALSE,TRUE),OR(exact(Metadata!J652,"not applicable"),exact(Metadata!J652,"missing: not collected"),exact(Metadata!J652,"missing: not provided"),exact(Metadata!J652,"missing: restricted access"))),AND(IF(Metadata!J652="",FALSE,ISNUMBER(VALUE(Metadata!J652))),Metadata!J652&gt;0))</f>
        <v>0</v>
      </c>
      <c r="AE652">
        <f>AND(IF(Metadata!K652="",FALSE,TRUE),exact(Metadata!K652,"g"))</f>
        <v>0</v>
      </c>
    </row>
    <row r="653" spans="1:31">
      <c r="A653" s="5">
        <f>IF(B653=" "," ",HYPERLINK(CONCATENATE("#metadata!",ADDRESS(INDEX($Q$2:$Q$1001,MATCH(ROWS($O$2:O653),$O$2:$O$1001,0),0),1)),INDEX($T$2:$T$1001,MATCH(ROWS($O$2:O653),$O$2:$O$1001,0),0)))</f>
        <v>0</v>
      </c>
      <c r="B653" s="4">
        <f>IF(OR(INDEX($P$2:$P$1001,MATCH(ROWS($O$2:O653),$O$2:$O$1001,0),1)&gt;=100000,INDEX($V$1005:$AE$1005,1,MATCH(COLUMNS($V$1006:V1006),$V$1006:$AE$1006,0))&gt;=100000), " ",IF(INDEX($V$2:$AE$1001,MATCH(ROWS($O$2:O653),$O$2:$O$1001,0),MATCH(COLUMNS($V$1006:V1006),$V$1006:$AE$1006,0)), HYPERLINK("#",""), HYPERLINK(CONCATENATE("#Metadata!", ADDRESS(INDEX($Q$2:$Q$1001,MATCH(ROWS($O$2:O653),$O$2:$O$1001,0),0), INDEX($V$1004:$AE$1004,1,MATCH(COLUMNS($V$1006:V1006),$V$1006:$AE$1006,0)))),"Fix")))</f>
        <v>0</v>
      </c>
      <c r="C653" s="4">
        <f>IF(OR(INDEX($P$2:$P$1001,MATCH(ROWS($O$2:O653),$O$2:$O$1001,0),1)&gt;=100000,INDEX($V$1005:$AE$1005,1,MATCH(COLUMNS($V$1006:W1006),$V$1006:$AE$1006,0))&gt;=100000), " ",IF(INDEX($V$2:$AE$1001,MATCH(ROWS($O$2:O653),$O$2:$O$1001,0),MATCH(COLUMNS($V$1006:W1006),$V$1006:$AE$1006,0)), HYPERLINK("#",""), HYPERLINK(CONCATENATE("#Metadata!", ADDRESS(INDEX($Q$2:$Q$1001,MATCH(ROWS($O$2:O653),$O$2:$O$1001,0),0), INDEX($V$1004:$AE$1004,1,MATCH(COLUMNS($V$1006:W1006),$V$1006:$AE$1006,0)))),"Fix")))</f>
        <v>0</v>
      </c>
      <c r="D653" s="4">
        <f>IF(OR(INDEX($P$2:$P$1001,MATCH(ROWS($O$2:O653),$O$2:$O$1001,0),1)&gt;=100000,INDEX($V$1005:$AE$1005,1,MATCH(COLUMNS($V$1006:X1006),$V$1006:$AE$1006,0))&gt;=100000), " ",IF(INDEX($V$2:$AE$1001,MATCH(ROWS($O$2:O653),$O$2:$O$1001,0),MATCH(COLUMNS($V$1006:X1006),$V$1006:$AE$1006,0)), HYPERLINK("#",""), HYPERLINK(CONCATENATE("#Metadata!", ADDRESS(INDEX($Q$2:$Q$1001,MATCH(ROWS($O$2:O653),$O$2:$O$1001,0),0), INDEX($V$1004:$AE$1004,1,MATCH(COLUMNS($V$1006:X1006),$V$1006:$AE$1006,0)))),"Fix")))</f>
        <v>0</v>
      </c>
      <c r="E653" s="4">
        <f>IF(OR(INDEX($P$2:$P$1001,MATCH(ROWS($O$2:O653),$O$2:$O$1001,0),1)&gt;=100000,INDEX($V$1005:$AE$1005,1,MATCH(COLUMNS($V$1006:Y1006),$V$1006:$AE$1006,0))&gt;=100000), " ",IF(INDEX($V$2:$AE$1001,MATCH(ROWS($O$2:O653),$O$2:$O$1001,0),MATCH(COLUMNS($V$1006:Y1006),$V$1006:$AE$1006,0)), HYPERLINK("#",""), HYPERLINK(CONCATENATE("#Metadata!", ADDRESS(INDEX($Q$2:$Q$1001,MATCH(ROWS($O$2:O653),$O$2:$O$1001,0),0), INDEX($V$1004:$AE$1004,1,MATCH(COLUMNS($V$1006:Y1006),$V$1006:$AE$1006,0)))),"Fix")))</f>
        <v>0</v>
      </c>
      <c r="F653" s="4">
        <f>IF(OR(INDEX($P$2:$P$1001,MATCH(ROWS($O$2:O653),$O$2:$O$1001,0),1)&gt;=100000,INDEX($V$1005:$AE$1005,1,MATCH(COLUMNS($V$1006:Z1006),$V$1006:$AE$1006,0))&gt;=100000), " ",IF(INDEX($V$2:$AE$1001,MATCH(ROWS($O$2:O653),$O$2:$O$1001,0),MATCH(COLUMNS($V$1006:Z1006),$V$1006:$AE$1006,0)), HYPERLINK("#",""), HYPERLINK(CONCATENATE("#Metadata!", ADDRESS(INDEX($Q$2:$Q$1001,MATCH(ROWS($O$2:O653),$O$2:$O$1001,0),0), INDEX($V$1004:$AE$1004,1,MATCH(COLUMNS($V$1006:Z1006),$V$1006:$AE$1006,0)))),"Fix")))</f>
        <v>0</v>
      </c>
      <c r="G653" s="4">
        <f>IF(OR(INDEX($P$2:$P$1001,MATCH(ROWS($O$2:O653),$O$2:$O$1001,0),1)&gt;=100000,INDEX($V$1005:$AE$1005,1,MATCH(COLUMNS($V$1006:AA1006),$V$1006:$AE$1006,0))&gt;=100000), " ",IF(INDEX($V$2:$AE$1001,MATCH(ROWS($O$2:O653),$O$2:$O$1001,0),MATCH(COLUMNS($V$1006:AA1006),$V$1006:$AE$1006,0)), HYPERLINK("#",""), HYPERLINK(CONCATENATE("#Metadata!", ADDRESS(INDEX($Q$2:$Q$1001,MATCH(ROWS($O$2:O653),$O$2:$O$1001,0),0), INDEX($V$1004:$AE$1004,1,MATCH(COLUMNS($V$1006:AA1006),$V$1006:$AE$1006,0)))),"Fix")))</f>
        <v>0</v>
      </c>
      <c r="H653" s="4">
        <f>IF(OR(INDEX($P$2:$P$1001,MATCH(ROWS($O$2:O653),$O$2:$O$1001,0),1)&gt;=100000,INDEX($V$1005:$AE$1005,1,MATCH(COLUMNS($V$1006:AB1006),$V$1006:$AE$1006,0))&gt;=100000), " ",IF(INDEX($V$2:$AE$1001,MATCH(ROWS($O$2:O653),$O$2:$O$1001,0),MATCH(COLUMNS($V$1006:AB1006),$V$1006:$AE$1006,0)), HYPERLINK("#",""), HYPERLINK(CONCATENATE("#Metadata!", ADDRESS(INDEX($Q$2:$Q$1001,MATCH(ROWS($O$2:O653),$O$2:$O$1001,0),0), INDEX($V$1004:$AE$1004,1,MATCH(COLUMNS($V$1006:AB1006),$V$1006:$AE$1006,0)))),"Fix")))</f>
        <v>0</v>
      </c>
      <c r="I653" s="4">
        <f>IF(OR(INDEX($P$2:$P$1001,MATCH(ROWS($O$2:O653),$O$2:$O$1001,0),1)&gt;=100000,INDEX($V$1005:$AE$1005,1,MATCH(COLUMNS($V$1006:AC1006),$V$1006:$AE$1006,0))&gt;=100000), " ",IF(INDEX($V$2:$AE$1001,MATCH(ROWS($O$2:O653),$O$2:$O$1001,0),MATCH(COLUMNS($V$1006:AC1006),$V$1006:$AE$1006,0)), HYPERLINK("#",""), HYPERLINK(CONCATENATE("#Metadata!", ADDRESS(INDEX($Q$2:$Q$1001,MATCH(ROWS($O$2:O653),$O$2:$O$1001,0),0), INDEX($V$1004:$AE$1004,1,MATCH(COLUMNS($V$1006:AC1006),$V$1006:$AE$1006,0)))),"Fix")))</f>
        <v>0</v>
      </c>
      <c r="J653" s="4">
        <f>IF(OR(INDEX($P$2:$P$1001,MATCH(ROWS($O$2:O653),$O$2:$O$1001,0),1)&gt;=100000,INDEX($V$1005:$AE$1005,1,MATCH(COLUMNS($V$1006:AD1006),$V$1006:$AE$1006,0))&gt;=100000), " ",IF(INDEX($V$2:$AE$1001,MATCH(ROWS($O$2:O653),$O$2:$O$1001,0),MATCH(COLUMNS($V$1006:AD1006),$V$1006:$AE$1006,0)), HYPERLINK("#",""), HYPERLINK(CONCATENATE("#Metadata!", ADDRESS(INDEX($Q$2:$Q$1001,MATCH(ROWS($O$2:O653),$O$2:$O$1001,0),0), INDEX($V$1004:$AE$1004,1,MATCH(COLUMNS($V$1006:AD1006),$V$1006:$AE$1006,0)))),"Fix")))</f>
        <v>0</v>
      </c>
      <c r="K653" s="4">
        <f>IF(OR(INDEX($P$2:$P$1001,MATCH(ROWS($O$2:O653),$O$2:$O$1001,0),1)&gt;=100000,INDEX($V$1005:$AE$1005,1,MATCH(COLUMNS($V$1006:AE1006),$V$1006:$AE$1006,0))&gt;=100000), " ",IF(INDEX($V$2:$AE$1001,MATCH(ROWS($O$2:O653),$O$2:$O$1001,0),MATCH(COLUMNS($V$1006:AE1006),$V$1006:$AE$1006,0)), HYPERLINK("#",""), HYPERLINK(CONCATENATE("#Metadata!", ADDRESS(INDEX($Q$2:$Q$1001,MATCH(ROWS($O$2:O653),$O$2:$O$1001,0),0), INDEX($V$1004:$AE$1004,1,MATCH(COLUMNS($V$1006:AE1006),$V$1006:$AE$1006,0)))),"Fix")))</f>
        <v>0</v>
      </c>
      <c r="O653">
        <v>0</v>
      </c>
      <c r="P653">
        <v>0</v>
      </c>
      <c r="Q653">
        <v>0</v>
      </c>
      <c r="R653">
        <f>IF(S653,TRUE,AND(V653:AE653))</f>
        <v>0</v>
      </c>
      <c r="S653">
        <f>COUNTBLANK(Metadata!B653:K653)=COLUMNS(Metadata!B653:K653)</f>
        <v>0</v>
      </c>
      <c r="T653">
        <v>0</v>
      </c>
      <c r="V653">
        <f>AND(IF(Metadata!B653="",FALSE,TRUE),COUNTIF(Metadata!B:B, Metadata!B653) = 1,NOT(ISERROR(SUMPRODUCT(SEARCH(MID(Metadata!B653,ROW(INDIRECT("1:"&amp;LEN(Metadata!B653))), 1),"0123456789abcdefghijklmnopqrstuvwxyzABCDEFGHIJKLMNOPQRSTUVWXYZ.")))))</f>
        <v>0</v>
      </c>
      <c r="W653">
        <f>AND(IF(Metadata!C653="",FALSE,TRUE),exact(Metadata!C653,"urban biome"))</f>
        <v>0</v>
      </c>
      <c r="X653">
        <f>AND(IF(Metadata!D653="",FALSE,TRUE),exact(Metadata!D653,"animal-associated habitat"))</f>
        <v>0</v>
      </c>
      <c r="Y653">
        <f>OR(AND(IF(Metadata!E653="",FALSE,TRUE),OR(exact(Metadata!E653,"not applicable"),exact(Metadata!E653,"missing: not collected"),exact(Metadata!E653,"missing: not provided"),exact(Metadata!E653,"missing: restricted access"))),AND(IF(Metadata!E653="",FALSE,ISNUMBER(VALUE(Metadata!E653))),Metadata!E653&gt;0))</f>
        <v>0</v>
      </c>
      <c r="Z653">
        <f>AND(IF(Metadata!F653="",FALSE,TRUE),exact(Metadata!F653,"weeks"))</f>
        <v>0</v>
      </c>
      <c r="AA653">
        <f>AND(IF(Metadata!G653="",FALSE,TRUE),exact(Metadata!G653,"mouse"))</f>
        <v>0</v>
      </c>
      <c r="AB653">
        <f>AND(IF(Metadata!H653="",FALSE,TRUE),exact(Metadata!H653,"Mus musculus"))</f>
        <v>0</v>
      </c>
      <c r="AC653">
        <f>AND(IF(Metadata!I653="",FALSE,TRUE),exact(Metadata!I653,"10090"))</f>
        <v>0</v>
      </c>
      <c r="AD653">
        <f>OR(AND(IF(Metadata!J653="",FALSE,TRUE),OR(exact(Metadata!J653,"not applicable"),exact(Metadata!J653,"missing: not collected"),exact(Metadata!J653,"missing: not provided"),exact(Metadata!J653,"missing: restricted access"))),AND(IF(Metadata!J653="",FALSE,ISNUMBER(VALUE(Metadata!J653))),Metadata!J653&gt;0))</f>
        <v>0</v>
      </c>
      <c r="AE653">
        <f>AND(IF(Metadata!K653="",FALSE,TRUE),exact(Metadata!K653,"g"))</f>
        <v>0</v>
      </c>
    </row>
    <row r="654" spans="1:31">
      <c r="A654" s="5">
        <f>IF(B654=" "," ",HYPERLINK(CONCATENATE("#metadata!",ADDRESS(INDEX($Q$2:$Q$1001,MATCH(ROWS($O$2:O654),$O$2:$O$1001,0),0),1)),INDEX($T$2:$T$1001,MATCH(ROWS($O$2:O654),$O$2:$O$1001,0),0)))</f>
        <v>0</v>
      </c>
      <c r="B654" s="4">
        <f>IF(OR(INDEX($P$2:$P$1001,MATCH(ROWS($O$2:O654),$O$2:$O$1001,0),1)&gt;=100000,INDEX($V$1005:$AE$1005,1,MATCH(COLUMNS($V$1006:V1006),$V$1006:$AE$1006,0))&gt;=100000), " ",IF(INDEX($V$2:$AE$1001,MATCH(ROWS($O$2:O654),$O$2:$O$1001,0),MATCH(COLUMNS($V$1006:V1006),$V$1006:$AE$1006,0)), HYPERLINK("#",""), HYPERLINK(CONCATENATE("#Metadata!", ADDRESS(INDEX($Q$2:$Q$1001,MATCH(ROWS($O$2:O654),$O$2:$O$1001,0),0), INDEX($V$1004:$AE$1004,1,MATCH(COLUMNS($V$1006:V1006),$V$1006:$AE$1006,0)))),"Fix")))</f>
        <v>0</v>
      </c>
      <c r="C654" s="4">
        <f>IF(OR(INDEX($P$2:$P$1001,MATCH(ROWS($O$2:O654),$O$2:$O$1001,0),1)&gt;=100000,INDEX($V$1005:$AE$1005,1,MATCH(COLUMNS($V$1006:W1006),$V$1006:$AE$1006,0))&gt;=100000), " ",IF(INDEX($V$2:$AE$1001,MATCH(ROWS($O$2:O654),$O$2:$O$1001,0),MATCH(COLUMNS($V$1006:W1006),$V$1006:$AE$1006,0)), HYPERLINK("#",""), HYPERLINK(CONCATENATE("#Metadata!", ADDRESS(INDEX($Q$2:$Q$1001,MATCH(ROWS($O$2:O654),$O$2:$O$1001,0),0), INDEX($V$1004:$AE$1004,1,MATCH(COLUMNS($V$1006:W1006),$V$1006:$AE$1006,0)))),"Fix")))</f>
        <v>0</v>
      </c>
      <c r="D654" s="4">
        <f>IF(OR(INDEX($P$2:$P$1001,MATCH(ROWS($O$2:O654),$O$2:$O$1001,0),1)&gt;=100000,INDEX($V$1005:$AE$1005,1,MATCH(COLUMNS($V$1006:X1006),$V$1006:$AE$1006,0))&gt;=100000), " ",IF(INDEX($V$2:$AE$1001,MATCH(ROWS($O$2:O654),$O$2:$O$1001,0),MATCH(COLUMNS($V$1006:X1006),$V$1006:$AE$1006,0)), HYPERLINK("#",""), HYPERLINK(CONCATENATE("#Metadata!", ADDRESS(INDEX($Q$2:$Q$1001,MATCH(ROWS($O$2:O654),$O$2:$O$1001,0),0), INDEX($V$1004:$AE$1004,1,MATCH(COLUMNS($V$1006:X1006),$V$1006:$AE$1006,0)))),"Fix")))</f>
        <v>0</v>
      </c>
      <c r="E654" s="4">
        <f>IF(OR(INDEX($P$2:$P$1001,MATCH(ROWS($O$2:O654),$O$2:$O$1001,0),1)&gt;=100000,INDEX($V$1005:$AE$1005,1,MATCH(COLUMNS($V$1006:Y1006),$V$1006:$AE$1006,0))&gt;=100000), " ",IF(INDEX($V$2:$AE$1001,MATCH(ROWS($O$2:O654),$O$2:$O$1001,0),MATCH(COLUMNS($V$1006:Y1006),$V$1006:$AE$1006,0)), HYPERLINK("#",""), HYPERLINK(CONCATENATE("#Metadata!", ADDRESS(INDEX($Q$2:$Q$1001,MATCH(ROWS($O$2:O654),$O$2:$O$1001,0),0), INDEX($V$1004:$AE$1004,1,MATCH(COLUMNS($V$1006:Y1006),$V$1006:$AE$1006,0)))),"Fix")))</f>
        <v>0</v>
      </c>
      <c r="F654" s="4">
        <f>IF(OR(INDEX($P$2:$P$1001,MATCH(ROWS($O$2:O654),$O$2:$O$1001,0),1)&gt;=100000,INDEX($V$1005:$AE$1005,1,MATCH(COLUMNS($V$1006:Z1006),$V$1006:$AE$1006,0))&gt;=100000), " ",IF(INDEX($V$2:$AE$1001,MATCH(ROWS($O$2:O654),$O$2:$O$1001,0),MATCH(COLUMNS($V$1006:Z1006),$V$1006:$AE$1006,0)), HYPERLINK("#",""), HYPERLINK(CONCATENATE("#Metadata!", ADDRESS(INDEX($Q$2:$Q$1001,MATCH(ROWS($O$2:O654),$O$2:$O$1001,0),0), INDEX($V$1004:$AE$1004,1,MATCH(COLUMNS($V$1006:Z1006),$V$1006:$AE$1006,0)))),"Fix")))</f>
        <v>0</v>
      </c>
      <c r="G654" s="4">
        <f>IF(OR(INDEX($P$2:$P$1001,MATCH(ROWS($O$2:O654),$O$2:$O$1001,0),1)&gt;=100000,INDEX($V$1005:$AE$1005,1,MATCH(COLUMNS($V$1006:AA1006),$V$1006:$AE$1006,0))&gt;=100000), " ",IF(INDEX($V$2:$AE$1001,MATCH(ROWS($O$2:O654),$O$2:$O$1001,0),MATCH(COLUMNS($V$1006:AA1006),$V$1006:$AE$1006,0)), HYPERLINK("#",""), HYPERLINK(CONCATENATE("#Metadata!", ADDRESS(INDEX($Q$2:$Q$1001,MATCH(ROWS($O$2:O654),$O$2:$O$1001,0),0), INDEX($V$1004:$AE$1004,1,MATCH(COLUMNS($V$1006:AA1006),$V$1006:$AE$1006,0)))),"Fix")))</f>
        <v>0</v>
      </c>
      <c r="H654" s="4">
        <f>IF(OR(INDEX($P$2:$P$1001,MATCH(ROWS($O$2:O654),$O$2:$O$1001,0),1)&gt;=100000,INDEX($V$1005:$AE$1005,1,MATCH(COLUMNS($V$1006:AB1006),$V$1006:$AE$1006,0))&gt;=100000), " ",IF(INDEX($V$2:$AE$1001,MATCH(ROWS($O$2:O654),$O$2:$O$1001,0),MATCH(COLUMNS($V$1006:AB1006),$V$1006:$AE$1006,0)), HYPERLINK("#",""), HYPERLINK(CONCATENATE("#Metadata!", ADDRESS(INDEX($Q$2:$Q$1001,MATCH(ROWS($O$2:O654),$O$2:$O$1001,0),0), INDEX($V$1004:$AE$1004,1,MATCH(COLUMNS($V$1006:AB1006),$V$1006:$AE$1006,0)))),"Fix")))</f>
        <v>0</v>
      </c>
      <c r="I654" s="4">
        <f>IF(OR(INDEX($P$2:$P$1001,MATCH(ROWS($O$2:O654),$O$2:$O$1001,0),1)&gt;=100000,INDEX($V$1005:$AE$1005,1,MATCH(COLUMNS($V$1006:AC1006),$V$1006:$AE$1006,0))&gt;=100000), " ",IF(INDEX($V$2:$AE$1001,MATCH(ROWS($O$2:O654),$O$2:$O$1001,0),MATCH(COLUMNS($V$1006:AC1006),$V$1006:$AE$1006,0)), HYPERLINK("#",""), HYPERLINK(CONCATENATE("#Metadata!", ADDRESS(INDEX($Q$2:$Q$1001,MATCH(ROWS($O$2:O654),$O$2:$O$1001,0),0), INDEX($V$1004:$AE$1004,1,MATCH(COLUMNS($V$1006:AC1006),$V$1006:$AE$1006,0)))),"Fix")))</f>
        <v>0</v>
      </c>
      <c r="J654" s="4">
        <f>IF(OR(INDEX($P$2:$P$1001,MATCH(ROWS($O$2:O654),$O$2:$O$1001,0),1)&gt;=100000,INDEX($V$1005:$AE$1005,1,MATCH(COLUMNS($V$1006:AD1006),$V$1006:$AE$1006,0))&gt;=100000), " ",IF(INDEX($V$2:$AE$1001,MATCH(ROWS($O$2:O654),$O$2:$O$1001,0),MATCH(COLUMNS($V$1006:AD1006),$V$1006:$AE$1006,0)), HYPERLINK("#",""), HYPERLINK(CONCATENATE("#Metadata!", ADDRESS(INDEX($Q$2:$Q$1001,MATCH(ROWS($O$2:O654),$O$2:$O$1001,0),0), INDEX($V$1004:$AE$1004,1,MATCH(COLUMNS($V$1006:AD1006),$V$1006:$AE$1006,0)))),"Fix")))</f>
        <v>0</v>
      </c>
      <c r="K654" s="4">
        <f>IF(OR(INDEX($P$2:$P$1001,MATCH(ROWS($O$2:O654),$O$2:$O$1001,0),1)&gt;=100000,INDEX($V$1005:$AE$1005,1,MATCH(COLUMNS($V$1006:AE1006),$V$1006:$AE$1006,0))&gt;=100000), " ",IF(INDEX($V$2:$AE$1001,MATCH(ROWS($O$2:O654),$O$2:$O$1001,0),MATCH(COLUMNS($V$1006:AE1006),$V$1006:$AE$1006,0)), HYPERLINK("#",""), HYPERLINK(CONCATENATE("#Metadata!", ADDRESS(INDEX($Q$2:$Q$1001,MATCH(ROWS($O$2:O654),$O$2:$O$1001,0),0), INDEX($V$1004:$AE$1004,1,MATCH(COLUMNS($V$1006:AE1006),$V$1006:$AE$1006,0)))),"Fix")))</f>
        <v>0</v>
      </c>
      <c r="O654">
        <v>0</v>
      </c>
      <c r="P654">
        <v>0</v>
      </c>
      <c r="Q654">
        <v>0</v>
      </c>
      <c r="R654">
        <f>IF(S654,TRUE,AND(V654:AE654))</f>
        <v>0</v>
      </c>
      <c r="S654">
        <f>COUNTBLANK(Metadata!B654:K654)=COLUMNS(Metadata!B654:K654)</f>
        <v>0</v>
      </c>
      <c r="T654">
        <v>0</v>
      </c>
      <c r="V654">
        <f>AND(IF(Metadata!B654="",FALSE,TRUE),COUNTIF(Metadata!B:B, Metadata!B654) = 1,NOT(ISERROR(SUMPRODUCT(SEARCH(MID(Metadata!B654,ROW(INDIRECT("1:"&amp;LEN(Metadata!B654))), 1),"0123456789abcdefghijklmnopqrstuvwxyzABCDEFGHIJKLMNOPQRSTUVWXYZ.")))))</f>
        <v>0</v>
      </c>
      <c r="W654">
        <f>AND(IF(Metadata!C654="",FALSE,TRUE),exact(Metadata!C654,"urban biome"))</f>
        <v>0</v>
      </c>
      <c r="X654">
        <f>AND(IF(Metadata!D654="",FALSE,TRUE),exact(Metadata!D654,"animal-associated habitat"))</f>
        <v>0</v>
      </c>
      <c r="Y654">
        <f>OR(AND(IF(Metadata!E654="",FALSE,TRUE),OR(exact(Metadata!E654,"not applicable"),exact(Metadata!E654,"missing: not collected"),exact(Metadata!E654,"missing: not provided"),exact(Metadata!E654,"missing: restricted access"))),AND(IF(Metadata!E654="",FALSE,ISNUMBER(VALUE(Metadata!E654))),Metadata!E654&gt;0))</f>
        <v>0</v>
      </c>
      <c r="Z654">
        <f>AND(IF(Metadata!F654="",FALSE,TRUE),exact(Metadata!F654,"weeks"))</f>
        <v>0</v>
      </c>
      <c r="AA654">
        <f>AND(IF(Metadata!G654="",FALSE,TRUE),exact(Metadata!G654,"mouse"))</f>
        <v>0</v>
      </c>
      <c r="AB654">
        <f>AND(IF(Metadata!H654="",FALSE,TRUE),exact(Metadata!H654,"Mus musculus"))</f>
        <v>0</v>
      </c>
      <c r="AC654">
        <f>AND(IF(Metadata!I654="",FALSE,TRUE),exact(Metadata!I654,"10090"))</f>
        <v>0</v>
      </c>
      <c r="AD654">
        <f>OR(AND(IF(Metadata!J654="",FALSE,TRUE),OR(exact(Metadata!J654,"not applicable"),exact(Metadata!J654,"missing: not collected"),exact(Metadata!J654,"missing: not provided"),exact(Metadata!J654,"missing: restricted access"))),AND(IF(Metadata!J654="",FALSE,ISNUMBER(VALUE(Metadata!J654))),Metadata!J654&gt;0))</f>
        <v>0</v>
      </c>
      <c r="AE654">
        <f>AND(IF(Metadata!K654="",FALSE,TRUE),exact(Metadata!K654,"g"))</f>
        <v>0</v>
      </c>
    </row>
    <row r="655" spans="1:31">
      <c r="A655" s="5">
        <f>IF(B655=" "," ",HYPERLINK(CONCATENATE("#metadata!",ADDRESS(INDEX($Q$2:$Q$1001,MATCH(ROWS($O$2:O655),$O$2:$O$1001,0),0),1)),INDEX($T$2:$T$1001,MATCH(ROWS($O$2:O655),$O$2:$O$1001,0),0)))</f>
        <v>0</v>
      </c>
      <c r="B655" s="4">
        <f>IF(OR(INDEX($P$2:$P$1001,MATCH(ROWS($O$2:O655),$O$2:$O$1001,0),1)&gt;=100000,INDEX($V$1005:$AE$1005,1,MATCH(COLUMNS($V$1006:V1006),$V$1006:$AE$1006,0))&gt;=100000), " ",IF(INDEX($V$2:$AE$1001,MATCH(ROWS($O$2:O655),$O$2:$O$1001,0),MATCH(COLUMNS($V$1006:V1006),$V$1006:$AE$1006,0)), HYPERLINK("#",""), HYPERLINK(CONCATENATE("#Metadata!", ADDRESS(INDEX($Q$2:$Q$1001,MATCH(ROWS($O$2:O655),$O$2:$O$1001,0),0), INDEX($V$1004:$AE$1004,1,MATCH(COLUMNS($V$1006:V1006),$V$1006:$AE$1006,0)))),"Fix")))</f>
        <v>0</v>
      </c>
      <c r="C655" s="4">
        <f>IF(OR(INDEX($P$2:$P$1001,MATCH(ROWS($O$2:O655),$O$2:$O$1001,0),1)&gt;=100000,INDEX($V$1005:$AE$1005,1,MATCH(COLUMNS($V$1006:W1006),$V$1006:$AE$1006,0))&gt;=100000), " ",IF(INDEX($V$2:$AE$1001,MATCH(ROWS($O$2:O655),$O$2:$O$1001,0),MATCH(COLUMNS($V$1006:W1006),$V$1006:$AE$1006,0)), HYPERLINK("#",""), HYPERLINK(CONCATENATE("#Metadata!", ADDRESS(INDEX($Q$2:$Q$1001,MATCH(ROWS($O$2:O655),$O$2:$O$1001,0),0), INDEX($V$1004:$AE$1004,1,MATCH(COLUMNS($V$1006:W1006),$V$1006:$AE$1006,0)))),"Fix")))</f>
        <v>0</v>
      </c>
      <c r="D655" s="4">
        <f>IF(OR(INDEX($P$2:$P$1001,MATCH(ROWS($O$2:O655),$O$2:$O$1001,0),1)&gt;=100000,INDEX($V$1005:$AE$1005,1,MATCH(COLUMNS($V$1006:X1006),$V$1006:$AE$1006,0))&gt;=100000), " ",IF(INDEX($V$2:$AE$1001,MATCH(ROWS($O$2:O655),$O$2:$O$1001,0),MATCH(COLUMNS($V$1006:X1006),$V$1006:$AE$1006,0)), HYPERLINK("#",""), HYPERLINK(CONCATENATE("#Metadata!", ADDRESS(INDEX($Q$2:$Q$1001,MATCH(ROWS($O$2:O655),$O$2:$O$1001,0),0), INDEX($V$1004:$AE$1004,1,MATCH(COLUMNS($V$1006:X1006),$V$1006:$AE$1006,0)))),"Fix")))</f>
        <v>0</v>
      </c>
      <c r="E655" s="4">
        <f>IF(OR(INDEX($P$2:$P$1001,MATCH(ROWS($O$2:O655),$O$2:$O$1001,0),1)&gt;=100000,INDEX($V$1005:$AE$1005,1,MATCH(COLUMNS($V$1006:Y1006),$V$1006:$AE$1006,0))&gt;=100000), " ",IF(INDEX($V$2:$AE$1001,MATCH(ROWS($O$2:O655),$O$2:$O$1001,0),MATCH(COLUMNS($V$1006:Y1006),$V$1006:$AE$1006,0)), HYPERLINK("#",""), HYPERLINK(CONCATENATE("#Metadata!", ADDRESS(INDEX($Q$2:$Q$1001,MATCH(ROWS($O$2:O655),$O$2:$O$1001,0),0), INDEX($V$1004:$AE$1004,1,MATCH(COLUMNS($V$1006:Y1006),$V$1006:$AE$1006,0)))),"Fix")))</f>
        <v>0</v>
      </c>
      <c r="F655" s="4">
        <f>IF(OR(INDEX($P$2:$P$1001,MATCH(ROWS($O$2:O655),$O$2:$O$1001,0),1)&gt;=100000,INDEX($V$1005:$AE$1005,1,MATCH(COLUMNS($V$1006:Z1006),$V$1006:$AE$1006,0))&gt;=100000), " ",IF(INDEX($V$2:$AE$1001,MATCH(ROWS($O$2:O655),$O$2:$O$1001,0),MATCH(COLUMNS($V$1006:Z1006),$V$1006:$AE$1006,0)), HYPERLINK("#",""), HYPERLINK(CONCATENATE("#Metadata!", ADDRESS(INDEX($Q$2:$Q$1001,MATCH(ROWS($O$2:O655),$O$2:$O$1001,0),0), INDEX($V$1004:$AE$1004,1,MATCH(COLUMNS($V$1006:Z1006),$V$1006:$AE$1006,0)))),"Fix")))</f>
        <v>0</v>
      </c>
      <c r="G655" s="4">
        <f>IF(OR(INDEX($P$2:$P$1001,MATCH(ROWS($O$2:O655),$O$2:$O$1001,0),1)&gt;=100000,INDEX($V$1005:$AE$1005,1,MATCH(COLUMNS($V$1006:AA1006),$V$1006:$AE$1006,0))&gt;=100000), " ",IF(INDEX($V$2:$AE$1001,MATCH(ROWS($O$2:O655),$O$2:$O$1001,0),MATCH(COLUMNS($V$1006:AA1006),$V$1006:$AE$1006,0)), HYPERLINK("#",""), HYPERLINK(CONCATENATE("#Metadata!", ADDRESS(INDEX($Q$2:$Q$1001,MATCH(ROWS($O$2:O655),$O$2:$O$1001,0),0), INDEX($V$1004:$AE$1004,1,MATCH(COLUMNS($V$1006:AA1006),$V$1006:$AE$1006,0)))),"Fix")))</f>
        <v>0</v>
      </c>
      <c r="H655" s="4">
        <f>IF(OR(INDEX($P$2:$P$1001,MATCH(ROWS($O$2:O655),$O$2:$O$1001,0),1)&gt;=100000,INDEX($V$1005:$AE$1005,1,MATCH(COLUMNS($V$1006:AB1006),$V$1006:$AE$1006,0))&gt;=100000), " ",IF(INDEX($V$2:$AE$1001,MATCH(ROWS($O$2:O655),$O$2:$O$1001,0),MATCH(COLUMNS($V$1006:AB1006),$V$1006:$AE$1006,0)), HYPERLINK("#",""), HYPERLINK(CONCATENATE("#Metadata!", ADDRESS(INDEX($Q$2:$Q$1001,MATCH(ROWS($O$2:O655),$O$2:$O$1001,0),0), INDEX($V$1004:$AE$1004,1,MATCH(COLUMNS($V$1006:AB1006),$V$1006:$AE$1006,0)))),"Fix")))</f>
        <v>0</v>
      </c>
      <c r="I655" s="4">
        <f>IF(OR(INDEX($P$2:$P$1001,MATCH(ROWS($O$2:O655),$O$2:$O$1001,0),1)&gt;=100000,INDEX($V$1005:$AE$1005,1,MATCH(COLUMNS($V$1006:AC1006),$V$1006:$AE$1006,0))&gt;=100000), " ",IF(INDEX($V$2:$AE$1001,MATCH(ROWS($O$2:O655),$O$2:$O$1001,0),MATCH(COLUMNS($V$1006:AC1006),$V$1006:$AE$1006,0)), HYPERLINK("#",""), HYPERLINK(CONCATENATE("#Metadata!", ADDRESS(INDEX($Q$2:$Q$1001,MATCH(ROWS($O$2:O655),$O$2:$O$1001,0),0), INDEX($V$1004:$AE$1004,1,MATCH(COLUMNS($V$1006:AC1006),$V$1006:$AE$1006,0)))),"Fix")))</f>
        <v>0</v>
      </c>
      <c r="J655" s="4">
        <f>IF(OR(INDEX($P$2:$P$1001,MATCH(ROWS($O$2:O655),$O$2:$O$1001,0),1)&gt;=100000,INDEX($V$1005:$AE$1005,1,MATCH(COLUMNS($V$1006:AD1006),$V$1006:$AE$1006,0))&gt;=100000), " ",IF(INDEX($V$2:$AE$1001,MATCH(ROWS($O$2:O655),$O$2:$O$1001,0),MATCH(COLUMNS($V$1006:AD1006),$V$1006:$AE$1006,0)), HYPERLINK("#",""), HYPERLINK(CONCATENATE("#Metadata!", ADDRESS(INDEX($Q$2:$Q$1001,MATCH(ROWS($O$2:O655),$O$2:$O$1001,0),0), INDEX($V$1004:$AE$1004,1,MATCH(COLUMNS($V$1006:AD1006),$V$1006:$AE$1006,0)))),"Fix")))</f>
        <v>0</v>
      </c>
      <c r="K655" s="4">
        <f>IF(OR(INDEX($P$2:$P$1001,MATCH(ROWS($O$2:O655),$O$2:$O$1001,0),1)&gt;=100000,INDEX($V$1005:$AE$1005,1,MATCH(COLUMNS($V$1006:AE1006),$V$1006:$AE$1006,0))&gt;=100000), " ",IF(INDEX($V$2:$AE$1001,MATCH(ROWS($O$2:O655),$O$2:$O$1001,0),MATCH(COLUMNS($V$1006:AE1006),$V$1006:$AE$1006,0)), HYPERLINK("#",""), HYPERLINK(CONCATENATE("#Metadata!", ADDRESS(INDEX($Q$2:$Q$1001,MATCH(ROWS($O$2:O655),$O$2:$O$1001,0),0), INDEX($V$1004:$AE$1004,1,MATCH(COLUMNS($V$1006:AE1006),$V$1006:$AE$1006,0)))),"Fix")))</f>
        <v>0</v>
      </c>
      <c r="O655">
        <v>0</v>
      </c>
      <c r="P655">
        <v>0</v>
      </c>
      <c r="Q655">
        <v>0</v>
      </c>
      <c r="R655">
        <f>IF(S655,TRUE,AND(V655:AE655))</f>
        <v>0</v>
      </c>
      <c r="S655">
        <f>COUNTBLANK(Metadata!B655:K655)=COLUMNS(Metadata!B655:K655)</f>
        <v>0</v>
      </c>
      <c r="T655">
        <v>0</v>
      </c>
      <c r="V655">
        <f>AND(IF(Metadata!B655="",FALSE,TRUE),COUNTIF(Metadata!B:B, Metadata!B655) = 1,NOT(ISERROR(SUMPRODUCT(SEARCH(MID(Metadata!B655,ROW(INDIRECT("1:"&amp;LEN(Metadata!B655))), 1),"0123456789abcdefghijklmnopqrstuvwxyzABCDEFGHIJKLMNOPQRSTUVWXYZ.")))))</f>
        <v>0</v>
      </c>
      <c r="W655">
        <f>AND(IF(Metadata!C655="",FALSE,TRUE),exact(Metadata!C655,"urban biome"))</f>
        <v>0</v>
      </c>
      <c r="X655">
        <f>AND(IF(Metadata!D655="",FALSE,TRUE),exact(Metadata!D655,"animal-associated habitat"))</f>
        <v>0</v>
      </c>
      <c r="Y655">
        <f>OR(AND(IF(Metadata!E655="",FALSE,TRUE),OR(exact(Metadata!E655,"not applicable"),exact(Metadata!E655,"missing: not collected"),exact(Metadata!E655,"missing: not provided"),exact(Metadata!E655,"missing: restricted access"))),AND(IF(Metadata!E655="",FALSE,ISNUMBER(VALUE(Metadata!E655))),Metadata!E655&gt;0))</f>
        <v>0</v>
      </c>
      <c r="Z655">
        <f>AND(IF(Metadata!F655="",FALSE,TRUE),exact(Metadata!F655,"weeks"))</f>
        <v>0</v>
      </c>
      <c r="AA655">
        <f>AND(IF(Metadata!G655="",FALSE,TRUE),exact(Metadata!G655,"mouse"))</f>
        <v>0</v>
      </c>
      <c r="AB655">
        <f>AND(IF(Metadata!H655="",FALSE,TRUE),exact(Metadata!H655,"Mus musculus"))</f>
        <v>0</v>
      </c>
      <c r="AC655">
        <f>AND(IF(Metadata!I655="",FALSE,TRUE),exact(Metadata!I655,"10090"))</f>
        <v>0</v>
      </c>
      <c r="AD655">
        <f>OR(AND(IF(Metadata!J655="",FALSE,TRUE),OR(exact(Metadata!J655,"not applicable"),exact(Metadata!J655,"missing: not collected"),exact(Metadata!J655,"missing: not provided"),exact(Metadata!J655,"missing: restricted access"))),AND(IF(Metadata!J655="",FALSE,ISNUMBER(VALUE(Metadata!J655))),Metadata!J655&gt;0))</f>
        <v>0</v>
      </c>
      <c r="AE655">
        <f>AND(IF(Metadata!K655="",FALSE,TRUE),exact(Metadata!K655,"g"))</f>
        <v>0</v>
      </c>
    </row>
    <row r="656" spans="1:31">
      <c r="A656" s="5">
        <f>IF(B656=" "," ",HYPERLINK(CONCATENATE("#metadata!",ADDRESS(INDEX($Q$2:$Q$1001,MATCH(ROWS($O$2:O656),$O$2:$O$1001,0),0),1)),INDEX($T$2:$T$1001,MATCH(ROWS($O$2:O656),$O$2:$O$1001,0),0)))</f>
        <v>0</v>
      </c>
      <c r="B656" s="4">
        <f>IF(OR(INDEX($P$2:$P$1001,MATCH(ROWS($O$2:O656),$O$2:$O$1001,0),1)&gt;=100000,INDEX($V$1005:$AE$1005,1,MATCH(COLUMNS($V$1006:V1006),$V$1006:$AE$1006,0))&gt;=100000), " ",IF(INDEX($V$2:$AE$1001,MATCH(ROWS($O$2:O656),$O$2:$O$1001,0),MATCH(COLUMNS($V$1006:V1006),$V$1006:$AE$1006,0)), HYPERLINK("#",""), HYPERLINK(CONCATENATE("#Metadata!", ADDRESS(INDEX($Q$2:$Q$1001,MATCH(ROWS($O$2:O656),$O$2:$O$1001,0),0), INDEX($V$1004:$AE$1004,1,MATCH(COLUMNS($V$1006:V1006),$V$1006:$AE$1006,0)))),"Fix")))</f>
        <v>0</v>
      </c>
      <c r="C656" s="4">
        <f>IF(OR(INDEX($P$2:$P$1001,MATCH(ROWS($O$2:O656),$O$2:$O$1001,0),1)&gt;=100000,INDEX($V$1005:$AE$1005,1,MATCH(COLUMNS($V$1006:W1006),$V$1006:$AE$1006,0))&gt;=100000), " ",IF(INDEX($V$2:$AE$1001,MATCH(ROWS($O$2:O656),$O$2:$O$1001,0),MATCH(COLUMNS($V$1006:W1006),$V$1006:$AE$1006,0)), HYPERLINK("#",""), HYPERLINK(CONCATENATE("#Metadata!", ADDRESS(INDEX($Q$2:$Q$1001,MATCH(ROWS($O$2:O656),$O$2:$O$1001,0),0), INDEX($V$1004:$AE$1004,1,MATCH(COLUMNS($V$1006:W1006),$V$1006:$AE$1006,0)))),"Fix")))</f>
        <v>0</v>
      </c>
      <c r="D656" s="4">
        <f>IF(OR(INDEX($P$2:$P$1001,MATCH(ROWS($O$2:O656),$O$2:$O$1001,0),1)&gt;=100000,INDEX($V$1005:$AE$1005,1,MATCH(COLUMNS($V$1006:X1006),$V$1006:$AE$1006,0))&gt;=100000), " ",IF(INDEX($V$2:$AE$1001,MATCH(ROWS($O$2:O656),$O$2:$O$1001,0),MATCH(COLUMNS($V$1006:X1006),$V$1006:$AE$1006,0)), HYPERLINK("#",""), HYPERLINK(CONCATENATE("#Metadata!", ADDRESS(INDEX($Q$2:$Q$1001,MATCH(ROWS($O$2:O656),$O$2:$O$1001,0),0), INDEX($V$1004:$AE$1004,1,MATCH(COLUMNS($V$1006:X1006),$V$1006:$AE$1006,0)))),"Fix")))</f>
        <v>0</v>
      </c>
      <c r="E656" s="4">
        <f>IF(OR(INDEX($P$2:$P$1001,MATCH(ROWS($O$2:O656),$O$2:$O$1001,0),1)&gt;=100000,INDEX($V$1005:$AE$1005,1,MATCH(COLUMNS($V$1006:Y1006),$V$1006:$AE$1006,0))&gt;=100000), " ",IF(INDEX($V$2:$AE$1001,MATCH(ROWS($O$2:O656),$O$2:$O$1001,0),MATCH(COLUMNS($V$1006:Y1006),$V$1006:$AE$1006,0)), HYPERLINK("#",""), HYPERLINK(CONCATENATE("#Metadata!", ADDRESS(INDEX($Q$2:$Q$1001,MATCH(ROWS($O$2:O656),$O$2:$O$1001,0),0), INDEX($V$1004:$AE$1004,1,MATCH(COLUMNS($V$1006:Y1006),$V$1006:$AE$1006,0)))),"Fix")))</f>
        <v>0</v>
      </c>
      <c r="F656" s="4">
        <f>IF(OR(INDEX($P$2:$P$1001,MATCH(ROWS($O$2:O656),$O$2:$O$1001,0),1)&gt;=100000,INDEX($V$1005:$AE$1005,1,MATCH(COLUMNS($V$1006:Z1006),$V$1006:$AE$1006,0))&gt;=100000), " ",IF(INDEX($V$2:$AE$1001,MATCH(ROWS($O$2:O656),$O$2:$O$1001,0),MATCH(COLUMNS($V$1006:Z1006),$V$1006:$AE$1006,0)), HYPERLINK("#",""), HYPERLINK(CONCATENATE("#Metadata!", ADDRESS(INDEX($Q$2:$Q$1001,MATCH(ROWS($O$2:O656),$O$2:$O$1001,0),0), INDEX($V$1004:$AE$1004,1,MATCH(COLUMNS($V$1006:Z1006),$V$1006:$AE$1006,0)))),"Fix")))</f>
        <v>0</v>
      </c>
      <c r="G656" s="4">
        <f>IF(OR(INDEX($P$2:$P$1001,MATCH(ROWS($O$2:O656),$O$2:$O$1001,0),1)&gt;=100000,INDEX($V$1005:$AE$1005,1,MATCH(COLUMNS($V$1006:AA1006),$V$1006:$AE$1006,0))&gt;=100000), " ",IF(INDEX($V$2:$AE$1001,MATCH(ROWS($O$2:O656),$O$2:$O$1001,0),MATCH(COLUMNS($V$1006:AA1006),$V$1006:$AE$1006,0)), HYPERLINK("#",""), HYPERLINK(CONCATENATE("#Metadata!", ADDRESS(INDEX($Q$2:$Q$1001,MATCH(ROWS($O$2:O656),$O$2:$O$1001,0),0), INDEX($V$1004:$AE$1004,1,MATCH(COLUMNS($V$1006:AA1006),$V$1006:$AE$1006,0)))),"Fix")))</f>
        <v>0</v>
      </c>
      <c r="H656" s="4">
        <f>IF(OR(INDEX($P$2:$P$1001,MATCH(ROWS($O$2:O656),$O$2:$O$1001,0),1)&gt;=100000,INDEX($V$1005:$AE$1005,1,MATCH(COLUMNS($V$1006:AB1006),$V$1006:$AE$1006,0))&gt;=100000), " ",IF(INDEX($V$2:$AE$1001,MATCH(ROWS($O$2:O656),$O$2:$O$1001,0),MATCH(COLUMNS($V$1006:AB1006),$V$1006:$AE$1006,0)), HYPERLINK("#",""), HYPERLINK(CONCATENATE("#Metadata!", ADDRESS(INDEX($Q$2:$Q$1001,MATCH(ROWS($O$2:O656),$O$2:$O$1001,0),0), INDEX($V$1004:$AE$1004,1,MATCH(COLUMNS($V$1006:AB1006),$V$1006:$AE$1006,0)))),"Fix")))</f>
        <v>0</v>
      </c>
      <c r="I656" s="4">
        <f>IF(OR(INDEX($P$2:$P$1001,MATCH(ROWS($O$2:O656),$O$2:$O$1001,0),1)&gt;=100000,INDEX($V$1005:$AE$1005,1,MATCH(COLUMNS($V$1006:AC1006),$V$1006:$AE$1006,0))&gt;=100000), " ",IF(INDEX($V$2:$AE$1001,MATCH(ROWS($O$2:O656),$O$2:$O$1001,0),MATCH(COLUMNS($V$1006:AC1006),$V$1006:$AE$1006,0)), HYPERLINK("#",""), HYPERLINK(CONCATENATE("#Metadata!", ADDRESS(INDEX($Q$2:$Q$1001,MATCH(ROWS($O$2:O656),$O$2:$O$1001,0),0), INDEX($V$1004:$AE$1004,1,MATCH(COLUMNS($V$1006:AC1006),$V$1006:$AE$1006,0)))),"Fix")))</f>
        <v>0</v>
      </c>
      <c r="J656" s="4">
        <f>IF(OR(INDEX($P$2:$P$1001,MATCH(ROWS($O$2:O656),$O$2:$O$1001,0),1)&gt;=100000,INDEX($V$1005:$AE$1005,1,MATCH(COLUMNS($V$1006:AD1006),$V$1006:$AE$1006,0))&gt;=100000), " ",IF(INDEX($V$2:$AE$1001,MATCH(ROWS($O$2:O656),$O$2:$O$1001,0),MATCH(COLUMNS($V$1006:AD1006),$V$1006:$AE$1006,0)), HYPERLINK("#",""), HYPERLINK(CONCATENATE("#Metadata!", ADDRESS(INDEX($Q$2:$Q$1001,MATCH(ROWS($O$2:O656),$O$2:$O$1001,0),0), INDEX($V$1004:$AE$1004,1,MATCH(COLUMNS($V$1006:AD1006),$V$1006:$AE$1006,0)))),"Fix")))</f>
        <v>0</v>
      </c>
      <c r="K656" s="4">
        <f>IF(OR(INDEX($P$2:$P$1001,MATCH(ROWS($O$2:O656),$O$2:$O$1001,0),1)&gt;=100000,INDEX($V$1005:$AE$1005,1,MATCH(COLUMNS($V$1006:AE1006),$V$1006:$AE$1006,0))&gt;=100000), " ",IF(INDEX($V$2:$AE$1001,MATCH(ROWS($O$2:O656),$O$2:$O$1001,0),MATCH(COLUMNS($V$1006:AE1006),$V$1006:$AE$1006,0)), HYPERLINK("#",""), HYPERLINK(CONCATENATE("#Metadata!", ADDRESS(INDEX($Q$2:$Q$1001,MATCH(ROWS($O$2:O656),$O$2:$O$1001,0),0), INDEX($V$1004:$AE$1004,1,MATCH(COLUMNS($V$1006:AE1006),$V$1006:$AE$1006,0)))),"Fix")))</f>
        <v>0</v>
      </c>
      <c r="O656">
        <v>0</v>
      </c>
      <c r="P656">
        <v>0</v>
      </c>
      <c r="Q656">
        <v>0</v>
      </c>
      <c r="R656">
        <f>IF(S656,TRUE,AND(V656:AE656))</f>
        <v>0</v>
      </c>
      <c r="S656">
        <f>COUNTBLANK(Metadata!B656:K656)=COLUMNS(Metadata!B656:K656)</f>
        <v>0</v>
      </c>
      <c r="T656">
        <v>0</v>
      </c>
      <c r="V656">
        <f>AND(IF(Metadata!B656="",FALSE,TRUE),COUNTIF(Metadata!B:B, Metadata!B656) = 1,NOT(ISERROR(SUMPRODUCT(SEARCH(MID(Metadata!B656,ROW(INDIRECT("1:"&amp;LEN(Metadata!B656))), 1),"0123456789abcdefghijklmnopqrstuvwxyzABCDEFGHIJKLMNOPQRSTUVWXYZ.")))))</f>
        <v>0</v>
      </c>
      <c r="W656">
        <f>AND(IF(Metadata!C656="",FALSE,TRUE),exact(Metadata!C656,"urban biome"))</f>
        <v>0</v>
      </c>
      <c r="X656">
        <f>AND(IF(Metadata!D656="",FALSE,TRUE),exact(Metadata!D656,"animal-associated habitat"))</f>
        <v>0</v>
      </c>
      <c r="Y656">
        <f>OR(AND(IF(Metadata!E656="",FALSE,TRUE),OR(exact(Metadata!E656,"not applicable"),exact(Metadata!E656,"missing: not collected"),exact(Metadata!E656,"missing: not provided"),exact(Metadata!E656,"missing: restricted access"))),AND(IF(Metadata!E656="",FALSE,ISNUMBER(VALUE(Metadata!E656))),Metadata!E656&gt;0))</f>
        <v>0</v>
      </c>
      <c r="Z656">
        <f>AND(IF(Metadata!F656="",FALSE,TRUE),exact(Metadata!F656,"weeks"))</f>
        <v>0</v>
      </c>
      <c r="AA656">
        <f>AND(IF(Metadata!G656="",FALSE,TRUE),exact(Metadata!G656,"mouse"))</f>
        <v>0</v>
      </c>
      <c r="AB656">
        <f>AND(IF(Metadata!H656="",FALSE,TRUE),exact(Metadata!H656,"Mus musculus"))</f>
        <v>0</v>
      </c>
      <c r="AC656">
        <f>AND(IF(Metadata!I656="",FALSE,TRUE),exact(Metadata!I656,"10090"))</f>
        <v>0</v>
      </c>
      <c r="AD656">
        <f>OR(AND(IF(Metadata!J656="",FALSE,TRUE),OR(exact(Metadata!J656,"not applicable"),exact(Metadata!J656,"missing: not collected"),exact(Metadata!J656,"missing: not provided"),exact(Metadata!J656,"missing: restricted access"))),AND(IF(Metadata!J656="",FALSE,ISNUMBER(VALUE(Metadata!J656))),Metadata!J656&gt;0))</f>
        <v>0</v>
      </c>
      <c r="AE656">
        <f>AND(IF(Metadata!K656="",FALSE,TRUE),exact(Metadata!K656,"g"))</f>
        <v>0</v>
      </c>
    </row>
    <row r="657" spans="1:31">
      <c r="A657" s="5">
        <f>IF(B657=" "," ",HYPERLINK(CONCATENATE("#metadata!",ADDRESS(INDEX($Q$2:$Q$1001,MATCH(ROWS($O$2:O657),$O$2:$O$1001,0),0),1)),INDEX($T$2:$T$1001,MATCH(ROWS($O$2:O657),$O$2:$O$1001,0),0)))</f>
        <v>0</v>
      </c>
      <c r="B657" s="4">
        <f>IF(OR(INDEX($P$2:$P$1001,MATCH(ROWS($O$2:O657),$O$2:$O$1001,0),1)&gt;=100000,INDEX($V$1005:$AE$1005,1,MATCH(COLUMNS($V$1006:V1006),$V$1006:$AE$1006,0))&gt;=100000), " ",IF(INDEX($V$2:$AE$1001,MATCH(ROWS($O$2:O657),$O$2:$O$1001,0),MATCH(COLUMNS($V$1006:V1006),$V$1006:$AE$1006,0)), HYPERLINK("#",""), HYPERLINK(CONCATENATE("#Metadata!", ADDRESS(INDEX($Q$2:$Q$1001,MATCH(ROWS($O$2:O657),$O$2:$O$1001,0),0), INDEX($V$1004:$AE$1004,1,MATCH(COLUMNS($V$1006:V1006),$V$1006:$AE$1006,0)))),"Fix")))</f>
        <v>0</v>
      </c>
      <c r="C657" s="4">
        <f>IF(OR(INDEX($P$2:$P$1001,MATCH(ROWS($O$2:O657),$O$2:$O$1001,0),1)&gt;=100000,INDEX($V$1005:$AE$1005,1,MATCH(COLUMNS($V$1006:W1006),$V$1006:$AE$1006,0))&gt;=100000), " ",IF(INDEX($V$2:$AE$1001,MATCH(ROWS($O$2:O657),$O$2:$O$1001,0),MATCH(COLUMNS($V$1006:W1006),$V$1006:$AE$1006,0)), HYPERLINK("#",""), HYPERLINK(CONCATENATE("#Metadata!", ADDRESS(INDEX($Q$2:$Q$1001,MATCH(ROWS($O$2:O657),$O$2:$O$1001,0),0), INDEX($V$1004:$AE$1004,1,MATCH(COLUMNS($V$1006:W1006),$V$1006:$AE$1006,0)))),"Fix")))</f>
        <v>0</v>
      </c>
      <c r="D657" s="4">
        <f>IF(OR(INDEX($P$2:$P$1001,MATCH(ROWS($O$2:O657),$O$2:$O$1001,0),1)&gt;=100000,INDEX($V$1005:$AE$1005,1,MATCH(COLUMNS($V$1006:X1006),$V$1006:$AE$1006,0))&gt;=100000), " ",IF(INDEX($V$2:$AE$1001,MATCH(ROWS($O$2:O657),$O$2:$O$1001,0),MATCH(COLUMNS($V$1006:X1006),$V$1006:$AE$1006,0)), HYPERLINK("#",""), HYPERLINK(CONCATENATE("#Metadata!", ADDRESS(INDEX($Q$2:$Q$1001,MATCH(ROWS($O$2:O657),$O$2:$O$1001,0),0), INDEX($V$1004:$AE$1004,1,MATCH(COLUMNS($V$1006:X1006),$V$1006:$AE$1006,0)))),"Fix")))</f>
        <v>0</v>
      </c>
      <c r="E657" s="4">
        <f>IF(OR(INDEX($P$2:$P$1001,MATCH(ROWS($O$2:O657),$O$2:$O$1001,0),1)&gt;=100000,INDEX($V$1005:$AE$1005,1,MATCH(COLUMNS($V$1006:Y1006),$V$1006:$AE$1006,0))&gt;=100000), " ",IF(INDEX($V$2:$AE$1001,MATCH(ROWS($O$2:O657),$O$2:$O$1001,0),MATCH(COLUMNS($V$1006:Y1006),$V$1006:$AE$1006,0)), HYPERLINK("#",""), HYPERLINK(CONCATENATE("#Metadata!", ADDRESS(INDEX($Q$2:$Q$1001,MATCH(ROWS($O$2:O657),$O$2:$O$1001,0),0), INDEX($V$1004:$AE$1004,1,MATCH(COLUMNS($V$1006:Y1006),$V$1006:$AE$1006,0)))),"Fix")))</f>
        <v>0</v>
      </c>
      <c r="F657" s="4">
        <f>IF(OR(INDEX($P$2:$P$1001,MATCH(ROWS($O$2:O657),$O$2:$O$1001,0),1)&gt;=100000,INDEX($V$1005:$AE$1005,1,MATCH(COLUMNS($V$1006:Z1006),$V$1006:$AE$1006,0))&gt;=100000), " ",IF(INDEX($V$2:$AE$1001,MATCH(ROWS($O$2:O657),$O$2:$O$1001,0),MATCH(COLUMNS($V$1006:Z1006),$V$1006:$AE$1006,0)), HYPERLINK("#",""), HYPERLINK(CONCATENATE("#Metadata!", ADDRESS(INDEX($Q$2:$Q$1001,MATCH(ROWS($O$2:O657),$O$2:$O$1001,0),0), INDEX($V$1004:$AE$1004,1,MATCH(COLUMNS($V$1006:Z1006),$V$1006:$AE$1006,0)))),"Fix")))</f>
        <v>0</v>
      </c>
      <c r="G657" s="4">
        <f>IF(OR(INDEX($P$2:$P$1001,MATCH(ROWS($O$2:O657),$O$2:$O$1001,0),1)&gt;=100000,INDEX($V$1005:$AE$1005,1,MATCH(COLUMNS($V$1006:AA1006),$V$1006:$AE$1006,0))&gt;=100000), " ",IF(INDEX($V$2:$AE$1001,MATCH(ROWS($O$2:O657),$O$2:$O$1001,0),MATCH(COLUMNS($V$1006:AA1006),$V$1006:$AE$1006,0)), HYPERLINK("#",""), HYPERLINK(CONCATENATE("#Metadata!", ADDRESS(INDEX($Q$2:$Q$1001,MATCH(ROWS($O$2:O657),$O$2:$O$1001,0),0), INDEX($V$1004:$AE$1004,1,MATCH(COLUMNS($V$1006:AA1006),$V$1006:$AE$1006,0)))),"Fix")))</f>
        <v>0</v>
      </c>
      <c r="H657" s="4">
        <f>IF(OR(INDEX($P$2:$P$1001,MATCH(ROWS($O$2:O657),$O$2:$O$1001,0),1)&gt;=100000,INDEX($V$1005:$AE$1005,1,MATCH(COLUMNS($V$1006:AB1006),$V$1006:$AE$1006,0))&gt;=100000), " ",IF(INDEX($V$2:$AE$1001,MATCH(ROWS($O$2:O657),$O$2:$O$1001,0),MATCH(COLUMNS($V$1006:AB1006),$V$1006:$AE$1006,0)), HYPERLINK("#",""), HYPERLINK(CONCATENATE("#Metadata!", ADDRESS(INDEX($Q$2:$Q$1001,MATCH(ROWS($O$2:O657),$O$2:$O$1001,0),0), INDEX($V$1004:$AE$1004,1,MATCH(COLUMNS($V$1006:AB1006),$V$1006:$AE$1006,0)))),"Fix")))</f>
        <v>0</v>
      </c>
      <c r="I657" s="4">
        <f>IF(OR(INDEX($P$2:$P$1001,MATCH(ROWS($O$2:O657),$O$2:$O$1001,0),1)&gt;=100000,INDEX($V$1005:$AE$1005,1,MATCH(COLUMNS($V$1006:AC1006),$V$1006:$AE$1006,0))&gt;=100000), " ",IF(INDEX($V$2:$AE$1001,MATCH(ROWS($O$2:O657),$O$2:$O$1001,0),MATCH(COLUMNS($V$1006:AC1006),$V$1006:$AE$1006,0)), HYPERLINK("#",""), HYPERLINK(CONCATENATE("#Metadata!", ADDRESS(INDEX($Q$2:$Q$1001,MATCH(ROWS($O$2:O657),$O$2:$O$1001,0),0), INDEX($V$1004:$AE$1004,1,MATCH(COLUMNS($V$1006:AC1006),$V$1006:$AE$1006,0)))),"Fix")))</f>
        <v>0</v>
      </c>
      <c r="J657" s="4">
        <f>IF(OR(INDEX($P$2:$P$1001,MATCH(ROWS($O$2:O657),$O$2:$O$1001,0),1)&gt;=100000,INDEX($V$1005:$AE$1005,1,MATCH(COLUMNS($V$1006:AD1006),$V$1006:$AE$1006,0))&gt;=100000), " ",IF(INDEX($V$2:$AE$1001,MATCH(ROWS($O$2:O657),$O$2:$O$1001,0),MATCH(COLUMNS($V$1006:AD1006),$V$1006:$AE$1006,0)), HYPERLINK("#",""), HYPERLINK(CONCATENATE("#Metadata!", ADDRESS(INDEX($Q$2:$Q$1001,MATCH(ROWS($O$2:O657),$O$2:$O$1001,0),0), INDEX($V$1004:$AE$1004,1,MATCH(COLUMNS($V$1006:AD1006),$V$1006:$AE$1006,0)))),"Fix")))</f>
        <v>0</v>
      </c>
      <c r="K657" s="4">
        <f>IF(OR(INDEX($P$2:$P$1001,MATCH(ROWS($O$2:O657),$O$2:$O$1001,0),1)&gt;=100000,INDEX($V$1005:$AE$1005,1,MATCH(COLUMNS($V$1006:AE1006),$V$1006:$AE$1006,0))&gt;=100000), " ",IF(INDEX($V$2:$AE$1001,MATCH(ROWS($O$2:O657),$O$2:$O$1001,0),MATCH(COLUMNS($V$1006:AE1006),$V$1006:$AE$1006,0)), HYPERLINK("#",""), HYPERLINK(CONCATENATE("#Metadata!", ADDRESS(INDEX($Q$2:$Q$1001,MATCH(ROWS($O$2:O657),$O$2:$O$1001,0),0), INDEX($V$1004:$AE$1004,1,MATCH(COLUMNS($V$1006:AE1006),$V$1006:$AE$1006,0)))),"Fix")))</f>
        <v>0</v>
      </c>
      <c r="O657">
        <v>0</v>
      </c>
      <c r="P657">
        <v>0</v>
      </c>
      <c r="Q657">
        <v>0</v>
      </c>
      <c r="R657">
        <f>IF(S657,TRUE,AND(V657:AE657))</f>
        <v>0</v>
      </c>
      <c r="S657">
        <f>COUNTBLANK(Metadata!B657:K657)=COLUMNS(Metadata!B657:K657)</f>
        <v>0</v>
      </c>
      <c r="T657">
        <v>0</v>
      </c>
      <c r="V657">
        <f>AND(IF(Metadata!B657="",FALSE,TRUE),COUNTIF(Metadata!B:B, Metadata!B657) = 1,NOT(ISERROR(SUMPRODUCT(SEARCH(MID(Metadata!B657,ROW(INDIRECT("1:"&amp;LEN(Metadata!B657))), 1),"0123456789abcdefghijklmnopqrstuvwxyzABCDEFGHIJKLMNOPQRSTUVWXYZ.")))))</f>
        <v>0</v>
      </c>
      <c r="W657">
        <f>AND(IF(Metadata!C657="",FALSE,TRUE),exact(Metadata!C657,"urban biome"))</f>
        <v>0</v>
      </c>
      <c r="X657">
        <f>AND(IF(Metadata!D657="",FALSE,TRUE),exact(Metadata!D657,"animal-associated habitat"))</f>
        <v>0</v>
      </c>
      <c r="Y657">
        <f>OR(AND(IF(Metadata!E657="",FALSE,TRUE),OR(exact(Metadata!E657,"not applicable"),exact(Metadata!E657,"missing: not collected"),exact(Metadata!E657,"missing: not provided"),exact(Metadata!E657,"missing: restricted access"))),AND(IF(Metadata!E657="",FALSE,ISNUMBER(VALUE(Metadata!E657))),Metadata!E657&gt;0))</f>
        <v>0</v>
      </c>
      <c r="Z657">
        <f>AND(IF(Metadata!F657="",FALSE,TRUE),exact(Metadata!F657,"weeks"))</f>
        <v>0</v>
      </c>
      <c r="AA657">
        <f>AND(IF(Metadata!G657="",FALSE,TRUE),exact(Metadata!G657,"mouse"))</f>
        <v>0</v>
      </c>
      <c r="AB657">
        <f>AND(IF(Metadata!H657="",FALSE,TRUE),exact(Metadata!H657,"Mus musculus"))</f>
        <v>0</v>
      </c>
      <c r="AC657">
        <f>AND(IF(Metadata!I657="",FALSE,TRUE),exact(Metadata!I657,"10090"))</f>
        <v>0</v>
      </c>
      <c r="AD657">
        <f>OR(AND(IF(Metadata!J657="",FALSE,TRUE),OR(exact(Metadata!J657,"not applicable"),exact(Metadata!J657,"missing: not collected"),exact(Metadata!J657,"missing: not provided"),exact(Metadata!J657,"missing: restricted access"))),AND(IF(Metadata!J657="",FALSE,ISNUMBER(VALUE(Metadata!J657))),Metadata!J657&gt;0))</f>
        <v>0</v>
      </c>
      <c r="AE657">
        <f>AND(IF(Metadata!K657="",FALSE,TRUE),exact(Metadata!K657,"g"))</f>
        <v>0</v>
      </c>
    </row>
    <row r="658" spans="1:31">
      <c r="A658" s="5">
        <f>IF(B658=" "," ",HYPERLINK(CONCATENATE("#metadata!",ADDRESS(INDEX($Q$2:$Q$1001,MATCH(ROWS($O$2:O658),$O$2:$O$1001,0),0),1)),INDEX($T$2:$T$1001,MATCH(ROWS($O$2:O658),$O$2:$O$1001,0),0)))</f>
        <v>0</v>
      </c>
      <c r="B658" s="4">
        <f>IF(OR(INDEX($P$2:$P$1001,MATCH(ROWS($O$2:O658),$O$2:$O$1001,0),1)&gt;=100000,INDEX($V$1005:$AE$1005,1,MATCH(COLUMNS($V$1006:V1006),$V$1006:$AE$1006,0))&gt;=100000), " ",IF(INDEX($V$2:$AE$1001,MATCH(ROWS($O$2:O658),$O$2:$O$1001,0),MATCH(COLUMNS($V$1006:V1006),$V$1006:$AE$1006,0)), HYPERLINK("#",""), HYPERLINK(CONCATENATE("#Metadata!", ADDRESS(INDEX($Q$2:$Q$1001,MATCH(ROWS($O$2:O658),$O$2:$O$1001,0),0), INDEX($V$1004:$AE$1004,1,MATCH(COLUMNS($V$1006:V1006),$V$1006:$AE$1006,0)))),"Fix")))</f>
        <v>0</v>
      </c>
      <c r="C658" s="4">
        <f>IF(OR(INDEX($P$2:$P$1001,MATCH(ROWS($O$2:O658),$O$2:$O$1001,0),1)&gt;=100000,INDEX($V$1005:$AE$1005,1,MATCH(COLUMNS($V$1006:W1006),$V$1006:$AE$1006,0))&gt;=100000), " ",IF(INDEX($V$2:$AE$1001,MATCH(ROWS($O$2:O658),$O$2:$O$1001,0),MATCH(COLUMNS($V$1006:W1006),$V$1006:$AE$1006,0)), HYPERLINK("#",""), HYPERLINK(CONCATENATE("#Metadata!", ADDRESS(INDEX($Q$2:$Q$1001,MATCH(ROWS($O$2:O658),$O$2:$O$1001,0),0), INDEX($V$1004:$AE$1004,1,MATCH(COLUMNS($V$1006:W1006),$V$1006:$AE$1006,0)))),"Fix")))</f>
        <v>0</v>
      </c>
      <c r="D658" s="4">
        <f>IF(OR(INDEX($P$2:$P$1001,MATCH(ROWS($O$2:O658),$O$2:$O$1001,0),1)&gt;=100000,INDEX($V$1005:$AE$1005,1,MATCH(COLUMNS($V$1006:X1006),$V$1006:$AE$1006,0))&gt;=100000), " ",IF(INDEX($V$2:$AE$1001,MATCH(ROWS($O$2:O658),$O$2:$O$1001,0),MATCH(COLUMNS($V$1006:X1006),$V$1006:$AE$1006,0)), HYPERLINK("#",""), HYPERLINK(CONCATENATE("#Metadata!", ADDRESS(INDEX($Q$2:$Q$1001,MATCH(ROWS($O$2:O658),$O$2:$O$1001,0),0), INDEX($V$1004:$AE$1004,1,MATCH(COLUMNS($V$1006:X1006),$V$1006:$AE$1006,0)))),"Fix")))</f>
        <v>0</v>
      </c>
      <c r="E658" s="4">
        <f>IF(OR(INDEX($P$2:$P$1001,MATCH(ROWS($O$2:O658),$O$2:$O$1001,0),1)&gt;=100000,INDEX($V$1005:$AE$1005,1,MATCH(COLUMNS($V$1006:Y1006),$V$1006:$AE$1006,0))&gt;=100000), " ",IF(INDEX($V$2:$AE$1001,MATCH(ROWS($O$2:O658),$O$2:$O$1001,0),MATCH(COLUMNS($V$1006:Y1006),$V$1006:$AE$1006,0)), HYPERLINK("#",""), HYPERLINK(CONCATENATE("#Metadata!", ADDRESS(INDEX($Q$2:$Q$1001,MATCH(ROWS($O$2:O658),$O$2:$O$1001,0),0), INDEX($V$1004:$AE$1004,1,MATCH(COLUMNS($V$1006:Y1006),$V$1006:$AE$1006,0)))),"Fix")))</f>
        <v>0</v>
      </c>
      <c r="F658" s="4">
        <f>IF(OR(INDEX($P$2:$P$1001,MATCH(ROWS($O$2:O658),$O$2:$O$1001,0),1)&gt;=100000,INDEX($V$1005:$AE$1005,1,MATCH(COLUMNS($V$1006:Z1006),$V$1006:$AE$1006,0))&gt;=100000), " ",IF(INDEX($V$2:$AE$1001,MATCH(ROWS($O$2:O658),$O$2:$O$1001,0),MATCH(COLUMNS($V$1006:Z1006),$V$1006:$AE$1006,0)), HYPERLINK("#",""), HYPERLINK(CONCATENATE("#Metadata!", ADDRESS(INDEX($Q$2:$Q$1001,MATCH(ROWS($O$2:O658),$O$2:$O$1001,0),0), INDEX($V$1004:$AE$1004,1,MATCH(COLUMNS($V$1006:Z1006),$V$1006:$AE$1006,0)))),"Fix")))</f>
        <v>0</v>
      </c>
      <c r="G658" s="4">
        <f>IF(OR(INDEX($P$2:$P$1001,MATCH(ROWS($O$2:O658),$O$2:$O$1001,0),1)&gt;=100000,INDEX($V$1005:$AE$1005,1,MATCH(COLUMNS($V$1006:AA1006),$V$1006:$AE$1006,0))&gt;=100000), " ",IF(INDEX($V$2:$AE$1001,MATCH(ROWS($O$2:O658),$O$2:$O$1001,0),MATCH(COLUMNS($V$1006:AA1006),$V$1006:$AE$1006,0)), HYPERLINK("#",""), HYPERLINK(CONCATENATE("#Metadata!", ADDRESS(INDEX($Q$2:$Q$1001,MATCH(ROWS($O$2:O658),$O$2:$O$1001,0),0), INDEX($V$1004:$AE$1004,1,MATCH(COLUMNS($V$1006:AA1006),$V$1006:$AE$1006,0)))),"Fix")))</f>
        <v>0</v>
      </c>
      <c r="H658" s="4">
        <f>IF(OR(INDEX($P$2:$P$1001,MATCH(ROWS($O$2:O658),$O$2:$O$1001,0),1)&gt;=100000,INDEX($V$1005:$AE$1005,1,MATCH(COLUMNS($V$1006:AB1006),$V$1006:$AE$1006,0))&gt;=100000), " ",IF(INDEX($V$2:$AE$1001,MATCH(ROWS($O$2:O658),$O$2:$O$1001,0),MATCH(COLUMNS($V$1006:AB1006),$V$1006:$AE$1006,0)), HYPERLINK("#",""), HYPERLINK(CONCATENATE("#Metadata!", ADDRESS(INDEX($Q$2:$Q$1001,MATCH(ROWS($O$2:O658),$O$2:$O$1001,0),0), INDEX($V$1004:$AE$1004,1,MATCH(COLUMNS($V$1006:AB1006),$V$1006:$AE$1006,0)))),"Fix")))</f>
        <v>0</v>
      </c>
      <c r="I658" s="4">
        <f>IF(OR(INDEX($P$2:$P$1001,MATCH(ROWS($O$2:O658),$O$2:$O$1001,0),1)&gt;=100000,INDEX($V$1005:$AE$1005,1,MATCH(COLUMNS($V$1006:AC1006),$V$1006:$AE$1006,0))&gt;=100000), " ",IF(INDEX($V$2:$AE$1001,MATCH(ROWS($O$2:O658),$O$2:$O$1001,0),MATCH(COLUMNS($V$1006:AC1006),$V$1006:$AE$1006,0)), HYPERLINK("#",""), HYPERLINK(CONCATENATE("#Metadata!", ADDRESS(INDEX($Q$2:$Q$1001,MATCH(ROWS($O$2:O658),$O$2:$O$1001,0),0), INDEX($V$1004:$AE$1004,1,MATCH(COLUMNS($V$1006:AC1006),$V$1006:$AE$1006,0)))),"Fix")))</f>
        <v>0</v>
      </c>
      <c r="J658" s="4">
        <f>IF(OR(INDEX($P$2:$P$1001,MATCH(ROWS($O$2:O658),$O$2:$O$1001,0),1)&gt;=100000,INDEX($V$1005:$AE$1005,1,MATCH(COLUMNS($V$1006:AD1006),$V$1006:$AE$1006,0))&gt;=100000), " ",IF(INDEX($V$2:$AE$1001,MATCH(ROWS($O$2:O658),$O$2:$O$1001,0),MATCH(COLUMNS($V$1006:AD1006),$V$1006:$AE$1006,0)), HYPERLINK("#",""), HYPERLINK(CONCATENATE("#Metadata!", ADDRESS(INDEX($Q$2:$Q$1001,MATCH(ROWS($O$2:O658),$O$2:$O$1001,0),0), INDEX($V$1004:$AE$1004,1,MATCH(COLUMNS($V$1006:AD1006),$V$1006:$AE$1006,0)))),"Fix")))</f>
        <v>0</v>
      </c>
      <c r="K658" s="4">
        <f>IF(OR(INDEX($P$2:$P$1001,MATCH(ROWS($O$2:O658),$O$2:$O$1001,0),1)&gt;=100000,INDEX($V$1005:$AE$1005,1,MATCH(COLUMNS($V$1006:AE1006),$V$1006:$AE$1006,0))&gt;=100000), " ",IF(INDEX($V$2:$AE$1001,MATCH(ROWS($O$2:O658),$O$2:$O$1001,0),MATCH(COLUMNS($V$1006:AE1006),$V$1006:$AE$1006,0)), HYPERLINK("#",""), HYPERLINK(CONCATENATE("#Metadata!", ADDRESS(INDEX($Q$2:$Q$1001,MATCH(ROWS($O$2:O658),$O$2:$O$1001,0),0), INDEX($V$1004:$AE$1004,1,MATCH(COLUMNS($V$1006:AE1006),$V$1006:$AE$1006,0)))),"Fix")))</f>
        <v>0</v>
      </c>
      <c r="O658">
        <v>0</v>
      </c>
      <c r="P658">
        <v>0</v>
      </c>
      <c r="Q658">
        <v>0</v>
      </c>
      <c r="R658">
        <f>IF(S658,TRUE,AND(V658:AE658))</f>
        <v>0</v>
      </c>
      <c r="S658">
        <f>COUNTBLANK(Metadata!B658:K658)=COLUMNS(Metadata!B658:K658)</f>
        <v>0</v>
      </c>
      <c r="T658">
        <v>0</v>
      </c>
      <c r="V658">
        <f>AND(IF(Metadata!B658="",FALSE,TRUE),COUNTIF(Metadata!B:B, Metadata!B658) = 1,NOT(ISERROR(SUMPRODUCT(SEARCH(MID(Metadata!B658,ROW(INDIRECT("1:"&amp;LEN(Metadata!B658))), 1),"0123456789abcdefghijklmnopqrstuvwxyzABCDEFGHIJKLMNOPQRSTUVWXYZ.")))))</f>
        <v>0</v>
      </c>
      <c r="W658">
        <f>AND(IF(Metadata!C658="",FALSE,TRUE),exact(Metadata!C658,"urban biome"))</f>
        <v>0</v>
      </c>
      <c r="X658">
        <f>AND(IF(Metadata!D658="",FALSE,TRUE),exact(Metadata!D658,"animal-associated habitat"))</f>
        <v>0</v>
      </c>
      <c r="Y658">
        <f>OR(AND(IF(Metadata!E658="",FALSE,TRUE),OR(exact(Metadata!E658,"not applicable"),exact(Metadata!E658,"missing: not collected"),exact(Metadata!E658,"missing: not provided"),exact(Metadata!E658,"missing: restricted access"))),AND(IF(Metadata!E658="",FALSE,ISNUMBER(VALUE(Metadata!E658))),Metadata!E658&gt;0))</f>
        <v>0</v>
      </c>
      <c r="Z658">
        <f>AND(IF(Metadata!F658="",FALSE,TRUE),exact(Metadata!F658,"weeks"))</f>
        <v>0</v>
      </c>
      <c r="AA658">
        <f>AND(IF(Metadata!G658="",FALSE,TRUE),exact(Metadata!G658,"mouse"))</f>
        <v>0</v>
      </c>
      <c r="AB658">
        <f>AND(IF(Metadata!H658="",FALSE,TRUE),exact(Metadata!H658,"Mus musculus"))</f>
        <v>0</v>
      </c>
      <c r="AC658">
        <f>AND(IF(Metadata!I658="",FALSE,TRUE),exact(Metadata!I658,"10090"))</f>
        <v>0</v>
      </c>
      <c r="AD658">
        <f>OR(AND(IF(Metadata!J658="",FALSE,TRUE),OR(exact(Metadata!J658,"not applicable"),exact(Metadata!J658,"missing: not collected"),exact(Metadata!J658,"missing: not provided"),exact(Metadata!J658,"missing: restricted access"))),AND(IF(Metadata!J658="",FALSE,ISNUMBER(VALUE(Metadata!J658))),Metadata!J658&gt;0))</f>
        <v>0</v>
      </c>
      <c r="AE658">
        <f>AND(IF(Metadata!K658="",FALSE,TRUE),exact(Metadata!K658,"g"))</f>
        <v>0</v>
      </c>
    </row>
    <row r="659" spans="1:31">
      <c r="A659" s="5">
        <f>IF(B659=" "," ",HYPERLINK(CONCATENATE("#metadata!",ADDRESS(INDEX($Q$2:$Q$1001,MATCH(ROWS($O$2:O659),$O$2:$O$1001,0),0),1)),INDEX($T$2:$T$1001,MATCH(ROWS($O$2:O659),$O$2:$O$1001,0),0)))</f>
        <v>0</v>
      </c>
      <c r="B659" s="4">
        <f>IF(OR(INDEX($P$2:$P$1001,MATCH(ROWS($O$2:O659),$O$2:$O$1001,0),1)&gt;=100000,INDEX($V$1005:$AE$1005,1,MATCH(COLUMNS($V$1006:V1006),$V$1006:$AE$1006,0))&gt;=100000), " ",IF(INDEX($V$2:$AE$1001,MATCH(ROWS($O$2:O659),$O$2:$O$1001,0),MATCH(COLUMNS($V$1006:V1006),$V$1006:$AE$1006,0)), HYPERLINK("#",""), HYPERLINK(CONCATENATE("#Metadata!", ADDRESS(INDEX($Q$2:$Q$1001,MATCH(ROWS($O$2:O659),$O$2:$O$1001,0),0), INDEX($V$1004:$AE$1004,1,MATCH(COLUMNS($V$1006:V1006),$V$1006:$AE$1006,0)))),"Fix")))</f>
        <v>0</v>
      </c>
      <c r="C659" s="4">
        <f>IF(OR(INDEX($P$2:$P$1001,MATCH(ROWS($O$2:O659),$O$2:$O$1001,0),1)&gt;=100000,INDEX($V$1005:$AE$1005,1,MATCH(COLUMNS($V$1006:W1006),$V$1006:$AE$1006,0))&gt;=100000), " ",IF(INDEX($V$2:$AE$1001,MATCH(ROWS($O$2:O659),$O$2:$O$1001,0),MATCH(COLUMNS($V$1006:W1006),$V$1006:$AE$1006,0)), HYPERLINK("#",""), HYPERLINK(CONCATENATE("#Metadata!", ADDRESS(INDEX($Q$2:$Q$1001,MATCH(ROWS($O$2:O659),$O$2:$O$1001,0),0), INDEX($V$1004:$AE$1004,1,MATCH(COLUMNS($V$1006:W1006),$V$1006:$AE$1006,0)))),"Fix")))</f>
        <v>0</v>
      </c>
      <c r="D659" s="4">
        <f>IF(OR(INDEX($P$2:$P$1001,MATCH(ROWS($O$2:O659),$O$2:$O$1001,0),1)&gt;=100000,INDEX($V$1005:$AE$1005,1,MATCH(COLUMNS($V$1006:X1006),$V$1006:$AE$1006,0))&gt;=100000), " ",IF(INDEX($V$2:$AE$1001,MATCH(ROWS($O$2:O659),$O$2:$O$1001,0),MATCH(COLUMNS($V$1006:X1006),$V$1006:$AE$1006,0)), HYPERLINK("#",""), HYPERLINK(CONCATENATE("#Metadata!", ADDRESS(INDEX($Q$2:$Q$1001,MATCH(ROWS($O$2:O659),$O$2:$O$1001,0),0), INDEX($V$1004:$AE$1004,1,MATCH(COLUMNS($V$1006:X1006),$V$1006:$AE$1006,0)))),"Fix")))</f>
        <v>0</v>
      </c>
      <c r="E659" s="4">
        <f>IF(OR(INDEX($P$2:$P$1001,MATCH(ROWS($O$2:O659),$O$2:$O$1001,0),1)&gt;=100000,INDEX($V$1005:$AE$1005,1,MATCH(COLUMNS($V$1006:Y1006),$V$1006:$AE$1006,0))&gt;=100000), " ",IF(INDEX($V$2:$AE$1001,MATCH(ROWS($O$2:O659),$O$2:$O$1001,0),MATCH(COLUMNS($V$1006:Y1006),$V$1006:$AE$1006,0)), HYPERLINK("#",""), HYPERLINK(CONCATENATE("#Metadata!", ADDRESS(INDEX($Q$2:$Q$1001,MATCH(ROWS($O$2:O659),$O$2:$O$1001,0),0), INDEX($V$1004:$AE$1004,1,MATCH(COLUMNS($V$1006:Y1006),$V$1006:$AE$1006,0)))),"Fix")))</f>
        <v>0</v>
      </c>
      <c r="F659" s="4">
        <f>IF(OR(INDEX($P$2:$P$1001,MATCH(ROWS($O$2:O659),$O$2:$O$1001,0),1)&gt;=100000,INDEX($V$1005:$AE$1005,1,MATCH(COLUMNS($V$1006:Z1006),$V$1006:$AE$1006,0))&gt;=100000), " ",IF(INDEX($V$2:$AE$1001,MATCH(ROWS($O$2:O659),$O$2:$O$1001,0),MATCH(COLUMNS($V$1006:Z1006),$V$1006:$AE$1006,0)), HYPERLINK("#",""), HYPERLINK(CONCATENATE("#Metadata!", ADDRESS(INDEX($Q$2:$Q$1001,MATCH(ROWS($O$2:O659),$O$2:$O$1001,0),0), INDEX($V$1004:$AE$1004,1,MATCH(COLUMNS($V$1006:Z1006),$V$1006:$AE$1006,0)))),"Fix")))</f>
        <v>0</v>
      </c>
      <c r="G659" s="4">
        <f>IF(OR(INDEX($P$2:$P$1001,MATCH(ROWS($O$2:O659),$O$2:$O$1001,0),1)&gt;=100000,INDEX($V$1005:$AE$1005,1,MATCH(COLUMNS($V$1006:AA1006),$V$1006:$AE$1006,0))&gt;=100000), " ",IF(INDEX($V$2:$AE$1001,MATCH(ROWS($O$2:O659),$O$2:$O$1001,0),MATCH(COLUMNS($V$1006:AA1006),$V$1006:$AE$1006,0)), HYPERLINK("#",""), HYPERLINK(CONCATENATE("#Metadata!", ADDRESS(INDEX($Q$2:$Q$1001,MATCH(ROWS($O$2:O659),$O$2:$O$1001,0),0), INDEX($V$1004:$AE$1004,1,MATCH(COLUMNS($V$1006:AA1006),$V$1006:$AE$1006,0)))),"Fix")))</f>
        <v>0</v>
      </c>
      <c r="H659" s="4">
        <f>IF(OR(INDEX($P$2:$P$1001,MATCH(ROWS($O$2:O659),$O$2:$O$1001,0),1)&gt;=100000,INDEX($V$1005:$AE$1005,1,MATCH(COLUMNS($V$1006:AB1006),$V$1006:$AE$1006,0))&gt;=100000), " ",IF(INDEX($V$2:$AE$1001,MATCH(ROWS($O$2:O659),$O$2:$O$1001,0),MATCH(COLUMNS($V$1006:AB1006),$V$1006:$AE$1006,0)), HYPERLINK("#",""), HYPERLINK(CONCATENATE("#Metadata!", ADDRESS(INDEX($Q$2:$Q$1001,MATCH(ROWS($O$2:O659),$O$2:$O$1001,0),0), INDEX($V$1004:$AE$1004,1,MATCH(COLUMNS($V$1006:AB1006),$V$1006:$AE$1006,0)))),"Fix")))</f>
        <v>0</v>
      </c>
      <c r="I659" s="4">
        <f>IF(OR(INDEX($P$2:$P$1001,MATCH(ROWS($O$2:O659),$O$2:$O$1001,0),1)&gt;=100000,INDEX($V$1005:$AE$1005,1,MATCH(COLUMNS($V$1006:AC1006),$V$1006:$AE$1006,0))&gt;=100000), " ",IF(INDEX($V$2:$AE$1001,MATCH(ROWS($O$2:O659),$O$2:$O$1001,0),MATCH(COLUMNS($V$1006:AC1006),$V$1006:$AE$1006,0)), HYPERLINK("#",""), HYPERLINK(CONCATENATE("#Metadata!", ADDRESS(INDEX($Q$2:$Q$1001,MATCH(ROWS($O$2:O659),$O$2:$O$1001,0),0), INDEX($V$1004:$AE$1004,1,MATCH(COLUMNS($V$1006:AC1006),$V$1006:$AE$1006,0)))),"Fix")))</f>
        <v>0</v>
      </c>
      <c r="J659" s="4">
        <f>IF(OR(INDEX($P$2:$P$1001,MATCH(ROWS($O$2:O659),$O$2:$O$1001,0),1)&gt;=100000,INDEX($V$1005:$AE$1005,1,MATCH(COLUMNS($V$1006:AD1006),$V$1006:$AE$1006,0))&gt;=100000), " ",IF(INDEX($V$2:$AE$1001,MATCH(ROWS($O$2:O659),$O$2:$O$1001,0),MATCH(COLUMNS($V$1006:AD1006),$V$1006:$AE$1006,0)), HYPERLINK("#",""), HYPERLINK(CONCATENATE("#Metadata!", ADDRESS(INDEX($Q$2:$Q$1001,MATCH(ROWS($O$2:O659),$O$2:$O$1001,0),0), INDEX($V$1004:$AE$1004,1,MATCH(COLUMNS($V$1006:AD1006),$V$1006:$AE$1006,0)))),"Fix")))</f>
        <v>0</v>
      </c>
      <c r="K659" s="4">
        <f>IF(OR(INDEX($P$2:$P$1001,MATCH(ROWS($O$2:O659),$O$2:$O$1001,0),1)&gt;=100000,INDEX($V$1005:$AE$1005,1,MATCH(COLUMNS($V$1006:AE1006),$V$1006:$AE$1006,0))&gt;=100000), " ",IF(INDEX($V$2:$AE$1001,MATCH(ROWS($O$2:O659),$O$2:$O$1001,0),MATCH(COLUMNS($V$1006:AE1006),$V$1006:$AE$1006,0)), HYPERLINK("#",""), HYPERLINK(CONCATENATE("#Metadata!", ADDRESS(INDEX($Q$2:$Q$1001,MATCH(ROWS($O$2:O659),$O$2:$O$1001,0),0), INDEX($V$1004:$AE$1004,1,MATCH(COLUMNS($V$1006:AE1006),$V$1006:$AE$1006,0)))),"Fix")))</f>
        <v>0</v>
      </c>
      <c r="O659">
        <v>0</v>
      </c>
      <c r="P659">
        <v>0</v>
      </c>
      <c r="Q659">
        <v>0</v>
      </c>
      <c r="R659">
        <f>IF(S659,TRUE,AND(V659:AE659))</f>
        <v>0</v>
      </c>
      <c r="S659">
        <f>COUNTBLANK(Metadata!B659:K659)=COLUMNS(Metadata!B659:K659)</f>
        <v>0</v>
      </c>
      <c r="T659">
        <v>0</v>
      </c>
      <c r="V659">
        <f>AND(IF(Metadata!B659="",FALSE,TRUE),COUNTIF(Metadata!B:B, Metadata!B659) = 1,NOT(ISERROR(SUMPRODUCT(SEARCH(MID(Metadata!B659,ROW(INDIRECT("1:"&amp;LEN(Metadata!B659))), 1),"0123456789abcdefghijklmnopqrstuvwxyzABCDEFGHIJKLMNOPQRSTUVWXYZ.")))))</f>
        <v>0</v>
      </c>
      <c r="W659">
        <f>AND(IF(Metadata!C659="",FALSE,TRUE),exact(Metadata!C659,"urban biome"))</f>
        <v>0</v>
      </c>
      <c r="X659">
        <f>AND(IF(Metadata!D659="",FALSE,TRUE),exact(Metadata!D659,"animal-associated habitat"))</f>
        <v>0</v>
      </c>
      <c r="Y659">
        <f>OR(AND(IF(Metadata!E659="",FALSE,TRUE),OR(exact(Metadata!E659,"not applicable"),exact(Metadata!E659,"missing: not collected"),exact(Metadata!E659,"missing: not provided"),exact(Metadata!E659,"missing: restricted access"))),AND(IF(Metadata!E659="",FALSE,ISNUMBER(VALUE(Metadata!E659))),Metadata!E659&gt;0))</f>
        <v>0</v>
      </c>
      <c r="Z659">
        <f>AND(IF(Metadata!F659="",FALSE,TRUE),exact(Metadata!F659,"weeks"))</f>
        <v>0</v>
      </c>
      <c r="AA659">
        <f>AND(IF(Metadata!G659="",FALSE,TRUE),exact(Metadata!G659,"mouse"))</f>
        <v>0</v>
      </c>
      <c r="AB659">
        <f>AND(IF(Metadata!H659="",FALSE,TRUE),exact(Metadata!H659,"Mus musculus"))</f>
        <v>0</v>
      </c>
      <c r="AC659">
        <f>AND(IF(Metadata!I659="",FALSE,TRUE),exact(Metadata!I659,"10090"))</f>
        <v>0</v>
      </c>
      <c r="AD659">
        <f>OR(AND(IF(Metadata!J659="",FALSE,TRUE),OR(exact(Metadata!J659,"not applicable"),exact(Metadata!J659,"missing: not collected"),exact(Metadata!J659,"missing: not provided"),exact(Metadata!J659,"missing: restricted access"))),AND(IF(Metadata!J659="",FALSE,ISNUMBER(VALUE(Metadata!J659))),Metadata!J659&gt;0))</f>
        <v>0</v>
      </c>
      <c r="AE659">
        <f>AND(IF(Metadata!K659="",FALSE,TRUE),exact(Metadata!K659,"g"))</f>
        <v>0</v>
      </c>
    </row>
    <row r="660" spans="1:31">
      <c r="A660" s="5">
        <f>IF(B660=" "," ",HYPERLINK(CONCATENATE("#metadata!",ADDRESS(INDEX($Q$2:$Q$1001,MATCH(ROWS($O$2:O660),$O$2:$O$1001,0),0),1)),INDEX($T$2:$T$1001,MATCH(ROWS($O$2:O660),$O$2:$O$1001,0),0)))</f>
        <v>0</v>
      </c>
      <c r="B660" s="4">
        <f>IF(OR(INDEX($P$2:$P$1001,MATCH(ROWS($O$2:O660),$O$2:$O$1001,0),1)&gt;=100000,INDEX($V$1005:$AE$1005,1,MATCH(COLUMNS($V$1006:V1006),$V$1006:$AE$1006,0))&gt;=100000), " ",IF(INDEX($V$2:$AE$1001,MATCH(ROWS($O$2:O660),$O$2:$O$1001,0),MATCH(COLUMNS($V$1006:V1006),$V$1006:$AE$1006,0)), HYPERLINK("#",""), HYPERLINK(CONCATENATE("#Metadata!", ADDRESS(INDEX($Q$2:$Q$1001,MATCH(ROWS($O$2:O660),$O$2:$O$1001,0),0), INDEX($V$1004:$AE$1004,1,MATCH(COLUMNS($V$1006:V1006),$V$1006:$AE$1006,0)))),"Fix")))</f>
        <v>0</v>
      </c>
      <c r="C660" s="4">
        <f>IF(OR(INDEX($P$2:$P$1001,MATCH(ROWS($O$2:O660),$O$2:$O$1001,0),1)&gt;=100000,INDEX($V$1005:$AE$1005,1,MATCH(COLUMNS($V$1006:W1006),$V$1006:$AE$1006,0))&gt;=100000), " ",IF(INDEX($V$2:$AE$1001,MATCH(ROWS($O$2:O660),$O$2:$O$1001,0),MATCH(COLUMNS($V$1006:W1006),$V$1006:$AE$1006,0)), HYPERLINK("#",""), HYPERLINK(CONCATENATE("#Metadata!", ADDRESS(INDEX($Q$2:$Q$1001,MATCH(ROWS($O$2:O660),$O$2:$O$1001,0),0), INDEX($V$1004:$AE$1004,1,MATCH(COLUMNS($V$1006:W1006),$V$1006:$AE$1006,0)))),"Fix")))</f>
        <v>0</v>
      </c>
      <c r="D660" s="4">
        <f>IF(OR(INDEX($P$2:$P$1001,MATCH(ROWS($O$2:O660),$O$2:$O$1001,0),1)&gt;=100000,INDEX($V$1005:$AE$1005,1,MATCH(COLUMNS($V$1006:X1006),$V$1006:$AE$1006,0))&gt;=100000), " ",IF(INDEX($V$2:$AE$1001,MATCH(ROWS($O$2:O660),$O$2:$O$1001,0),MATCH(COLUMNS($V$1006:X1006),$V$1006:$AE$1006,0)), HYPERLINK("#",""), HYPERLINK(CONCATENATE("#Metadata!", ADDRESS(INDEX($Q$2:$Q$1001,MATCH(ROWS($O$2:O660),$O$2:$O$1001,0),0), INDEX($V$1004:$AE$1004,1,MATCH(COLUMNS($V$1006:X1006),$V$1006:$AE$1006,0)))),"Fix")))</f>
        <v>0</v>
      </c>
      <c r="E660" s="4">
        <f>IF(OR(INDEX($P$2:$P$1001,MATCH(ROWS($O$2:O660),$O$2:$O$1001,0),1)&gt;=100000,INDEX($V$1005:$AE$1005,1,MATCH(COLUMNS($V$1006:Y1006),$V$1006:$AE$1006,0))&gt;=100000), " ",IF(INDEX($V$2:$AE$1001,MATCH(ROWS($O$2:O660),$O$2:$O$1001,0),MATCH(COLUMNS($V$1006:Y1006),$V$1006:$AE$1006,0)), HYPERLINK("#",""), HYPERLINK(CONCATENATE("#Metadata!", ADDRESS(INDEX($Q$2:$Q$1001,MATCH(ROWS($O$2:O660),$O$2:$O$1001,0),0), INDEX($V$1004:$AE$1004,1,MATCH(COLUMNS($V$1006:Y1006),$V$1006:$AE$1006,0)))),"Fix")))</f>
        <v>0</v>
      </c>
      <c r="F660" s="4">
        <f>IF(OR(INDEX($P$2:$P$1001,MATCH(ROWS($O$2:O660),$O$2:$O$1001,0),1)&gt;=100000,INDEX($V$1005:$AE$1005,1,MATCH(COLUMNS($V$1006:Z1006),$V$1006:$AE$1006,0))&gt;=100000), " ",IF(INDEX($V$2:$AE$1001,MATCH(ROWS($O$2:O660),$O$2:$O$1001,0),MATCH(COLUMNS($V$1006:Z1006),$V$1006:$AE$1006,0)), HYPERLINK("#",""), HYPERLINK(CONCATENATE("#Metadata!", ADDRESS(INDEX($Q$2:$Q$1001,MATCH(ROWS($O$2:O660),$O$2:$O$1001,0),0), INDEX($V$1004:$AE$1004,1,MATCH(COLUMNS($V$1006:Z1006),$V$1006:$AE$1006,0)))),"Fix")))</f>
        <v>0</v>
      </c>
      <c r="G660" s="4">
        <f>IF(OR(INDEX($P$2:$P$1001,MATCH(ROWS($O$2:O660),$O$2:$O$1001,0),1)&gt;=100000,INDEX($V$1005:$AE$1005,1,MATCH(COLUMNS($V$1006:AA1006),$V$1006:$AE$1006,0))&gt;=100000), " ",IF(INDEX($V$2:$AE$1001,MATCH(ROWS($O$2:O660),$O$2:$O$1001,0),MATCH(COLUMNS($V$1006:AA1006),$V$1006:$AE$1006,0)), HYPERLINK("#",""), HYPERLINK(CONCATENATE("#Metadata!", ADDRESS(INDEX($Q$2:$Q$1001,MATCH(ROWS($O$2:O660),$O$2:$O$1001,0),0), INDEX($V$1004:$AE$1004,1,MATCH(COLUMNS($V$1006:AA1006),$V$1006:$AE$1006,0)))),"Fix")))</f>
        <v>0</v>
      </c>
      <c r="H660" s="4">
        <f>IF(OR(INDEX($P$2:$P$1001,MATCH(ROWS($O$2:O660),$O$2:$O$1001,0),1)&gt;=100000,INDEX($V$1005:$AE$1005,1,MATCH(COLUMNS($V$1006:AB1006),$V$1006:$AE$1006,0))&gt;=100000), " ",IF(INDEX($V$2:$AE$1001,MATCH(ROWS($O$2:O660),$O$2:$O$1001,0),MATCH(COLUMNS($V$1006:AB1006),$V$1006:$AE$1006,0)), HYPERLINK("#",""), HYPERLINK(CONCATENATE("#Metadata!", ADDRESS(INDEX($Q$2:$Q$1001,MATCH(ROWS($O$2:O660),$O$2:$O$1001,0),0), INDEX($V$1004:$AE$1004,1,MATCH(COLUMNS($V$1006:AB1006),$V$1006:$AE$1006,0)))),"Fix")))</f>
        <v>0</v>
      </c>
      <c r="I660" s="4">
        <f>IF(OR(INDEX($P$2:$P$1001,MATCH(ROWS($O$2:O660),$O$2:$O$1001,0),1)&gt;=100000,INDEX($V$1005:$AE$1005,1,MATCH(COLUMNS($V$1006:AC1006),$V$1006:$AE$1006,0))&gt;=100000), " ",IF(INDEX($V$2:$AE$1001,MATCH(ROWS($O$2:O660),$O$2:$O$1001,0),MATCH(COLUMNS($V$1006:AC1006),$V$1006:$AE$1006,0)), HYPERLINK("#",""), HYPERLINK(CONCATENATE("#Metadata!", ADDRESS(INDEX($Q$2:$Q$1001,MATCH(ROWS($O$2:O660),$O$2:$O$1001,0),0), INDEX($V$1004:$AE$1004,1,MATCH(COLUMNS($V$1006:AC1006),$V$1006:$AE$1006,0)))),"Fix")))</f>
        <v>0</v>
      </c>
      <c r="J660" s="4">
        <f>IF(OR(INDEX($P$2:$P$1001,MATCH(ROWS($O$2:O660),$O$2:$O$1001,0),1)&gt;=100000,INDEX($V$1005:$AE$1005,1,MATCH(COLUMNS($V$1006:AD1006),$V$1006:$AE$1006,0))&gt;=100000), " ",IF(INDEX($V$2:$AE$1001,MATCH(ROWS($O$2:O660),$O$2:$O$1001,0),MATCH(COLUMNS($V$1006:AD1006),$V$1006:$AE$1006,0)), HYPERLINK("#",""), HYPERLINK(CONCATENATE("#Metadata!", ADDRESS(INDEX($Q$2:$Q$1001,MATCH(ROWS($O$2:O660),$O$2:$O$1001,0),0), INDEX($V$1004:$AE$1004,1,MATCH(COLUMNS($V$1006:AD1006),$V$1006:$AE$1006,0)))),"Fix")))</f>
        <v>0</v>
      </c>
      <c r="K660" s="4">
        <f>IF(OR(INDEX($P$2:$P$1001,MATCH(ROWS($O$2:O660),$O$2:$O$1001,0),1)&gt;=100000,INDEX($V$1005:$AE$1005,1,MATCH(COLUMNS($V$1006:AE1006),$V$1006:$AE$1006,0))&gt;=100000), " ",IF(INDEX($V$2:$AE$1001,MATCH(ROWS($O$2:O660),$O$2:$O$1001,0),MATCH(COLUMNS($V$1006:AE1006),$V$1006:$AE$1006,0)), HYPERLINK("#",""), HYPERLINK(CONCATENATE("#Metadata!", ADDRESS(INDEX($Q$2:$Q$1001,MATCH(ROWS($O$2:O660),$O$2:$O$1001,0),0), INDEX($V$1004:$AE$1004,1,MATCH(COLUMNS($V$1006:AE1006),$V$1006:$AE$1006,0)))),"Fix")))</f>
        <v>0</v>
      </c>
      <c r="O660">
        <v>0</v>
      </c>
      <c r="P660">
        <v>0</v>
      </c>
      <c r="Q660">
        <v>0</v>
      </c>
      <c r="R660">
        <f>IF(S660,TRUE,AND(V660:AE660))</f>
        <v>0</v>
      </c>
      <c r="S660">
        <f>COUNTBLANK(Metadata!B660:K660)=COLUMNS(Metadata!B660:K660)</f>
        <v>0</v>
      </c>
      <c r="T660">
        <v>0</v>
      </c>
      <c r="V660">
        <f>AND(IF(Metadata!B660="",FALSE,TRUE),COUNTIF(Metadata!B:B, Metadata!B660) = 1,NOT(ISERROR(SUMPRODUCT(SEARCH(MID(Metadata!B660,ROW(INDIRECT("1:"&amp;LEN(Metadata!B660))), 1),"0123456789abcdefghijklmnopqrstuvwxyzABCDEFGHIJKLMNOPQRSTUVWXYZ.")))))</f>
        <v>0</v>
      </c>
      <c r="W660">
        <f>AND(IF(Metadata!C660="",FALSE,TRUE),exact(Metadata!C660,"urban biome"))</f>
        <v>0</v>
      </c>
      <c r="X660">
        <f>AND(IF(Metadata!D660="",FALSE,TRUE),exact(Metadata!D660,"animal-associated habitat"))</f>
        <v>0</v>
      </c>
      <c r="Y660">
        <f>OR(AND(IF(Metadata!E660="",FALSE,TRUE),OR(exact(Metadata!E660,"not applicable"),exact(Metadata!E660,"missing: not collected"),exact(Metadata!E660,"missing: not provided"),exact(Metadata!E660,"missing: restricted access"))),AND(IF(Metadata!E660="",FALSE,ISNUMBER(VALUE(Metadata!E660))),Metadata!E660&gt;0))</f>
        <v>0</v>
      </c>
      <c r="Z660">
        <f>AND(IF(Metadata!F660="",FALSE,TRUE),exact(Metadata!F660,"weeks"))</f>
        <v>0</v>
      </c>
      <c r="AA660">
        <f>AND(IF(Metadata!G660="",FALSE,TRUE),exact(Metadata!G660,"mouse"))</f>
        <v>0</v>
      </c>
      <c r="AB660">
        <f>AND(IF(Metadata!H660="",FALSE,TRUE),exact(Metadata!H660,"Mus musculus"))</f>
        <v>0</v>
      </c>
      <c r="AC660">
        <f>AND(IF(Metadata!I660="",FALSE,TRUE),exact(Metadata!I660,"10090"))</f>
        <v>0</v>
      </c>
      <c r="AD660">
        <f>OR(AND(IF(Metadata!J660="",FALSE,TRUE),OR(exact(Metadata!J660,"not applicable"),exact(Metadata!J660,"missing: not collected"),exact(Metadata!J660,"missing: not provided"),exact(Metadata!J660,"missing: restricted access"))),AND(IF(Metadata!J660="",FALSE,ISNUMBER(VALUE(Metadata!J660))),Metadata!J660&gt;0))</f>
        <v>0</v>
      </c>
      <c r="AE660">
        <f>AND(IF(Metadata!K660="",FALSE,TRUE),exact(Metadata!K660,"g"))</f>
        <v>0</v>
      </c>
    </row>
    <row r="661" spans="1:31">
      <c r="A661" s="5">
        <f>IF(B661=" "," ",HYPERLINK(CONCATENATE("#metadata!",ADDRESS(INDEX($Q$2:$Q$1001,MATCH(ROWS($O$2:O661),$O$2:$O$1001,0),0),1)),INDEX($T$2:$T$1001,MATCH(ROWS($O$2:O661),$O$2:$O$1001,0),0)))</f>
        <v>0</v>
      </c>
      <c r="B661" s="4">
        <f>IF(OR(INDEX($P$2:$P$1001,MATCH(ROWS($O$2:O661),$O$2:$O$1001,0),1)&gt;=100000,INDEX($V$1005:$AE$1005,1,MATCH(COLUMNS($V$1006:V1006),$V$1006:$AE$1006,0))&gt;=100000), " ",IF(INDEX($V$2:$AE$1001,MATCH(ROWS($O$2:O661),$O$2:$O$1001,0),MATCH(COLUMNS($V$1006:V1006),$V$1006:$AE$1006,0)), HYPERLINK("#",""), HYPERLINK(CONCATENATE("#Metadata!", ADDRESS(INDEX($Q$2:$Q$1001,MATCH(ROWS($O$2:O661),$O$2:$O$1001,0),0), INDEX($V$1004:$AE$1004,1,MATCH(COLUMNS($V$1006:V1006),$V$1006:$AE$1006,0)))),"Fix")))</f>
        <v>0</v>
      </c>
      <c r="C661" s="4">
        <f>IF(OR(INDEX($P$2:$P$1001,MATCH(ROWS($O$2:O661),$O$2:$O$1001,0),1)&gt;=100000,INDEX($V$1005:$AE$1005,1,MATCH(COLUMNS($V$1006:W1006),$V$1006:$AE$1006,0))&gt;=100000), " ",IF(INDEX($V$2:$AE$1001,MATCH(ROWS($O$2:O661),$O$2:$O$1001,0),MATCH(COLUMNS($V$1006:W1006),$V$1006:$AE$1006,0)), HYPERLINK("#",""), HYPERLINK(CONCATENATE("#Metadata!", ADDRESS(INDEX($Q$2:$Q$1001,MATCH(ROWS($O$2:O661),$O$2:$O$1001,0),0), INDEX($V$1004:$AE$1004,1,MATCH(COLUMNS($V$1006:W1006),$V$1006:$AE$1006,0)))),"Fix")))</f>
        <v>0</v>
      </c>
      <c r="D661" s="4">
        <f>IF(OR(INDEX($P$2:$P$1001,MATCH(ROWS($O$2:O661),$O$2:$O$1001,0),1)&gt;=100000,INDEX($V$1005:$AE$1005,1,MATCH(COLUMNS($V$1006:X1006),$V$1006:$AE$1006,0))&gt;=100000), " ",IF(INDEX($V$2:$AE$1001,MATCH(ROWS($O$2:O661),$O$2:$O$1001,0),MATCH(COLUMNS($V$1006:X1006),$V$1006:$AE$1006,0)), HYPERLINK("#",""), HYPERLINK(CONCATENATE("#Metadata!", ADDRESS(INDEX($Q$2:$Q$1001,MATCH(ROWS($O$2:O661),$O$2:$O$1001,0),0), INDEX($V$1004:$AE$1004,1,MATCH(COLUMNS($V$1006:X1006),$V$1006:$AE$1006,0)))),"Fix")))</f>
        <v>0</v>
      </c>
      <c r="E661" s="4">
        <f>IF(OR(INDEX($P$2:$P$1001,MATCH(ROWS($O$2:O661),$O$2:$O$1001,0),1)&gt;=100000,INDEX($V$1005:$AE$1005,1,MATCH(COLUMNS($V$1006:Y1006),$V$1006:$AE$1006,0))&gt;=100000), " ",IF(INDEX($V$2:$AE$1001,MATCH(ROWS($O$2:O661),$O$2:$O$1001,0),MATCH(COLUMNS($V$1006:Y1006),$V$1006:$AE$1006,0)), HYPERLINK("#",""), HYPERLINK(CONCATENATE("#Metadata!", ADDRESS(INDEX($Q$2:$Q$1001,MATCH(ROWS($O$2:O661),$O$2:$O$1001,0),0), INDEX($V$1004:$AE$1004,1,MATCH(COLUMNS($V$1006:Y1006),$V$1006:$AE$1006,0)))),"Fix")))</f>
        <v>0</v>
      </c>
      <c r="F661" s="4">
        <f>IF(OR(INDEX($P$2:$P$1001,MATCH(ROWS($O$2:O661),$O$2:$O$1001,0),1)&gt;=100000,INDEX($V$1005:$AE$1005,1,MATCH(COLUMNS($V$1006:Z1006),$V$1006:$AE$1006,0))&gt;=100000), " ",IF(INDEX($V$2:$AE$1001,MATCH(ROWS($O$2:O661),$O$2:$O$1001,0),MATCH(COLUMNS($V$1006:Z1006),$V$1006:$AE$1006,0)), HYPERLINK("#",""), HYPERLINK(CONCATENATE("#Metadata!", ADDRESS(INDEX($Q$2:$Q$1001,MATCH(ROWS($O$2:O661),$O$2:$O$1001,0),0), INDEX($V$1004:$AE$1004,1,MATCH(COLUMNS($V$1006:Z1006),$V$1006:$AE$1006,0)))),"Fix")))</f>
        <v>0</v>
      </c>
      <c r="G661" s="4">
        <f>IF(OR(INDEX($P$2:$P$1001,MATCH(ROWS($O$2:O661),$O$2:$O$1001,0),1)&gt;=100000,INDEX($V$1005:$AE$1005,1,MATCH(COLUMNS($V$1006:AA1006),$V$1006:$AE$1006,0))&gt;=100000), " ",IF(INDEX($V$2:$AE$1001,MATCH(ROWS($O$2:O661),$O$2:$O$1001,0),MATCH(COLUMNS($V$1006:AA1006),$V$1006:$AE$1006,0)), HYPERLINK("#",""), HYPERLINK(CONCATENATE("#Metadata!", ADDRESS(INDEX($Q$2:$Q$1001,MATCH(ROWS($O$2:O661),$O$2:$O$1001,0),0), INDEX($V$1004:$AE$1004,1,MATCH(COLUMNS($V$1006:AA1006),$V$1006:$AE$1006,0)))),"Fix")))</f>
        <v>0</v>
      </c>
      <c r="H661" s="4">
        <f>IF(OR(INDEX($P$2:$P$1001,MATCH(ROWS($O$2:O661),$O$2:$O$1001,0),1)&gt;=100000,INDEX($V$1005:$AE$1005,1,MATCH(COLUMNS($V$1006:AB1006),$V$1006:$AE$1006,0))&gt;=100000), " ",IF(INDEX($V$2:$AE$1001,MATCH(ROWS($O$2:O661),$O$2:$O$1001,0),MATCH(COLUMNS($V$1006:AB1006),$V$1006:$AE$1006,0)), HYPERLINK("#",""), HYPERLINK(CONCATENATE("#Metadata!", ADDRESS(INDEX($Q$2:$Q$1001,MATCH(ROWS($O$2:O661),$O$2:$O$1001,0),0), INDEX($V$1004:$AE$1004,1,MATCH(COLUMNS($V$1006:AB1006),$V$1006:$AE$1006,0)))),"Fix")))</f>
        <v>0</v>
      </c>
      <c r="I661" s="4">
        <f>IF(OR(INDEX($P$2:$P$1001,MATCH(ROWS($O$2:O661),$O$2:$O$1001,0),1)&gt;=100000,INDEX($V$1005:$AE$1005,1,MATCH(COLUMNS($V$1006:AC1006),$V$1006:$AE$1006,0))&gt;=100000), " ",IF(INDEX($V$2:$AE$1001,MATCH(ROWS($O$2:O661),$O$2:$O$1001,0),MATCH(COLUMNS($V$1006:AC1006),$V$1006:$AE$1006,0)), HYPERLINK("#",""), HYPERLINK(CONCATENATE("#Metadata!", ADDRESS(INDEX($Q$2:$Q$1001,MATCH(ROWS($O$2:O661),$O$2:$O$1001,0),0), INDEX($V$1004:$AE$1004,1,MATCH(COLUMNS($V$1006:AC1006),$V$1006:$AE$1006,0)))),"Fix")))</f>
        <v>0</v>
      </c>
      <c r="J661" s="4">
        <f>IF(OR(INDEX($P$2:$P$1001,MATCH(ROWS($O$2:O661),$O$2:$O$1001,0),1)&gt;=100000,INDEX($V$1005:$AE$1005,1,MATCH(COLUMNS($V$1006:AD1006),$V$1006:$AE$1006,0))&gt;=100000), " ",IF(INDEX($V$2:$AE$1001,MATCH(ROWS($O$2:O661),$O$2:$O$1001,0),MATCH(COLUMNS($V$1006:AD1006),$V$1006:$AE$1006,0)), HYPERLINK("#",""), HYPERLINK(CONCATENATE("#Metadata!", ADDRESS(INDEX($Q$2:$Q$1001,MATCH(ROWS($O$2:O661),$O$2:$O$1001,0),0), INDEX($V$1004:$AE$1004,1,MATCH(COLUMNS($V$1006:AD1006),$V$1006:$AE$1006,0)))),"Fix")))</f>
        <v>0</v>
      </c>
      <c r="K661" s="4">
        <f>IF(OR(INDEX($P$2:$P$1001,MATCH(ROWS($O$2:O661),$O$2:$O$1001,0),1)&gt;=100000,INDEX($V$1005:$AE$1005,1,MATCH(COLUMNS($V$1006:AE1006),$V$1006:$AE$1006,0))&gt;=100000), " ",IF(INDEX($V$2:$AE$1001,MATCH(ROWS($O$2:O661),$O$2:$O$1001,0),MATCH(COLUMNS($V$1006:AE1006),$V$1006:$AE$1006,0)), HYPERLINK("#",""), HYPERLINK(CONCATENATE("#Metadata!", ADDRESS(INDEX($Q$2:$Q$1001,MATCH(ROWS($O$2:O661),$O$2:$O$1001,0),0), INDEX($V$1004:$AE$1004,1,MATCH(COLUMNS($V$1006:AE1006),$V$1006:$AE$1006,0)))),"Fix")))</f>
        <v>0</v>
      </c>
      <c r="O661">
        <v>0</v>
      </c>
      <c r="P661">
        <v>0</v>
      </c>
      <c r="Q661">
        <v>0</v>
      </c>
      <c r="R661">
        <f>IF(S661,TRUE,AND(V661:AE661))</f>
        <v>0</v>
      </c>
      <c r="S661">
        <f>COUNTBLANK(Metadata!B661:K661)=COLUMNS(Metadata!B661:K661)</f>
        <v>0</v>
      </c>
      <c r="T661">
        <v>0</v>
      </c>
      <c r="V661">
        <f>AND(IF(Metadata!B661="",FALSE,TRUE),COUNTIF(Metadata!B:B, Metadata!B661) = 1,NOT(ISERROR(SUMPRODUCT(SEARCH(MID(Metadata!B661,ROW(INDIRECT("1:"&amp;LEN(Metadata!B661))), 1),"0123456789abcdefghijklmnopqrstuvwxyzABCDEFGHIJKLMNOPQRSTUVWXYZ.")))))</f>
        <v>0</v>
      </c>
      <c r="W661">
        <f>AND(IF(Metadata!C661="",FALSE,TRUE),exact(Metadata!C661,"urban biome"))</f>
        <v>0</v>
      </c>
      <c r="X661">
        <f>AND(IF(Metadata!D661="",FALSE,TRUE),exact(Metadata!D661,"animal-associated habitat"))</f>
        <v>0</v>
      </c>
      <c r="Y661">
        <f>OR(AND(IF(Metadata!E661="",FALSE,TRUE),OR(exact(Metadata!E661,"not applicable"),exact(Metadata!E661,"missing: not collected"),exact(Metadata!E661,"missing: not provided"),exact(Metadata!E661,"missing: restricted access"))),AND(IF(Metadata!E661="",FALSE,ISNUMBER(VALUE(Metadata!E661))),Metadata!E661&gt;0))</f>
        <v>0</v>
      </c>
      <c r="Z661">
        <f>AND(IF(Metadata!F661="",FALSE,TRUE),exact(Metadata!F661,"weeks"))</f>
        <v>0</v>
      </c>
      <c r="AA661">
        <f>AND(IF(Metadata!G661="",FALSE,TRUE),exact(Metadata!G661,"mouse"))</f>
        <v>0</v>
      </c>
      <c r="AB661">
        <f>AND(IF(Metadata!H661="",FALSE,TRUE),exact(Metadata!H661,"Mus musculus"))</f>
        <v>0</v>
      </c>
      <c r="AC661">
        <f>AND(IF(Metadata!I661="",FALSE,TRUE),exact(Metadata!I661,"10090"))</f>
        <v>0</v>
      </c>
      <c r="AD661">
        <f>OR(AND(IF(Metadata!J661="",FALSE,TRUE),OR(exact(Metadata!J661,"not applicable"),exact(Metadata!J661,"missing: not collected"),exact(Metadata!J661,"missing: not provided"),exact(Metadata!J661,"missing: restricted access"))),AND(IF(Metadata!J661="",FALSE,ISNUMBER(VALUE(Metadata!J661))),Metadata!J661&gt;0))</f>
        <v>0</v>
      </c>
      <c r="AE661">
        <f>AND(IF(Metadata!K661="",FALSE,TRUE),exact(Metadata!K661,"g"))</f>
        <v>0</v>
      </c>
    </row>
    <row r="662" spans="1:31">
      <c r="A662" s="5">
        <f>IF(B662=" "," ",HYPERLINK(CONCATENATE("#metadata!",ADDRESS(INDEX($Q$2:$Q$1001,MATCH(ROWS($O$2:O662),$O$2:$O$1001,0),0),1)),INDEX($T$2:$T$1001,MATCH(ROWS($O$2:O662),$O$2:$O$1001,0),0)))</f>
        <v>0</v>
      </c>
      <c r="B662" s="4">
        <f>IF(OR(INDEX($P$2:$P$1001,MATCH(ROWS($O$2:O662),$O$2:$O$1001,0),1)&gt;=100000,INDEX($V$1005:$AE$1005,1,MATCH(COLUMNS($V$1006:V1006),$V$1006:$AE$1006,0))&gt;=100000), " ",IF(INDEX($V$2:$AE$1001,MATCH(ROWS($O$2:O662),$O$2:$O$1001,0),MATCH(COLUMNS($V$1006:V1006),$V$1006:$AE$1006,0)), HYPERLINK("#",""), HYPERLINK(CONCATENATE("#Metadata!", ADDRESS(INDEX($Q$2:$Q$1001,MATCH(ROWS($O$2:O662),$O$2:$O$1001,0),0), INDEX($V$1004:$AE$1004,1,MATCH(COLUMNS($V$1006:V1006),$V$1006:$AE$1006,0)))),"Fix")))</f>
        <v>0</v>
      </c>
      <c r="C662" s="4">
        <f>IF(OR(INDEX($P$2:$P$1001,MATCH(ROWS($O$2:O662),$O$2:$O$1001,0),1)&gt;=100000,INDEX($V$1005:$AE$1005,1,MATCH(COLUMNS($V$1006:W1006),$V$1006:$AE$1006,0))&gt;=100000), " ",IF(INDEX($V$2:$AE$1001,MATCH(ROWS($O$2:O662),$O$2:$O$1001,0),MATCH(COLUMNS($V$1006:W1006),$V$1006:$AE$1006,0)), HYPERLINK("#",""), HYPERLINK(CONCATENATE("#Metadata!", ADDRESS(INDEX($Q$2:$Q$1001,MATCH(ROWS($O$2:O662),$O$2:$O$1001,0),0), INDEX($V$1004:$AE$1004,1,MATCH(COLUMNS($V$1006:W1006),$V$1006:$AE$1006,0)))),"Fix")))</f>
        <v>0</v>
      </c>
      <c r="D662" s="4">
        <f>IF(OR(INDEX($P$2:$P$1001,MATCH(ROWS($O$2:O662),$O$2:$O$1001,0),1)&gt;=100000,INDEX($V$1005:$AE$1005,1,MATCH(COLUMNS($V$1006:X1006),$V$1006:$AE$1006,0))&gt;=100000), " ",IF(INDEX($V$2:$AE$1001,MATCH(ROWS($O$2:O662),$O$2:$O$1001,0),MATCH(COLUMNS($V$1006:X1006),$V$1006:$AE$1006,0)), HYPERLINK("#",""), HYPERLINK(CONCATENATE("#Metadata!", ADDRESS(INDEX($Q$2:$Q$1001,MATCH(ROWS($O$2:O662),$O$2:$O$1001,0),0), INDEX($V$1004:$AE$1004,1,MATCH(COLUMNS($V$1006:X1006),$V$1006:$AE$1006,0)))),"Fix")))</f>
        <v>0</v>
      </c>
      <c r="E662" s="4">
        <f>IF(OR(INDEX($P$2:$P$1001,MATCH(ROWS($O$2:O662),$O$2:$O$1001,0),1)&gt;=100000,INDEX($V$1005:$AE$1005,1,MATCH(COLUMNS($V$1006:Y1006),$V$1006:$AE$1006,0))&gt;=100000), " ",IF(INDEX($V$2:$AE$1001,MATCH(ROWS($O$2:O662),$O$2:$O$1001,0),MATCH(COLUMNS($V$1006:Y1006),$V$1006:$AE$1006,0)), HYPERLINK("#",""), HYPERLINK(CONCATENATE("#Metadata!", ADDRESS(INDEX($Q$2:$Q$1001,MATCH(ROWS($O$2:O662),$O$2:$O$1001,0),0), INDEX($V$1004:$AE$1004,1,MATCH(COLUMNS($V$1006:Y1006),$V$1006:$AE$1006,0)))),"Fix")))</f>
        <v>0</v>
      </c>
      <c r="F662" s="4">
        <f>IF(OR(INDEX($P$2:$P$1001,MATCH(ROWS($O$2:O662),$O$2:$O$1001,0),1)&gt;=100000,INDEX($V$1005:$AE$1005,1,MATCH(COLUMNS($V$1006:Z1006),$V$1006:$AE$1006,0))&gt;=100000), " ",IF(INDEX($V$2:$AE$1001,MATCH(ROWS($O$2:O662),$O$2:$O$1001,0),MATCH(COLUMNS($V$1006:Z1006),$V$1006:$AE$1006,0)), HYPERLINK("#",""), HYPERLINK(CONCATENATE("#Metadata!", ADDRESS(INDEX($Q$2:$Q$1001,MATCH(ROWS($O$2:O662),$O$2:$O$1001,0),0), INDEX($V$1004:$AE$1004,1,MATCH(COLUMNS($V$1006:Z1006),$V$1006:$AE$1006,0)))),"Fix")))</f>
        <v>0</v>
      </c>
      <c r="G662" s="4">
        <f>IF(OR(INDEX($P$2:$P$1001,MATCH(ROWS($O$2:O662),$O$2:$O$1001,0),1)&gt;=100000,INDEX($V$1005:$AE$1005,1,MATCH(COLUMNS($V$1006:AA1006),$V$1006:$AE$1006,0))&gt;=100000), " ",IF(INDEX($V$2:$AE$1001,MATCH(ROWS($O$2:O662),$O$2:$O$1001,0),MATCH(COLUMNS($V$1006:AA1006),$V$1006:$AE$1006,0)), HYPERLINK("#",""), HYPERLINK(CONCATENATE("#Metadata!", ADDRESS(INDEX($Q$2:$Q$1001,MATCH(ROWS($O$2:O662),$O$2:$O$1001,0),0), INDEX($V$1004:$AE$1004,1,MATCH(COLUMNS($V$1006:AA1006),$V$1006:$AE$1006,0)))),"Fix")))</f>
        <v>0</v>
      </c>
      <c r="H662" s="4">
        <f>IF(OR(INDEX($P$2:$P$1001,MATCH(ROWS($O$2:O662),$O$2:$O$1001,0),1)&gt;=100000,INDEX($V$1005:$AE$1005,1,MATCH(COLUMNS($V$1006:AB1006),$V$1006:$AE$1006,0))&gt;=100000), " ",IF(INDEX($V$2:$AE$1001,MATCH(ROWS($O$2:O662),$O$2:$O$1001,0),MATCH(COLUMNS($V$1006:AB1006),$V$1006:$AE$1006,0)), HYPERLINK("#",""), HYPERLINK(CONCATENATE("#Metadata!", ADDRESS(INDEX($Q$2:$Q$1001,MATCH(ROWS($O$2:O662),$O$2:$O$1001,0),0), INDEX($V$1004:$AE$1004,1,MATCH(COLUMNS($V$1006:AB1006),$V$1006:$AE$1006,0)))),"Fix")))</f>
        <v>0</v>
      </c>
      <c r="I662" s="4">
        <f>IF(OR(INDEX($P$2:$P$1001,MATCH(ROWS($O$2:O662),$O$2:$O$1001,0),1)&gt;=100000,INDEX($V$1005:$AE$1005,1,MATCH(COLUMNS($V$1006:AC1006),$V$1006:$AE$1006,0))&gt;=100000), " ",IF(INDEX($V$2:$AE$1001,MATCH(ROWS($O$2:O662),$O$2:$O$1001,0),MATCH(COLUMNS($V$1006:AC1006),$V$1006:$AE$1006,0)), HYPERLINK("#",""), HYPERLINK(CONCATENATE("#Metadata!", ADDRESS(INDEX($Q$2:$Q$1001,MATCH(ROWS($O$2:O662),$O$2:$O$1001,0),0), INDEX($V$1004:$AE$1004,1,MATCH(COLUMNS($V$1006:AC1006),$V$1006:$AE$1006,0)))),"Fix")))</f>
        <v>0</v>
      </c>
      <c r="J662" s="4">
        <f>IF(OR(INDEX($P$2:$P$1001,MATCH(ROWS($O$2:O662),$O$2:$O$1001,0),1)&gt;=100000,INDEX($V$1005:$AE$1005,1,MATCH(COLUMNS($V$1006:AD1006),$V$1006:$AE$1006,0))&gt;=100000), " ",IF(INDEX($V$2:$AE$1001,MATCH(ROWS($O$2:O662),$O$2:$O$1001,0),MATCH(COLUMNS($V$1006:AD1006),$V$1006:$AE$1006,0)), HYPERLINK("#",""), HYPERLINK(CONCATENATE("#Metadata!", ADDRESS(INDEX($Q$2:$Q$1001,MATCH(ROWS($O$2:O662),$O$2:$O$1001,0),0), INDEX($V$1004:$AE$1004,1,MATCH(COLUMNS($V$1006:AD1006),$V$1006:$AE$1006,0)))),"Fix")))</f>
        <v>0</v>
      </c>
      <c r="K662" s="4">
        <f>IF(OR(INDEX($P$2:$P$1001,MATCH(ROWS($O$2:O662),$O$2:$O$1001,0),1)&gt;=100000,INDEX($V$1005:$AE$1005,1,MATCH(COLUMNS($V$1006:AE1006),$V$1006:$AE$1006,0))&gt;=100000), " ",IF(INDEX($V$2:$AE$1001,MATCH(ROWS($O$2:O662),$O$2:$O$1001,0),MATCH(COLUMNS($V$1006:AE1006),$V$1006:$AE$1006,0)), HYPERLINK("#",""), HYPERLINK(CONCATENATE("#Metadata!", ADDRESS(INDEX($Q$2:$Q$1001,MATCH(ROWS($O$2:O662),$O$2:$O$1001,0),0), INDEX($V$1004:$AE$1004,1,MATCH(COLUMNS($V$1006:AE1006),$V$1006:$AE$1006,0)))),"Fix")))</f>
        <v>0</v>
      </c>
      <c r="O662">
        <v>0</v>
      </c>
      <c r="P662">
        <v>0</v>
      </c>
      <c r="Q662">
        <v>0</v>
      </c>
      <c r="R662">
        <f>IF(S662,TRUE,AND(V662:AE662))</f>
        <v>0</v>
      </c>
      <c r="S662">
        <f>COUNTBLANK(Metadata!B662:K662)=COLUMNS(Metadata!B662:K662)</f>
        <v>0</v>
      </c>
      <c r="T662">
        <v>0</v>
      </c>
      <c r="V662">
        <f>AND(IF(Metadata!B662="",FALSE,TRUE),COUNTIF(Metadata!B:B, Metadata!B662) = 1,NOT(ISERROR(SUMPRODUCT(SEARCH(MID(Metadata!B662,ROW(INDIRECT("1:"&amp;LEN(Metadata!B662))), 1),"0123456789abcdefghijklmnopqrstuvwxyzABCDEFGHIJKLMNOPQRSTUVWXYZ.")))))</f>
        <v>0</v>
      </c>
      <c r="W662">
        <f>AND(IF(Metadata!C662="",FALSE,TRUE),exact(Metadata!C662,"urban biome"))</f>
        <v>0</v>
      </c>
      <c r="X662">
        <f>AND(IF(Metadata!D662="",FALSE,TRUE),exact(Metadata!D662,"animal-associated habitat"))</f>
        <v>0</v>
      </c>
      <c r="Y662">
        <f>OR(AND(IF(Metadata!E662="",FALSE,TRUE),OR(exact(Metadata!E662,"not applicable"),exact(Metadata!E662,"missing: not collected"),exact(Metadata!E662,"missing: not provided"),exact(Metadata!E662,"missing: restricted access"))),AND(IF(Metadata!E662="",FALSE,ISNUMBER(VALUE(Metadata!E662))),Metadata!E662&gt;0))</f>
        <v>0</v>
      </c>
      <c r="Z662">
        <f>AND(IF(Metadata!F662="",FALSE,TRUE),exact(Metadata!F662,"weeks"))</f>
        <v>0</v>
      </c>
      <c r="AA662">
        <f>AND(IF(Metadata!G662="",FALSE,TRUE),exact(Metadata!G662,"mouse"))</f>
        <v>0</v>
      </c>
      <c r="AB662">
        <f>AND(IF(Metadata!H662="",FALSE,TRUE),exact(Metadata!H662,"Mus musculus"))</f>
        <v>0</v>
      </c>
      <c r="AC662">
        <f>AND(IF(Metadata!I662="",FALSE,TRUE),exact(Metadata!I662,"10090"))</f>
        <v>0</v>
      </c>
      <c r="AD662">
        <f>OR(AND(IF(Metadata!J662="",FALSE,TRUE),OR(exact(Metadata!J662,"not applicable"),exact(Metadata!J662,"missing: not collected"),exact(Metadata!J662,"missing: not provided"),exact(Metadata!J662,"missing: restricted access"))),AND(IF(Metadata!J662="",FALSE,ISNUMBER(VALUE(Metadata!J662))),Metadata!J662&gt;0))</f>
        <v>0</v>
      </c>
      <c r="AE662">
        <f>AND(IF(Metadata!K662="",FALSE,TRUE),exact(Metadata!K662,"g"))</f>
        <v>0</v>
      </c>
    </row>
    <row r="663" spans="1:31">
      <c r="A663" s="5">
        <f>IF(B663=" "," ",HYPERLINK(CONCATENATE("#metadata!",ADDRESS(INDEX($Q$2:$Q$1001,MATCH(ROWS($O$2:O663),$O$2:$O$1001,0),0),1)),INDEX($T$2:$T$1001,MATCH(ROWS($O$2:O663),$O$2:$O$1001,0),0)))</f>
        <v>0</v>
      </c>
      <c r="B663" s="4">
        <f>IF(OR(INDEX($P$2:$P$1001,MATCH(ROWS($O$2:O663),$O$2:$O$1001,0),1)&gt;=100000,INDEX($V$1005:$AE$1005,1,MATCH(COLUMNS($V$1006:V1006),$V$1006:$AE$1006,0))&gt;=100000), " ",IF(INDEX($V$2:$AE$1001,MATCH(ROWS($O$2:O663),$O$2:$O$1001,0),MATCH(COLUMNS($V$1006:V1006),$V$1006:$AE$1006,0)), HYPERLINK("#",""), HYPERLINK(CONCATENATE("#Metadata!", ADDRESS(INDEX($Q$2:$Q$1001,MATCH(ROWS($O$2:O663),$O$2:$O$1001,0),0), INDEX($V$1004:$AE$1004,1,MATCH(COLUMNS($V$1006:V1006),$V$1006:$AE$1006,0)))),"Fix")))</f>
        <v>0</v>
      </c>
      <c r="C663" s="4">
        <f>IF(OR(INDEX($P$2:$P$1001,MATCH(ROWS($O$2:O663),$O$2:$O$1001,0),1)&gt;=100000,INDEX($V$1005:$AE$1005,1,MATCH(COLUMNS($V$1006:W1006),$V$1006:$AE$1006,0))&gt;=100000), " ",IF(INDEX($V$2:$AE$1001,MATCH(ROWS($O$2:O663),$O$2:$O$1001,0),MATCH(COLUMNS($V$1006:W1006),$V$1006:$AE$1006,0)), HYPERLINK("#",""), HYPERLINK(CONCATENATE("#Metadata!", ADDRESS(INDEX($Q$2:$Q$1001,MATCH(ROWS($O$2:O663),$O$2:$O$1001,0),0), INDEX($V$1004:$AE$1004,1,MATCH(COLUMNS($V$1006:W1006),$V$1006:$AE$1006,0)))),"Fix")))</f>
        <v>0</v>
      </c>
      <c r="D663" s="4">
        <f>IF(OR(INDEX($P$2:$P$1001,MATCH(ROWS($O$2:O663),$O$2:$O$1001,0),1)&gt;=100000,INDEX($V$1005:$AE$1005,1,MATCH(COLUMNS($V$1006:X1006),$V$1006:$AE$1006,0))&gt;=100000), " ",IF(INDEX($V$2:$AE$1001,MATCH(ROWS($O$2:O663),$O$2:$O$1001,0),MATCH(COLUMNS($V$1006:X1006),$V$1006:$AE$1006,0)), HYPERLINK("#",""), HYPERLINK(CONCATENATE("#Metadata!", ADDRESS(INDEX($Q$2:$Q$1001,MATCH(ROWS($O$2:O663),$O$2:$O$1001,0),0), INDEX($V$1004:$AE$1004,1,MATCH(COLUMNS($V$1006:X1006),$V$1006:$AE$1006,0)))),"Fix")))</f>
        <v>0</v>
      </c>
      <c r="E663" s="4">
        <f>IF(OR(INDEX($P$2:$P$1001,MATCH(ROWS($O$2:O663),$O$2:$O$1001,0),1)&gt;=100000,INDEX($V$1005:$AE$1005,1,MATCH(COLUMNS($V$1006:Y1006),$V$1006:$AE$1006,0))&gt;=100000), " ",IF(INDEX($V$2:$AE$1001,MATCH(ROWS($O$2:O663),$O$2:$O$1001,0),MATCH(COLUMNS($V$1006:Y1006),$V$1006:$AE$1006,0)), HYPERLINK("#",""), HYPERLINK(CONCATENATE("#Metadata!", ADDRESS(INDEX($Q$2:$Q$1001,MATCH(ROWS($O$2:O663),$O$2:$O$1001,0),0), INDEX($V$1004:$AE$1004,1,MATCH(COLUMNS($V$1006:Y1006),$V$1006:$AE$1006,0)))),"Fix")))</f>
        <v>0</v>
      </c>
      <c r="F663" s="4">
        <f>IF(OR(INDEX($P$2:$P$1001,MATCH(ROWS($O$2:O663),$O$2:$O$1001,0),1)&gt;=100000,INDEX($V$1005:$AE$1005,1,MATCH(COLUMNS($V$1006:Z1006),$V$1006:$AE$1006,0))&gt;=100000), " ",IF(INDEX($V$2:$AE$1001,MATCH(ROWS($O$2:O663),$O$2:$O$1001,0),MATCH(COLUMNS($V$1006:Z1006),$V$1006:$AE$1006,0)), HYPERLINK("#",""), HYPERLINK(CONCATENATE("#Metadata!", ADDRESS(INDEX($Q$2:$Q$1001,MATCH(ROWS($O$2:O663),$O$2:$O$1001,0),0), INDEX($V$1004:$AE$1004,1,MATCH(COLUMNS($V$1006:Z1006),$V$1006:$AE$1006,0)))),"Fix")))</f>
        <v>0</v>
      </c>
      <c r="G663" s="4">
        <f>IF(OR(INDEX($P$2:$P$1001,MATCH(ROWS($O$2:O663),$O$2:$O$1001,0),1)&gt;=100000,INDEX($V$1005:$AE$1005,1,MATCH(COLUMNS($V$1006:AA1006),$V$1006:$AE$1006,0))&gt;=100000), " ",IF(INDEX($V$2:$AE$1001,MATCH(ROWS($O$2:O663),$O$2:$O$1001,0),MATCH(COLUMNS($V$1006:AA1006),$V$1006:$AE$1006,0)), HYPERLINK("#",""), HYPERLINK(CONCATENATE("#Metadata!", ADDRESS(INDEX($Q$2:$Q$1001,MATCH(ROWS($O$2:O663),$O$2:$O$1001,0),0), INDEX($V$1004:$AE$1004,1,MATCH(COLUMNS($V$1006:AA1006),$V$1006:$AE$1006,0)))),"Fix")))</f>
        <v>0</v>
      </c>
      <c r="H663" s="4">
        <f>IF(OR(INDEX($P$2:$P$1001,MATCH(ROWS($O$2:O663),$O$2:$O$1001,0),1)&gt;=100000,INDEX($V$1005:$AE$1005,1,MATCH(COLUMNS($V$1006:AB1006),$V$1006:$AE$1006,0))&gt;=100000), " ",IF(INDEX($V$2:$AE$1001,MATCH(ROWS($O$2:O663),$O$2:$O$1001,0),MATCH(COLUMNS($V$1006:AB1006),$V$1006:$AE$1006,0)), HYPERLINK("#",""), HYPERLINK(CONCATENATE("#Metadata!", ADDRESS(INDEX($Q$2:$Q$1001,MATCH(ROWS($O$2:O663),$O$2:$O$1001,0),0), INDEX($V$1004:$AE$1004,1,MATCH(COLUMNS($V$1006:AB1006),$V$1006:$AE$1006,0)))),"Fix")))</f>
        <v>0</v>
      </c>
      <c r="I663" s="4">
        <f>IF(OR(INDEX($P$2:$P$1001,MATCH(ROWS($O$2:O663),$O$2:$O$1001,0),1)&gt;=100000,INDEX($V$1005:$AE$1005,1,MATCH(COLUMNS($V$1006:AC1006),$V$1006:$AE$1006,0))&gt;=100000), " ",IF(INDEX($V$2:$AE$1001,MATCH(ROWS($O$2:O663),$O$2:$O$1001,0),MATCH(COLUMNS($V$1006:AC1006),$V$1006:$AE$1006,0)), HYPERLINK("#",""), HYPERLINK(CONCATENATE("#Metadata!", ADDRESS(INDEX($Q$2:$Q$1001,MATCH(ROWS($O$2:O663),$O$2:$O$1001,0),0), INDEX($V$1004:$AE$1004,1,MATCH(COLUMNS($V$1006:AC1006),$V$1006:$AE$1006,0)))),"Fix")))</f>
        <v>0</v>
      </c>
      <c r="J663" s="4">
        <f>IF(OR(INDEX($P$2:$P$1001,MATCH(ROWS($O$2:O663),$O$2:$O$1001,0),1)&gt;=100000,INDEX($V$1005:$AE$1005,1,MATCH(COLUMNS($V$1006:AD1006),$V$1006:$AE$1006,0))&gt;=100000), " ",IF(INDEX($V$2:$AE$1001,MATCH(ROWS($O$2:O663),$O$2:$O$1001,0),MATCH(COLUMNS($V$1006:AD1006),$V$1006:$AE$1006,0)), HYPERLINK("#",""), HYPERLINK(CONCATENATE("#Metadata!", ADDRESS(INDEX($Q$2:$Q$1001,MATCH(ROWS($O$2:O663),$O$2:$O$1001,0),0), INDEX($V$1004:$AE$1004,1,MATCH(COLUMNS($V$1006:AD1006),$V$1006:$AE$1006,0)))),"Fix")))</f>
        <v>0</v>
      </c>
      <c r="K663" s="4">
        <f>IF(OR(INDEX($P$2:$P$1001,MATCH(ROWS($O$2:O663),$O$2:$O$1001,0),1)&gt;=100000,INDEX($V$1005:$AE$1005,1,MATCH(COLUMNS($V$1006:AE1006),$V$1006:$AE$1006,0))&gt;=100000), " ",IF(INDEX($V$2:$AE$1001,MATCH(ROWS($O$2:O663),$O$2:$O$1001,0),MATCH(COLUMNS($V$1006:AE1006),$V$1006:$AE$1006,0)), HYPERLINK("#",""), HYPERLINK(CONCATENATE("#Metadata!", ADDRESS(INDEX($Q$2:$Q$1001,MATCH(ROWS($O$2:O663),$O$2:$O$1001,0),0), INDEX($V$1004:$AE$1004,1,MATCH(COLUMNS($V$1006:AE1006),$V$1006:$AE$1006,0)))),"Fix")))</f>
        <v>0</v>
      </c>
      <c r="O663">
        <v>0</v>
      </c>
      <c r="P663">
        <v>0</v>
      </c>
      <c r="Q663">
        <v>0</v>
      </c>
      <c r="R663">
        <f>IF(S663,TRUE,AND(V663:AE663))</f>
        <v>0</v>
      </c>
      <c r="S663">
        <f>COUNTBLANK(Metadata!B663:K663)=COLUMNS(Metadata!B663:K663)</f>
        <v>0</v>
      </c>
      <c r="T663">
        <v>0</v>
      </c>
      <c r="V663">
        <f>AND(IF(Metadata!B663="",FALSE,TRUE),COUNTIF(Metadata!B:B, Metadata!B663) = 1,NOT(ISERROR(SUMPRODUCT(SEARCH(MID(Metadata!B663,ROW(INDIRECT("1:"&amp;LEN(Metadata!B663))), 1),"0123456789abcdefghijklmnopqrstuvwxyzABCDEFGHIJKLMNOPQRSTUVWXYZ.")))))</f>
        <v>0</v>
      </c>
      <c r="W663">
        <f>AND(IF(Metadata!C663="",FALSE,TRUE),exact(Metadata!C663,"urban biome"))</f>
        <v>0</v>
      </c>
      <c r="X663">
        <f>AND(IF(Metadata!D663="",FALSE,TRUE),exact(Metadata!D663,"animal-associated habitat"))</f>
        <v>0</v>
      </c>
      <c r="Y663">
        <f>OR(AND(IF(Metadata!E663="",FALSE,TRUE),OR(exact(Metadata!E663,"not applicable"),exact(Metadata!E663,"missing: not collected"),exact(Metadata!E663,"missing: not provided"),exact(Metadata!E663,"missing: restricted access"))),AND(IF(Metadata!E663="",FALSE,ISNUMBER(VALUE(Metadata!E663))),Metadata!E663&gt;0))</f>
        <v>0</v>
      </c>
      <c r="Z663">
        <f>AND(IF(Metadata!F663="",FALSE,TRUE),exact(Metadata!F663,"weeks"))</f>
        <v>0</v>
      </c>
      <c r="AA663">
        <f>AND(IF(Metadata!G663="",FALSE,TRUE),exact(Metadata!G663,"mouse"))</f>
        <v>0</v>
      </c>
      <c r="AB663">
        <f>AND(IF(Metadata!H663="",FALSE,TRUE),exact(Metadata!H663,"Mus musculus"))</f>
        <v>0</v>
      </c>
      <c r="AC663">
        <f>AND(IF(Metadata!I663="",FALSE,TRUE),exact(Metadata!I663,"10090"))</f>
        <v>0</v>
      </c>
      <c r="AD663">
        <f>OR(AND(IF(Metadata!J663="",FALSE,TRUE),OR(exact(Metadata!J663,"not applicable"),exact(Metadata!J663,"missing: not collected"),exact(Metadata!J663,"missing: not provided"),exact(Metadata!J663,"missing: restricted access"))),AND(IF(Metadata!J663="",FALSE,ISNUMBER(VALUE(Metadata!J663))),Metadata!J663&gt;0))</f>
        <v>0</v>
      </c>
      <c r="AE663">
        <f>AND(IF(Metadata!K663="",FALSE,TRUE),exact(Metadata!K663,"g"))</f>
        <v>0</v>
      </c>
    </row>
    <row r="664" spans="1:31">
      <c r="A664" s="5">
        <f>IF(B664=" "," ",HYPERLINK(CONCATENATE("#metadata!",ADDRESS(INDEX($Q$2:$Q$1001,MATCH(ROWS($O$2:O664),$O$2:$O$1001,0),0),1)),INDEX($T$2:$T$1001,MATCH(ROWS($O$2:O664),$O$2:$O$1001,0),0)))</f>
        <v>0</v>
      </c>
      <c r="B664" s="4">
        <f>IF(OR(INDEX($P$2:$P$1001,MATCH(ROWS($O$2:O664),$O$2:$O$1001,0),1)&gt;=100000,INDEX($V$1005:$AE$1005,1,MATCH(COLUMNS($V$1006:V1006),$V$1006:$AE$1006,0))&gt;=100000), " ",IF(INDEX($V$2:$AE$1001,MATCH(ROWS($O$2:O664),$O$2:$O$1001,0),MATCH(COLUMNS($V$1006:V1006),$V$1006:$AE$1006,0)), HYPERLINK("#",""), HYPERLINK(CONCATENATE("#Metadata!", ADDRESS(INDEX($Q$2:$Q$1001,MATCH(ROWS($O$2:O664),$O$2:$O$1001,0),0), INDEX($V$1004:$AE$1004,1,MATCH(COLUMNS($V$1006:V1006),$V$1006:$AE$1006,0)))),"Fix")))</f>
        <v>0</v>
      </c>
      <c r="C664" s="4">
        <f>IF(OR(INDEX($P$2:$P$1001,MATCH(ROWS($O$2:O664),$O$2:$O$1001,0),1)&gt;=100000,INDEX($V$1005:$AE$1005,1,MATCH(COLUMNS($V$1006:W1006),$V$1006:$AE$1006,0))&gt;=100000), " ",IF(INDEX($V$2:$AE$1001,MATCH(ROWS($O$2:O664),$O$2:$O$1001,0),MATCH(COLUMNS($V$1006:W1006),$V$1006:$AE$1006,0)), HYPERLINK("#",""), HYPERLINK(CONCATENATE("#Metadata!", ADDRESS(INDEX($Q$2:$Q$1001,MATCH(ROWS($O$2:O664),$O$2:$O$1001,0),0), INDEX($V$1004:$AE$1004,1,MATCH(COLUMNS($V$1006:W1006),$V$1006:$AE$1006,0)))),"Fix")))</f>
        <v>0</v>
      </c>
      <c r="D664" s="4">
        <f>IF(OR(INDEX($P$2:$P$1001,MATCH(ROWS($O$2:O664),$O$2:$O$1001,0),1)&gt;=100000,INDEX($V$1005:$AE$1005,1,MATCH(COLUMNS($V$1006:X1006),$V$1006:$AE$1006,0))&gt;=100000), " ",IF(INDEX($V$2:$AE$1001,MATCH(ROWS($O$2:O664),$O$2:$O$1001,0),MATCH(COLUMNS($V$1006:X1006),$V$1006:$AE$1006,0)), HYPERLINK("#",""), HYPERLINK(CONCATENATE("#Metadata!", ADDRESS(INDEX($Q$2:$Q$1001,MATCH(ROWS($O$2:O664),$O$2:$O$1001,0),0), INDEX($V$1004:$AE$1004,1,MATCH(COLUMNS($V$1006:X1006),$V$1006:$AE$1006,0)))),"Fix")))</f>
        <v>0</v>
      </c>
      <c r="E664" s="4">
        <f>IF(OR(INDEX($P$2:$P$1001,MATCH(ROWS($O$2:O664),$O$2:$O$1001,0),1)&gt;=100000,INDEX($V$1005:$AE$1005,1,MATCH(COLUMNS($V$1006:Y1006),$V$1006:$AE$1006,0))&gt;=100000), " ",IF(INDEX($V$2:$AE$1001,MATCH(ROWS($O$2:O664),$O$2:$O$1001,0),MATCH(COLUMNS($V$1006:Y1006),$V$1006:$AE$1006,0)), HYPERLINK("#",""), HYPERLINK(CONCATENATE("#Metadata!", ADDRESS(INDEX($Q$2:$Q$1001,MATCH(ROWS($O$2:O664),$O$2:$O$1001,0),0), INDEX($V$1004:$AE$1004,1,MATCH(COLUMNS($V$1006:Y1006),$V$1006:$AE$1006,0)))),"Fix")))</f>
        <v>0</v>
      </c>
      <c r="F664" s="4">
        <f>IF(OR(INDEX($P$2:$P$1001,MATCH(ROWS($O$2:O664),$O$2:$O$1001,0),1)&gt;=100000,INDEX($V$1005:$AE$1005,1,MATCH(COLUMNS($V$1006:Z1006),$V$1006:$AE$1006,0))&gt;=100000), " ",IF(INDEX($V$2:$AE$1001,MATCH(ROWS($O$2:O664),$O$2:$O$1001,0),MATCH(COLUMNS($V$1006:Z1006),$V$1006:$AE$1006,0)), HYPERLINK("#",""), HYPERLINK(CONCATENATE("#Metadata!", ADDRESS(INDEX($Q$2:$Q$1001,MATCH(ROWS($O$2:O664),$O$2:$O$1001,0),0), INDEX($V$1004:$AE$1004,1,MATCH(COLUMNS($V$1006:Z1006),$V$1006:$AE$1006,0)))),"Fix")))</f>
        <v>0</v>
      </c>
      <c r="G664" s="4">
        <f>IF(OR(INDEX($P$2:$P$1001,MATCH(ROWS($O$2:O664),$O$2:$O$1001,0),1)&gt;=100000,INDEX($V$1005:$AE$1005,1,MATCH(COLUMNS($V$1006:AA1006),$V$1006:$AE$1006,0))&gt;=100000), " ",IF(INDEX($V$2:$AE$1001,MATCH(ROWS($O$2:O664),$O$2:$O$1001,0),MATCH(COLUMNS($V$1006:AA1006),$V$1006:$AE$1006,0)), HYPERLINK("#",""), HYPERLINK(CONCATENATE("#Metadata!", ADDRESS(INDEX($Q$2:$Q$1001,MATCH(ROWS($O$2:O664),$O$2:$O$1001,0),0), INDEX($V$1004:$AE$1004,1,MATCH(COLUMNS($V$1006:AA1006),$V$1006:$AE$1006,0)))),"Fix")))</f>
        <v>0</v>
      </c>
      <c r="H664" s="4">
        <f>IF(OR(INDEX($P$2:$P$1001,MATCH(ROWS($O$2:O664),$O$2:$O$1001,0),1)&gt;=100000,INDEX($V$1005:$AE$1005,1,MATCH(COLUMNS($V$1006:AB1006),$V$1006:$AE$1006,0))&gt;=100000), " ",IF(INDEX($V$2:$AE$1001,MATCH(ROWS($O$2:O664),$O$2:$O$1001,0),MATCH(COLUMNS($V$1006:AB1006),$V$1006:$AE$1006,0)), HYPERLINK("#",""), HYPERLINK(CONCATENATE("#Metadata!", ADDRESS(INDEX($Q$2:$Q$1001,MATCH(ROWS($O$2:O664),$O$2:$O$1001,0),0), INDEX($V$1004:$AE$1004,1,MATCH(COLUMNS($V$1006:AB1006),$V$1006:$AE$1006,0)))),"Fix")))</f>
        <v>0</v>
      </c>
      <c r="I664" s="4">
        <f>IF(OR(INDEX($P$2:$P$1001,MATCH(ROWS($O$2:O664),$O$2:$O$1001,0),1)&gt;=100000,INDEX($V$1005:$AE$1005,1,MATCH(COLUMNS($V$1006:AC1006),$V$1006:$AE$1006,0))&gt;=100000), " ",IF(INDEX($V$2:$AE$1001,MATCH(ROWS($O$2:O664),$O$2:$O$1001,0),MATCH(COLUMNS($V$1006:AC1006),$V$1006:$AE$1006,0)), HYPERLINK("#",""), HYPERLINK(CONCATENATE("#Metadata!", ADDRESS(INDEX($Q$2:$Q$1001,MATCH(ROWS($O$2:O664),$O$2:$O$1001,0),0), INDEX($V$1004:$AE$1004,1,MATCH(COLUMNS($V$1006:AC1006),$V$1006:$AE$1006,0)))),"Fix")))</f>
        <v>0</v>
      </c>
      <c r="J664" s="4">
        <f>IF(OR(INDEX($P$2:$P$1001,MATCH(ROWS($O$2:O664),$O$2:$O$1001,0),1)&gt;=100000,INDEX($V$1005:$AE$1005,1,MATCH(COLUMNS($V$1006:AD1006),$V$1006:$AE$1006,0))&gt;=100000), " ",IF(INDEX($V$2:$AE$1001,MATCH(ROWS($O$2:O664),$O$2:$O$1001,0),MATCH(COLUMNS($V$1006:AD1006),$V$1006:$AE$1006,0)), HYPERLINK("#",""), HYPERLINK(CONCATENATE("#Metadata!", ADDRESS(INDEX($Q$2:$Q$1001,MATCH(ROWS($O$2:O664),$O$2:$O$1001,0),0), INDEX($V$1004:$AE$1004,1,MATCH(COLUMNS($V$1006:AD1006),$V$1006:$AE$1006,0)))),"Fix")))</f>
        <v>0</v>
      </c>
      <c r="K664" s="4">
        <f>IF(OR(INDEX($P$2:$P$1001,MATCH(ROWS($O$2:O664),$O$2:$O$1001,0),1)&gt;=100000,INDEX($V$1005:$AE$1005,1,MATCH(COLUMNS($V$1006:AE1006),$V$1006:$AE$1006,0))&gt;=100000), " ",IF(INDEX($V$2:$AE$1001,MATCH(ROWS($O$2:O664),$O$2:$O$1001,0),MATCH(COLUMNS($V$1006:AE1006),$V$1006:$AE$1006,0)), HYPERLINK("#",""), HYPERLINK(CONCATENATE("#Metadata!", ADDRESS(INDEX($Q$2:$Q$1001,MATCH(ROWS($O$2:O664),$O$2:$O$1001,0),0), INDEX($V$1004:$AE$1004,1,MATCH(COLUMNS($V$1006:AE1006),$V$1006:$AE$1006,0)))),"Fix")))</f>
        <v>0</v>
      </c>
      <c r="O664">
        <v>0</v>
      </c>
      <c r="P664">
        <v>0</v>
      </c>
      <c r="Q664">
        <v>0</v>
      </c>
      <c r="R664">
        <f>IF(S664,TRUE,AND(V664:AE664))</f>
        <v>0</v>
      </c>
      <c r="S664">
        <f>COUNTBLANK(Metadata!B664:K664)=COLUMNS(Metadata!B664:K664)</f>
        <v>0</v>
      </c>
      <c r="T664">
        <v>0</v>
      </c>
      <c r="V664">
        <f>AND(IF(Metadata!B664="",FALSE,TRUE),COUNTIF(Metadata!B:B, Metadata!B664) = 1,NOT(ISERROR(SUMPRODUCT(SEARCH(MID(Metadata!B664,ROW(INDIRECT("1:"&amp;LEN(Metadata!B664))), 1),"0123456789abcdefghijklmnopqrstuvwxyzABCDEFGHIJKLMNOPQRSTUVWXYZ.")))))</f>
        <v>0</v>
      </c>
      <c r="W664">
        <f>AND(IF(Metadata!C664="",FALSE,TRUE),exact(Metadata!C664,"urban biome"))</f>
        <v>0</v>
      </c>
      <c r="X664">
        <f>AND(IF(Metadata!D664="",FALSE,TRUE),exact(Metadata!D664,"animal-associated habitat"))</f>
        <v>0</v>
      </c>
      <c r="Y664">
        <f>OR(AND(IF(Metadata!E664="",FALSE,TRUE),OR(exact(Metadata!E664,"not applicable"),exact(Metadata!E664,"missing: not collected"),exact(Metadata!E664,"missing: not provided"),exact(Metadata!E664,"missing: restricted access"))),AND(IF(Metadata!E664="",FALSE,ISNUMBER(VALUE(Metadata!E664))),Metadata!E664&gt;0))</f>
        <v>0</v>
      </c>
      <c r="Z664">
        <f>AND(IF(Metadata!F664="",FALSE,TRUE),exact(Metadata!F664,"weeks"))</f>
        <v>0</v>
      </c>
      <c r="AA664">
        <f>AND(IF(Metadata!G664="",FALSE,TRUE),exact(Metadata!G664,"mouse"))</f>
        <v>0</v>
      </c>
      <c r="AB664">
        <f>AND(IF(Metadata!H664="",FALSE,TRUE),exact(Metadata!H664,"Mus musculus"))</f>
        <v>0</v>
      </c>
      <c r="AC664">
        <f>AND(IF(Metadata!I664="",FALSE,TRUE),exact(Metadata!I664,"10090"))</f>
        <v>0</v>
      </c>
      <c r="AD664">
        <f>OR(AND(IF(Metadata!J664="",FALSE,TRUE),OR(exact(Metadata!J664,"not applicable"),exact(Metadata!J664,"missing: not collected"),exact(Metadata!J664,"missing: not provided"),exact(Metadata!J664,"missing: restricted access"))),AND(IF(Metadata!J664="",FALSE,ISNUMBER(VALUE(Metadata!J664))),Metadata!J664&gt;0))</f>
        <v>0</v>
      </c>
      <c r="AE664">
        <f>AND(IF(Metadata!K664="",FALSE,TRUE),exact(Metadata!K664,"g"))</f>
        <v>0</v>
      </c>
    </row>
    <row r="665" spans="1:31">
      <c r="A665" s="5">
        <f>IF(B665=" "," ",HYPERLINK(CONCATENATE("#metadata!",ADDRESS(INDEX($Q$2:$Q$1001,MATCH(ROWS($O$2:O665),$O$2:$O$1001,0),0),1)),INDEX($T$2:$T$1001,MATCH(ROWS($O$2:O665),$O$2:$O$1001,0),0)))</f>
        <v>0</v>
      </c>
      <c r="B665" s="4">
        <f>IF(OR(INDEX($P$2:$P$1001,MATCH(ROWS($O$2:O665),$O$2:$O$1001,0),1)&gt;=100000,INDEX($V$1005:$AE$1005,1,MATCH(COLUMNS($V$1006:V1006),$V$1006:$AE$1006,0))&gt;=100000), " ",IF(INDEX($V$2:$AE$1001,MATCH(ROWS($O$2:O665),$O$2:$O$1001,0),MATCH(COLUMNS($V$1006:V1006),$V$1006:$AE$1006,0)), HYPERLINK("#",""), HYPERLINK(CONCATENATE("#Metadata!", ADDRESS(INDEX($Q$2:$Q$1001,MATCH(ROWS($O$2:O665),$O$2:$O$1001,0),0), INDEX($V$1004:$AE$1004,1,MATCH(COLUMNS($V$1006:V1006),$V$1006:$AE$1006,0)))),"Fix")))</f>
        <v>0</v>
      </c>
      <c r="C665" s="4">
        <f>IF(OR(INDEX($P$2:$P$1001,MATCH(ROWS($O$2:O665),$O$2:$O$1001,0),1)&gt;=100000,INDEX($V$1005:$AE$1005,1,MATCH(COLUMNS($V$1006:W1006),$V$1006:$AE$1006,0))&gt;=100000), " ",IF(INDEX($V$2:$AE$1001,MATCH(ROWS($O$2:O665),$O$2:$O$1001,0),MATCH(COLUMNS($V$1006:W1006),$V$1006:$AE$1006,0)), HYPERLINK("#",""), HYPERLINK(CONCATENATE("#Metadata!", ADDRESS(INDEX($Q$2:$Q$1001,MATCH(ROWS($O$2:O665),$O$2:$O$1001,0),0), INDEX($V$1004:$AE$1004,1,MATCH(COLUMNS($V$1006:W1006),$V$1006:$AE$1006,0)))),"Fix")))</f>
        <v>0</v>
      </c>
      <c r="D665" s="4">
        <f>IF(OR(INDEX($P$2:$P$1001,MATCH(ROWS($O$2:O665),$O$2:$O$1001,0),1)&gt;=100000,INDEX($V$1005:$AE$1005,1,MATCH(COLUMNS($V$1006:X1006),$V$1006:$AE$1006,0))&gt;=100000), " ",IF(INDEX($V$2:$AE$1001,MATCH(ROWS($O$2:O665),$O$2:$O$1001,0),MATCH(COLUMNS($V$1006:X1006),$V$1006:$AE$1006,0)), HYPERLINK("#",""), HYPERLINK(CONCATENATE("#Metadata!", ADDRESS(INDEX($Q$2:$Q$1001,MATCH(ROWS($O$2:O665),$O$2:$O$1001,0),0), INDEX($V$1004:$AE$1004,1,MATCH(COLUMNS($V$1006:X1006),$V$1006:$AE$1006,0)))),"Fix")))</f>
        <v>0</v>
      </c>
      <c r="E665" s="4">
        <f>IF(OR(INDEX($P$2:$P$1001,MATCH(ROWS($O$2:O665),$O$2:$O$1001,0),1)&gt;=100000,INDEX($V$1005:$AE$1005,1,MATCH(COLUMNS($V$1006:Y1006),$V$1006:$AE$1006,0))&gt;=100000), " ",IF(INDEX($V$2:$AE$1001,MATCH(ROWS($O$2:O665),$O$2:$O$1001,0),MATCH(COLUMNS($V$1006:Y1006),$V$1006:$AE$1006,0)), HYPERLINK("#",""), HYPERLINK(CONCATENATE("#Metadata!", ADDRESS(INDEX($Q$2:$Q$1001,MATCH(ROWS($O$2:O665),$O$2:$O$1001,0),0), INDEX($V$1004:$AE$1004,1,MATCH(COLUMNS($V$1006:Y1006),$V$1006:$AE$1006,0)))),"Fix")))</f>
        <v>0</v>
      </c>
      <c r="F665" s="4">
        <f>IF(OR(INDEX($P$2:$P$1001,MATCH(ROWS($O$2:O665),$O$2:$O$1001,0),1)&gt;=100000,INDEX($V$1005:$AE$1005,1,MATCH(COLUMNS($V$1006:Z1006),$V$1006:$AE$1006,0))&gt;=100000), " ",IF(INDEX($V$2:$AE$1001,MATCH(ROWS($O$2:O665),$O$2:$O$1001,0),MATCH(COLUMNS($V$1006:Z1006),$V$1006:$AE$1006,0)), HYPERLINK("#",""), HYPERLINK(CONCATENATE("#Metadata!", ADDRESS(INDEX($Q$2:$Q$1001,MATCH(ROWS($O$2:O665),$O$2:$O$1001,0),0), INDEX($V$1004:$AE$1004,1,MATCH(COLUMNS($V$1006:Z1006),$V$1006:$AE$1006,0)))),"Fix")))</f>
        <v>0</v>
      </c>
      <c r="G665" s="4">
        <f>IF(OR(INDEX($P$2:$P$1001,MATCH(ROWS($O$2:O665),$O$2:$O$1001,0),1)&gt;=100000,INDEX($V$1005:$AE$1005,1,MATCH(COLUMNS($V$1006:AA1006),$V$1006:$AE$1006,0))&gt;=100000), " ",IF(INDEX($V$2:$AE$1001,MATCH(ROWS($O$2:O665),$O$2:$O$1001,0),MATCH(COLUMNS($V$1006:AA1006),$V$1006:$AE$1006,0)), HYPERLINK("#",""), HYPERLINK(CONCATENATE("#Metadata!", ADDRESS(INDEX($Q$2:$Q$1001,MATCH(ROWS($O$2:O665),$O$2:$O$1001,0),0), INDEX($V$1004:$AE$1004,1,MATCH(COLUMNS($V$1006:AA1006),$V$1006:$AE$1006,0)))),"Fix")))</f>
        <v>0</v>
      </c>
      <c r="H665" s="4">
        <f>IF(OR(INDEX($P$2:$P$1001,MATCH(ROWS($O$2:O665),$O$2:$O$1001,0),1)&gt;=100000,INDEX($V$1005:$AE$1005,1,MATCH(COLUMNS($V$1006:AB1006),$V$1006:$AE$1006,0))&gt;=100000), " ",IF(INDEX($V$2:$AE$1001,MATCH(ROWS($O$2:O665),$O$2:$O$1001,0),MATCH(COLUMNS($V$1006:AB1006),$V$1006:$AE$1006,0)), HYPERLINK("#",""), HYPERLINK(CONCATENATE("#Metadata!", ADDRESS(INDEX($Q$2:$Q$1001,MATCH(ROWS($O$2:O665),$O$2:$O$1001,0),0), INDEX($V$1004:$AE$1004,1,MATCH(COLUMNS($V$1006:AB1006),$V$1006:$AE$1006,0)))),"Fix")))</f>
        <v>0</v>
      </c>
      <c r="I665" s="4">
        <f>IF(OR(INDEX($P$2:$P$1001,MATCH(ROWS($O$2:O665),$O$2:$O$1001,0),1)&gt;=100000,INDEX($V$1005:$AE$1005,1,MATCH(COLUMNS($V$1006:AC1006),$V$1006:$AE$1006,0))&gt;=100000), " ",IF(INDEX($V$2:$AE$1001,MATCH(ROWS($O$2:O665),$O$2:$O$1001,0),MATCH(COLUMNS($V$1006:AC1006),$V$1006:$AE$1006,0)), HYPERLINK("#",""), HYPERLINK(CONCATENATE("#Metadata!", ADDRESS(INDEX($Q$2:$Q$1001,MATCH(ROWS($O$2:O665),$O$2:$O$1001,0),0), INDEX($V$1004:$AE$1004,1,MATCH(COLUMNS($V$1006:AC1006),$V$1006:$AE$1006,0)))),"Fix")))</f>
        <v>0</v>
      </c>
      <c r="J665" s="4">
        <f>IF(OR(INDEX($P$2:$P$1001,MATCH(ROWS($O$2:O665),$O$2:$O$1001,0),1)&gt;=100000,INDEX($V$1005:$AE$1005,1,MATCH(COLUMNS($V$1006:AD1006),$V$1006:$AE$1006,0))&gt;=100000), " ",IF(INDEX($V$2:$AE$1001,MATCH(ROWS($O$2:O665),$O$2:$O$1001,0),MATCH(COLUMNS($V$1006:AD1006),$V$1006:$AE$1006,0)), HYPERLINK("#",""), HYPERLINK(CONCATENATE("#Metadata!", ADDRESS(INDEX($Q$2:$Q$1001,MATCH(ROWS($O$2:O665),$O$2:$O$1001,0),0), INDEX($V$1004:$AE$1004,1,MATCH(COLUMNS($V$1006:AD1006),$V$1006:$AE$1006,0)))),"Fix")))</f>
        <v>0</v>
      </c>
      <c r="K665" s="4">
        <f>IF(OR(INDEX($P$2:$P$1001,MATCH(ROWS($O$2:O665),$O$2:$O$1001,0),1)&gt;=100000,INDEX($V$1005:$AE$1005,1,MATCH(COLUMNS($V$1006:AE1006),$V$1006:$AE$1006,0))&gt;=100000), " ",IF(INDEX($V$2:$AE$1001,MATCH(ROWS($O$2:O665),$O$2:$O$1001,0),MATCH(COLUMNS($V$1006:AE1006),$V$1006:$AE$1006,0)), HYPERLINK("#",""), HYPERLINK(CONCATENATE("#Metadata!", ADDRESS(INDEX($Q$2:$Q$1001,MATCH(ROWS($O$2:O665),$O$2:$O$1001,0),0), INDEX($V$1004:$AE$1004,1,MATCH(COLUMNS($V$1006:AE1006),$V$1006:$AE$1006,0)))),"Fix")))</f>
        <v>0</v>
      </c>
      <c r="O665">
        <v>0</v>
      </c>
      <c r="P665">
        <v>0</v>
      </c>
      <c r="Q665">
        <v>0</v>
      </c>
      <c r="R665">
        <f>IF(S665,TRUE,AND(V665:AE665))</f>
        <v>0</v>
      </c>
      <c r="S665">
        <f>COUNTBLANK(Metadata!B665:K665)=COLUMNS(Metadata!B665:K665)</f>
        <v>0</v>
      </c>
      <c r="T665">
        <v>0</v>
      </c>
      <c r="V665">
        <f>AND(IF(Metadata!B665="",FALSE,TRUE),COUNTIF(Metadata!B:B, Metadata!B665) = 1,NOT(ISERROR(SUMPRODUCT(SEARCH(MID(Metadata!B665,ROW(INDIRECT("1:"&amp;LEN(Metadata!B665))), 1),"0123456789abcdefghijklmnopqrstuvwxyzABCDEFGHIJKLMNOPQRSTUVWXYZ.")))))</f>
        <v>0</v>
      </c>
      <c r="W665">
        <f>AND(IF(Metadata!C665="",FALSE,TRUE),exact(Metadata!C665,"urban biome"))</f>
        <v>0</v>
      </c>
      <c r="X665">
        <f>AND(IF(Metadata!D665="",FALSE,TRUE),exact(Metadata!D665,"animal-associated habitat"))</f>
        <v>0</v>
      </c>
      <c r="Y665">
        <f>OR(AND(IF(Metadata!E665="",FALSE,TRUE),OR(exact(Metadata!E665,"not applicable"),exact(Metadata!E665,"missing: not collected"),exact(Metadata!E665,"missing: not provided"),exact(Metadata!E665,"missing: restricted access"))),AND(IF(Metadata!E665="",FALSE,ISNUMBER(VALUE(Metadata!E665))),Metadata!E665&gt;0))</f>
        <v>0</v>
      </c>
      <c r="Z665">
        <f>AND(IF(Metadata!F665="",FALSE,TRUE),exact(Metadata!F665,"weeks"))</f>
        <v>0</v>
      </c>
      <c r="AA665">
        <f>AND(IF(Metadata!G665="",FALSE,TRUE),exact(Metadata!G665,"mouse"))</f>
        <v>0</v>
      </c>
      <c r="AB665">
        <f>AND(IF(Metadata!H665="",FALSE,TRUE),exact(Metadata!H665,"Mus musculus"))</f>
        <v>0</v>
      </c>
      <c r="AC665">
        <f>AND(IF(Metadata!I665="",FALSE,TRUE),exact(Metadata!I665,"10090"))</f>
        <v>0</v>
      </c>
      <c r="AD665">
        <f>OR(AND(IF(Metadata!J665="",FALSE,TRUE),OR(exact(Metadata!J665,"not applicable"),exact(Metadata!J665,"missing: not collected"),exact(Metadata!J665,"missing: not provided"),exact(Metadata!J665,"missing: restricted access"))),AND(IF(Metadata!J665="",FALSE,ISNUMBER(VALUE(Metadata!J665))),Metadata!J665&gt;0))</f>
        <v>0</v>
      </c>
      <c r="AE665">
        <f>AND(IF(Metadata!K665="",FALSE,TRUE),exact(Metadata!K665,"g"))</f>
        <v>0</v>
      </c>
    </row>
    <row r="666" spans="1:31">
      <c r="A666" s="5">
        <f>IF(B666=" "," ",HYPERLINK(CONCATENATE("#metadata!",ADDRESS(INDEX($Q$2:$Q$1001,MATCH(ROWS($O$2:O666),$O$2:$O$1001,0),0),1)),INDEX($T$2:$T$1001,MATCH(ROWS($O$2:O666),$O$2:$O$1001,0),0)))</f>
        <v>0</v>
      </c>
      <c r="B666" s="4">
        <f>IF(OR(INDEX($P$2:$P$1001,MATCH(ROWS($O$2:O666),$O$2:$O$1001,0),1)&gt;=100000,INDEX($V$1005:$AE$1005,1,MATCH(COLUMNS($V$1006:V1006),$V$1006:$AE$1006,0))&gt;=100000), " ",IF(INDEX($V$2:$AE$1001,MATCH(ROWS($O$2:O666),$O$2:$O$1001,0),MATCH(COLUMNS($V$1006:V1006),$V$1006:$AE$1006,0)), HYPERLINK("#",""), HYPERLINK(CONCATENATE("#Metadata!", ADDRESS(INDEX($Q$2:$Q$1001,MATCH(ROWS($O$2:O666),$O$2:$O$1001,0),0), INDEX($V$1004:$AE$1004,1,MATCH(COLUMNS($V$1006:V1006),$V$1006:$AE$1006,0)))),"Fix")))</f>
        <v>0</v>
      </c>
      <c r="C666" s="4">
        <f>IF(OR(INDEX($P$2:$P$1001,MATCH(ROWS($O$2:O666),$O$2:$O$1001,0),1)&gt;=100000,INDEX($V$1005:$AE$1005,1,MATCH(COLUMNS($V$1006:W1006),$V$1006:$AE$1006,0))&gt;=100000), " ",IF(INDEX($V$2:$AE$1001,MATCH(ROWS($O$2:O666),$O$2:$O$1001,0),MATCH(COLUMNS($V$1006:W1006),$V$1006:$AE$1006,0)), HYPERLINK("#",""), HYPERLINK(CONCATENATE("#Metadata!", ADDRESS(INDEX($Q$2:$Q$1001,MATCH(ROWS($O$2:O666),$O$2:$O$1001,0),0), INDEX($V$1004:$AE$1004,1,MATCH(COLUMNS($V$1006:W1006),$V$1006:$AE$1006,0)))),"Fix")))</f>
        <v>0</v>
      </c>
      <c r="D666" s="4">
        <f>IF(OR(INDEX($P$2:$P$1001,MATCH(ROWS($O$2:O666),$O$2:$O$1001,0),1)&gt;=100000,INDEX($V$1005:$AE$1005,1,MATCH(COLUMNS($V$1006:X1006),$V$1006:$AE$1006,0))&gt;=100000), " ",IF(INDEX($V$2:$AE$1001,MATCH(ROWS($O$2:O666),$O$2:$O$1001,0),MATCH(COLUMNS($V$1006:X1006),$V$1006:$AE$1006,0)), HYPERLINK("#",""), HYPERLINK(CONCATENATE("#Metadata!", ADDRESS(INDEX($Q$2:$Q$1001,MATCH(ROWS($O$2:O666),$O$2:$O$1001,0),0), INDEX($V$1004:$AE$1004,1,MATCH(COLUMNS($V$1006:X1006),$V$1006:$AE$1006,0)))),"Fix")))</f>
        <v>0</v>
      </c>
      <c r="E666" s="4">
        <f>IF(OR(INDEX($P$2:$P$1001,MATCH(ROWS($O$2:O666),$O$2:$O$1001,0),1)&gt;=100000,INDEX($V$1005:$AE$1005,1,MATCH(COLUMNS($V$1006:Y1006),$V$1006:$AE$1006,0))&gt;=100000), " ",IF(INDEX($V$2:$AE$1001,MATCH(ROWS($O$2:O666),$O$2:$O$1001,0),MATCH(COLUMNS($V$1006:Y1006),$V$1006:$AE$1006,0)), HYPERLINK("#",""), HYPERLINK(CONCATENATE("#Metadata!", ADDRESS(INDEX($Q$2:$Q$1001,MATCH(ROWS($O$2:O666),$O$2:$O$1001,0),0), INDEX($V$1004:$AE$1004,1,MATCH(COLUMNS($V$1006:Y1006),$V$1006:$AE$1006,0)))),"Fix")))</f>
        <v>0</v>
      </c>
      <c r="F666" s="4">
        <f>IF(OR(INDEX($P$2:$P$1001,MATCH(ROWS($O$2:O666),$O$2:$O$1001,0),1)&gt;=100000,INDEX($V$1005:$AE$1005,1,MATCH(COLUMNS($V$1006:Z1006),$V$1006:$AE$1006,0))&gt;=100000), " ",IF(INDEX($V$2:$AE$1001,MATCH(ROWS($O$2:O666),$O$2:$O$1001,0),MATCH(COLUMNS($V$1006:Z1006),$V$1006:$AE$1006,0)), HYPERLINK("#",""), HYPERLINK(CONCATENATE("#Metadata!", ADDRESS(INDEX($Q$2:$Q$1001,MATCH(ROWS($O$2:O666),$O$2:$O$1001,0),0), INDEX($V$1004:$AE$1004,1,MATCH(COLUMNS($V$1006:Z1006),$V$1006:$AE$1006,0)))),"Fix")))</f>
        <v>0</v>
      </c>
      <c r="G666" s="4">
        <f>IF(OR(INDEX($P$2:$P$1001,MATCH(ROWS($O$2:O666),$O$2:$O$1001,0),1)&gt;=100000,INDEX($V$1005:$AE$1005,1,MATCH(COLUMNS($V$1006:AA1006),$V$1006:$AE$1006,0))&gt;=100000), " ",IF(INDEX($V$2:$AE$1001,MATCH(ROWS($O$2:O666),$O$2:$O$1001,0),MATCH(COLUMNS($V$1006:AA1006),$V$1006:$AE$1006,0)), HYPERLINK("#",""), HYPERLINK(CONCATENATE("#Metadata!", ADDRESS(INDEX($Q$2:$Q$1001,MATCH(ROWS($O$2:O666),$O$2:$O$1001,0),0), INDEX($V$1004:$AE$1004,1,MATCH(COLUMNS($V$1006:AA1006),$V$1006:$AE$1006,0)))),"Fix")))</f>
        <v>0</v>
      </c>
      <c r="H666" s="4">
        <f>IF(OR(INDEX($P$2:$P$1001,MATCH(ROWS($O$2:O666),$O$2:$O$1001,0),1)&gt;=100000,INDEX($V$1005:$AE$1005,1,MATCH(COLUMNS($V$1006:AB1006),$V$1006:$AE$1006,0))&gt;=100000), " ",IF(INDEX($V$2:$AE$1001,MATCH(ROWS($O$2:O666),$O$2:$O$1001,0),MATCH(COLUMNS($V$1006:AB1006),$V$1006:$AE$1006,0)), HYPERLINK("#",""), HYPERLINK(CONCATENATE("#Metadata!", ADDRESS(INDEX($Q$2:$Q$1001,MATCH(ROWS($O$2:O666),$O$2:$O$1001,0),0), INDEX($V$1004:$AE$1004,1,MATCH(COLUMNS($V$1006:AB1006),$V$1006:$AE$1006,0)))),"Fix")))</f>
        <v>0</v>
      </c>
      <c r="I666" s="4">
        <f>IF(OR(INDEX($P$2:$P$1001,MATCH(ROWS($O$2:O666),$O$2:$O$1001,0),1)&gt;=100000,INDEX($V$1005:$AE$1005,1,MATCH(COLUMNS($V$1006:AC1006),$V$1006:$AE$1006,0))&gt;=100000), " ",IF(INDEX($V$2:$AE$1001,MATCH(ROWS($O$2:O666),$O$2:$O$1001,0),MATCH(COLUMNS($V$1006:AC1006),$V$1006:$AE$1006,0)), HYPERLINK("#",""), HYPERLINK(CONCATENATE("#Metadata!", ADDRESS(INDEX($Q$2:$Q$1001,MATCH(ROWS($O$2:O666),$O$2:$O$1001,0),0), INDEX($V$1004:$AE$1004,1,MATCH(COLUMNS($V$1006:AC1006),$V$1006:$AE$1006,0)))),"Fix")))</f>
        <v>0</v>
      </c>
      <c r="J666" s="4">
        <f>IF(OR(INDEX($P$2:$P$1001,MATCH(ROWS($O$2:O666),$O$2:$O$1001,0),1)&gt;=100000,INDEX($V$1005:$AE$1005,1,MATCH(COLUMNS($V$1006:AD1006),$V$1006:$AE$1006,0))&gt;=100000), " ",IF(INDEX($V$2:$AE$1001,MATCH(ROWS($O$2:O666),$O$2:$O$1001,0),MATCH(COLUMNS($V$1006:AD1006),$V$1006:$AE$1006,0)), HYPERLINK("#",""), HYPERLINK(CONCATENATE("#Metadata!", ADDRESS(INDEX($Q$2:$Q$1001,MATCH(ROWS($O$2:O666),$O$2:$O$1001,0),0), INDEX($V$1004:$AE$1004,1,MATCH(COLUMNS($V$1006:AD1006),$V$1006:$AE$1006,0)))),"Fix")))</f>
        <v>0</v>
      </c>
      <c r="K666" s="4">
        <f>IF(OR(INDEX($P$2:$P$1001,MATCH(ROWS($O$2:O666),$O$2:$O$1001,0),1)&gt;=100000,INDEX($V$1005:$AE$1005,1,MATCH(COLUMNS($V$1006:AE1006),$V$1006:$AE$1006,0))&gt;=100000), " ",IF(INDEX($V$2:$AE$1001,MATCH(ROWS($O$2:O666),$O$2:$O$1001,0),MATCH(COLUMNS($V$1006:AE1006),$V$1006:$AE$1006,0)), HYPERLINK("#",""), HYPERLINK(CONCATENATE("#Metadata!", ADDRESS(INDEX($Q$2:$Q$1001,MATCH(ROWS($O$2:O666),$O$2:$O$1001,0),0), INDEX($V$1004:$AE$1004,1,MATCH(COLUMNS($V$1006:AE1006),$V$1006:$AE$1006,0)))),"Fix")))</f>
        <v>0</v>
      </c>
      <c r="O666">
        <v>0</v>
      </c>
      <c r="P666">
        <v>0</v>
      </c>
      <c r="Q666">
        <v>0</v>
      </c>
      <c r="R666">
        <f>IF(S666,TRUE,AND(V666:AE666))</f>
        <v>0</v>
      </c>
      <c r="S666">
        <f>COUNTBLANK(Metadata!B666:K666)=COLUMNS(Metadata!B666:K666)</f>
        <v>0</v>
      </c>
      <c r="T666">
        <v>0</v>
      </c>
      <c r="V666">
        <f>AND(IF(Metadata!B666="",FALSE,TRUE),COUNTIF(Metadata!B:B, Metadata!B666) = 1,NOT(ISERROR(SUMPRODUCT(SEARCH(MID(Metadata!B666,ROW(INDIRECT("1:"&amp;LEN(Metadata!B666))), 1),"0123456789abcdefghijklmnopqrstuvwxyzABCDEFGHIJKLMNOPQRSTUVWXYZ.")))))</f>
        <v>0</v>
      </c>
      <c r="W666">
        <f>AND(IF(Metadata!C666="",FALSE,TRUE),exact(Metadata!C666,"urban biome"))</f>
        <v>0</v>
      </c>
      <c r="X666">
        <f>AND(IF(Metadata!D666="",FALSE,TRUE),exact(Metadata!D666,"animal-associated habitat"))</f>
        <v>0</v>
      </c>
      <c r="Y666">
        <f>OR(AND(IF(Metadata!E666="",FALSE,TRUE),OR(exact(Metadata!E666,"not applicable"),exact(Metadata!E666,"missing: not collected"),exact(Metadata!E666,"missing: not provided"),exact(Metadata!E666,"missing: restricted access"))),AND(IF(Metadata!E666="",FALSE,ISNUMBER(VALUE(Metadata!E666))),Metadata!E666&gt;0))</f>
        <v>0</v>
      </c>
      <c r="Z666">
        <f>AND(IF(Metadata!F666="",FALSE,TRUE),exact(Metadata!F666,"weeks"))</f>
        <v>0</v>
      </c>
      <c r="AA666">
        <f>AND(IF(Metadata!G666="",FALSE,TRUE),exact(Metadata!G666,"mouse"))</f>
        <v>0</v>
      </c>
      <c r="AB666">
        <f>AND(IF(Metadata!H666="",FALSE,TRUE),exact(Metadata!H666,"Mus musculus"))</f>
        <v>0</v>
      </c>
      <c r="AC666">
        <f>AND(IF(Metadata!I666="",FALSE,TRUE),exact(Metadata!I666,"10090"))</f>
        <v>0</v>
      </c>
      <c r="AD666">
        <f>OR(AND(IF(Metadata!J666="",FALSE,TRUE),OR(exact(Metadata!J666,"not applicable"),exact(Metadata!J666,"missing: not collected"),exact(Metadata!J666,"missing: not provided"),exact(Metadata!J666,"missing: restricted access"))),AND(IF(Metadata!J666="",FALSE,ISNUMBER(VALUE(Metadata!J666))),Metadata!J666&gt;0))</f>
        <v>0</v>
      </c>
      <c r="AE666">
        <f>AND(IF(Metadata!K666="",FALSE,TRUE),exact(Metadata!K666,"g"))</f>
        <v>0</v>
      </c>
    </row>
    <row r="667" spans="1:31">
      <c r="A667" s="5">
        <f>IF(B667=" "," ",HYPERLINK(CONCATENATE("#metadata!",ADDRESS(INDEX($Q$2:$Q$1001,MATCH(ROWS($O$2:O667),$O$2:$O$1001,0),0),1)),INDEX($T$2:$T$1001,MATCH(ROWS($O$2:O667),$O$2:$O$1001,0),0)))</f>
        <v>0</v>
      </c>
      <c r="B667" s="4">
        <f>IF(OR(INDEX($P$2:$P$1001,MATCH(ROWS($O$2:O667),$O$2:$O$1001,0),1)&gt;=100000,INDEX($V$1005:$AE$1005,1,MATCH(COLUMNS($V$1006:V1006),$V$1006:$AE$1006,0))&gt;=100000), " ",IF(INDEX($V$2:$AE$1001,MATCH(ROWS($O$2:O667),$O$2:$O$1001,0),MATCH(COLUMNS($V$1006:V1006),$V$1006:$AE$1006,0)), HYPERLINK("#",""), HYPERLINK(CONCATENATE("#Metadata!", ADDRESS(INDEX($Q$2:$Q$1001,MATCH(ROWS($O$2:O667),$O$2:$O$1001,0),0), INDEX($V$1004:$AE$1004,1,MATCH(COLUMNS($V$1006:V1006),$V$1006:$AE$1006,0)))),"Fix")))</f>
        <v>0</v>
      </c>
      <c r="C667" s="4">
        <f>IF(OR(INDEX($P$2:$P$1001,MATCH(ROWS($O$2:O667),$O$2:$O$1001,0),1)&gt;=100000,INDEX($V$1005:$AE$1005,1,MATCH(COLUMNS($V$1006:W1006),$V$1006:$AE$1006,0))&gt;=100000), " ",IF(INDEX($V$2:$AE$1001,MATCH(ROWS($O$2:O667),$O$2:$O$1001,0),MATCH(COLUMNS($V$1006:W1006),$V$1006:$AE$1006,0)), HYPERLINK("#",""), HYPERLINK(CONCATENATE("#Metadata!", ADDRESS(INDEX($Q$2:$Q$1001,MATCH(ROWS($O$2:O667),$O$2:$O$1001,0),0), INDEX($V$1004:$AE$1004,1,MATCH(COLUMNS($V$1006:W1006),$V$1006:$AE$1006,0)))),"Fix")))</f>
        <v>0</v>
      </c>
      <c r="D667" s="4">
        <f>IF(OR(INDEX($P$2:$P$1001,MATCH(ROWS($O$2:O667),$O$2:$O$1001,0),1)&gt;=100000,INDEX($V$1005:$AE$1005,1,MATCH(COLUMNS($V$1006:X1006),$V$1006:$AE$1006,0))&gt;=100000), " ",IF(INDEX($V$2:$AE$1001,MATCH(ROWS($O$2:O667),$O$2:$O$1001,0),MATCH(COLUMNS($V$1006:X1006),$V$1006:$AE$1006,0)), HYPERLINK("#",""), HYPERLINK(CONCATENATE("#Metadata!", ADDRESS(INDEX($Q$2:$Q$1001,MATCH(ROWS($O$2:O667),$O$2:$O$1001,0),0), INDEX($V$1004:$AE$1004,1,MATCH(COLUMNS($V$1006:X1006),$V$1006:$AE$1006,0)))),"Fix")))</f>
        <v>0</v>
      </c>
      <c r="E667" s="4">
        <f>IF(OR(INDEX($P$2:$P$1001,MATCH(ROWS($O$2:O667),$O$2:$O$1001,0),1)&gt;=100000,INDEX($V$1005:$AE$1005,1,MATCH(COLUMNS($V$1006:Y1006),$V$1006:$AE$1006,0))&gt;=100000), " ",IF(INDEX($V$2:$AE$1001,MATCH(ROWS($O$2:O667),$O$2:$O$1001,0),MATCH(COLUMNS($V$1006:Y1006),$V$1006:$AE$1006,0)), HYPERLINK("#",""), HYPERLINK(CONCATENATE("#Metadata!", ADDRESS(INDEX($Q$2:$Q$1001,MATCH(ROWS($O$2:O667),$O$2:$O$1001,0),0), INDEX($V$1004:$AE$1004,1,MATCH(COLUMNS($V$1006:Y1006),$V$1006:$AE$1006,0)))),"Fix")))</f>
        <v>0</v>
      </c>
      <c r="F667" s="4">
        <f>IF(OR(INDEX($P$2:$P$1001,MATCH(ROWS($O$2:O667),$O$2:$O$1001,0),1)&gt;=100000,INDEX($V$1005:$AE$1005,1,MATCH(COLUMNS($V$1006:Z1006),$V$1006:$AE$1006,0))&gt;=100000), " ",IF(INDEX($V$2:$AE$1001,MATCH(ROWS($O$2:O667),$O$2:$O$1001,0),MATCH(COLUMNS($V$1006:Z1006),$V$1006:$AE$1006,0)), HYPERLINK("#",""), HYPERLINK(CONCATENATE("#Metadata!", ADDRESS(INDEX($Q$2:$Q$1001,MATCH(ROWS($O$2:O667),$O$2:$O$1001,0),0), INDEX($V$1004:$AE$1004,1,MATCH(COLUMNS($V$1006:Z1006),$V$1006:$AE$1006,0)))),"Fix")))</f>
        <v>0</v>
      </c>
      <c r="G667" s="4">
        <f>IF(OR(INDEX($P$2:$P$1001,MATCH(ROWS($O$2:O667),$O$2:$O$1001,0),1)&gt;=100000,INDEX($V$1005:$AE$1005,1,MATCH(COLUMNS($V$1006:AA1006),$V$1006:$AE$1006,0))&gt;=100000), " ",IF(INDEX($V$2:$AE$1001,MATCH(ROWS($O$2:O667),$O$2:$O$1001,0),MATCH(COLUMNS($V$1006:AA1006),$V$1006:$AE$1006,0)), HYPERLINK("#",""), HYPERLINK(CONCATENATE("#Metadata!", ADDRESS(INDEX($Q$2:$Q$1001,MATCH(ROWS($O$2:O667),$O$2:$O$1001,0),0), INDEX($V$1004:$AE$1004,1,MATCH(COLUMNS($V$1006:AA1006),$V$1006:$AE$1006,0)))),"Fix")))</f>
        <v>0</v>
      </c>
      <c r="H667" s="4">
        <f>IF(OR(INDEX($P$2:$P$1001,MATCH(ROWS($O$2:O667),$O$2:$O$1001,0),1)&gt;=100000,INDEX($V$1005:$AE$1005,1,MATCH(COLUMNS($V$1006:AB1006),$V$1006:$AE$1006,0))&gt;=100000), " ",IF(INDEX($V$2:$AE$1001,MATCH(ROWS($O$2:O667),$O$2:$O$1001,0),MATCH(COLUMNS($V$1006:AB1006),$V$1006:$AE$1006,0)), HYPERLINK("#",""), HYPERLINK(CONCATENATE("#Metadata!", ADDRESS(INDEX($Q$2:$Q$1001,MATCH(ROWS($O$2:O667),$O$2:$O$1001,0),0), INDEX($V$1004:$AE$1004,1,MATCH(COLUMNS($V$1006:AB1006),$V$1006:$AE$1006,0)))),"Fix")))</f>
        <v>0</v>
      </c>
      <c r="I667" s="4">
        <f>IF(OR(INDEX($P$2:$P$1001,MATCH(ROWS($O$2:O667),$O$2:$O$1001,0),1)&gt;=100000,INDEX($V$1005:$AE$1005,1,MATCH(COLUMNS($V$1006:AC1006),$V$1006:$AE$1006,0))&gt;=100000), " ",IF(INDEX($V$2:$AE$1001,MATCH(ROWS($O$2:O667),$O$2:$O$1001,0),MATCH(COLUMNS($V$1006:AC1006),$V$1006:$AE$1006,0)), HYPERLINK("#",""), HYPERLINK(CONCATENATE("#Metadata!", ADDRESS(INDEX($Q$2:$Q$1001,MATCH(ROWS($O$2:O667),$O$2:$O$1001,0),0), INDEX($V$1004:$AE$1004,1,MATCH(COLUMNS($V$1006:AC1006),$V$1006:$AE$1006,0)))),"Fix")))</f>
        <v>0</v>
      </c>
      <c r="J667" s="4">
        <f>IF(OR(INDEX($P$2:$P$1001,MATCH(ROWS($O$2:O667),$O$2:$O$1001,0),1)&gt;=100000,INDEX($V$1005:$AE$1005,1,MATCH(COLUMNS($V$1006:AD1006),$V$1006:$AE$1006,0))&gt;=100000), " ",IF(INDEX($V$2:$AE$1001,MATCH(ROWS($O$2:O667),$O$2:$O$1001,0),MATCH(COLUMNS($V$1006:AD1006),$V$1006:$AE$1006,0)), HYPERLINK("#",""), HYPERLINK(CONCATENATE("#Metadata!", ADDRESS(INDEX($Q$2:$Q$1001,MATCH(ROWS($O$2:O667),$O$2:$O$1001,0),0), INDEX($V$1004:$AE$1004,1,MATCH(COLUMNS($V$1006:AD1006),$V$1006:$AE$1006,0)))),"Fix")))</f>
        <v>0</v>
      </c>
      <c r="K667" s="4">
        <f>IF(OR(INDEX($P$2:$P$1001,MATCH(ROWS($O$2:O667),$O$2:$O$1001,0),1)&gt;=100000,INDEX($V$1005:$AE$1005,1,MATCH(COLUMNS($V$1006:AE1006),$V$1006:$AE$1006,0))&gt;=100000), " ",IF(INDEX($V$2:$AE$1001,MATCH(ROWS($O$2:O667),$O$2:$O$1001,0),MATCH(COLUMNS($V$1006:AE1006),$V$1006:$AE$1006,0)), HYPERLINK("#",""), HYPERLINK(CONCATENATE("#Metadata!", ADDRESS(INDEX($Q$2:$Q$1001,MATCH(ROWS($O$2:O667),$O$2:$O$1001,0),0), INDEX($V$1004:$AE$1004,1,MATCH(COLUMNS($V$1006:AE1006),$V$1006:$AE$1006,0)))),"Fix")))</f>
        <v>0</v>
      </c>
      <c r="O667">
        <v>0</v>
      </c>
      <c r="P667">
        <v>0</v>
      </c>
      <c r="Q667">
        <v>0</v>
      </c>
      <c r="R667">
        <f>IF(S667,TRUE,AND(V667:AE667))</f>
        <v>0</v>
      </c>
      <c r="S667">
        <f>COUNTBLANK(Metadata!B667:K667)=COLUMNS(Metadata!B667:K667)</f>
        <v>0</v>
      </c>
      <c r="T667">
        <v>0</v>
      </c>
      <c r="V667">
        <f>AND(IF(Metadata!B667="",FALSE,TRUE),COUNTIF(Metadata!B:B, Metadata!B667) = 1,NOT(ISERROR(SUMPRODUCT(SEARCH(MID(Metadata!B667,ROW(INDIRECT("1:"&amp;LEN(Metadata!B667))), 1),"0123456789abcdefghijklmnopqrstuvwxyzABCDEFGHIJKLMNOPQRSTUVWXYZ.")))))</f>
        <v>0</v>
      </c>
      <c r="W667">
        <f>AND(IF(Metadata!C667="",FALSE,TRUE),exact(Metadata!C667,"urban biome"))</f>
        <v>0</v>
      </c>
      <c r="X667">
        <f>AND(IF(Metadata!D667="",FALSE,TRUE),exact(Metadata!D667,"animal-associated habitat"))</f>
        <v>0</v>
      </c>
      <c r="Y667">
        <f>OR(AND(IF(Metadata!E667="",FALSE,TRUE),OR(exact(Metadata!E667,"not applicable"),exact(Metadata!E667,"missing: not collected"),exact(Metadata!E667,"missing: not provided"),exact(Metadata!E667,"missing: restricted access"))),AND(IF(Metadata!E667="",FALSE,ISNUMBER(VALUE(Metadata!E667))),Metadata!E667&gt;0))</f>
        <v>0</v>
      </c>
      <c r="Z667">
        <f>AND(IF(Metadata!F667="",FALSE,TRUE),exact(Metadata!F667,"weeks"))</f>
        <v>0</v>
      </c>
      <c r="AA667">
        <f>AND(IF(Metadata!G667="",FALSE,TRUE),exact(Metadata!G667,"mouse"))</f>
        <v>0</v>
      </c>
      <c r="AB667">
        <f>AND(IF(Metadata!H667="",FALSE,TRUE),exact(Metadata!H667,"Mus musculus"))</f>
        <v>0</v>
      </c>
      <c r="AC667">
        <f>AND(IF(Metadata!I667="",FALSE,TRUE),exact(Metadata!I667,"10090"))</f>
        <v>0</v>
      </c>
      <c r="AD667">
        <f>OR(AND(IF(Metadata!J667="",FALSE,TRUE),OR(exact(Metadata!J667,"not applicable"),exact(Metadata!J667,"missing: not collected"),exact(Metadata!J667,"missing: not provided"),exact(Metadata!J667,"missing: restricted access"))),AND(IF(Metadata!J667="",FALSE,ISNUMBER(VALUE(Metadata!J667))),Metadata!J667&gt;0))</f>
        <v>0</v>
      </c>
      <c r="AE667">
        <f>AND(IF(Metadata!K667="",FALSE,TRUE),exact(Metadata!K667,"g"))</f>
        <v>0</v>
      </c>
    </row>
    <row r="668" spans="1:31">
      <c r="A668" s="5">
        <f>IF(B668=" "," ",HYPERLINK(CONCATENATE("#metadata!",ADDRESS(INDEX($Q$2:$Q$1001,MATCH(ROWS($O$2:O668),$O$2:$O$1001,0),0),1)),INDEX($T$2:$T$1001,MATCH(ROWS($O$2:O668),$O$2:$O$1001,0),0)))</f>
        <v>0</v>
      </c>
      <c r="B668" s="4">
        <f>IF(OR(INDEX($P$2:$P$1001,MATCH(ROWS($O$2:O668),$O$2:$O$1001,0),1)&gt;=100000,INDEX($V$1005:$AE$1005,1,MATCH(COLUMNS($V$1006:V1006),$V$1006:$AE$1006,0))&gt;=100000), " ",IF(INDEX($V$2:$AE$1001,MATCH(ROWS($O$2:O668),$O$2:$O$1001,0),MATCH(COLUMNS($V$1006:V1006),$V$1006:$AE$1006,0)), HYPERLINK("#",""), HYPERLINK(CONCATENATE("#Metadata!", ADDRESS(INDEX($Q$2:$Q$1001,MATCH(ROWS($O$2:O668),$O$2:$O$1001,0),0), INDEX($V$1004:$AE$1004,1,MATCH(COLUMNS($V$1006:V1006),$V$1006:$AE$1006,0)))),"Fix")))</f>
        <v>0</v>
      </c>
      <c r="C668" s="4">
        <f>IF(OR(INDEX($P$2:$P$1001,MATCH(ROWS($O$2:O668),$O$2:$O$1001,0),1)&gt;=100000,INDEX($V$1005:$AE$1005,1,MATCH(COLUMNS($V$1006:W1006),$V$1006:$AE$1006,0))&gt;=100000), " ",IF(INDEX($V$2:$AE$1001,MATCH(ROWS($O$2:O668),$O$2:$O$1001,0),MATCH(COLUMNS($V$1006:W1006),$V$1006:$AE$1006,0)), HYPERLINK("#",""), HYPERLINK(CONCATENATE("#Metadata!", ADDRESS(INDEX($Q$2:$Q$1001,MATCH(ROWS($O$2:O668),$O$2:$O$1001,0),0), INDEX($V$1004:$AE$1004,1,MATCH(COLUMNS($V$1006:W1006),$V$1006:$AE$1006,0)))),"Fix")))</f>
        <v>0</v>
      </c>
      <c r="D668" s="4">
        <f>IF(OR(INDEX($P$2:$P$1001,MATCH(ROWS($O$2:O668),$O$2:$O$1001,0),1)&gt;=100000,INDEX($V$1005:$AE$1005,1,MATCH(COLUMNS($V$1006:X1006),$V$1006:$AE$1006,0))&gt;=100000), " ",IF(INDEX($V$2:$AE$1001,MATCH(ROWS($O$2:O668),$O$2:$O$1001,0),MATCH(COLUMNS($V$1006:X1006),$V$1006:$AE$1006,0)), HYPERLINK("#",""), HYPERLINK(CONCATENATE("#Metadata!", ADDRESS(INDEX($Q$2:$Q$1001,MATCH(ROWS($O$2:O668),$O$2:$O$1001,0),0), INDEX($V$1004:$AE$1004,1,MATCH(COLUMNS($V$1006:X1006),$V$1006:$AE$1006,0)))),"Fix")))</f>
        <v>0</v>
      </c>
      <c r="E668" s="4">
        <f>IF(OR(INDEX($P$2:$P$1001,MATCH(ROWS($O$2:O668),$O$2:$O$1001,0),1)&gt;=100000,INDEX($V$1005:$AE$1005,1,MATCH(COLUMNS($V$1006:Y1006),$V$1006:$AE$1006,0))&gt;=100000), " ",IF(INDEX($V$2:$AE$1001,MATCH(ROWS($O$2:O668),$O$2:$O$1001,0),MATCH(COLUMNS($V$1006:Y1006),$V$1006:$AE$1006,0)), HYPERLINK("#",""), HYPERLINK(CONCATENATE("#Metadata!", ADDRESS(INDEX($Q$2:$Q$1001,MATCH(ROWS($O$2:O668),$O$2:$O$1001,0),0), INDEX($V$1004:$AE$1004,1,MATCH(COLUMNS($V$1006:Y1006),$V$1006:$AE$1006,0)))),"Fix")))</f>
        <v>0</v>
      </c>
      <c r="F668" s="4">
        <f>IF(OR(INDEX($P$2:$P$1001,MATCH(ROWS($O$2:O668),$O$2:$O$1001,0),1)&gt;=100000,INDEX($V$1005:$AE$1005,1,MATCH(COLUMNS($V$1006:Z1006),$V$1006:$AE$1006,0))&gt;=100000), " ",IF(INDEX($V$2:$AE$1001,MATCH(ROWS($O$2:O668),$O$2:$O$1001,0),MATCH(COLUMNS($V$1006:Z1006),$V$1006:$AE$1006,0)), HYPERLINK("#",""), HYPERLINK(CONCATENATE("#Metadata!", ADDRESS(INDEX($Q$2:$Q$1001,MATCH(ROWS($O$2:O668),$O$2:$O$1001,0),0), INDEX($V$1004:$AE$1004,1,MATCH(COLUMNS($V$1006:Z1006),$V$1006:$AE$1006,0)))),"Fix")))</f>
        <v>0</v>
      </c>
      <c r="G668" s="4">
        <f>IF(OR(INDEX($P$2:$P$1001,MATCH(ROWS($O$2:O668),$O$2:$O$1001,0),1)&gt;=100000,INDEX($V$1005:$AE$1005,1,MATCH(COLUMNS($V$1006:AA1006),$V$1006:$AE$1006,0))&gt;=100000), " ",IF(INDEX($V$2:$AE$1001,MATCH(ROWS($O$2:O668),$O$2:$O$1001,0),MATCH(COLUMNS($V$1006:AA1006),$V$1006:$AE$1006,0)), HYPERLINK("#",""), HYPERLINK(CONCATENATE("#Metadata!", ADDRESS(INDEX($Q$2:$Q$1001,MATCH(ROWS($O$2:O668),$O$2:$O$1001,0),0), INDEX($V$1004:$AE$1004,1,MATCH(COLUMNS($V$1006:AA1006),$V$1006:$AE$1006,0)))),"Fix")))</f>
        <v>0</v>
      </c>
      <c r="H668" s="4">
        <f>IF(OR(INDEX($P$2:$P$1001,MATCH(ROWS($O$2:O668),$O$2:$O$1001,0),1)&gt;=100000,INDEX($V$1005:$AE$1005,1,MATCH(COLUMNS($V$1006:AB1006),$V$1006:$AE$1006,0))&gt;=100000), " ",IF(INDEX($V$2:$AE$1001,MATCH(ROWS($O$2:O668),$O$2:$O$1001,0),MATCH(COLUMNS($V$1006:AB1006),$V$1006:$AE$1006,0)), HYPERLINK("#",""), HYPERLINK(CONCATENATE("#Metadata!", ADDRESS(INDEX($Q$2:$Q$1001,MATCH(ROWS($O$2:O668),$O$2:$O$1001,0),0), INDEX($V$1004:$AE$1004,1,MATCH(COLUMNS($V$1006:AB1006),$V$1006:$AE$1006,0)))),"Fix")))</f>
        <v>0</v>
      </c>
      <c r="I668" s="4">
        <f>IF(OR(INDEX($P$2:$P$1001,MATCH(ROWS($O$2:O668),$O$2:$O$1001,0),1)&gt;=100000,INDEX($V$1005:$AE$1005,1,MATCH(COLUMNS($V$1006:AC1006),$V$1006:$AE$1006,0))&gt;=100000), " ",IF(INDEX($V$2:$AE$1001,MATCH(ROWS($O$2:O668),$O$2:$O$1001,0),MATCH(COLUMNS($V$1006:AC1006),$V$1006:$AE$1006,0)), HYPERLINK("#",""), HYPERLINK(CONCATENATE("#Metadata!", ADDRESS(INDEX($Q$2:$Q$1001,MATCH(ROWS($O$2:O668),$O$2:$O$1001,0),0), INDEX($V$1004:$AE$1004,1,MATCH(COLUMNS($V$1006:AC1006),$V$1006:$AE$1006,0)))),"Fix")))</f>
        <v>0</v>
      </c>
      <c r="J668" s="4">
        <f>IF(OR(INDEX($P$2:$P$1001,MATCH(ROWS($O$2:O668),$O$2:$O$1001,0),1)&gt;=100000,INDEX($V$1005:$AE$1005,1,MATCH(COLUMNS($V$1006:AD1006),$V$1006:$AE$1006,0))&gt;=100000), " ",IF(INDEX($V$2:$AE$1001,MATCH(ROWS($O$2:O668),$O$2:$O$1001,0),MATCH(COLUMNS($V$1006:AD1006),$V$1006:$AE$1006,0)), HYPERLINK("#",""), HYPERLINK(CONCATENATE("#Metadata!", ADDRESS(INDEX($Q$2:$Q$1001,MATCH(ROWS($O$2:O668),$O$2:$O$1001,0),0), INDEX($V$1004:$AE$1004,1,MATCH(COLUMNS($V$1006:AD1006),$V$1006:$AE$1006,0)))),"Fix")))</f>
        <v>0</v>
      </c>
      <c r="K668" s="4">
        <f>IF(OR(INDEX($P$2:$P$1001,MATCH(ROWS($O$2:O668),$O$2:$O$1001,0),1)&gt;=100000,INDEX($V$1005:$AE$1005,1,MATCH(COLUMNS($V$1006:AE1006),$V$1006:$AE$1006,0))&gt;=100000), " ",IF(INDEX($V$2:$AE$1001,MATCH(ROWS($O$2:O668),$O$2:$O$1001,0),MATCH(COLUMNS($V$1006:AE1006),$V$1006:$AE$1006,0)), HYPERLINK("#",""), HYPERLINK(CONCATENATE("#Metadata!", ADDRESS(INDEX($Q$2:$Q$1001,MATCH(ROWS($O$2:O668),$O$2:$O$1001,0),0), INDEX($V$1004:$AE$1004,1,MATCH(COLUMNS($V$1006:AE1006),$V$1006:$AE$1006,0)))),"Fix")))</f>
        <v>0</v>
      </c>
      <c r="O668">
        <v>0</v>
      </c>
      <c r="P668">
        <v>0</v>
      </c>
      <c r="Q668">
        <v>0</v>
      </c>
      <c r="R668">
        <f>IF(S668,TRUE,AND(V668:AE668))</f>
        <v>0</v>
      </c>
      <c r="S668">
        <f>COUNTBLANK(Metadata!B668:K668)=COLUMNS(Metadata!B668:K668)</f>
        <v>0</v>
      </c>
      <c r="T668">
        <v>0</v>
      </c>
      <c r="V668">
        <f>AND(IF(Metadata!B668="",FALSE,TRUE),COUNTIF(Metadata!B:B, Metadata!B668) = 1,NOT(ISERROR(SUMPRODUCT(SEARCH(MID(Metadata!B668,ROW(INDIRECT("1:"&amp;LEN(Metadata!B668))), 1),"0123456789abcdefghijklmnopqrstuvwxyzABCDEFGHIJKLMNOPQRSTUVWXYZ.")))))</f>
        <v>0</v>
      </c>
      <c r="W668">
        <f>AND(IF(Metadata!C668="",FALSE,TRUE),exact(Metadata!C668,"urban biome"))</f>
        <v>0</v>
      </c>
      <c r="X668">
        <f>AND(IF(Metadata!D668="",FALSE,TRUE),exact(Metadata!D668,"animal-associated habitat"))</f>
        <v>0</v>
      </c>
      <c r="Y668">
        <f>OR(AND(IF(Metadata!E668="",FALSE,TRUE),OR(exact(Metadata!E668,"not applicable"),exact(Metadata!E668,"missing: not collected"),exact(Metadata!E668,"missing: not provided"),exact(Metadata!E668,"missing: restricted access"))),AND(IF(Metadata!E668="",FALSE,ISNUMBER(VALUE(Metadata!E668))),Metadata!E668&gt;0))</f>
        <v>0</v>
      </c>
      <c r="Z668">
        <f>AND(IF(Metadata!F668="",FALSE,TRUE),exact(Metadata!F668,"weeks"))</f>
        <v>0</v>
      </c>
      <c r="AA668">
        <f>AND(IF(Metadata!G668="",FALSE,TRUE),exact(Metadata!G668,"mouse"))</f>
        <v>0</v>
      </c>
      <c r="AB668">
        <f>AND(IF(Metadata!H668="",FALSE,TRUE),exact(Metadata!H668,"Mus musculus"))</f>
        <v>0</v>
      </c>
      <c r="AC668">
        <f>AND(IF(Metadata!I668="",FALSE,TRUE),exact(Metadata!I668,"10090"))</f>
        <v>0</v>
      </c>
      <c r="AD668">
        <f>OR(AND(IF(Metadata!J668="",FALSE,TRUE),OR(exact(Metadata!J668,"not applicable"),exact(Metadata!J668,"missing: not collected"),exact(Metadata!J668,"missing: not provided"),exact(Metadata!J668,"missing: restricted access"))),AND(IF(Metadata!J668="",FALSE,ISNUMBER(VALUE(Metadata!J668))),Metadata!J668&gt;0))</f>
        <v>0</v>
      </c>
      <c r="AE668">
        <f>AND(IF(Metadata!K668="",FALSE,TRUE),exact(Metadata!K668,"g"))</f>
        <v>0</v>
      </c>
    </row>
    <row r="669" spans="1:31">
      <c r="A669" s="5">
        <f>IF(B669=" "," ",HYPERLINK(CONCATENATE("#metadata!",ADDRESS(INDEX($Q$2:$Q$1001,MATCH(ROWS($O$2:O669),$O$2:$O$1001,0),0),1)),INDEX($T$2:$T$1001,MATCH(ROWS($O$2:O669),$O$2:$O$1001,0),0)))</f>
        <v>0</v>
      </c>
      <c r="B669" s="4">
        <f>IF(OR(INDEX($P$2:$P$1001,MATCH(ROWS($O$2:O669),$O$2:$O$1001,0),1)&gt;=100000,INDEX($V$1005:$AE$1005,1,MATCH(COLUMNS($V$1006:V1006),$V$1006:$AE$1006,0))&gt;=100000), " ",IF(INDEX($V$2:$AE$1001,MATCH(ROWS($O$2:O669),$O$2:$O$1001,0),MATCH(COLUMNS($V$1006:V1006),$V$1006:$AE$1006,0)), HYPERLINK("#",""), HYPERLINK(CONCATENATE("#Metadata!", ADDRESS(INDEX($Q$2:$Q$1001,MATCH(ROWS($O$2:O669),$O$2:$O$1001,0),0), INDEX($V$1004:$AE$1004,1,MATCH(COLUMNS($V$1006:V1006),$V$1006:$AE$1006,0)))),"Fix")))</f>
        <v>0</v>
      </c>
      <c r="C669" s="4">
        <f>IF(OR(INDEX($P$2:$P$1001,MATCH(ROWS($O$2:O669),$O$2:$O$1001,0),1)&gt;=100000,INDEX($V$1005:$AE$1005,1,MATCH(COLUMNS($V$1006:W1006),$V$1006:$AE$1006,0))&gt;=100000), " ",IF(INDEX($V$2:$AE$1001,MATCH(ROWS($O$2:O669),$O$2:$O$1001,0),MATCH(COLUMNS($V$1006:W1006),$V$1006:$AE$1006,0)), HYPERLINK("#",""), HYPERLINK(CONCATENATE("#Metadata!", ADDRESS(INDEX($Q$2:$Q$1001,MATCH(ROWS($O$2:O669),$O$2:$O$1001,0),0), INDEX($V$1004:$AE$1004,1,MATCH(COLUMNS($V$1006:W1006),$V$1006:$AE$1006,0)))),"Fix")))</f>
        <v>0</v>
      </c>
      <c r="D669" s="4">
        <f>IF(OR(INDEX($P$2:$P$1001,MATCH(ROWS($O$2:O669),$O$2:$O$1001,0),1)&gt;=100000,INDEX($V$1005:$AE$1005,1,MATCH(COLUMNS($V$1006:X1006),$V$1006:$AE$1006,0))&gt;=100000), " ",IF(INDEX($V$2:$AE$1001,MATCH(ROWS($O$2:O669),$O$2:$O$1001,0),MATCH(COLUMNS($V$1006:X1006),$V$1006:$AE$1006,0)), HYPERLINK("#",""), HYPERLINK(CONCATENATE("#Metadata!", ADDRESS(INDEX($Q$2:$Q$1001,MATCH(ROWS($O$2:O669),$O$2:$O$1001,0),0), INDEX($V$1004:$AE$1004,1,MATCH(COLUMNS($V$1006:X1006),$V$1006:$AE$1006,0)))),"Fix")))</f>
        <v>0</v>
      </c>
      <c r="E669" s="4">
        <f>IF(OR(INDEX($P$2:$P$1001,MATCH(ROWS($O$2:O669),$O$2:$O$1001,0),1)&gt;=100000,INDEX($V$1005:$AE$1005,1,MATCH(COLUMNS($V$1006:Y1006),$V$1006:$AE$1006,0))&gt;=100000), " ",IF(INDEX($V$2:$AE$1001,MATCH(ROWS($O$2:O669),$O$2:$O$1001,0),MATCH(COLUMNS($V$1006:Y1006),$V$1006:$AE$1006,0)), HYPERLINK("#",""), HYPERLINK(CONCATENATE("#Metadata!", ADDRESS(INDEX($Q$2:$Q$1001,MATCH(ROWS($O$2:O669),$O$2:$O$1001,0),0), INDEX($V$1004:$AE$1004,1,MATCH(COLUMNS($V$1006:Y1006),$V$1006:$AE$1006,0)))),"Fix")))</f>
        <v>0</v>
      </c>
      <c r="F669" s="4">
        <f>IF(OR(INDEX($P$2:$P$1001,MATCH(ROWS($O$2:O669),$O$2:$O$1001,0),1)&gt;=100000,INDEX($V$1005:$AE$1005,1,MATCH(COLUMNS($V$1006:Z1006),$V$1006:$AE$1006,0))&gt;=100000), " ",IF(INDEX($V$2:$AE$1001,MATCH(ROWS($O$2:O669),$O$2:$O$1001,0),MATCH(COLUMNS($V$1006:Z1006),$V$1006:$AE$1006,0)), HYPERLINK("#",""), HYPERLINK(CONCATENATE("#Metadata!", ADDRESS(INDEX($Q$2:$Q$1001,MATCH(ROWS($O$2:O669),$O$2:$O$1001,0),0), INDEX($V$1004:$AE$1004,1,MATCH(COLUMNS($V$1006:Z1006),$V$1006:$AE$1006,0)))),"Fix")))</f>
        <v>0</v>
      </c>
      <c r="G669" s="4">
        <f>IF(OR(INDEX($P$2:$P$1001,MATCH(ROWS($O$2:O669),$O$2:$O$1001,0),1)&gt;=100000,INDEX($V$1005:$AE$1005,1,MATCH(COLUMNS($V$1006:AA1006),$V$1006:$AE$1006,0))&gt;=100000), " ",IF(INDEX($V$2:$AE$1001,MATCH(ROWS($O$2:O669),$O$2:$O$1001,0),MATCH(COLUMNS($V$1006:AA1006),$V$1006:$AE$1006,0)), HYPERLINK("#",""), HYPERLINK(CONCATENATE("#Metadata!", ADDRESS(INDEX($Q$2:$Q$1001,MATCH(ROWS($O$2:O669),$O$2:$O$1001,0),0), INDEX($V$1004:$AE$1004,1,MATCH(COLUMNS($V$1006:AA1006),$V$1006:$AE$1006,0)))),"Fix")))</f>
        <v>0</v>
      </c>
      <c r="H669" s="4">
        <f>IF(OR(INDEX($P$2:$P$1001,MATCH(ROWS($O$2:O669),$O$2:$O$1001,0),1)&gt;=100000,INDEX($V$1005:$AE$1005,1,MATCH(COLUMNS($V$1006:AB1006),$V$1006:$AE$1006,0))&gt;=100000), " ",IF(INDEX($V$2:$AE$1001,MATCH(ROWS($O$2:O669),$O$2:$O$1001,0),MATCH(COLUMNS($V$1006:AB1006),$V$1006:$AE$1006,0)), HYPERLINK("#",""), HYPERLINK(CONCATENATE("#Metadata!", ADDRESS(INDEX($Q$2:$Q$1001,MATCH(ROWS($O$2:O669),$O$2:$O$1001,0),0), INDEX($V$1004:$AE$1004,1,MATCH(COLUMNS($V$1006:AB1006),$V$1006:$AE$1006,0)))),"Fix")))</f>
        <v>0</v>
      </c>
      <c r="I669" s="4">
        <f>IF(OR(INDEX($P$2:$P$1001,MATCH(ROWS($O$2:O669),$O$2:$O$1001,0),1)&gt;=100000,INDEX($V$1005:$AE$1005,1,MATCH(COLUMNS($V$1006:AC1006),$V$1006:$AE$1006,0))&gt;=100000), " ",IF(INDEX($V$2:$AE$1001,MATCH(ROWS($O$2:O669),$O$2:$O$1001,0),MATCH(COLUMNS($V$1006:AC1006),$V$1006:$AE$1006,0)), HYPERLINK("#",""), HYPERLINK(CONCATENATE("#Metadata!", ADDRESS(INDEX($Q$2:$Q$1001,MATCH(ROWS($O$2:O669),$O$2:$O$1001,0),0), INDEX($V$1004:$AE$1004,1,MATCH(COLUMNS($V$1006:AC1006),$V$1006:$AE$1006,0)))),"Fix")))</f>
        <v>0</v>
      </c>
      <c r="J669" s="4">
        <f>IF(OR(INDEX($P$2:$P$1001,MATCH(ROWS($O$2:O669),$O$2:$O$1001,0),1)&gt;=100000,INDEX($V$1005:$AE$1005,1,MATCH(COLUMNS($V$1006:AD1006),$V$1006:$AE$1006,0))&gt;=100000), " ",IF(INDEX($V$2:$AE$1001,MATCH(ROWS($O$2:O669),$O$2:$O$1001,0),MATCH(COLUMNS($V$1006:AD1006),$V$1006:$AE$1006,0)), HYPERLINK("#",""), HYPERLINK(CONCATENATE("#Metadata!", ADDRESS(INDEX($Q$2:$Q$1001,MATCH(ROWS($O$2:O669),$O$2:$O$1001,0),0), INDEX($V$1004:$AE$1004,1,MATCH(COLUMNS($V$1006:AD1006),$V$1006:$AE$1006,0)))),"Fix")))</f>
        <v>0</v>
      </c>
      <c r="K669" s="4">
        <f>IF(OR(INDEX($P$2:$P$1001,MATCH(ROWS($O$2:O669),$O$2:$O$1001,0),1)&gt;=100000,INDEX($V$1005:$AE$1005,1,MATCH(COLUMNS($V$1006:AE1006),$V$1006:$AE$1006,0))&gt;=100000), " ",IF(INDEX($V$2:$AE$1001,MATCH(ROWS($O$2:O669),$O$2:$O$1001,0),MATCH(COLUMNS($V$1006:AE1006),$V$1006:$AE$1006,0)), HYPERLINK("#",""), HYPERLINK(CONCATENATE("#Metadata!", ADDRESS(INDEX($Q$2:$Q$1001,MATCH(ROWS($O$2:O669),$O$2:$O$1001,0),0), INDEX($V$1004:$AE$1004,1,MATCH(COLUMNS($V$1006:AE1006),$V$1006:$AE$1006,0)))),"Fix")))</f>
        <v>0</v>
      </c>
      <c r="O669">
        <v>0</v>
      </c>
      <c r="P669">
        <v>0</v>
      </c>
      <c r="Q669">
        <v>0</v>
      </c>
      <c r="R669">
        <f>IF(S669,TRUE,AND(V669:AE669))</f>
        <v>0</v>
      </c>
      <c r="S669">
        <f>COUNTBLANK(Metadata!B669:K669)=COLUMNS(Metadata!B669:K669)</f>
        <v>0</v>
      </c>
      <c r="T669">
        <v>0</v>
      </c>
      <c r="V669">
        <f>AND(IF(Metadata!B669="",FALSE,TRUE),COUNTIF(Metadata!B:B, Metadata!B669) = 1,NOT(ISERROR(SUMPRODUCT(SEARCH(MID(Metadata!B669,ROW(INDIRECT("1:"&amp;LEN(Metadata!B669))), 1),"0123456789abcdefghijklmnopqrstuvwxyzABCDEFGHIJKLMNOPQRSTUVWXYZ.")))))</f>
        <v>0</v>
      </c>
      <c r="W669">
        <f>AND(IF(Metadata!C669="",FALSE,TRUE),exact(Metadata!C669,"urban biome"))</f>
        <v>0</v>
      </c>
      <c r="X669">
        <f>AND(IF(Metadata!D669="",FALSE,TRUE),exact(Metadata!D669,"animal-associated habitat"))</f>
        <v>0</v>
      </c>
      <c r="Y669">
        <f>OR(AND(IF(Metadata!E669="",FALSE,TRUE),OR(exact(Metadata!E669,"not applicable"),exact(Metadata!E669,"missing: not collected"),exact(Metadata!E669,"missing: not provided"),exact(Metadata!E669,"missing: restricted access"))),AND(IF(Metadata!E669="",FALSE,ISNUMBER(VALUE(Metadata!E669))),Metadata!E669&gt;0))</f>
        <v>0</v>
      </c>
      <c r="Z669">
        <f>AND(IF(Metadata!F669="",FALSE,TRUE),exact(Metadata!F669,"weeks"))</f>
        <v>0</v>
      </c>
      <c r="AA669">
        <f>AND(IF(Metadata!G669="",FALSE,TRUE),exact(Metadata!G669,"mouse"))</f>
        <v>0</v>
      </c>
      <c r="AB669">
        <f>AND(IF(Metadata!H669="",FALSE,TRUE),exact(Metadata!H669,"Mus musculus"))</f>
        <v>0</v>
      </c>
      <c r="AC669">
        <f>AND(IF(Metadata!I669="",FALSE,TRUE),exact(Metadata!I669,"10090"))</f>
        <v>0</v>
      </c>
      <c r="AD669">
        <f>OR(AND(IF(Metadata!J669="",FALSE,TRUE),OR(exact(Metadata!J669,"not applicable"),exact(Metadata!J669,"missing: not collected"),exact(Metadata!J669,"missing: not provided"),exact(Metadata!J669,"missing: restricted access"))),AND(IF(Metadata!J669="",FALSE,ISNUMBER(VALUE(Metadata!J669))),Metadata!J669&gt;0))</f>
        <v>0</v>
      </c>
      <c r="AE669">
        <f>AND(IF(Metadata!K669="",FALSE,TRUE),exact(Metadata!K669,"g"))</f>
        <v>0</v>
      </c>
    </row>
    <row r="670" spans="1:31">
      <c r="A670" s="5">
        <f>IF(B670=" "," ",HYPERLINK(CONCATENATE("#metadata!",ADDRESS(INDEX($Q$2:$Q$1001,MATCH(ROWS($O$2:O670),$O$2:$O$1001,0),0),1)),INDEX($T$2:$T$1001,MATCH(ROWS($O$2:O670),$O$2:$O$1001,0),0)))</f>
        <v>0</v>
      </c>
      <c r="B670" s="4">
        <f>IF(OR(INDEX($P$2:$P$1001,MATCH(ROWS($O$2:O670),$O$2:$O$1001,0),1)&gt;=100000,INDEX($V$1005:$AE$1005,1,MATCH(COLUMNS($V$1006:V1006),$V$1006:$AE$1006,0))&gt;=100000), " ",IF(INDEX($V$2:$AE$1001,MATCH(ROWS($O$2:O670),$O$2:$O$1001,0),MATCH(COLUMNS($V$1006:V1006),$V$1006:$AE$1006,0)), HYPERLINK("#",""), HYPERLINK(CONCATENATE("#Metadata!", ADDRESS(INDEX($Q$2:$Q$1001,MATCH(ROWS($O$2:O670),$O$2:$O$1001,0),0), INDEX($V$1004:$AE$1004,1,MATCH(COLUMNS($V$1006:V1006),$V$1006:$AE$1006,0)))),"Fix")))</f>
        <v>0</v>
      </c>
      <c r="C670" s="4">
        <f>IF(OR(INDEX($P$2:$P$1001,MATCH(ROWS($O$2:O670),$O$2:$O$1001,0),1)&gt;=100000,INDEX($V$1005:$AE$1005,1,MATCH(COLUMNS($V$1006:W1006),$V$1006:$AE$1006,0))&gt;=100000), " ",IF(INDEX($V$2:$AE$1001,MATCH(ROWS($O$2:O670),$O$2:$O$1001,0),MATCH(COLUMNS($V$1006:W1006),$V$1006:$AE$1006,0)), HYPERLINK("#",""), HYPERLINK(CONCATENATE("#Metadata!", ADDRESS(INDEX($Q$2:$Q$1001,MATCH(ROWS($O$2:O670),$O$2:$O$1001,0),0), INDEX($V$1004:$AE$1004,1,MATCH(COLUMNS($V$1006:W1006),$V$1006:$AE$1006,0)))),"Fix")))</f>
        <v>0</v>
      </c>
      <c r="D670" s="4">
        <f>IF(OR(INDEX($P$2:$P$1001,MATCH(ROWS($O$2:O670),$O$2:$O$1001,0),1)&gt;=100000,INDEX($V$1005:$AE$1005,1,MATCH(COLUMNS($V$1006:X1006),$V$1006:$AE$1006,0))&gt;=100000), " ",IF(INDEX($V$2:$AE$1001,MATCH(ROWS($O$2:O670),$O$2:$O$1001,0),MATCH(COLUMNS($V$1006:X1006),$V$1006:$AE$1006,0)), HYPERLINK("#",""), HYPERLINK(CONCATENATE("#Metadata!", ADDRESS(INDEX($Q$2:$Q$1001,MATCH(ROWS($O$2:O670),$O$2:$O$1001,0),0), INDEX($V$1004:$AE$1004,1,MATCH(COLUMNS($V$1006:X1006),$V$1006:$AE$1006,0)))),"Fix")))</f>
        <v>0</v>
      </c>
      <c r="E670" s="4">
        <f>IF(OR(INDEX($P$2:$P$1001,MATCH(ROWS($O$2:O670),$O$2:$O$1001,0),1)&gt;=100000,INDEX($V$1005:$AE$1005,1,MATCH(COLUMNS($V$1006:Y1006),$V$1006:$AE$1006,0))&gt;=100000), " ",IF(INDEX($V$2:$AE$1001,MATCH(ROWS($O$2:O670),$O$2:$O$1001,0),MATCH(COLUMNS($V$1006:Y1006),$V$1006:$AE$1006,0)), HYPERLINK("#",""), HYPERLINK(CONCATENATE("#Metadata!", ADDRESS(INDEX($Q$2:$Q$1001,MATCH(ROWS($O$2:O670),$O$2:$O$1001,0),0), INDEX($V$1004:$AE$1004,1,MATCH(COLUMNS($V$1006:Y1006),$V$1006:$AE$1006,0)))),"Fix")))</f>
        <v>0</v>
      </c>
      <c r="F670" s="4">
        <f>IF(OR(INDEX($P$2:$P$1001,MATCH(ROWS($O$2:O670),$O$2:$O$1001,0),1)&gt;=100000,INDEX($V$1005:$AE$1005,1,MATCH(COLUMNS($V$1006:Z1006),$V$1006:$AE$1006,0))&gt;=100000), " ",IF(INDEX($V$2:$AE$1001,MATCH(ROWS($O$2:O670),$O$2:$O$1001,0),MATCH(COLUMNS($V$1006:Z1006),$V$1006:$AE$1006,0)), HYPERLINK("#",""), HYPERLINK(CONCATENATE("#Metadata!", ADDRESS(INDEX($Q$2:$Q$1001,MATCH(ROWS($O$2:O670),$O$2:$O$1001,0),0), INDEX($V$1004:$AE$1004,1,MATCH(COLUMNS($V$1006:Z1006),$V$1006:$AE$1006,0)))),"Fix")))</f>
        <v>0</v>
      </c>
      <c r="G670" s="4">
        <f>IF(OR(INDEX($P$2:$P$1001,MATCH(ROWS($O$2:O670),$O$2:$O$1001,0),1)&gt;=100000,INDEX($V$1005:$AE$1005,1,MATCH(COLUMNS($V$1006:AA1006),$V$1006:$AE$1006,0))&gt;=100000), " ",IF(INDEX($V$2:$AE$1001,MATCH(ROWS($O$2:O670),$O$2:$O$1001,0),MATCH(COLUMNS($V$1006:AA1006),$V$1006:$AE$1006,0)), HYPERLINK("#",""), HYPERLINK(CONCATENATE("#Metadata!", ADDRESS(INDEX($Q$2:$Q$1001,MATCH(ROWS($O$2:O670),$O$2:$O$1001,0),0), INDEX($V$1004:$AE$1004,1,MATCH(COLUMNS($V$1006:AA1006),$V$1006:$AE$1006,0)))),"Fix")))</f>
        <v>0</v>
      </c>
      <c r="H670" s="4">
        <f>IF(OR(INDEX($P$2:$P$1001,MATCH(ROWS($O$2:O670),$O$2:$O$1001,0),1)&gt;=100000,INDEX($V$1005:$AE$1005,1,MATCH(COLUMNS($V$1006:AB1006),$V$1006:$AE$1006,0))&gt;=100000), " ",IF(INDEX($V$2:$AE$1001,MATCH(ROWS($O$2:O670),$O$2:$O$1001,0),MATCH(COLUMNS($V$1006:AB1006),$V$1006:$AE$1006,0)), HYPERLINK("#",""), HYPERLINK(CONCATENATE("#Metadata!", ADDRESS(INDEX($Q$2:$Q$1001,MATCH(ROWS($O$2:O670),$O$2:$O$1001,0),0), INDEX($V$1004:$AE$1004,1,MATCH(COLUMNS($V$1006:AB1006),$V$1006:$AE$1006,0)))),"Fix")))</f>
        <v>0</v>
      </c>
      <c r="I670" s="4">
        <f>IF(OR(INDEX($P$2:$P$1001,MATCH(ROWS($O$2:O670),$O$2:$O$1001,0),1)&gt;=100000,INDEX($V$1005:$AE$1005,1,MATCH(COLUMNS($V$1006:AC1006),$V$1006:$AE$1006,0))&gt;=100000), " ",IF(INDEX($V$2:$AE$1001,MATCH(ROWS($O$2:O670),$O$2:$O$1001,0),MATCH(COLUMNS($V$1006:AC1006),$V$1006:$AE$1006,0)), HYPERLINK("#",""), HYPERLINK(CONCATENATE("#Metadata!", ADDRESS(INDEX($Q$2:$Q$1001,MATCH(ROWS($O$2:O670),$O$2:$O$1001,0),0), INDEX($V$1004:$AE$1004,1,MATCH(COLUMNS($V$1006:AC1006),$V$1006:$AE$1006,0)))),"Fix")))</f>
        <v>0</v>
      </c>
      <c r="J670" s="4">
        <f>IF(OR(INDEX($P$2:$P$1001,MATCH(ROWS($O$2:O670),$O$2:$O$1001,0),1)&gt;=100000,INDEX($V$1005:$AE$1005,1,MATCH(COLUMNS($V$1006:AD1006),$V$1006:$AE$1006,0))&gt;=100000), " ",IF(INDEX($V$2:$AE$1001,MATCH(ROWS($O$2:O670),$O$2:$O$1001,0),MATCH(COLUMNS($V$1006:AD1006),$V$1006:$AE$1006,0)), HYPERLINK("#",""), HYPERLINK(CONCATENATE("#Metadata!", ADDRESS(INDEX($Q$2:$Q$1001,MATCH(ROWS($O$2:O670),$O$2:$O$1001,0),0), INDEX($V$1004:$AE$1004,1,MATCH(COLUMNS($V$1006:AD1006),$V$1006:$AE$1006,0)))),"Fix")))</f>
        <v>0</v>
      </c>
      <c r="K670" s="4">
        <f>IF(OR(INDEX($P$2:$P$1001,MATCH(ROWS($O$2:O670),$O$2:$O$1001,0),1)&gt;=100000,INDEX($V$1005:$AE$1005,1,MATCH(COLUMNS($V$1006:AE1006),$V$1006:$AE$1006,0))&gt;=100000), " ",IF(INDEX($V$2:$AE$1001,MATCH(ROWS($O$2:O670),$O$2:$O$1001,0),MATCH(COLUMNS($V$1006:AE1006),$V$1006:$AE$1006,0)), HYPERLINK("#",""), HYPERLINK(CONCATENATE("#Metadata!", ADDRESS(INDEX($Q$2:$Q$1001,MATCH(ROWS($O$2:O670),$O$2:$O$1001,0),0), INDEX($V$1004:$AE$1004,1,MATCH(COLUMNS($V$1006:AE1006),$V$1006:$AE$1006,0)))),"Fix")))</f>
        <v>0</v>
      </c>
      <c r="O670">
        <v>0</v>
      </c>
      <c r="P670">
        <v>0</v>
      </c>
      <c r="Q670">
        <v>0</v>
      </c>
      <c r="R670">
        <f>IF(S670,TRUE,AND(V670:AE670))</f>
        <v>0</v>
      </c>
      <c r="S670">
        <f>COUNTBLANK(Metadata!B670:K670)=COLUMNS(Metadata!B670:K670)</f>
        <v>0</v>
      </c>
      <c r="T670">
        <v>0</v>
      </c>
      <c r="V670">
        <f>AND(IF(Metadata!B670="",FALSE,TRUE),COUNTIF(Metadata!B:B, Metadata!B670) = 1,NOT(ISERROR(SUMPRODUCT(SEARCH(MID(Metadata!B670,ROW(INDIRECT("1:"&amp;LEN(Metadata!B670))), 1),"0123456789abcdefghijklmnopqrstuvwxyzABCDEFGHIJKLMNOPQRSTUVWXYZ.")))))</f>
        <v>0</v>
      </c>
      <c r="W670">
        <f>AND(IF(Metadata!C670="",FALSE,TRUE),exact(Metadata!C670,"urban biome"))</f>
        <v>0</v>
      </c>
      <c r="X670">
        <f>AND(IF(Metadata!D670="",FALSE,TRUE),exact(Metadata!D670,"animal-associated habitat"))</f>
        <v>0</v>
      </c>
      <c r="Y670">
        <f>OR(AND(IF(Metadata!E670="",FALSE,TRUE),OR(exact(Metadata!E670,"not applicable"),exact(Metadata!E670,"missing: not collected"),exact(Metadata!E670,"missing: not provided"),exact(Metadata!E670,"missing: restricted access"))),AND(IF(Metadata!E670="",FALSE,ISNUMBER(VALUE(Metadata!E670))),Metadata!E670&gt;0))</f>
        <v>0</v>
      </c>
      <c r="Z670">
        <f>AND(IF(Metadata!F670="",FALSE,TRUE),exact(Metadata!F670,"weeks"))</f>
        <v>0</v>
      </c>
      <c r="AA670">
        <f>AND(IF(Metadata!G670="",FALSE,TRUE),exact(Metadata!G670,"mouse"))</f>
        <v>0</v>
      </c>
      <c r="AB670">
        <f>AND(IF(Metadata!H670="",FALSE,TRUE),exact(Metadata!H670,"Mus musculus"))</f>
        <v>0</v>
      </c>
      <c r="AC670">
        <f>AND(IF(Metadata!I670="",FALSE,TRUE),exact(Metadata!I670,"10090"))</f>
        <v>0</v>
      </c>
      <c r="AD670">
        <f>OR(AND(IF(Metadata!J670="",FALSE,TRUE),OR(exact(Metadata!J670,"not applicable"),exact(Metadata!J670,"missing: not collected"),exact(Metadata!J670,"missing: not provided"),exact(Metadata!J670,"missing: restricted access"))),AND(IF(Metadata!J670="",FALSE,ISNUMBER(VALUE(Metadata!J670))),Metadata!J670&gt;0))</f>
        <v>0</v>
      </c>
      <c r="AE670">
        <f>AND(IF(Metadata!K670="",FALSE,TRUE),exact(Metadata!K670,"g"))</f>
        <v>0</v>
      </c>
    </row>
    <row r="671" spans="1:31">
      <c r="A671" s="5">
        <f>IF(B671=" "," ",HYPERLINK(CONCATENATE("#metadata!",ADDRESS(INDEX($Q$2:$Q$1001,MATCH(ROWS($O$2:O671),$O$2:$O$1001,0),0),1)),INDEX($T$2:$T$1001,MATCH(ROWS($O$2:O671),$O$2:$O$1001,0),0)))</f>
        <v>0</v>
      </c>
      <c r="B671" s="4">
        <f>IF(OR(INDEX($P$2:$P$1001,MATCH(ROWS($O$2:O671),$O$2:$O$1001,0),1)&gt;=100000,INDEX($V$1005:$AE$1005,1,MATCH(COLUMNS($V$1006:V1006),$V$1006:$AE$1006,0))&gt;=100000), " ",IF(INDEX($V$2:$AE$1001,MATCH(ROWS($O$2:O671),$O$2:$O$1001,0),MATCH(COLUMNS($V$1006:V1006),$V$1006:$AE$1006,0)), HYPERLINK("#",""), HYPERLINK(CONCATENATE("#Metadata!", ADDRESS(INDEX($Q$2:$Q$1001,MATCH(ROWS($O$2:O671),$O$2:$O$1001,0),0), INDEX($V$1004:$AE$1004,1,MATCH(COLUMNS($V$1006:V1006),$V$1006:$AE$1006,0)))),"Fix")))</f>
        <v>0</v>
      </c>
      <c r="C671" s="4">
        <f>IF(OR(INDEX($P$2:$P$1001,MATCH(ROWS($O$2:O671),$O$2:$O$1001,0),1)&gt;=100000,INDEX($V$1005:$AE$1005,1,MATCH(COLUMNS($V$1006:W1006),$V$1006:$AE$1006,0))&gt;=100000), " ",IF(INDEX($V$2:$AE$1001,MATCH(ROWS($O$2:O671),$O$2:$O$1001,0),MATCH(COLUMNS($V$1006:W1006),$V$1006:$AE$1006,0)), HYPERLINK("#",""), HYPERLINK(CONCATENATE("#Metadata!", ADDRESS(INDEX($Q$2:$Q$1001,MATCH(ROWS($O$2:O671),$O$2:$O$1001,0),0), INDEX($V$1004:$AE$1004,1,MATCH(COLUMNS($V$1006:W1006),$V$1006:$AE$1006,0)))),"Fix")))</f>
        <v>0</v>
      </c>
      <c r="D671" s="4">
        <f>IF(OR(INDEX($P$2:$P$1001,MATCH(ROWS($O$2:O671),$O$2:$O$1001,0),1)&gt;=100000,INDEX($V$1005:$AE$1005,1,MATCH(COLUMNS($V$1006:X1006),$V$1006:$AE$1006,0))&gt;=100000), " ",IF(INDEX($V$2:$AE$1001,MATCH(ROWS($O$2:O671),$O$2:$O$1001,0),MATCH(COLUMNS($V$1006:X1006),$V$1006:$AE$1006,0)), HYPERLINK("#",""), HYPERLINK(CONCATENATE("#Metadata!", ADDRESS(INDEX($Q$2:$Q$1001,MATCH(ROWS($O$2:O671),$O$2:$O$1001,0),0), INDEX($V$1004:$AE$1004,1,MATCH(COLUMNS($V$1006:X1006),$V$1006:$AE$1006,0)))),"Fix")))</f>
        <v>0</v>
      </c>
      <c r="E671" s="4">
        <f>IF(OR(INDEX($P$2:$P$1001,MATCH(ROWS($O$2:O671),$O$2:$O$1001,0),1)&gt;=100000,INDEX($V$1005:$AE$1005,1,MATCH(COLUMNS($V$1006:Y1006),$V$1006:$AE$1006,0))&gt;=100000), " ",IF(INDEX($V$2:$AE$1001,MATCH(ROWS($O$2:O671),$O$2:$O$1001,0),MATCH(COLUMNS($V$1006:Y1006),$V$1006:$AE$1006,0)), HYPERLINK("#",""), HYPERLINK(CONCATENATE("#Metadata!", ADDRESS(INDEX($Q$2:$Q$1001,MATCH(ROWS($O$2:O671),$O$2:$O$1001,0),0), INDEX($V$1004:$AE$1004,1,MATCH(COLUMNS($V$1006:Y1006),$V$1006:$AE$1006,0)))),"Fix")))</f>
        <v>0</v>
      </c>
      <c r="F671" s="4">
        <f>IF(OR(INDEX($P$2:$P$1001,MATCH(ROWS($O$2:O671),$O$2:$O$1001,0),1)&gt;=100000,INDEX($V$1005:$AE$1005,1,MATCH(COLUMNS($V$1006:Z1006),$V$1006:$AE$1006,0))&gt;=100000), " ",IF(INDEX($V$2:$AE$1001,MATCH(ROWS($O$2:O671),$O$2:$O$1001,0),MATCH(COLUMNS($V$1006:Z1006),$V$1006:$AE$1006,0)), HYPERLINK("#",""), HYPERLINK(CONCATENATE("#Metadata!", ADDRESS(INDEX($Q$2:$Q$1001,MATCH(ROWS($O$2:O671),$O$2:$O$1001,0),0), INDEX($V$1004:$AE$1004,1,MATCH(COLUMNS($V$1006:Z1006),$V$1006:$AE$1006,0)))),"Fix")))</f>
        <v>0</v>
      </c>
      <c r="G671" s="4">
        <f>IF(OR(INDEX($P$2:$P$1001,MATCH(ROWS($O$2:O671),$O$2:$O$1001,0),1)&gt;=100000,INDEX($V$1005:$AE$1005,1,MATCH(COLUMNS($V$1006:AA1006),$V$1006:$AE$1006,0))&gt;=100000), " ",IF(INDEX($V$2:$AE$1001,MATCH(ROWS($O$2:O671),$O$2:$O$1001,0),MATCH(COLUMNS($V$1006:AA1006),$V$1006:$AE$1006,0)), HYPERLINK("#",""), HYPERLINK(CONCATENATE("#Metadata!", ADDRESS(INDEX($Q$2:$Q$1001,MATCH(ROWS($O$2:O671),$O$2:$O$1001,0),0), INDEX($V$1004:$AE$1004,1,MATCH(COLUMNS($V$1006:AA1006),$V$1006:$AE$1006,0)))),"Fix")))</f>
        <v>0</v>
      </c>
      <c r="H671" s="4">
        <f>IF(OR(INDEX($P$2:$P$1001,MATCH(ROWS($O$2:O671),$O$2:$O$1001,0),1)&gt;=100000,INDEX($V$1005:$AE$1005,1,MATCH(COLUMNS($V$1006:AB1006),$V$1006:$AE$1006,0))&gt;=100000), " ",IF(INDEX($V$2:$AE$1001,MATCH(ROWS($O$2:O671),$O$2:$O$1001,0),MATCH(COLUMNS($V$1006:AB1006),$V$1006:$AE$1006,0)), HYPERLINK("#",""), HYPERLINK(CONCATENATE("#Metadata!", ADDRESS(INDEX($Q$2:$Q$1001,MATCH(ROWS($O$2:O671),$O$2:$O$1001,0),0), INDEX($V$1004:$AE$1004,1,MATCH(COLUMNS($V$1006:AB1006),$V$1006:$AE$1006,0)))),"Fix")))</f>
        <v>0</v>
      </c>
      <c r="I671" s="4">
        <f>IF(OR(INDEX($P$2:$P$1001,MATCH(ROWS($O$2:O671),$O$2:$O$1001,0),1)&gt;=100000,INDEX($V$1005:$AE$1005,1,MATCH(COLUMNS($V$1006:AC1006),$V$1006:$AE$1006,0))&gt;=100000), " ",IF(INDEX($V$2:$AE$1001,MATCH(ROWS($O$2:O671),$O$2:$O$1001,0),MATCH(COLUMNS($V$1006:AC1006),$V$1006:$AE$1006,0)), HYPERLINK("#",""), HYPERLINK(CONCATENATE("#Metadata!", ADDRESS(INDEX($Q$2:$Q$1001,MATCH(ROWS($O$2:O671),$O$2:$O$1001,0),0), INDEX($V$1004:$AE$1004,1,MATCH(COLUMNS($V$1006:AC1006),$V$1006:$AE$1006,0)))),"Fix")))</f>
        <v>0</v>
      </c>
      <c r="J671" s="4">
        <f>IF(OR(INDEX($P$2:$P$1001,MATCH(ROWS($O$2:O671),$O$2:$O$1001,0),1)&gt;=100000,INDEX($V$1005:$AE$1005,1,MATCH(COLUMNS($V$1006:AD1006),$V$1006:$AE$1006,0))&gt;=100000), " ",IF(INDEX($V$2:$AE$1001,MATCH(ROWS($O$2:O671),$O$2:$O$1001,0),MATCH(COLUMNS($V$1006:AD1006),$V$1006:$AE$1006,0)), HYPERLINK("#",""), HYPERLINK(CONCATENATE("#Metadata!", ADDRESS(INDEX($Q$2:$Q$1001,MATCH(ROWS($O$2:O671),$O$2:$O$1001,0),0), INDEX($V$1004:$AE$1004,1,MATCH(COLUMNS($V$1006:AD1006),$V$1006:$AE$1006,0)))),"Fix")))</f>
        <v>0</v>
      </c>
      <c r="K671" s="4">
        <f>IF(OR(INDEX($P$2:$P$1001,MATCH(ROWS($O$2:O671),$O$2:$O$1001,0),1)&gt;=100000,INDEX($V$1005:$AE$1005,1,MATCH(COLUMNS($V$1006:AE1006),$V$1006:$AE$1006,0))&gt;=100000), " ",IF(INDEX($V$2:$AE$1001,MATCH(ROWS($O$2:O671),$O$2:$O$1001,0),MATCH(COLUMNS($V$1006:AE1006),$V$1006:$AE$1006,0)), HYPERLINK("#",""), HYPERLINK(CONCATENATE("#Metadata!", ADDRESS(INDEX($Q$2:$Q$1001,MATCH(ROWS($O$2:O671),$O$2:$O$1001,0),0), INDEX($V$1004:$AE$1004,1,MATCH(COLUMNS($V$1006:AE1006),$V$1006:$AE$1006,0)))),"Fix")))</f>
        <v>0</v>
      </c>
      <c r="O671">
        <v>0</v>
      </c>
      <c r="P671">
        <v>0</v>
      </c>
      <c r="Q671">
        <v>0</v>
      </c>
      <c r="R671">
        <f>IF(S671,TRUE,AND(V671:AE671))</f>
        <v>0</v>
      </c>
      <c r="S671">
        <f>COUNTBLANK(Metadata!B671:K671)=COLUMNS(Metadata!B671:K671)</f>
        <v>0</v>
      </c>
      <c r="T671">
        <v>0</v>
      </c>
      <c r="V671">
        <f>AND(IF(Metadata!B671="",FALSE,TRUE),COUNTIF(Metadata!B:B, Metadata!B671) = 1,NOT(ISERROR(SUMPRODUCT(SEARCH(MID(Metadata!B671,ROW(INDIRECT("1:"&amp;LEN(Metadata!B671))), 1),"0123456789abcdefghijklmnopqrstuvwxyzABCDEFGHIJKLMNOPQRSTUVWXYZ.")))))</f>
        <v>0</v>
      </c>
      <c r="W671">
        <f>AND(IF(Metadata!C671="",FALSE,TRUE),exact(Metadata!C671,"urban biome"))</f>
        <v>0</v>
      </c>
      <c r="X671">
        <f>AND(IF(Metadata!D671="",FALSE,TRUE),exact(Metadata!D671,"animal-associated habitat"))</f>
        <v>0</v>
      </c>
      <c r="Y671">
        <f>OR(AND(IF(Metadata!E671="",FALSE,TRUE),OR(exact(Metadata!E671,"not applicable"),exact(Metadata!E671,"missing: not collected"),exact(Metadata!E671,"missing: not provided"),exact(Metadata!E671,"missing: restricted access"))),AND(IF(Metadata!E671="",FALSE,ISNUMBER(VALUE(Metadata!E671))),Metadata!E671&gt;0))</f>
        <v>0</v>
      </c>
      <c r="Z671">
        <f>AND(IF(Metadata!F671="",FALSE,TRUE),exact(Metadata!F671,"weeks"))</f>
        <v>0</v>
      </c>
      <c r="AA671">
        <f>AND(IF(Metadata!G671="",FALSE,TRUE),exact(Metadata!G671,"mouse"))</f>
        <v>0</v>
      </c>
      <c r="AB671">
        <f>AND(IF(Metadata!H671="",FALSE,TRUE),exact(Metadata!H671,"Mus musculus"))</f>
        <v>0</v>
      </c>
      <c r="AC671">
        <f>AND(IF(Metadata!I671="",FALSE,TRUE),exact(Metadata!I671,"10090"))</f>
        <v>0</v>
      </c>
      <c r="AD671">
        <f>OR(AND(IF(Metadata!J671="",FALSE,TRUE),OR(exact(Metadata!J671,"not applicable"),exact(Metadata!J671,"missing: not collected"),exact(Metadata!J671,"missing: not provided"),exact(Metadata!J671,"missing: restricted access"))),AND(IF(Metadata!J671="",FALSE,ISNUMBER(VALUE(Metadata!J671))),Metadata!J671&gt;0))</f>
        <v>0</v>
      </c>
      <c r="AE671">
        <f>AND(IF(Metadata!K671="",FALSE,TRUE),exact(Metadata!K671,"g"))</f>
        <v>0</v>
      </c>
    </row>
    <row r="672" spans="1:31">
      <c r="A672" s="5">
        <f>IF(B672=" "," ",HYPERLINK(CONCATENATE("#metadata!",ADDRESS(INDEX($Q$2:$Q$1001,MATCH(ROWS($O$2:O672),$O$2:$O$1001,0),0),1)),INDEX($T$2:$T$1001,MATCH(ROWS($O$2:O672),$O$2:$O$1001,0),0)))</f>
        <v>0</v>
      </c>
      <c r="B672" s="4">
        <f>IF(OR(INDEX($P$2:$P$1001,MATCH(ROWS($O$2:O672),$O$2:$O$1001,0),1)&gt;=100000,INDEX($V$1005:$AE$1005,1,MATCH(COLUMNS($V$1006:V1006),$V$1006:$AE$1006,0))&gt;=100000), " ",IF(INDEX($V$2:$AE$1001,MATCH(ROWS($O$2:O672),$O$2:$O$1001,0),MATCH(COLUMNS($V$1006:V1006),$V$1006:$AE$1006,0)), HYPERLINK("#",""), HYPERLINK(CONCATENATE("#Metadata!", ADDRESS(INDEX($Q$2:$Q$1001,MATCH(ROWS($O$2:O672),$O$2:$O$1001,0),0), INDEX($V$1004:$AE$1004,1,MATCH(COLUMNS($V$1006:V1006),$V$1006:$AE$1006,0)))),"Fix")))</f>
        <v>0</v>
      </c>
      <c r="C672" s="4">
        <f>IF(OR(INDEX($P$2:$P$1001,MATCH(ROWS($O$2:O672),$O$2:$O$1001,0),1)&gt;=100000,INDEX($V$1005:$AE$1005,1,MATCH(COLUMNS($V$1006:W1006),$V$1006:$AE$1006,0))&gt;=100000), " ",IF(INDEX($V$2:$AE$1001,MATCH(ROWS($O$2:O672),$O$2:$O$1001,0),MATCH(COLUMNS($V$1006:W1006),$V$1006:$AE$1006,0)), HYPERLINK("#",""), HYPERLINK(CONCATENATE("#Metadata!", ADDRESS(INDEX($Q$2:$Q$1001,MATCH(ROWS($O$2:O672),$O$2:$O$1001,0),0), INDEX($V$1004:$AE$1004,1,MATCH(COLUMNS($V$1006:W1006),$V$1006:$AE$1006,0)))),"Fix")))</f>
        <v>0</v>
      </c>
      <c r="D672" s="4">
        <f>IF(OR(INDEX($P$2:$P$1001,MATCH(ROWS($O$2:O672),$O$2:$O$1001,0),1)&gt;=100000,INDEX($V$1005:$AE$1005,1,MATCH(COLUMNS($V$1006:X1006),$V$1006:$AE$1006,0))&gt;=100000), " ",IF(INDEX($V$2:$AE$1001,MATCH(ROWS($O$2:O672),$O$2:$O$1001,0),MATCH(COLUMNS($V$1006:X1006),$V$1006:$AE$1006,0)), HYPERLINK("#",""), HYPERLINK(CONCATENATE("#Metadata!", ADDRESS(INDEX($Q$2:$Q$1001,MATCH(ROWS($O$2:O672),$O$2:$O$1001,0),0), INDEX($V$1004:$AE$1004,1,MATCH(COLUMNS($V$1006:X1006),$V$1006:$AE$1006,0)))),"Fix")))</f>
        <v>0</v>
      </c>
      <c r="E672" s="4">
        <f>IF(OR(INDEX($P$2:$P$1001,MATCH(ROWS($O$2:O672),$O$2:$O$1001,0),1)&gt;=100000,INDEX($V$1005:$AE$1005,1,MATCH(COLUMNS($V$1006:Y1006),$V$1006:$AE$1006,0))&gt;=100000), " ",IF(INDEX($V$2:$AE$1001,MATCH(ROWS($O$2:O672),$O$2:$O$1001,0),MATCH(COLUMNS($V$1006:Y1006),$V$1006:$AE$1006,0)), HYPERLINK("#",""), HYPERLINK(CONCATENATE("#Metadata!", ADDRESS(INDEX($Q$2:$Q$1001,MATCH(ROWS($O$2:O672),$O$2:$O$1001,0),0), INDEX($V$1004:$AE$1004,1,MATCH(COLUMNS($V$1006:Y1006),$V$1006:$AE$1006,0)))),"Fix")))</f>
        <v>0</v>
      </c>
      <c r="F672" s="4">
        <f>IF(OR(INDEX($P$2:$P$1001,MATCH(ROWS($O$2:O672),$O$2:$O$1001,0),1)&gt;=100000,INDEX($V$1005:$AE$1005,1,MATCH(COLUMNS($V$1006:Z1006),$V$1006:$AE$1006,0))&gt;=100000), " ",IF(INDEX($V$2:$AE$1001,MATCH(ROWS($O$2:O672),$O$2:$O$1001,0),MATCH(COLUMNS($V$1006:Z1006),$V$1006:$AE$1006,0)), HYPERLINK("#",""), HYPERLINK(CONCATENATE("#Metadata!", ADDRESS(INDEX($Q$2:$Q$1001,MATCH(ROWS($O$2:O672),$O$2:$O$1001,0),0), INDEX($V$1004:$AE$1004,1,MATCH(COLUMNS($V$1006:Z1006),$V$1006:$AE$1006,0)))),"Fix")))</f>
        <v>0</v>
      </c>
      <c r="G672" s="4">
        <f>IF(OR(INDEX($P$2:$P$1001,MATCH(ROWS($O$2:O672),$O$2:$O$1001,0),1)&gt;=100000,INDEX($V$1005:$AE$1005,1,MATCH(COLUMNS($V$1006:AA1006),$V$1006:$AE$1006,0))&gt;=100000), " ",IF(INDEX($V$2:$AE$1001,MATCH(ROWS($O$2:O672),$O$2:$O$1001,0),MATCH(COLUMNS($V$1006:AA1006),$V$1006:$AE$1006,0)), HYPERLINK("#",""), HYPERLINK(CONCATENATE("#Metadata!", ADDRESS(INDEX($Q$2:$Q$1001,MATCH(ROWS($O$2:O672),$O$2:$O$1001,0),0), INDEX($V$1004:$AE$1004,1,MATCH(COLUMNS($V$1006:AA1006),$V$1006:$AE$1006,0)))),"Fix")))</f>
        <v>0</v>
      </c>
      <c r="H672" s="4">
        <f>IF(OR(INDEX($P$2:$P$1001,MATCH(ROWS($O$2:O672),$O$2:$O$1001,0),1)&gt;=100000,INDEX($V$1005:$AE$1005,1,MATCH(COLUMNS($V$1006:AB1006),$V$1006:$AE$1006,0))&gt;=100000), " ",IF(INDEX($V$2:$AE$1001,MATCH(ROWS($O$2:O672),$O$2:$O$1001,0),MATCH(COLUMNS($V$1006:AB1006),$V$1006:$AE$1006,0)), HYPERLINK("#",""), HYPERLINK(CONCATENATE("#Metadata!", ADDRESS(INDEX($Q$2:$Q$1001,MATCH(ROWS($O$2:O672),$O$2:$O$1001,0),0), INDEX($V$1004:$AE$1004,1,MATCH(COLUMNS($V$1006:AB1006),$V$1006:$AE$1006,0)))),"Fix")))</f>
        <v>0</v>
      </c>
      <c r="I672" s="4">
        <f>IF(OR(INDEX($P$2:$P$1001,MATCH(ROWS($O$2:O672),$O$2:$O$1001,0),1)&gt;=100000,INDEX($V$1005:$AE$1005,1,MATCH(COLUMNS($V$1006:AC1006),$V$1006:$AE$1006,0))&gt;=100000), " ",IF(INDEX($V$2:$AE$1001,MATCH(ROWS($O$2:O672),$O$2:$O$1001,0),MATCH(COLUMNS($V$1006:AC1006),$V$1006:$AE$1006,0)), HYPERLINK("#",""), HYPERLINK(CONCATENATE("#Metadata!", ADDRESS(INDEX($Q$2:$Q$1001,MATCH(ROWS($O$2:O672),$O$2:$O$1001,0),0), INDEX($V$1004:$AE$1004,1,MATCH(COLUMNS($V$1006:AC1006),$V$1006:$AE$1006,0)))),"Fix")))</f>
        <v>0</v>
      </c>
      <c r="J672" s="4">
        <f>IF(OR(INDEX($P$2:$P$1001,MATCH(ROWS($O$2:O672),$O$2:$O$1001,0),1)&gt;=100000,INDEX($V$1005:$AE$1005,1,MATCH(COLUMNS($V$1006:AD1006),$V$1006:$AE$1006,0))&gt;=100000), " ",IF(INDEX($V$2:$AE$1001,MATCH(ROWS($O$2:O672),$O$2:$O$1001,0),MATCH(COLUMNS($V$1006:AD1006),$V$1006:$AE$1006,0)), HYPERLINK("#",""), HYPERLINK(CONCATENATE("#Metadata!", ADDRESS(INDEX($Q$2:$Q$1001,MATCH(ROWS($O$2:O672),$O$2:$O$1001,0),0), INDEX($V$1004:$AE$1004,1,MATCH(COLUMNS($V$1006:AD1006),$V$1006:$AE$1006,0)))),"Fix")))</f>
        <v>0</v>
      </c>
      <c r="K672" s="4">
        <f>IF(OR(INDEX($P$2:$P$1001,MATCH(ROWS($O$2:O672),$O$2:$O$1001,0),1)&gt;=100000,INDEX($V$1005:$AE$1005,1,MATCH(COLUMNS($V$1006:AE1006),$V$1006:$AE$1006,0))&gt;=100000), " ",IF(INDEX($V$2:$AE$1001,MATCH(ROWS($O$2:O672),$O$2:$O$1001,0),MATCH(COLUMNS($V$1006:AE1006),$V$1006:$AE$1006,0)), HYPERLINK("#",""), HYPERLINK(CONCATENATE("#Metadata!", ADDRESS(INDEX($Q$2:$Q$1001,MATCH(ROWS($O$2:O672),$O$2:$O$1001,0),0), INDEX($V$1004:$AE$1004,1,MATCH(COLUMNS($V$1006:AE1006),$V$1006:$AE$1006,0)))),"Fix")))</f>
        <v>0</v>
      </c>
      <c r="O672">
        <v>0</v>
      </c>
      <c r="P672">
        <v>0</v>
      </c>
      <c r="Q672">
        <v>0</v>
      </c>
      <c r="R672">
        <f>IF(S672,TRUE,AND(V672:AE672))</f>
        <v>0</v>
      </c>
      <c r="S672">
        <f>COUNTBLANK(Metadata!B672:K672)=COLUMNS(Metadata!B672:K672)</f>
        <v>0</v>
      </c>
      <c r="T672">
        <v>0</v>
      </c>
      <c r="V672">
        <f>AND(IF(Metadata!B672="",FALSE,TRUE),COUNTIF(Metadata!B:B, Metadata!B672) = 1,NOT(ISERROR(SUMPRODUCT(SEARCH(MID(Metadata!B672,ROW(INDIRECT("1:"&amp;LEN(Metadata!B672))), 1),"0123456789abcdefghijklmnopqrstuvwxyzABCDEFGHIJKLMNOPQRSTUVWXYZ.")))))</f>
        <v>0</v>
      </c>
      <c r="W672">
        <f>AND(IF(Metadata!C672="",FALSE,TRUE),exact(Metadata!C672,"urban biome"))</f>
        <v>0</v>
      </c>
      <c r="X672">
        <f>AND(IF(Metadata!D672="",FALSE,TRUE),exact(Metadata!D672,"animal-associated habitat"))</f>
        <v>0</v>
      </c>
      <c r="Y672">
        <f>OR(AND(IF(Metadata!E672="",FALSE,TRUE),OR(exact(Metadata!E672,"not applicable"),exact(Metadata!E672,"missing: not collected"),exact(Metadata!E672,"missing: not provided"),exact(Metadata!E672,"missing: restricted access"))),AND(IF(Metadata!E672="",FALSE,ISNUMBER(VALUE(Metadata!E672))),Metadata!E672&gt;0))</f>
        <v>0</v>
      </c>
      <c r="Z672">
        <f>AND(IF(Metadata!F672="",FALSE,TRUE),exact(Metadata!F672,"weeks"))</f>
        <v>0</v>
      </c>
      <c r="AA672">
        <f>AND(IF(Metadata!G672="",FALSE,TRUE),exact(Metadata!G672,"mouse"))</f>
        <v>0</v>
      </c>
      <c r="AB672">
        <f>AND(IF(Metadata!H672="",FALSE,TRUE),exact(Metadata!H672,"Mus musculus"))</f>
        <v>0</v>
      </c>
      <c r="AC672">
        <f>AND(IF(Metadata!I672="",FALSE,TRUE),exact(Metadata!I672,"10090"))</f>
        <v>0</v>
      </c>
      <c r="AD672">
        <f>OR(AND(IF(Metadata!J672="",FALSE,TRUE),OR(exact(Metadata!J672,"not applicable"),exact(Metadata!J672,"missing: not collected"),exact(Metadata!J672,"missing: not provided"),exact(Metadata!J672,"missing: restricted access"))),AND(IF(Metadata!J672="",FALSE,ISNUMBER(VALUE(Metadata!J672))),Metadata!J672&gt;0))</f>
        <v>0</v>
      </c>
      <c r="AE672">
        <f>AND(IF(Metadata!K672="",FALSE,TRUE),exact(Metadata!K672,"g"))</f>
        <v>0</v>
      </c>
    </row>
    <row r="673" spans="1:31">
      <c r="A673" s="5">
        <f>IF(B673=" "," ",HYPERLINK(CONCATENATE("#metadata!",ADDRESS(INDEX($Q$2:$Q$1001,MATCH(ROWS($O$2:O673),$O$2:$O$1001,0),0),1)),INDEX($T$2:$T$1001,MATCH(ROWS($O$2:O673),$O$2:$O$1001,0),0)))</f>
        <v>0</v>
      </c>
      <c r="B673" s="4">
        <f>IF(OR(INDEX($P$2:$P$1001,MATCH(ROWS($O$2:O673),$O$2:$O$1001,0),1)&gt;=100000,INDEX($V$1005:$AE$1005,1,MATCH(COLUMNS($V$1006:V1006),$V$1006:$AE$1006,0))&gt;=100000), " ",IF(INDEX($V$2:$AE$1001,MATCH(ROWS($O$2:O673),$O$2:$O$1001,0),MATCH(COLUMNS($V$1006:V1006),$V$1006:$AE$1006,0)), HYPERLINK("#",""), HYPERLINK(CONCATENATE("#Metadata!", ADDRESS(INDEX($Q$2:$Q$1001,MATCH(ROWS($O$2:O673),$O$2:$O$1001,0),0), INDEX($V$1004:$AE$1004,1,MATCH(COLUMNS($V$1006:V1006),$V$1006:$AE$1006,0)))),"Fix")))</f>
        <v>0</v>
      </c>
      <c r="C673" s="4">
        <f>IF(OR(INDEX($P$2:$P$1001,MATCH(ROWS($O$2:O673),$O$2:$O$1001,0),1)&gt;=100000,INDEX($V$1005:$AE$1005,1,MATCH(COLUMNS($V$1006:W1006),$V$1006:$AE$1006,0))&gt;=100000), " ",IF(INDEX($V$2:$AE$1001,MATCH(ROWS($O$2:O673),$O$2:$O$1001,0),MATCH(COLUMNS($V$1006:W1006),$V$1006:$AE$1006,0)), HYPERLINK("#",""), HYPERLINK(CONCATENATE("#Metadata!", ADDRESS(INDEX($Q$2:$Q$1001,MATCH(ROWS($O$2:O673),$O$2:$O$1001,0),0), INDEX($V$1004:$AE$1004,1,MATCH(COLUMNS($V$1006:W1006),$V$1006:$AE$1006,0)))),"Fix")))</f>
        <v>0</v>
      </c>
      <c r="D673" s="4">
        <f>IF(OR(INDEX($P$2:$P$1001,MATCH(ROWS($O$2:O673),$O$2:$O$1001,0),1)&gt;=100000,INDEX($V$1005:$AE$1005,1,MATCH(COLUMNS($V$1006:X1006),$V$1006:$AE$1006,0))&gt;=100000), " ",IF(INDEX($V$2:$AE$1001,MATCH(ROWS($O$2:O673),$O$2:$O$1001,0),MATCH(COLUMNS($V$1006:X1006),$V$1006:$AE$1006,0)), HYPERLINK("#",""), HYPERLINK(CONCATENATE("#Metadata!", ADDRESS(INDEX($Q$2:$Q$1001,MATCH(ROWS($O$2:O673),$O$2:$O$1001,0),0), INDEX($V$1004:$AE$1004,1,MATCH(COLUMNS($V$1006:X1006),$V$1006:$AE$1006,0)))),"Fix")))</f>
        <v>0</v>
      </c>
      <c r="E673" s="4">
        <f>IF(OR(INDEX($P$2:$P$1001,MATCH(ROWS($O$2:O673),$O$2:$O$1001,0),1)&gt;=100000,INDEX($V$1005:$AE$1005,1,MATCH(COLUMNS($V$1006:Y1006),$V$1006:$AE$1006,0))&gt;=100000), " ",IF(INDEX($V$2:$AE$1001,MATCH(ROWS($O$2:O673),$O$2:$O$1001,0),MATCH(COLUMNS($V$1006:Y1006),$V$1006:$AE$1006,0)), HYPERLINK("#",""), HYPERLINK(CONCATENATE("#Metadata!", ADDRESS(INDEX($Q$2:$Q$1001,MATCH(ROWS($O$2:O673),$O$2:$O$1001,0),0), INDEX($V$1004:$AE$1004,1,MATCH(COLUMNS($V$1006:Y1006),$V$1006:$AE$1006,0)))),"Fix")))</f>
        <v>0</v>
      </c>
      <c r="F673" s="4">
        <f>IF(OR(INDEX($P$2:$P$1001,MATCH(ROWS($O$2:O673),$O$2:$O$1001,0),1)&gt;=100000,INDEX($V$1005:$AE$1005,1,MATCH(COLUMNS($V$1006:Z1006),$V$1006:$AE$1006,0))&gt;=100000), " ",IF(INDEX($V$2:$AE$1001,MATCH(ROWS($O$2:O673),$O$2:$O$1001,0),MATCH(COLUMNS($V$1006:Z1006),$V$1006:$AE$1006,0)), HYPERLINK("#",""), HYPERLINK(CONCATENATE("#Metadata!", ADDRESS(INDEX($Q$2:$Q$1001,MATCH(ROWS($O$2:O673),$O$2:$O$1001,0),0), INDEX($V$1004:$AE$1004,1,MATCH(COLUMNS($V$1006:Z1006),$V$1006:$AE$1006,0)))),"Fix")))</f>
        <v>0</v>
      </c>
      <c r="G673" s="4">
        <f>IF(OR(INDEX($P$2:$P$1001,MATCH(ROWS($O$2:O673),$O$2:$O$1001,0),1)&gt;=100000,INDEX($V$1005:$AE$1005,1,MATCH(COLUMNS($V$1006:AA1006),$V$1006:$AE$1006,0))&gt;=100000), " ",IF(INDEX($V$2:$AE$1001,MATCH(ROWS($O$2:O673),$O$2:$O$1001,0),MATCH(COLUMNS($V$1006:AA1006),$V$1006:$AE$1006,0)), HYPERLINK("#",""), HYPERLINK(CONCATENATE("#Metadata!", ADDRESS(INDEX($Q$2:$Q$1001,MATCH(ROWS($O$2:O673),$O$2:$O$1001,0),0), INDEX($V$1004:$AE$1004,1,MATCH(COLUMNS($V$1006:AA1006),$V$1006:$AE$1006,0)))),"Fix")))</f>
        <v>0</v>
      </c>
      <c r="H673" s="4">
        <f>IF(OR(INDEX($P$2:$P$1001,MATCH(ROWS($O$2:O673),$O$2:$O$1001,0),1)&gt;=100000,INDEX($V$1005:$AE$1005,1,MATCH(COLUMNS($V$1006:AB1006),$V$1006:$AE$1006,0))&gt;=100000), " ",IF(INDEX($V$2:$AE$1001,MATCH(ROWS($O$2:O673),$O$2:$O$1001,0),MATCH(COLUMNS($V$1006:AB1006),$V$1006:$AE$1006,0)), HYPERLINK("#",""), HYPERLINK(CONCATENATE("#Metadata!", ADDRESS(INDEX($Q$2:$Q$1001,MATCH(ROWS($O$2:O673),$O$2:$O$1001,0),0), INDEX($V$1004:$AE$1004,1,MATCH(COLUMNS($V$1006:AB1006),$V$1006:$AE$1006,0)))),"Fix")))</f>
        <v>0</v>
      </c>
      <c r="I673" s="4">
        <f>IF(OR(INDEX($P$2:$P$1001,MATCH(ROWS($O$2:O673),$O$2:$O$1001,0),1)&gt;=100000,INDEX($V$1005:$AE$1005,1,MATCH(COLUMNS($V$1006:AC1006),$V$1006:$AE$1006,0))&gt;=100000), " ",IF(INDEX($V$2:$AE$1001,MATCH(ROWS($O$2:O673),$O$2:$O$1001,0),MATCH(COLUMNS($V$1006:AC1006),$V$1006:$AE$1006,0)), HYPERLINK("#",""), HYPERLINK(CONCATENATE("#Metadata!", ADDRESS(INDEX($Q$2:$Q$1001,MATCH(ROWS($O$2:O673),$O$2:$O$1001,0),0), INDEX($V$1004:$AE$1004,1,MATCH(COLUMNS($V$1006:AC1006),$V$1006:$AE$1006,0)))),"Fix")))</f>
        <v>0</v>
      </c>
      <c r="J673" s="4">
        <f>IF(OR(INDEX($P$2:$P$1001,MATCH(ROWS($O$2:O673),$O$2:$O$1001,0),1)&gt;=100000,INDEX($V$1005:$AE$1005,1,MATCH(COLUMNS($V$1006:AD1006),$V$1006:$AE$1006,0))&gt;=100000), " ",IF(INDEX($V$2:$AE$1001,MATCH(ROWS($O$2:O673),$O$2:$O$1001,0),MATCH(COLUMNS($V$1006:AD1006),$V$1006:$AE$1006,0)), HYPERLINK("#",""), HYPERLINK(CONCATENATE("#Metadata!", ADDRESS(INDEX($Q$2:$Q$1001,MATCH(ROWS($O$2:O673),$O$2:$O$1001,0),0), INDEX($V$1004:$AE$1004,1,MATCH(COLUMNS($V$1006:AD1006),$V$1006:$AE$1006,0)))),"Fix")))</f>
        <v>0</v>
      </c>
      <c r="K673" s="4">
        <f>IF(OR(INDEX($P$2:$P$1001,MATCH(ROWS($O$2:O673),$O$2:$O$1001,0),1)&gt;=100000,INDEX($V$1005:$AE$1005,1,MATCH(COLUMNS($V$1006:AE1006),$V$1006:$AE$1006,0))&gt;=100000), " ",IF(INDEX($V$2:$AE$1001,MATCH(ROWS($O$2:O673),$O$2:$O$1001,0),MATCH(COLUMNS($V$1006:AE1006),$V$1006:$AE$1006,0)), HYPERLINK("#",""), HYPERLINK(CONCATENATE("#Metadata!", ADDRESS(INDEX($Q$2:$Q$1001,MATCH(ROWS($O$2:O673),$O$2:$O$1001,0),0), INDEX($V$1004:$AE$1004,1,MATCH(COLUMNS($V$1006:AE1006),$V$1006:$AE$1006,0)))),"Fix")))</f>
        <v>0</v>
      </c>
      <c r="O673">
        <v>0</v>
      </c>
      <c r="P673">
        <v>0</v>
      </c>
      <c r="Q673">
        <v>0</v>
      </c>
      <c r="R673">
        <f>IF(S673,TRUE,AND(V673:AE673))</f>
        <v>0</v>
      </c>
      <c r="S673">
        <f>COUNTBLANK(Metadata!B673:K673)=COLUMNS(Metadata!B673:K673)</f>
        <v>0</v>
      </c>
      <c r="T673">
        <v>0</v>
      </c>
      <c r="V673">
        <f>AND(IF(Metadata!B673="",FALSE,TRUE),COUNTIF(Metadata!B:B, Metadata!B673) = 1,NOT(ISERROR(SUMPRODUCT(SEARCH(MID(Metadata!B673,ROW(INDIRECT("1:"&amp;LEN(Metadata!B673))), 1),"0123456789abcdefghijklmnopqrstuvwxyzABCDEFGHIJKLMNOPQRSTUVWXYZ.")))))</f>
        <v>0</v>
      </c>
      <c r="W673">
        <f>AND(IF(Metadata!C673="",FALSE,TRUE),exact(Metadata!C673,"urban biome"))</f>
        <v>0</v>
      </c>
      <c r="X673">
        <f>AND(IF(Metadata!D673="",FALSE,TRUE),exact(Metadata!D673,"animal-associated habitat"))</f>
        <v>0</v>
      </c>
      <c r="Y673">
        <f>OR(AND(IF(Metadata!E673="",FALSE,TRUE),OR(exact(Metadata!E673,"not applicable"),exact(Metadata!E673,"missing: not collected"),exact(Metadata!E673,"missing: not provided"),exact(Metadata!E673,"missing: restricted access"))),AND(IF(Metadata!E673="",FALSE,ISNUMBER(VALUE(Metadata!E673))),Metadata!E673&gt;0))</f>
        <v>0</v>
      </c>
      <c r="Z673">
        <f>AND(IF(Metadata!F673="",FALSE,TRUE),exact(Metadata!F673,"weeks"))</f>
        <v>0</v>
      </c>
      <c r="AA673">
        <f>AND(IF(Metadata!G673="",FALSE,TRUE),exact(Metadata!G673,"mouse"))</f>
        <v>0</v>
      </c>
      <c r="AB673">
        <f>AND(IF(Metadata!H673="",FALSE,TRUE),exact(Metadata!H673,"Mus musculus"))</f>
        <v>0</v>
      </c>
      <c r="AC673">
        <f>AND(IF(Metadata!I673="",FALSE,TRUE),exact(Metadata!I673,"10090"))</f>
        <v>0</v>
      </c>
      <c r="AD673">
        <f>OR(AND(IF(Metadata!J673="",FALSE,TRUE),OR(exact(Metadata!J673,"not applicable"),exact(Metadata!J673,"missing: not collected"),exact(Metadata!J673,"missing: not provided"),exact(Metadata!J673,"missing: restricted access"))),AND(IF(Metadata!J673="",FALSE,ISNUMBER(VALUE(Metadata!J673))),Metadata!J673&gt;0))</f>
        <v>0</v>
      </c>
      <c r="AE673">
        <f>AND(IF(Metadata!K673="",FALSE,TRUE),exact(Metadata!K673,"g"))</f>
        <v>0</v>
      </c>
    </row>
    <row r="674" spans="1:31">
      <c r="A674" s="5">
        <f>IF(B674=" "," ",HYPERLINK(CONCATENATE("#metadata!",ADDRESS(INDEX($Q$2:$Q$1001,MATCH(ROWS($O$2:O674),$O$2:$O$1001,0),0),1)),INDEX($T$2:$T$1001,MATCH(ROWS($O$2:O674),$O$2:$O$1001,0),0)))</f>
        <v>0</v>
      </c>
      <c r="B674" s="4">
        <f>IF(OR(INDEX($P$2:$P$1001,MATCH(ROWS($O$2:O674),$O$2:$O$1001,0),1)&gt;=100000,INDEX($V$1005:$AE$1005,1,MATCH(COLUMNS($V$1006:V1006),$V$1006:$AE$1006,0))&gt;=100000), " ",IF(INDEX($V$2:$AE$1001,MATCH(ROWS($O$2:O674),$O$2:$O$1001,0),MATCH(COLUMNS($V$1006:V1006),$V$1006:$AE$1006,0)), HYPERLINK("#",""), HYPERLINK(CONCATENATE("#Metadata!", ADDRESS(INDEX($Q$2:$Q$1001,MATCH(ROWS($O$2:O674),$O$2:$O$1001,0),0), INDEX($V$1004:$AE$1004,1,MATCH(COLUMNS($V$1006:V1006),$V$1006:$AE$1006,0)))),"Fix")))</f>
        <v>0</v>
      </c>
      <c r="C674" s="4">
        <f>IF(OR(INDEX($P$2:$P$1001,MATCH(ROWS($O$2:O674),$O$2:$O$1001,0),1)&gt;=100000,INDEX($V$1005:$AE$1005,1,MATCH(COLUMNS($V$1006:W1006),$V$1006:$AE$1006,0))&gt;=100000), " ",IF(INDEX($V$2:$AE$1001,MATCH(ROWS($O$2:O674),$O$2:$O$1001,0),MATCH(COLUMNS($V$1006:W1006),$V$1006:$AE$1006,0)), HYPERLINK("#",""), HYPERLINK(CONCATENATE("#Metadata!", ADDRESS(INDEX($Q$2:$Q$1001,MATCH(ROWS($O$2:O674),$O$2:$O$1001,0),0), INDEX($V$1004:$AE$1004,1,MATCH(COLUMNS($V$1006:W1006),$V$1006:$AE$1006,0)))),"Fix")))</f>
        <v>0</v>
      </c>
      <c r="D674" s="4">
        <f>IF(OR(INDEX($P$2:$P$1001,MATCH(ROWS($O$2:O674),$O$2:$O$1001,0),1)&gt;=100000,INDEX($V$1005:$AE$1005,1,MATCH(COLUMNS($V$1006:X1006),$V$1006:$AE$1006,0))&gt;=100000), " ",IF(INDEX($V$2:$AE$1001,MATCH(ROWS($O$2:O674),$O$2:$O$1001,0),MATCH(COLUMNS($V$1006:X1006),$V$1006:$AE$1006,0)), HYPERLINK("#",""), HYPERLINK(CONCATENATE("#Metadata!", ADDRESS(INDEX($Q$2:$Q$1001,MATCH(ROWS($O$2:O674),$O$2:$O$1001,0),0), INDEX($V$1004:$AE$1004,1,MATCH(COLUMNS($V$1006:X1006),$V$1006:$AE$1006,0)))),"Fix")))</f>
        <v>0</v>
      </c>
      <c r="E674" s="4">
        <f>IF(OR(INDEX($P$2:$P$1001,MATCH(ROWS($O$2:O674),$O$2:$O$1001,0),1)&gt;=100000,INDEX($V$1005:$AE$1005,1,MATCH(COLUMNS($V$1006:Y1006),$V$1006:$AE$1006,0))&gt;=100000), " ",IF(INDEX($V$2:$AE$1001,MATCH(ROWS($O$2:O674),$O$2:$O$1001,0),MATCH(COLUMNS($V$1006:Y1006),$V$1006:$AE$1006,0)), HYPERLINK("#",""), HYPERLINK(CONCATENATE("#Metadata!", ADDRESS(INDEX($Q$2:$Q$1001,MATCH(ROWS($O$2:O674),$O$2:$O$1001,0),0), INDEX($V$1004:$AE$1004,1,MATCH(COLUMNS($V$1006:Y1006),$V$1006:$AE$1006,0)))),"Fix")))</f>
        <v>0</v>
      </c>
      <c r="F674" s="4">
        <f>IF(OR(INDEX($P$2:$P$1001,MATCH(ROWS($O$2:O674),$O$2:$O$1001,0),1)&gt;=100000,INDEX($V$1005:$AE$1005,1,MATCH(COLUMNS($V$1006:Z1006),$V$1006:$AE$1006,0))&gt;=100000), " ",IF(INDEX($V$2:$AE$1001,MATCH(ROWS($O$2:O674),$O$2:$O$1001,0),MATCH(COLUMNS($V$1006:Z1006),$V$1006:$AE$1006,0)), HYPERLINK("#",""), HYPERLINK(CONCATENATE("#Metadata!", ADDRESS(INDEX($Q$2:$Q$1001,MATCH(ROWS($O$2:O674),$O$2:$O$1001,0),0), INDEX($V$1004:$AE$1004,1,MATCH(COLUMNS($V$1006:Z1006),$V$1006:$AE$1006,0)))),"Fix")))</f>
        <v>0</v>
      </c>
      <c r="G674" s="4">
        <f>IF(OR(INDEX($P$2:$P$1001,MATCH(ROWS($O$2:O674),$O$2:$O$1001,0),1)&gt;=100000,INDEX($V$1005:$AE$1005,1,MATCH(COLUMNS($V$1006:AA1006),$V$1006:$AE$1006,0))&gt;=100000), " ",IF(INDEX($V$2:$AE$1001,MATCH(ROWS($O$2:O674),$O$2:$O$1001,0),MATCH(COLUMNS($V$1006:AA1006),$V$1006:$AE$1006,0)), HYPERLINK("#",""), HYPERLINK(CONCATENATE("#Metadata!", ADDRESS(INDEX($Q$2:$Q$1001,MATCH(ROWS($O$2:O674),$O$2:$O$1001,0),0), INDEX($V$1004:$AE$1004,1,MATCH(COLUMNS($V$1006:AA1006),$V$1006:$AE$1006,0)))),"Fix")))</f>
        <v>0</v>
      </c>
      <c r="H674" s="4">
        <f>IF(OR(INDEX($P$2:$P$1001,MATCH(ROWS($O$2:O674),$O$2:$O$1001,0),1)&gt;=100000,INDEX($V$1005:$AE$1005,1,MATCH(COLUMNS($V$1006:AB1006),$V$1006:$AE$1006,0))&gt;=100000), " ",IF(INDEX($V$2:$AE$1001,MATCH(ROWS($O$2:O674),$O$2:$O$1001,0),MATCH(COLUMNS($V$1006:AB1006),$V$1006:$AE$1006,0)), HYPERLINK("#",""), HYPERLINK(CONCATENATE("#Metadata!", ADDRESS(INDEX($Q$2:$Q$1001,MATCH(ROWS($O$2:O674),$O$2:$O$1001,0),0), INDEX($V$1004:$AE$1004,1,MATCH(COLUMNS($V$1006:AB1006),$V$1006:$AE$1006,0)))),"Fix")))</f>
        <v>0</v>
      </c>
      <c r="I674" s="4">
        <f>IF(OR(INDEX($P$2:$P$1001,MATCH(ROWS($O$2:O674),$O$2:$O$1001,0),1)&gt;=100000,INDEX($V$1005:$AE$1005,1,MATCH(COLUMNS($V$1006:AC1006),$V$1006:$AE$1006,0))&gt;=100000), " ",IF(INDEX($V$2:$AE$1001,MATCH(ROWS($O$2:O674),$O$2:$O$1001,0),MATCH(COLUMNS($V$1006:AC1006),$V$1006:$AE$1006,0)), HYPERLINK("#",""), HYPERLINK(CONCATENATE("#Metadata!", ADDRESS(INDEX($Q$2:$Q$1001,MATCH(ROWS($O$2:O674),$O$2:$O$1001,0),0), INDEX($V$1004:$AE$1004,1,MATCH(COLUMNS($V$1006:AC1006),$V$1006:$AE$1006,0)))),"Fix")))</f>
        <v>0</v>
      </c>
      <c r="J674" s="4">
        <f>IF(OR(INDEX($P$2:$P$1001,MATCH(ROWS($O$2:O674),$O$2:$O$1001,0),1)&gt;=100000,INDEX($V$1005:$AE$1005,1,MATCH(COLUMNS($V$1006:AD1006),$V$1006:$AE$1006,0))&gt;=100000), " ",IF(INDEX($V$2:$AE$1001,MATCH(ROWS($O$2:O674),$O$2:$O$1001,0),MATCH(COLUMNS($V$1006:AD1006),$V$1006:$AE$1006,0)), HYPERLINK("#",""), HYPERLINK(CONCATENATE("#Metadata!", ADDRESS(INDEX($Q$2:$Q$1001,MATCH(ROWS($O$2:O674),$O$2:$O$1001,0),0), INDEX($V$1004:$AE$1004,1,MATCH(COLUMNS($V$1006:AD1006),$V$1006:$AE$1006,0)))),"Fix")))</f>
        <v>0</v>
      </c>
      <c r="K674" s="4">
        <f>IF(OR(INDEX($P$2:$P$1001,MATCH(ROWS($O$2:O674),$O$2:$O$1001,0),1)&gt;=100000,INDEX($V$1005:$AE$1005,1,MATCH(COLUMNS($V$1006:AE1006),$V$1006:$AE$1006,0))&gt;=100000), " ",IF(INDEX($V$2:$AE$1001,MATCH(ROWS($O$2:O674),$O$2:$O$1001,0),MATCH(COLUMNS($V$1006:AE1006),$V$1006:$AE$1006,0)), HYPERLINK("#",""), HYPERLINK(CONCATENATE("#Metadata!", ADDRESS(INDEX($Q$2:$Q$1001,MATCH(ROWS($O$2:O674),$O$2:$O$1001,0),0), INDEX($V$1004:$AE$1004,1,MATCH(COLUMNS($V$1006:AE1006),$V$1006:$AE$1006,0)))),"Fix")))</f>
        <v>0</v>
      </c>
      <c r="O674">
        <v>0</v>
      </c>
      <c r="P674">
        <v>0</v>
      </c>
      <c r="Q674">
        <v>0</v>
      </c>
      <c r="R674">
        <f>IF(S674,TRUE,AND(V674:AE674))</f>
        <v>0</v>
      </c>
      <c r="S674">
        <f>COUNTBLANK(Metadata!B674:K674)=COLUMNS(Metadata!B674:K674)</f>
        <v>0</v>
      </c>
      <c r="T674">
        <v>0</v>
      </c>
      <c r="V674">
        <f>AND(IF(Metadata!B674="",FALSE,TRUE),COUNTIF(Metadata!B:B, Metadata!B674) = 1,NOT(ISERROR(SUMPRODUCT(SEARCH(MID(Metadata!B674,ROW(INDIRECT("1:"&amp;LEN(Metadata!B674))), 1),"0123456789abcdefghijklmnopqrstuvwxyzABCDEFGHIJKLMNOPQRSTUVWXYZ.")))))</f>
        <v>0</v>
      </c>
      <c r="W674">
        <f>AND(IF(Metadata!C674="",FALSE,TRUE),exact(Metadata!C674,"urban biome"))</f>
        <v>0</v>
      </c>
      <c r="X674">
        <f>AND(IF(Metadata!D674="",FALSE,TRUE),exact(Metadata!D674,"animal-associated habitat"))</f>
        <v>0</v>
      </c>
      <c r="Y674">
        <f>OR(AND(IF(Metadata!E674="",FALSE,TRUE),OR(exact(Metadata!E674,"not applicable"),exact(Metadata!E674,"missing: not collected"),exact(Metadata!E674,"missing: not provided"),exact(Metadata!E674,"missing: restricted access"))),AND(IF(Metadata!E674="",FALSE,ISNUMBER(VALUE(Metadata!E674))),Metadata!E674&gt;0))</f>
        <v>0</v>
      </c>
      <c r="Z674">
        <f>AND(IF(Metadata!F674="",FALSE,TRUE),exact(Metadata!F674,"weeks"))</f>
        <v>0</v>
      </c>
      <c r="AA674">
        <f>AND(IF(Metadata!G674="",FALSE,TRUE),exact(Metadata!G674,"mouse"))</f>
        <v>0</v>
      </c>
      <c r="AB674">
        <f>AND(IF(Metadata!H674="",FALSE,TRUE),exact(Metadata!H674,"Mus musculus"))</f>
        <v>0</v>
      </c>
      <c r="AC674">
        <f>AND(IF(Metadata!I674="",FALSE,TRUE),exact(Metadata!I674,"10090"))</f>
        <v>0</v>
      </c>
      <c r="AD674">
        <f>OR(AND(IF(Metadata!J674="",FALSE,TRUE),OR(exact(Metadata!J674,"not applicable"),exact(Metadata!J674,"missing: not collected"),exact(Metadata!J674,"missing: not provided"),exact(Metadata!J674,"missing: restricted access"))),AND(IF(Metadata!J674="",FALSE,ISNUMBER(VALUE(Metadata!J674))),Metadata!J674&gt;0))</f>
        <v>0</v>
      </c>
      <c r="AE674">
        <f>AND(IF(Metadata!K674="",FALSE,TRUE),exact(Metadata!K674,"g"))</f>
        <v>0</v>
      </c>
    </row>
    <row r="675" spans="1:31">
      <c r="A675" s="5">
        <f>IF(B675=" "," ",HYPERLINK(CONCATENATE("#metadata!",ADDRESS(INDEX($Q$2:$Q$1001,MATCH(ROWS($O$2:O675),$O$2:$O$1001,0),0),1)),INDEX($T$2:$T$1001,MATCH(ROWS($O$2:O675),$O$2:$O$1001,0),0)))</f>
        <v>0</v>
      </c>
      <c r="B675" s="4">
        <f>IF(OR(INDEX($P$2:$P$1001,MATCH(ROWS($O$2:O675),$O$2:$O$1001,0),1)&gt;=100000,INDEX($V$1005:$AE$1005,1,MATCH(COLUMNS($V$1006:V1006),$V$1006:$AE$1006,0))&gt;=100000), " ",IF(INDEX($V$2:$AE$1001,MATCH(ROWS($O$2:O675),$O$2:$O$1001,0),MATCH(COLUMNS($V$1006:V1006),$V$1006:$AE$1006,0)), HYPERLINK("#",""), HYPERLINK(CONCATENATE("#Metadata!", ADDRESS(INDEX($Q$2:$Q$1001,MATCH(ROWS($O$2:O675),$O$2:$O$1001,0),0), INDEX($V$1004:$AE$1004,1,MATCH(COLUMNS($V$1006:V1006),$V$1006:$AE$1006,0)))),"Fix")))</f>
        <v>0</v>
      </c>
      <c r="C675" s="4">
        <f>IF(OR(INDEX($P$2:$P$1001,MATCH(ROWS($O$2:O675),$O$2:$O$1001,0),1)&gt;=100000,INDEX($V$1005:$AE$1005,1,MATCH(COLUMNS($V$1006:W1006),$V$1006:$AE$1006,0))&gt;=100000), " ",IF(INDEX($V$2:$AE$1001,MATCH(ROWS($O$2:O675),$O$2:$O$1001,0),MATCH(COLUMNS($V$1006:W1006),$V$1006:$AE$1006,0)), HYPERLINK("#",""), HYPERLINK(CONCATENATE("#Metadata!", ADDRESS(INDEX($Q$2:$Q$1001,MATCH(ROWS($O$2:O675),$O$2:$O$1001,0),0), INDEX($V$1004:$AE$1004,1,MATCH(COLUMNS($V$1006:W1006),$V$1006:$AE$1006,0)))),"Fix")))</f>
        <v>0</v>
      </c>
      <c r="D675" s="4">
        <f>IF(OR(INDEX($P$2:$P$1001,MATCH(ROWS($O$2:O675),$O$2:$O$1001,0),1)&gt;=100000,INDEX($V$1005:$AE$1005,1,MATCH(COLUMNS($V$1006:X1006),$V$1006:$AE$1006,0))&gt;=100000), " ",IF(INDEX($V$2:$AE$1001,MATCH(ROWS($O$2:O675),$O$2:$O$1001,0),MATCH(COLUMNS($V$1006:X1006),$V$1006:$AE$1006,0)), HYPERLINK("#",""), HYPERLINK(CONCATENATE("#Metadata!", ADDRESS(INDEX($Q$2:$Q$1001,MATCH(ROWS($O$2:O675),$O$2:$O$1001,0),0), INDEX($V$1004:$AE$1004,1,MATCH(COLUMNS($V$1006:X1006),$V$1006:$AE$1006,0)))),"Fix")))</f>
        <v>0</v>
      </c>
      <c r="E675" s="4">
        <f>IF(OR(INDEX($P$2:$P$1001,MATCH(ROWS($O$2:O675),$O$2:$O$1001,0),1)&gt;=100000,INDEX($V$1005:$AE$1005,1,MATCH(COLUMNS($V$1006:Y1006),$V$1006:$AE$1006,0))&gt;=100000), " ",IF(INDEX($V$2:$AE$1001,MATCH(ROWS($O$2:O675),$O$2:$O$1001,0),MATCH(COLUMNS($V$1006:Y1006),$V$1006:$AE$1006,0)), HYPERLINK("#",""), HYPERLINK(CONCATENATE("#Metadata!", ADDRESS(INDEX($Q$2:$Q$1001,MATCH(ROWS($O$2:O675),$O$2:$O$1001,0),0), INDEX($V$1004:$AE$1004,1,MATCH(COLUMNS($V$1006:Y1006),$V$1006:$AE$1006,0)))),"Fix")))</f>
        <v>0</v>
      </c>
      <c r="F675" s="4">
        <f>IF(OR(INDEX($P$2:$P$1001,MATCH(ROWS($O$2:O675),$O$2:$O$1001,0),1)&gt;=100000,INDEX($V$1005:$AE$1005,1,MATCH(COLUMNS($V$1006:Z1006),$V$1006:$AE$1006,0))&gt;=100000), " ",IF(INDEX($V$2:$AE$1001,MATCH(ROWS($O$2:O675),$O$2:$O$1001,0),MATCH(COLUMNS($V$1006:Z1006),$V$1006:$AE$1006,0)), HYPERLINK("#",""), HYPERLINK(CONCATENATE("#Metadata!", ADDRESS(INDEX($Q$2:$Q$1001,MATCH(ROWS($O$2:O675),$O$2:$O$1001,0),0), INDEX($V$1004:$AE$1004,1,MATCH(COLUMNS($V$1006:Z1006),$V$1006:$AE$1006,0)))),"Fix")))</f>
        <v>0</v>
      </c>
      <c r="G675" s="4">
        <f>IF(OR(INDEX($P$2:$P$1001,MATCH(ROWS($O$2:O675),$O$2:$O$1001,0),1)&gt;=100000,INDEX($V$1005:$AE$1005,1,MATCH(COLUMNS($V$1006:AA1006),$V$1006:$AE$1006,0))&gt;=100000), " ",IF(INDEX($V$2:$AE$1001,MATCH(ROWS($O$2:O675),$O$2:$O$1001,0),MATCH(COLUMNS($V$1006:AA1006),$V$1006:$AE$1006,0)), HYPERLINK("#",""), HYPERLINK(CONCATENATE("#Metadata!", ADDRESS(INDEX($Q$2:$Q$1001,MATCH(ROWS($O$2:O675),$O$2:$O$1001,0),0), INDEX($V$1004:$AE$1004,1,MATCH(COLUMNS($V$1006:AA1006),$V$1006:$AE$1006,0)))),"Fix")))</f>
        <v>0</v>
      </c>
      <c r="H675" s="4">
        <f>IF(OR(INDEX($P$2:$P$1001,MATCH(ROWS($O$2:O675),$O$2:$O$1001,0),1)&gt;=100000,INDEX($V$1005:$AE$1005,1,MATCH(COLUMNS($V$1006:AB1006),$V$1006:$AE$1006,0))&gt;=100000), " ",IF(INDEX($V$2:$AE$1001,MATCH(ROWS($O$2:O675),$O$2:$O$1001,0),MATCH(COLUMNS($V$1006:AB1006),$V$1006:$AE$1006,0)), HYPERLINK("#",""), HYPERLINK(CONCATENATE("#Metadata!", ADDRESS(INDEX($Q$2:$Q$1001,MATCH(ROWS($O$2:O675),$O$2:$O$1001,0),0), INDEX($V$1004:$AE$1004,1,MATCH(COLUMNS($V$1006:AB1006),$V$1006:$AE$1006,0)))),"Fix")))</f>
        <v>0</v>
      </c>
      <c r="I675" s="4">
        <f>IF(OR(INDEX($P$2:$P$1001,MATCH(ROWS($O$2:O675),$O$2:$O$1001,0),1)&gt;=100000,INDEX($V$1005:$AE$1005,1,MATCH(COLUMNS($V$1006:AC1006),$V$1006:$AE$1006,0))&gt;=100000), " ",IF(INDEX($V$2:$AE$1001,MATCH(ROWS($O$2:O675),$O$2:$O$1001,0),MATCH(COLUMNS($V$1006:AC1006),$V$1006:$AE$1006,0)), HYPERLINK("#",""), HYPERLINK(CONCATENATE("#Metadata!", ADDRESS(INDEX($Q$2:$Q$1001,MATCH(ROWS($O$2:O675),$O$2:$O$1001,0),0), INDEX($V$1004:$AE$1004,1,MATCH(COLUMNS($V$1006:AC1006),$V$1006:$AE$1006,0)))),"Fix")))</f>
        <v>0</v>
      </c>
      <c r="J675" s="4">
        <f>IF(OR(INDEX($P$2:$P$1001,MATCH(ROWS($O$2:O675),$O$2:$O$1001,0),1)&gt;=100000,INDEX($V$1005:$AE$1005,1,MATCH(COLUMNS($V$1006:AD1006),$V$1006:$AE$1006,0))&gt;=100000), " ",IF(INDEX($V$2:$AE$1001,MATCH(ROWS($O$2:O675),$O$2:$O$1001,0),MATCH(COLUMNS($V$1006:AD1006),$V$1006:$AE$1006,0)), HYPERLINK("#",""), HYPERLINK(CONCATENATE("#Metadata!", ADDRESS(INDEX($Q$2:$Q$1001,MATCH(ROWS($O$2:O675),$O$2:$O$1001,0),0), INDEX($V$1004:$AE$1004,1,MATCH(COLUMNS($V$1006:AD1006),$V$1006:$AE$1006,0)))),"Fix")))</f>
        <v>0</v>
      </c>
      <c r="K675" s="4">
        <f>IF(OR(INDEX($P$2:$P$1001,MATCH(ROWS($O$2:O675),$O$2:$O$1001,0),1)&gt;=100000,INDEX($V$1005:$AE$1005,1,MATCH(COLUMNS($V$1006:AE1006),$V$1006:$AE$1006,0))&gt;=100000), " ",IF(INDEX($V$2:$AE$1001,MATCH(ROWS($O$2:O675),$O$2:$O$1001,0),MATCH(COLUMNS($V$1006:AE1006),$V$1006:$AE$1006,0)), HYPERLINK("#",""), HYPERLINK(CONCATENATE("#Metadata!", ADDRESS(INDEX($Q$2:$Q$1001,MATCH(ROWS($O$2:O675),$O$2:$O$1001,0),0), INDEX($V$1004:$AE$1004,1,MATCH(COLUMNS($V$1006:AE1006),$V$1006:$AE$1006,0)))),"Fix")))</f>
        <v>0</v>
      </c>
      <c r="O675">
        <v>0</v>
      </c>
      <c r="P675">
        <v>0</v>
      </c>
      <c r="Q675">
        <v>0</v>
      </c>
      <c r="R675">
        <f>IF(S675,TRUE,AND(V675:AE675))</f>
        <v>0</v>
      </c>
      <c r="S675">
        <f>COUNTBLANK(Metadata!B675:K675)=COLUMNS(Metadata!B675:K675)</f>
        <v>0</v>
      </c>
      <c r="T675">
        <v>0</v>
      </c>
      <c r="V675">
        <f>AND(IF(Metadata!B675="",FALSE,TRUE),COUNTIF(Metadata!B:B, Metadata!B675) = 1,NOT(ISERROR(SUMPRODUCT(SEARCH(MID(Metadata!B675,ROW(INDIRECT("1:"&amp;LEN(Metadata!B675))), 1),"0123456789abcdefghijklmnopqrstuvwxyzABCDEFGHIJKLMNOPQRSTUVWXYZ.")))))</f>
        <v>0</v>
      </c>
      <c r="W675">
        <f>AND(IF(Metadata!C675="",FALSE,TRUE),exact(Metadata!C675,"urban biome"))</f>
        <v>0</v>
      </c>
      <c r="X675">
        <f>AND(IF(Metadata!D675="",FALSE,TRUE),exact(Metadata!D675,"animal-associated habitat"))</f>
        <v>0</v>
      </c>
      <c r="Y675">
        <f>OR(AND(IF(Metadata!E675="",FALSE,TRUE),OR(exact(Metadata!E675,"not applicable"),exact(Metadata!E675,"missing: not collected"),exact(Metadata!E675,"missing: not provided"),exact(Metadata!E675,"missing: restricted access"))),AND(IF(Metadata!E675="",FALSE,ISNUMBER(VALUE(Metadata!E675))),Metadata!E675&gt;0))</f>
        <v>0</v>
      </c>
      <c r="Z675">
        <f>AND(IF(Metadata!F675="",FALSE,TRUE),exact(Metadata!F675,"weeks"))</f>
        <v>0</v>
      </c>
      <c r="AA675">
        <f>AND(IF(Metadata!G675="",FALSE,TRUE),exact(Metadata!G675,"mouse"))</f>
        <v>0</v>
      </c>
      <c r="AB675">
        <f>AND(IF(Metadata!H675="",FALSE,TRUE),exact(Metadata!H675,"Mus musculus"))</f>
        <v>0</v>
      </c>
      <c r="AC675">
        <f>AND(IF(Metadata!I675="",FALSE,TRUE),exact(Metadata!I675,"10090"))</f>
        <v>0</v>
      </c>
      <c r="AD675">
        <f>OR(AND(IF(Metadata!J675="",FALSE,TRUE),OR(exact(Metadata!J675,"not applicable"),exact(Metadata!J675,"missing: not collected"),exact(Metadata!J675,"missing: not provided"),exact(Metadata!J675,"missing: restricted access"))),AND(IF(Metadata!J675="",FALSE,ISNUMBER(VALUE(Metadata!J675))),Metadata!J675&gt;0))</f>
        <v>0</v>
      </c>
      <c r="AE675">
        <f>AND(IF(Metadata!K675="",FALSE,TRUE),exact(Metadata!K675,"g"))</f>
        <v>0</v>
      </c>
    </row>
    <row r="676" spans="1:31">
      <c r="A676" s="5">
        <f>IF(B676=" "," ",HYPERLINK(CONCATENATE("#metadata!",ADDRESS(INDEX($Q$2:$Q$1001,MATCH(ROWS($O$2:O676),$O$2:$O$1001,0),0),1)),INDEX($T$2:$T$1001,MATCH(ROWS($O$2:O676),$O$2:$O$1001,0),0)))</f>
        <v>0</v>
      </c>
      <c r="B676" s="4">
        <f>IF(OR(INDEX($P$2:$P$1001,MATCH(ROWS($O$2:O676),$O$2:$O$1001,0),1)&gt;=100000,INDEX($V$1005:$AE$1005,1,MATCH(COLUMNS($V$1006:V1006),$V$1006:$AE$1006,0))&gt;=100000), " ",IF(INDEX($V$2:$AE$1001,MATCH(ROWS($O$2:O676),$O$2:$O$1001,0),MATCH(COLUMNS($V$1006:V1006),$V$1006:$AE$1006,0)), HYPERLINK("#",""), HYPERLINK(CONCATENATE("#Metadata!", ADDRESS(INDEX($Q$2:$Q$1001,MATCH(ROWS($O$2:O676),$O$2:$O$1001,0),0), INDEX($V$1004:$AE$1004,1,MATCH(COLUMNS($V$1006:V1006),$V$1006:$AE$1006,0)))),"Fix")))</f>
        <v>0</v>
      </c>
      <c r="C676" s="4">
        <f>IF(OR(INDEX($P$2:$P$1001,MATCH(ROWS($O$2:O676),$O$2:$O$1001,0),1)&gt;=100000,INDEX($V$1005:$AE$1005,1,MATCH(COLUMNS($V$1006:W1006),$V$1006:$AE$1006,0))&gt;=100000), " ",IF(INDEX($V$2:$AE$1001,MATCH(ROWS($O$2:O676),$O$2:$O$1001,0),MATCH(COLUMNS($V$1006:W1006),$V$1006:$AE$1006,0)), HYPERLINK("#",""), HYPERLINK(CONCATENATE("#Metadata!", ADDRESS(INDEX($Q$2:$Q$1001,MATCH(ROWS($O$2:O676),$O$2:$O$1001,0),0), INDEX($V$1004:$AE$1004,1,MATCH(COLUMNS($V$1006:W1006),$V$1006:$AE$1006,0)))),"Fix")))</f>
        <v>0</v>
      </c>
      <c r="D676" s="4">
        <f>IF(OR(INDEX($P$2:$P$1001,MATCH(ROWS($O$2:O676),$O$2:$O$1001,0),1)&gt;=100000,INDEX($V$1005:$AE$1005,1,MATCH(COLUMNS($V$1006:X1006),$V$1006:$AE$1006,0))&gt;=100000), " ",IF(INDEX($V$2:$AE$1001,MATCH(ROWS($O$2:O676),$O$2:$O$1001,0),MATCH(COLUMNS($V$1006:X1006),$V$1006:$AE$1006,0)), HYPERLINK("#",""), HYPERLINK(CONCATENATE("#Metadata!", ADDRESS(INDEX($Q$2:$Q$1001,MATCH(ROWS($O$2:O676),$O$2:$O$1001,0),0), INDEX($V$1004:$AE$1004,1,MATCH(COLUMNS($V$1006:X1006),$V$1006:$AE$1006,0)))),"Fix")))</f>
        <v>0</v>
      </c>
      <c r="E676" s="4">
        <f>IF(OR(INDEX($P$2:$P$1001,MATCH(ROWS($O$2:O676),$O$2:$O$1001,0),1)&gt;=100000,INDEX($V$1005:$AE$1005,1,MATCH(COLUMNS($V$1006:Y1006),$V$1006:$AE$1006,0))&gt;=100000), " ",IF(INDEX($V$2:$AE$1001,MATCH(ROWS($O$2:O676),$O$2:$O$1001,0),MATCH(COLUMNS($V$1006:Y1006),$V$1006:$AE$1006,0)), HYPERLINK("#",""), HYPERLINK(CONCATENATE("#Metadata!", ADDRESS(INDEX($Q$2:$Q$1001,MATCH(ROWS($O$2:O676),$O$2:$O$1001,0),0), INDEX($V$1004:$AE$1004,1,MATCH(COLUMNS($V$1006:Y1006),$V$1006:$AE$1006,0)))),"Fix")))</f>
        <v>0</v>
      </c>
      <c r="F676" s="4">
        <f>IF(OR(INDEX($P$2:$P$1001,MATCH(ROWS($O$2:O676),$O$2:$O$1001,0),1)&gt;=100000,INDEX($V$1005:$AE$1005,1,MATCH(COLUMNS($V$1006:Z1006),$V$1006:$AE$1006,0))&gt;=100000), " ",IF(INDEX($V$2:$AE$1001,MATCH(ROWS($O$2:O676),$O$2:$O$1001,0),MATCH(COLUMNS($V$1006:Z1006),$V$1006:$AE$1006,0)), HYPERLINK("#",""), HYPERLINK(CONCATENATE("#Metadata!", ADDRESS(INDEX($Q$2:$Q$1001,MATCH(ROWS($O$2:O676),$O$2:$O$1001,0),0), INDEX($V$1004:$AE$1004,1,MATCH(COLUMNS($V$1006:Z1006),$V$1006:$AE$1006,0)))),"Fix")))</f>
        <v>0</v>
      </c>
      <c r="G676" s="4">
        <f>IF(OR(INDEX($P$2:$P$1001,MATCH(ROWS($O$2:O676),$O$2:$O$1001,0),1)&gt;=100000,INDEX($V$1005:$AE$1005,1,MATCH(COLUMNS($V$1006:AA1006),$V$1006:$AE$1006,0))&gt;=100000), " ",IF(INDEX($V$2:$AE$1001,MATCH(ROWS($O$2:O676),$O$2:$O$1001,0),MATCH(COLUMNS($V$1006:AA1006),$V$1006:$AE$1006,0)), HYPERLINK("#",""), HYPERLINK(CONCATENATE("#Metadata!", ADDRESS(INDEX($Q$2:$Q$1001,MATCH(ROWS($O$2:O676),$O$2:$O$1001,0),0), INDEX($V$1004:$AE$1004,1,MATCH(COLUMNS($V$1006:AA1006),$V$1006:$AE$1006,0)))),"Fix")))</f>
        <v>0</v>
      </c>
      <c r="H676" s="4">
        <f>IF(OR(INDEX($P$2:$P$1001,MATCH(ROWS($O$2:O676),$O$2:$O$1001,0),1)&gt;=100000,INDEX($V$1005:$AE$1005,1,MATCH(COLUMNS($V$1006:AB1006),$V$1006:$AE$1006,0))&gt;=100000), " ",IF(INDEX($V$2:$AE$1001,MATCH(ROWS($O$2:O676),$O$2:$O$1001,0),MATCH(COLUMNS($V$1006:AB1006),$V$1006:$AE$1006,0)), HYPERLINK("#",""), HYPERLINK(CONCATENATE("#Metadata!", ADDRESS(INDEX($Q$2:$Q$1001,MATCH(ROWS($O$2:O676),$O$2:$O$1001,0),0), INDEX($V$1004:$AE$1004,1,MATCH(COLUMNS($V$1006:AB1006),$V$1006:$AE$1006,0)))),"Fix")))</f>
        <v>0</v>
      </c>
      <c r="I676" s="4">
        <f>IF(OR(INDEX($P$2:$P$1001,MATCH(ROWS($O$2:O676),$O$2:$O$1001,0),1)&gt;=100000,INDEX($V$1005:$AE$1005,1,MATCH(COLUMNS($V$1006:AC1006),$V$1006:$AE$1006,0))&gt;=100000), " ",IF(INDEX($V$2:$AE$1001,MATCH(ROWS($O$2:O676),$O$2:$O$1001,0),MATCH(COLUMNS($V$1006:AC1006),$V$1006:$AE$1006,0)), HYPERLINK("#",""), HYPERLINK(CONCATENATE("#Metadata!", ADDRESS(INDEX($Q$2:$Q$1001,MATCH(ROWS($O$2:O676),$O$2:$O$1001,0),0), INDEX($V$1004:$AE$1004,1,MATCH(COLUMNS($V$1006:AC1006),$V$1006:$AE$1006,0)))),"Fix")))</f>
        <v>0</v>
      </c>
      <c r="J676" s="4">
        <f>IF(OR(INDEX($P$2:$P$1001,MATCH(ROWS($O$2:O676),$O$2:$O$1001,0),1)&gt;=100000,INDEX($V$1005:$AE$1005,1,MATCH(COLUMNS($V$1006:AD1006),$V$1006:$AE$1006,0))&gt;=100000), " ",IF(INDEX($V$2:$AE$1001,MATCH(ROWS($O$2:O676),$O$2:$O$1001,0),MATCH(COLUMNS($V$1006:AD1006),$V$1006:$AE$1006,0)), HYPERLINK("#",""), HYPERLINK(CONCATENATE("#Metadata!", ADDRESS(INDEX($Q$2:$Q$1001,MATCH(ROWS($O$2:O676),$O$2:$O$1001,0),0), INDEX($V$1004:$AE$1004,1,MATCH(COLUMNS($V$1006:AD1006),$V$1006:$AE$1006,0)))),"Fix")))</f>
        <v>0</v>
      </c>
      <c r="K676" s="4">
        <f>IF(OR(INDEX($P$2:$P$1001,MATCH(ROWS($O$2:O676),$O$2:$O$1001,0),1)&gt;=100000,INDEX($V$1005:$AE$1005,1,MATCH(COLUMNS($V$1006:AE1006),$V$1006:$AE$1006,0))&gt;=100000), " ",IF(INDEX($V$2:$AE$1001,MATCH(ROWS($O$2:O676),$O$2:$O$1001,0),MATCH(COLUMNS($V$1006:AE1006),$V$1006:$AE$1006,0)), HYPERLINK("#",""), HYPERLINK(CONCATENATE("#Metadata!", ADDRESS(INDEX($Q$2:$Q$1001,MATCH(ROWS($O$2:O676),$O$2:$O$1001,0),0), INDEX($V$1004:$AE$1004,1,MATCH(COLUMNS($V$1006:AE1006),$V$1006:$AE$1006,0)))),"Fix")))</f>
        <v>0</v>
      </c>
      <c r="O676">
        <v>0</v>
      </c>
      <c r="P676">
        <v>0</v>
      </c>
      <c r="Q676">
        <v>0</v>
      </c>
      <c r="R676">
        <f>IF(S676,TRUE,AND(V676:AE676))</f>
        <v>0</v>
      </c>
      <c r="S676">
        <f>COUNTBLANK(Metadata!B676:K676)=COLUMNS(Metadata!B676:K676)</f>
        <v>0</v>
      </c>
      <c r="T676">
        <v>0</v>
      </c>
      <c r="V676">
        <f>AND(IF(Metadata!B676="",FALSE,TRUE),COUNTIF(Metadata!B:B, Metadata!B676) = 1,NOT(ISERROR(SUMPRODUCT(SEARCH(MID(Metadata!B676,ROW(INDIRECT("1:"&amp;LEN(Metadata!B676))), 1),"0123456789abcdefghijklmnopqrstuvwxyzABCDEFGHIJKLMNOPQRSTUVWXYZ.")))))</f>
        <v>0</v>
      </c>
      <c r="W676">
        <f>AND(IF(Metadata!C676="",FALSE,TRUE),exact(Metadata!C676,"urban biome"))</f>
        <v>0</v>
      </c>
      <c r="X676">
        <f>AND(IF(Metadata!D676="",FALSE,TRUE),exact(Metadata!D676,"animal-associated habitat"))</f>
        <v>0</v>
      </c>
      <c r="Y676">
        <f>OR(AND(IF(Metadata!E676="",FALSE,TRUE),OR(exact(Metadata!E676,"not applicable"),exact(Metadata!E676,"missing: not collected"),exact(Metadata!E676,"missing: not provided"),exact(Metadata!E676,"missing: restricted access"))),AND(IF(Metadata!E676="",FALSE,ISNUMBER(VALUE(Metadata!E676))),Metadata!E676&gt;0))</f>
        <v>0</v>
      </c>
      <c r="Z676">
        <f>AND(IF(Metadata!F676="",FALSE,TRUE),exact(Metadata!F676,"weeks"))</f>
        <v>0</v>
      </c>
      <c r="AA676">
        <f>AND(IF(Metadata!G676="",FALSE,TRUE),exact(Metadata!G676,"mouse"))</f>
        <v>0</v>
      </c>
      <c r="AB676">
        <f>AND(IF(Metadata!H676="",FALSE,TRUE),exact(Metadata!H676,"Mus musculus"))</f>
        <v>0</v>
      </c>
      <c r="AC676">
        <f>AND(IF(Metadata!I676="",FALSE,TRUE),exact(Metadata!I676,"10090"))</f>
        <v>0</v>
      </c>
      <c r="AD676">
        <f>OR(AND(IF(Metadata!J676="",FALSE,TRUE),OR(exact(Metadata!J676,"not applicable"),exact(Metadata!J676,"missing: not collected"),exact(Metadata!J676,"missing: not provided"),exact(Metadata!J676,"missing: restricted access"))),AND(IF(Metadata!J676="",FALSE,ISNUMBER(VALUE(Metadata!J676))),Metadata!J676&gt;0))</f>
        <v>0</v>
      </c>
      <c r="AE676">
        <f>AND(IF(Metadata!K676="",FALSE,TRUE),exact(Metadata!K676,"g"))</f>
        <v>0</v>
      </c>
    </row>
    <row r="677" spans="1:31">
      <c r="A677" s="5">
        <f>IF(B677=" "," ",HYPERLINK(CONCATENATE("#metadata!",ADDRESS(INDEX($Q$2:$Q$1001,MATCH(ROWS($O$2:O677),$O$2:$O$1001,0),0),1)),INDEX($T$2:$T$1001,MATCH(ROWS($O$2:O677),$O$2:$O$1001,0),0)))</f>
        <v>0</v>
      </c>
      <c r="B677" s="4">
        <f>IF(OR(INDEX($P$2:$P$1001,MATCH(ROWS($O$2:O677),$O$2:$O$1001,0),1)&gt;=100000,INDEX($V$1005:$AE$1005,1,MATCH(COLUMNS($V$1006:V1006),$V$1006:$AE$1006,0))&gt;=100000), " ",IF(INDEX($V$2:$AE$1001,MATCH(ROWS($O$2:O677),$O$2:$O$1001,0),MATCH(COLUMNS($V$1006:V1006),$V$1006:$AE$1006,0)), HYPERLINK("#",""), HYPERLINK(CONCATENATE("#Metadata!", ADDRESS(INDEX($Q$2:$Q$1001,MATCH(ROWS($O$2:O677),$O$2:$O$1001,0),0), INDEX($V$1004:$AE$1004,1,MATCH(COLUMNS($V$1006:V1006),$V$1006:$AE$1006,0)))),"Fix")))</f>
        <v>0</v>
      </c>
      <c r="C677" s="4">
        <f>IF(OR(INDEX($P$2:$P$1001,MATCH(ROWS($O$2:O677),$O$2:$O$1001,0),1)&gt;=100000,INDEX($V$1005:$AE$1005,1,MATCH(COLUMNS($V$1006:W1006),$V$1006:$AE$1006,0))&gt;=100000), " ",IF(INDEX($V$2:$AE$1001,MATCH(ROWS($O$2:O677),$O$2:$O$1001,0),MATCH(COLUMNS($V$1006:W1006),$V$1006:$AE$1006,0)), HYPERLINK("#",""), HYPERLINK(CONCATENATE("#Metadata!", ADDRESS(INDEX($Q$2:$Q$1001,MATCH(ROWS($O$2:O677),$O$2:$O$1001,0),0), INDEX($V$1004:$AE$1004,1,MATCH(COLUMNS($V$1006:W1006),$V$1006:$AE$1006,0)))),"Fix")))</f>
        <v>0</v>
      </c>
      <c r="D677" s="4">
        <f>IF(OR(INDEX($P$2:$P$1001,MATCH(ROWS($O$2:O677),$O$2:$O$1001,0),1)&gt;=100000,INDEX($V$1005:$AE$1005,1,MATCH(COLUMNS($V$1006:X1006),$V$1006:$AE$1006,0))&gt;=100000), " ",IF(INDEX($V$2:$AE$1001,MATCH(ROWS($O$2:O677),$O$2:$O$1001,0),MATCH(COLUMNS($V$1006:X1006),$V$1006:$AE$1006,0)), HYPERLINK("#",""), HYPERLINK(CONCATENATE("#Metadata!", ADDRESS(INDEX($Q$2:$Q$1001,MATCH(ROWS($O$2:O677),$O$2:$O$1001,0),0), INDEX($V$1004:$AE$1004,1,MATCH(COLUMNS($V$1006:X1006),$V$1006:$AE$1006,0)))),"Fix")))</f>
        <v>0</v>
      </c>
      <c r="E677" s="4">
        <f>IF(OR(INDEX($P$2:$P$1001,MATCH(ROWS($O$2:O677),$O$2:$O$1001,0),1)&gt;=100000,INDEX($V$1005:$AE$1005,1,MATCH(COLUMNS($V$1006:Y1006),$V$1006:$AE$1006,0))&gt;=100000), " ",IF(INDEX($V$2:$AE$1001,MATCH(ROWS($O$2:O677),$O$2:$O$1001,0),MATCH(COLUMNS($V$1006:Y1006),$V$1006:$AE$1006,0)), HYPERLINK("#",""), HYPERLINK(CONCATENATE("#Metadata!", ADDRESS(INDEX($Q$2:$Q$1001,MATCH(ROWS($O$2:O677),$O$2:$O$1001,0),0), INDEX($V$1004:$AE$1004,1,MATCH(COLUMNS($V$1006:Y1006),$V$1006:$AE$1006,0)))),"Fix")))</f>
        <v>0</v>
      </c>
      <c r="F677" s="4">
        <f>IF(OR(INDEX($P$2:$P$1001,MATCH(ROWS($O$2:O677),$O$2:$O$1001,0),1)&gt;=100000,INDEX($V$1005:$AE$1005,1,MATCH(COLUMNS($V$1006:Z1006),$V$1006:$AE$1006,0))&gt;=100000), " ",IF(INDEX($V$2:$AE$1001,MATCH(ROWS($O$2:O677),$O$2:$O$1001,0),MATCH(COLUMNS($V$1006:Z1006),$V$1006:$AE$1006,0)), HYPERLINK("#",""), HYPERLINK(CONCATENATE("#Metadata!", ADDRESS(INDEX($Q$2:$Q$1001,MATCH(ROWS($O$2:O677),$O$2:$O$1001,0),0), INDEX($V$1004:$AE$1004,1,MATCH(COLUMNS($V$1006:Z1006),$V$1006:$AE$1006,0)))),"Fix")))</f>
        <v>0</v>
      </c>
      <c r="G677" s="4">
        <f>IF(OR(INDEX($P$2:$P$1001,MATCH(ROWS($O$2:O677),$O$2:$O$1001,0),1)&gt;=100000,INDEX($V$1005:$AE$1005,1,MATCH(COLUMNS($V$1006:AA1006),$V$1006:$AE$1006,0))&gt;=100000), " ",IF(INDEX($V$2:$AE$1001,MATCH(ROWS($O$2:O677),$O$2:$O$1001,0),MATCH(COLUMNS($V$1006:AA1006),$V$1006:$AE$1006,0)), HYPERLINK("#",""), HYPERLINK(CONCATENATE("#Metadata!", ADDRESS(INDEX($Q$2:$Q$1001,MATCH(ROWS($O$2:O677),$O$2:$O$1001,0),0), INDEX($V$1004:$AE$1004,1,MATCH(COLUMNS($V$1006:AA1006),$V$1006:$AE$1006,0)))),"Fix")))</f>
        <v>0</v>
      </c>
      <c r="H677" s="4">
        <f>IF(OR(INDEX($P$2:$P$1001,MATCH(ROWS($O$2:O677),$O$2:$O$1001,0),1)&gt;=100000,INDEX($V$1005:$AE$1005,1,MATCH(COLUMNS($V$1006:AB1006),$V$1006:$AE$1006,0))&gt;=100000), " ",IF(INDEX($V$2:$AE$1001,MATCH(ROWS($O$2:O677),$O$2:$O$1001,0),MATCH(COLUMNS($V$1006:AB1006),$V$1006:$AE$1006,0)), HYPERLINK("#",""), HYPERLINK(CONCATENATE("#Metadata!", ADDRESS(INDEX($Q$2:$Q$1001,MATCH(ROWS($O$2:O677),$O$2:$O$1001,0),0), INDEX($V$1004:$AE$1004,1,MATCH(COLUMNS($V$1006:AB1006),$V$1006:$AE$1006,0)))),"Fix")))</f>
        <v>0</v>
      </c>
      <c r="I677" s="4">
        <f>IF(OR(INDEX($P$2:$P$1001,MATCH(ROWS($O$2:O677),$O$2:$O$1001,0),1)&gt;=100000,INDEX($V$1005:$AE$1005,1,MATCH(COLUMNS($V$1006:AC1006),$V$1006:$AE$1006,0))&gt;=100000), " ",IF(INDEX($V$2:$AE$1001,MATCH(ROWS($O$2:O677),$O$2:$O$1001,0),MATCH(COLUMNS($V$1006:AC1006),$V$1006:$AE$1006,0)), HYPERLINK("#",""), HYPERLINK(CONCATENATE("#Metadata!", ADDRESS(INDEX($Q$2:$Q$1001,MATCH(ROWS($O$2:O677),$O$2:$O$1001,0),0), INDEX($V$1004:$AE$1004,1,MATCH(COLUMNS($V$1006:AC1006),$V$1006:$AE$1006,0)))),"Fix")))</f>
        <v>0</v>
      </c>
      <c r="J677" s="4">
        <f>IF(OR(INDEX($P$2:$P$1001,MATCH(ROWS($O$2:O677),$O$2:$O$1001,0),1)&gt;=100000,INDEX($V$1005:$AE$1005,1,MATCH(COLUMNS($V$1006:AD1006),$V$1006:$AE$1006,0))&gt;=100000), " ",IF(INDEX($V$2:$AE$1001,MATCH(ROWS($O$2:O677),$O$2:$O$1001,0),MATCH(COLUMNS($V$1006:AD1006),$V$1006:$AE$1006,0)), HYPERLINK("#",""), HYPERLINK(CONCATENATE("#Metadata!", ADDRESS(INDEX($Q$2:$Q$1001,MATCH(ROWS($O$2:O677),$O$2:$O$1001,0),0), INDEX($V$1004:$AE$1004,1,MATCH(COLUMNS($V$1006:AD1006),$V$1006:$AE$1006,0)))),"Fix")))</f>
        <v>0</v>
      </c>
      <c r="K677" s="4">
        <f>IF(OR(INDEX($P$2:$P$1001,MATCH(ROWS($O$2:O677),$O$2:$O$1001,0),1)&gt;=100000,INDEX($V$1005:$AE$1005,1,MATCH(COLUMNS($V$1006:AE1006),$V$1006:$AE$1006,0))&gt;=100000), " ",IF(INDEX($V$2:$AE$1001,MATCH(ROWS($O$2:O677),$O$2:$O$1001,0),MATCH(COLUMNS($V$1006:AE1006),$V$1006:$AE$1006,0)), HYPERLINK("#",""), HYPERLINK(CONCATENATE("#Metadata!", ADDRESS(INDEX($Q$2:$Q$1001,MATCH(ROWS($O$2:O677),$O$2:$O$1001,0),0), INDEX($V$1004:$AE$1004,1,MATCH(COLUMNS($V$1006:AE1006),$V$1006:$AE$1006,0)))),"Fix")))</f>
        <v>0</v>
      </c>
      <c r="O677">
        <v>0</v>
      </c>
      <c r="P677">
        <v>0</v>
      </c>
      <c r="Q677">
        <v>0</v>
      </c>
      <c r="R677">
        <f>IF(S677,TRUE,AND(V677:AE677))</f>
        <v>0</v>
      </c>
      <c r="S677">
        <f>COUNTBLANK(Metadata!B677:K677)=COLUMNS(Metadata!B677:K677)</f>
        <v>0</v>
      </c>
      <c r="T677">
        <v>0</v>
      </c>
      <c r="V677">
        <f>AND(IF(Metadata!B677="",FALSE,TRUE),COUNTIF(Metadata!B:B, Metadata!B677) = 1,NOT(ISERROR(SUMPRODUCT(SEARCH(MID(Metadata!B677,ROW(INDIRECT("1:"&amp;LEN(Metadata!B677))), 1),"0123456789abcdefghijklmnopqrstuvwxyzABCDEFGHIJKLMNOPQRSTUVWXYZ.")))))</f>
        <v>0</v>
      </c>
      <c r="W677">
        <f>AND(IF(Metadata!C677="",FALSE,TRUE),exact(Metadata!C677,"urban biome"))</f>
        <v>0</v>
      </c>
      <c r="X677">
        <f>AND(IF(Metadata!D677="",FALSE,TRUE),exact(Metadata!D677,"animal-associated habitat"))</f>
        <v>0</v>
      </c>
      <c r="Y677">
        <f>OR(AND(IF(Metadata!E677="",FALSE,TRUE),OR(exact(Metadata!E677,"not applicable"),exact(Metadata!E677,"missing: not collected"),exact(Metadata!E677,"missing: not provided"),exact(Metadata!E677,"missing: restricted access"))),AND(IF(Metadata!E677="",FALSE,ISNUMBER(VALUE(Metadata!E677))),Metadata!E677&gt;0))</f>
        <v>0</v>
      </c>
      <c r="Z677">
        <f>AND(IF(Metadata!F677="",FALSE,TRUE),exact(Metadata!F677,"weeks"))</f>
        <v>0</v>
      </c>
      <c r="AA677">
        <f>AND(IF(Metadata!G677="",FALSE,TRUE),exact(Metadata!G677,"mouse"))</f>
        <v>0</v>
      </c>
      <c r="AB677">
        <f>AND(IF(Metadata!H677="",FALSE,TRUE),exact(Metadata!H677,"Mus musculus"))</f>
        <v>0</v>
      </c>
      <c r="AC677">
        <f>AND(IF(Metadata!I677="",FALSE,TRUE),exact(Metadata!I677,"10090"))</f>
        <v>0</v>
      </c>
      <c r="AD677">
        <f>OR(AND(IF(Metadata!J677="",FALSE,TRUE),OR(exact(Metadata!J677,"not applicable"),exact(Metadata!J677,"missing: not collected"),exact(Metadata!J677,"missing: not provided"),exact(Metadata!J677,"missing: restricted access"))),AND(IF(Metadata!J677="",FALSE,ISNUMBER(VALUE(Metadata!J677))),Metadata!J677&gt;0))</f>
        <v>0</v>
      </c>
      <c r="AE677">
        <f>AND(IF(Metadata!K677="",FALSE,TRUE),exact(Metadata!K677,"g"))</f>
        <v>0</v>
      </c>
    </row>
    <row r="678" spans="1:31">
      <c r="A678" s="5">
        <f>IF(B678=" "," ",HYPERLINK(CONCATENATE("#metadata!",ADDRESS(INDEX($Q$2:$Q$1001,MATCH(ROWS($O$2:O678),$O$2:$O$1001,0),0),1)),INDEX($T$2:$T$1001,MATCH(ROWS($O$2:O678),$O$2:$O$1001,0),0)))</f>
        <v>0</v>
      </c>
      <c r="B678" s="4">
        <f>IF(OR(INDEX($P$2:$P$1001,MATCH(ROWS($O$2:O678),$O$2:$O$1001,0),1)&gt;=100000,INDEX($V$1005:$AE$1005,1,MATCH(COLUMNS($V$1006:V1006),$V$1006:$AE$1006,0))&gt;=100000), " ",IF(INDEX($V$2:$AE$1001,MATCH(ROWS($O$2:O678),$O$2:$O$1001,0),MATCH(COLUMNS($V$1006:V1006),$V$1006:$AE$1006,0)), HYPERLINK("#",""), HYPERLINK(CONCATENATE("#Metadata!", ADDRESS(INDEX($Q$2:$Q$1001,MATCH(ROWS($O$2:O678),$O$2:$O$1001,0),0), INDEX($V$1004:$AE$1004,1,MATCH(COLUMNS($V$1006:V1006),$V$1006:$AE$1006,0)))),"Fix")))</f>
        <v>0</v>
      </c>
      <c r="C678" s="4">
        <f>IF(OR(INDEX($P$2:$P$1001,MATCH(ROWS($O$2:O678),$O$2:$O$1001,0),1)&gt;=100000,INDEX($V$1005:$AE$1005,1,MATCH(COLUMNS($V$1006:W1006),$V$1006:$AE$1006,0))&gt;=100000), " ",IF(INDEX($V$2:$AE$1001,MATCH(ROWS($O$2:O678),$O$2:$O$1001,0),MATCH(COLUMNS($V$1006:W1006),$V$1006:$AE$1006,0)), HYPERLINK("#",""), HYPERLINK(CONCATENATE("#Metadata!", ADDRESS(INDEX($Q$2:$Q$1001,MATCH(ROWS($O$2:O678),$O$2:$O$1001,0),0), INDEX($V$1004:$AE$1004,1,MATCH(COLUMNS($V$1006:W1006),$V$1006:$AE$1006,0)))),"Fix")))</f>
        <v>0</v>
      </c>
      <c r="D678" s="4">
        <f>IF(OR(INDEX($P$2:$P$1001,MATCH(ROWS($O$2:O678),$O$2:$O$1001,0),1)&gt;=100000,INDEX($V$1005:$AE$1005,1,MATCH(COLUMNS($V$1006:X1006),$V$1006:$AE$1006,0))&gt;=100000), " ",IF(INDEX($V$2:$AE$1001,MATCH(ROWS($O$2:O678),$O$2:$O$1001,0),MATCH(COLUMNS($V$1006:X1006),$V$1006:$AE$1006,0)), HYPERLINK("#",""), HYPERLINK(CONCATENATE("#Metadata!", ADDRESS(INDEX($Q$2:$Q$1001,MATCH(ROWS($O$2:O678),$O$2:$O$1001,0),0), INDEX($V$1004:$AE$1004,1,MATCH(COLUMNS($V$1006:X1006),$V$1006:$AE$1006,0)))),"Fix")))</f>
        <v>0</v>
      </c>
      <c r="E678" s="4">
        <f>IF(OR(INDEX($P$2:$P$1001,MATCH(ROWS($O$2:O678),$O$2:$O$1001,0),1)&gt;=100000,INDEX($V$1005:$AE$1005,1,MATCH(COLUMNS($V$1006:Y1006),$V$1006:$AE$1006,0))&gt;=100000), " ",IF(INDEX($V$2:$AE$1001,MATCH(ROWS($O$2:O678),$O$2:$O$1001,0),MATCH(COLUMNS($V$1006:Y1006),$V$1006:$AE$1006,0)), HYPERLINK("#",""), HYPERLINK(CONCATENATE("#Metadata!", ADDRESS(INDEX($Q$2:$Q$1001,MATCH(ROWS($O$2:O678),$O$2:$O$1001,0),0), INDEX($V$1004:$AE$1004,1,MATCH(COLUMNS($V$1006:Y1006),$V$1006:$AE$1006,0)))),"Fix")))</f>
        <v>0</v>
      </c>
      <c r="F678" s="4">
        <f>IF(OR(INDEX($P$2:$P$1001,MATCH(ROWS($O$2:O678),$O$2:$O$1001,0),1)&gt;=100000,INDEX($V$1005:$AE$1005,1,MATCH(COLUMNS($V$1006:Z1006),$V$1006:$AE$1006,0))&gt;=100000), " ",IF(INDEX($V$2:$AE$1001,MATCH(ROWS($O$2:O678),$O$2:$O$1001,0),MATCH(COLUMNS($V$1006:Z1006),$V$1006:$AE$1006,0)), HYPERLINK("#",""), HYPERLINK(CONCATENATE("#Metadata!", ADDRESS(INDEX($Q$2:$Q$1001,MATCH(ROWS($O$2:O678),$O$2:$O$1001,0),0), INDEX($V$1004:$AE$1004,1,MATCH(COLUMNS($V$1006:Z1006),$V$1006:$AE$1006,0)))),"Fix")))</f>
        <v>0</v>
      </c>
      <c r="G678" s="4">
        <f>IF(OR(INDEX($P$2:$P$1001,MATCH(ROWS($O$2:O678),$O$2:$O$1001,0),1)&gt;=100000,INDEX($V$1005:$AE$1005,1,MATCH(COLUMNS($V$1006:AA1006),$V$1006:$AE$1006,0))&gt;=100000), " ",IF(INDEX($V$2:$AE$1001,MATCH(ROWS($O$2:O678),$O$2:$O$1001,0),MATCH(COLUMNS($V$1006:AA1006),$V$1006:$AE$1006,0)), HYPERLINK("#",""), HYPERLINK(CONCATENATE("#Metadata!", ADDRESS(INDEX($Q$2:$Q$1001,MATCH(ROWS($O$2:O678),$O$2:$O$1001,0),0), INDEX($V$1004:$AE$1004,1,MATCH(COLUMNS($V$1006:AA1006),$V$1006:$AE$1006,0)))),"Fix")))</f>
        <v>0</v>
      </c>
      <c r="H678" s="4">
        <f>IF(OR(INDEX($P$2:$P$1001,MATCH(ROWS($O$2:O678),$O$2:$O$1001,0),1)&gt;=100000,INDEX($V$1005:$AE$1005,1,MATCH(COLUMNS($V$1006:AB1006),$V$1006:$AE$1006,0))&gt;=100000), " ",IF(INDEX($V$2:$AE$1001,MATCH(ROWS($O$2:O678),$O$2:$O$1001,0),MATCH(COLUMNS($V$1006:AB1006),$V$1006:$AE$1006,0)), HYPERLINK("#",""), HYPERLINK(CONCATENATE("#Metadata!", ADDRESS(INDEX($Q$2:$Q$1001,MATCH(ROWS($O$2:O678),$O$2:$O$1001,0),0), INDEX($V$1004:$AE$1004,1,MATCH(COLUMNS($V$1006:AB1006),$V$1006:$AE$1006,0)))),"Fix")))</f>
        <v>0</v>
      </c>
      <c r="I678" s="4">
        <f>IF(OR(INDEX($P$2:$P$1001,MATCH(ROWS($O$2:O678),$O$2:$O$1001,0),1)&gt;=100000,INDEX($V$1005:$AE$1005,1,MATCH(COLUMNS($V$1006:AC1006),$V$1006:$AE$1006,0))&gt;=100000), " ",IF(INDEX($V$2:$AE$1001,MATCH(ROWS($O$2:O678),$O$2:$O$1001,0),MATCH(COLUMNS($V$1006:AC1006),$V$1006:$AE$1006,0)), HYPERLINK("#",""), HYPERLINK(CONCATENATE("#Metadata!", ADDRESS(INDEX($Q$2:$Q$1001,MATCH(ROWS($O$2:O678),$O$2:$O$1001,0),0), INDEX($V$1004:$AE$1004,1,MATCH(COLUMNS($V$1006:AC1006),$V$1006:$AE$1006,0)))),"Fix")))</f>
        <v>0</v>
      </c>
      <c r="J678" s="4">
        <f>IF(OR(INDEX($P$2:$P$1001,MATCH(ROWS($O$2:O678),$O$2:$O$1001,0),1)&gt;=100000,INDEX($V$1005:$AE$1005,1,MATCH(COLUMNS($V$1006:AD1006),$V$1006:$AE$1006,0))&gt;=100000), " ",IF(INDEX($V$2:$AE$1001,MATCH(ROWS($O$2:O678),$O$2:$O$1001,0),MATCH(COLUMNS($V$1006:AD1006),$V$1006:$AE$1006,0)), HYPERLINK("#",""), HYPERLINK(CONCATENATE("#Metadata!", ADDRESS(INDEX($Q$2:$Q$1001,MATCH(ROWS($O$2:O678),$O$2:$O$1001,0),0), INDEX($V$1004:$AE$1004,1,MATCH(COLUMNS($V$1006:AD1006),$V$1006:$AE$1006,0)))),"Fix")))</f>
        <v>0</v>
      </c>
      <c r="K678" s="4">
        <f>IF(OR(INDEX($P$2:$P$1001,MATCH(ROWS($O$2:O678),$O$2:$O$1001,0),1)&gt;=100000,INDEX($V$1005:$AE$1005,1,MATCH(COLUMNS($V$1006:AE1006),$V$1006:$AE$1006,0))&gt;=100000), " ",IF(INDEX($V$2:$AE$1001,MATCH(ROWS($O$2:O678),$O$2:$O$1001,0),MATCH(COLUMNS($V$1006:AE1006),$V$1006:$AE$1006,0)), HYPERLINK("#",""), HYPERLINK(CONCATENATE("#Metadata!", ADDRESS(INDEX($Q$2:$Q$1001,MATCH(ROWS($O$2:O678),$O$2:$O$1001,0),0), INDEX($V$1004:$AE$1004,1,MATCH(COLUMNS($V$1006:AE1006),$V$1006:$AE$1006,0)))),"Fix")))</f>
        <v>0</v>
      </c>
      <c r="O678">
        <v>0</v>
      </c>
      <c r="P678">
        <v>0</v>
      </c>
      <c r="Q678">
        <v>0</v>
      </c>
      <c r="R678">
        <f>IF(S678,TRUE,AND(V678:AE678))</f>
        <v>0</v>
      </c>
      <c r="S678">
        <f>COUNTBLANK(Metadata!B678:K678)=COLUMNS(Metadata!B678:K678)</f>
        <v>0</v>
      </c>
      <c r="T678">
        <v>0</v>
      </c>
      <c r="V678">
        <f>AND(IF(Metadata!B678="",FALSE,TRUE),COUNTIF(Metadata!B:B, Metadata!B678) = 1,NOT(ISERROR(SUMPRODUCT(SEARCH(MID(Metadata!B678,ROW(INDIRECT("1:"&amp;LEN(Metadata!B678))), 1),"0123456789abcdefghijklmnopqrstuvwxyzABCDEFGHIJKLMNOPQRSTUVWXYZ.")))))</f>
        <v>0</v>
      </c>
      <c r="W678">
        <f>AND(IF(Metadata!C678="",FALSE,TRUE),exact(Metadata!C678,"urban biome"))</f>
        <v>0</v>
      </c>
      <c r="X678">
        <f>AND(IF(Metadata!D678="",FALSE,TRUE),exact(Metadata!D678,"animal-associated habitat"))</f>
        <v>0</v>
      </c>
      <c r="Y678">
        <f>OR(AND(IF(Metadata!E678="",FALSE,TRUE),OR(exact(Metadata!E678,"not applicable"),exact(Metadata!E678,"missing: not collected"),exact(Metadata!E678,"missing: not provided"),exact(Metadata!E678,"missing: restricted access"))),AND(IF(Metadata!E678="",FALSE,ISNUMBER(VALUE(Metadata!E678))),Metadata!E678&gt;0))</f>
        <v>0</v>
      </c>
      <c r="Z678">
        <f>AND(IF(Metadata!F678="",FALSE,TRUE),exact(Metadata!F678,"weeks"))</f>
        <v>0</v>
      </c>
      <c r="AA678">
        <f>AND(IF(Metadata!G678="",FALSE,TRUE),exact(Metadata!G678,"mouse"))</f>
        <v>0</v>
      </c>
      <c r="AB678">
        <f>AND(IF(Metadata!H678="",FALSE,TRUE),exact(Metadata!H678,"Mus musculus"))</f>
        <v>0</v>
      </c>
      <c r="AC678">
        <f>AND(IF(Metadata!I678="",FALSE,TRUE),exact(Metadata!I678,"10090"))</f>
        <v>0</v>
      </c>
      <c r="AD678">
        <f>OR(AND(IF(Metadata!J678="",FALSE,TRUE),OR(exact(Metadata!J678,"not applicable"),exact(Metadata!J678,"missing: not collected"),exact(Metadata!J678,"missing: not provided"),exact(Metadata!J678,"missing: restricted access"))),AND(IF(Metadata!J678="",FALSE,ISNUMBER(VALUE(Metadata!J678))),Metadata!J678&gt;0))</f>
        <v>0</v>
      </c>
      <c r="AE678">
        <f>AND(IF(Metadata!K678="",FALSE,TRUE),exact(Metadata!K678,"g"))</f>
        <v>0</v>
      </c>
    </row>
    <row r="679" spans="1:31">
      <c r="A679" s="5">
        <f>IF(B679=" "," ",HYPERLINK(CONCATENATE("#metadata!",ADDRESS(INDEX($Q$2:$Q$1001,MATCH(ROWS($O$2:O679),$O$2:$O$1001,0),0),1)),INDEX($T$2:$T$1001,MATCH(ROWS($O$2:O679),$O$2:$O$1001,0),0)))</f>
        <v>0</v>
      </c>
      <c r="B679" s="4">
        <f>IF(OR(INDEX($P$2:$P$1001,MATCH(ROWS($O$2:O679),$O$2:$O$1001,0),1)&gt;=100000,INDEX($V$1005:$AE$1005,1,MATCH(COLUMNS($V$1006:V1006),$V$1006:$AE$1006,0))&gt;=100000), " ",IF(INDEX($V$2:$AE$1001,MATCH(ROWS($O$2:O679),$O$2:$O$1001,0),MATCH(COLUMNS($V$1006:V1006),$V$1006:$AE$1006,0)), HYPERLINK("#",""), HYPERLINK(CONCATENATE("#Metadata!", ADDRESS(INDEX($Q$2:$Q$1001,MATCH(ROWS($O$2:O679),$O$2:$O$1001,0),0), INDEX($V$1004:$AE$1004,1,MATCH(COLUMNS($V$1006:V1006),$V$1006:$AE$1006,0)))),"Fix")))</f>
        <v>0</v>
      </c>
      <c r="C679" s="4">
        <f>IF(OR(INDEX($P$2:$P$1001,MATCH(ROWS($O$2:O679),$O$2:$O$1001,0),1)&gt;=100000,INDEX($V$1005:$AE$1005,1,MATCH(COLUMNS($V$1006:W1006),$V$1006:$AE$1006,0))&gt;=100000), " ",IF(INDEX($V$2:$AE$1001,MATCH(ROWS($O$2:O679),$O$2:$O$1001,0),MATCH(COLUMNS($V$1006:W1006),$V$1006:$AE$1006,0)), HYPERLINK("#",""), HYPERLINK(CONCATENATE("#Metadata!", ADDRESS(INDEX($Q$2:$Q$1001,MATCH(ROWS($O$2:O679),$O$2:$O$1001,0),0), INDEX($V$1004:$AE$1004,1,MATCH(COLUMNS($V$1006:W1006),$V$1006:$AE$1006,0)))),"Fix")))</f>
        <v>0</v>
      </c>
      <c r="D679" s="4">
        <f>IF(OR(INDEX($P$2:$P$1001,MATCH(ROWS($O$2:O679),$O$2:$O$1001,0),1)&gt;=100000,INDEX($V$1005:$AE$1005,1,MATCH(COLUMNS($V$1006:X1006),$V$1006:$AE$1006,0))&gt;=100000), " ",IF(INDEX($V$2:$AE$1001,MATCH(ROWS($O$2:O679),$O$2:$O$1001,0),MATCH(COLUMNS($V$1006:X1006),$V$1006:$AE$1006,0)), HYPERLINK("#",""), HYPERLINK(CONCATENATE("#Metadata!", ADDRESS(INDEX($Q$2:$Q$1001,MATCH(ROWS($O$2:O679),$O$2:$O$1001,0),0), INDEX($V$1004:$AE$1004,1,MATCH(COLUMNS($V$1006:X1006),$V$1006:$AE$1006,0)))),"Fix")))</f>
        <v>0</v>
      </c>
      <c r="E679" s="4">
        <f>IF(OR(INDEX($P$2:$P$1001,MATCH(ROWS($O$2:O679),$O$2:$O$1001,0),1)&gt;=100000,INDEX($V$1005:$AE$1005,1,MATCH(COLUMNS($V$1006:Y1006),$V$1006:$AE$1006,0))&gt;=100000), " ",IF(INDEX($V$2:$AE$1001,MATCH(ROWS($O$2:O679),$O$2:$O$1001,0),MATCH(COLUMNS($V$1006:Y1006),$V$1006:$AE$1006,0)), HYPERLINK("#",""), HYPERLINK(CONCATENATE("#Metadata!", ADDRESS(INDEX($Q$2:$Q$1001,MATCH(ROWS($O$2:O679),$O$2:$O$1001,0),0), INDEX($V$1004:$AE$1004,1,MATCH(COLUMNS($V$1006:Y1006),$V$1006:$AE$1006,0)))),"Fix")))</f>
        <v>0</v>
      </c>
      <c r="F679" s="4">
        <f>IF(OR(INDEX($P$2:$P$1001,MATCH(ROWS($O$2:O679),$O$2:$O$1001,0),1)&gt;=100000,INDEX($V$1005:$AE$1005,1,MATCH(COLUMNS($V$1006:Z1006),$V$1006:$AE$1006,0))&gt;=100000), " ",IF(INDEX($V$2:$AE$1001,MATCH(ROWS($O$2:O679),$O$2:$O$1001,0),MATCH(COLUMNS($V$1006:Z1006),$V$1006:$AE$1006,0)), HYPERLINK("#",""), HYPERLINK(CONCATENATE("#Metadata!", ADDRESS(INDEX($Q$2:$Q$1001,MATCH(ROWS($O$2:O679),$O$2:$O$1001,0),0), INDEX($V$1004:$AE$1004,1,MATCH(COLUMNS($V$1006:Z1006),$V$1006:$AE$1006,0)))),"Fix")))</f>
        <v>0</v>
      </c>
      <c r="G679" s="4">
        <f>IF(OR(INDEX($P$2:$P$1001,MATCH(ROWS($O$2:O679),$O$2:$O$1001,0),1)&gt;=100000,INDEX($V$1005:$AE$1005,1,MATCH(COLUMNS($V$1006:AA1006),$V$1006:$AE$1006,0))&gt;=100000), " ",IF(INDEX($V$2:$AE$1001,MATCH(ROWS($O$2:O679),$O$2:$O$1001,0),MATCH(COLUMNS($V$1006:AA1006),$V$1006:$AE$1006,0)), HYPERLINK("#",""), HYPERLINK(CONCATENATE("#Metadata!", ADDRESS(INDEX($Q$2:$Q$1001,MATCH(ROWS($O$2:O679),$O$2:$O$1001,0),0), INDEX($V$1004:$AE$1004,1,MATCH(COLUMNS($V$1006:AA1006),$V$1006:$AE$1006,0)))),"Fix")))</f>
        <v>0</v>
      </c>
      <c r="H679" s="4">
        <f>IF(OR(INDEX($P$2:$P$1001,MATCH(ROWS($O$2:O679),$O$2:$O$1001,0),1)&gt;=100000,INDEX($V$1005:$AE$1005,1,MATCH(COLUMNS($V$1006:AB1006),$V$1006:$AE$1006,0))&gt;=100000), " ",IF(INDEX($V$2:$AE$1001,MATCH(ROWS($O$2:O679),$O$2:$O$1001,0),MATCH(COLUMNS($V$1006:AB1006),$V$1006:$AE$1006,0)), HYPERLINK("#",""), HYPERLINK(CONCATENATE("#Metadata!", ADDRESS(INDEX($Q$2:$Q$1001,MATCH(ROWS($O$2:O679),$O$2:$O$1001,0),0), INDEX($V$1004:$AE$1004,1,MATCH(COLUMNS($V$1006:AB1006),$V$1006:$AE$1006,0)))),"Fix")))</f>
        <v>0</v>
      </c>
      <c r="I679" s="4">
        <f>IF(OR(INDEX($P$2:$P$1001,MATCH(ROWS($O$2:O679),$O$2:$O$1001,0),1)&gt;=100000,INDEX($V$1005:$AE$1005,1,MATCH(COLUMNS($V$1006:AC1006),$V$1006:$AE$1006,0))&gt;=100000), " ",IF(INDEX($V$2:$AE$1001,MATCH(ROWS($O$2:O679),$O$2:$O$1001,0),MATCH(COLUMNS($V$1006:AC1006),$V$1006:$AE$1006,0)), HYPERLINK("#",""), HYPERLINK(CONCATENATE("#Metadata!", ADDRESS(INDEX($Q$2:$Q$1001,MATCH(ROWS($O$2:O679),$O$2:$O$1001,0),0), INDEX($V$1004:$AE$1004,1,MATCH(COLUMNS($V$1006:AC1006),$V$1006:$AE$1006,0)))),"Fix")))</f>
        <v>0</v>
      </c>
      <c r="J679" s="4">
        <f>IF(OR(INDEX($P$2:$P$1001,MATCH(ROWS($O$2:O679),$O$2:$O$1001,0),1)&gt;=100000,INDEX($V$1005:$AE$1005,1,MATCH(COLUMNS($V$1006:AD1006),$V$1006:$AE$1006,0))&gt;=100000), " ",IF(INDEX($V$2:$AE$1001,MATCH(ROWS($O$2:O679),$O$2:$O$1001,0),MATCH(COLUMNS($V$1006:AD1006),$V$1006:$AE$1006,0)), HYPERLINK("#",""), HYPERLINK(CONCATENATE("#Metadata!", ADDRESS(INDEX($Q$2:$Q$1001,MATCH(ROWS($O$2:O679),$O$2:$O$1001,0),0), INDEX($V$1004:$AE$1004,1,MATCH(COLUMNS($V$1006:AD1006),$V$1006:$AE$1006,0)))),"Fix")))</f>
        <v>0</v>
      </c>
      <c r="K679" s="4">
        <f>IF(OR(INDEX($P$2:$P$1001,MATCH(ROWS($O$2:O679),$O$2:$O$1001,0),1)&gt;=100000,INDEX($V$1005:$AE$1005,1,MATCH(COLUMNS($V$1006:AE1006),$V$1006:$AE$1006,0))&gt;=100000), " ",IF(INDEX($V$2:$AE$1001,MATCH(ROWS($O$2:O679),$O$2:$O$1001,0),MATCH(COLUMNS($V$1006:AE1006),$V$1006:$AE$1006,0)), HYPERLINK("#",""), HYPERLINK(CONCATENATE("#Metadata!", ADDRESS(INDEX($Q$2:$Q$1001,MATCH(ROWS($O$2:O679),$O$2:$O$1001,0),0), INDEX($V$1004:$AE$1004,1,MATCH(COLUMNS($V$1006:AE1006),$V$1006:$AE$1006,0)))),"Fix")))</f>
        <v>0</v>
      </c>
      <c r="O679">
        <v>0</v>
      </c>
      <c r="P679">
        <v>0</v>
      </c>
      <c r="Q679">
        <v>0</v>
      </c>
      <c r="R679">
        <f>IF(S679,TRUE,AND(V679:AE679))</f>
        <v>0</v>
      </c>
      <c r="S679">
        <f>COUNTBLANK(Metadata!B679:K679)=COLUMNS(Metadata!B679:K679)</f>
        <v>0</v>
      </c>
      <c r="T679">
        <v>0</v>
      </c>
      <c r="V679">
        <f>AND(IF(Metadata!B679="",FALSE,TRUE),COUNTIF(Metadata!B:B, Metadata!B679) = 1,NOT(ISERROR(SUMPRODUCT(SEARCH(MID(Metadata!B679,ROW(INDIRECT("1:"&amp;LEN(Metadata!B679))), 1),"0123456789abcdefghijklmnopqrstuvwxyzABCDEFGHIJKLMNOPQRSTUVWXYZ.")))))</f>
        <v>0</v>
      </c>
      <c r="W679">
        <f>AND(IF(Metadata!C679="",FALSE,TRUE),exact(Metadata!C679,"urban biome"))</f>
        <v>0</v>
      </c>
      <c r="X679">
        <f>AND(IF(Metadata!D679="",FALSE,TRUE),exact(Metadata!D679,"animal-associated habitat"))</f>
        <v>0</v>
      </c>
      <c r="Y679">
        <f>OR(AND(IF(Metadata!E679="",FALSE,TRUE),OR(exact(Metadata!E679,"not applicable"),exact(Metadata!E679,"missing: not collected"),exact(Metadata!E679,"missing: not provided"),exact(Metadata!E679,"missing: restricted access"))),AND(IF(Metadata!E679="",FALSE,ISNUMBER(VALUE(Metadata!E679))),Metadata!E679&gt;0))</f>
        <v>0</v>
      </c>
      <c r="Z679">
        <f>AND(IF(Metadata!F679="",FALSE,TRUE),exact(Metadata!F679,"weeks"))</f>
        <v>0</v>
      </c>
      <c r="AA679">
        <f>AND(IF(Metadata!G679="",FALSE,TRUE),exact(Metadata!G679,"mouse"))</f>
        <v>0</v>
      </c>
      <c r="AB679">
        <f>AND(IF(Metadata!H679="",FALSE,TRUE),exact(Metadata!H679,"Mus musculus"))</f>
        <v>0</v>
      </c>
      <c r="AC679">
        <f>AND(IF(Metadata!I679="",FALSE,TRUE),exact(Metadata!I679,"10090"))</f>
        <v>0</v>
      </c>
      <c r="AD679">
        <f>OR(AND(IF(Metadata!J679="",FALSE,TRUE),OR(exact(Metadata!J679,"not applicable"),exact(Metadata!J679,"missing: not collected"),exact(Metadata!J679,"missing: not provided"),exact(Metadata!J679,"missing: restricted access"))),AND(IF(Metadata!J679="",FALSE,ISNUMBER(VALUE(Metadata!J679))),Metadata!J679&gt;0))</f>
        <v>0</v>
      </c>
      <c r="AE679">
        <f>AND(IF(Metadata!K679="",FALSE,TRUE),exact(Metadata!K679,"g"))</f>
        <v>0</v>
      </c>
    </row>
    <row r="680" spans="1:31">
      <c r="A680" s="5">
        <f>IF(B680=" "," ",HYPERLINK(CONCATENATE("#metadata!",ADDRESS(INDEX($Q$2:$Q$1001,MATCH(ROWS($O$2:O680),$O$2:$O$1001,0),0),1)),INDEX($T$2:$T$1001,MATCH(ROWS($O$2:O680),$O$2:$O$1001,0),0)))</f>
        <v>0</v>
      </c>
      <c r="B680" s="4">
        <f>IF(OR(INDEX($P$2:$P$1001,MATCH(ROWS($O$2:O680),$O$2:$O$1001,0),1)&gt;=100000,INDEX($V$1005:$AE$1005,1,MATCH(COLUMNS($V$1006:V1006),$V$1006:$AE$1006,0))&gt;=100000), " ",IF(INDEX($V$2:$AE$1001,MATCH(ROWS($O$2:O680),$O$2:$O$1001,0),MATCH(COLUMNS($V$1006:V1006),$V$1006:$AE$1006,0)), HYPERLINK("#",""), HYPERLINK(CONCATENATE("#Metadata!", ADDRESS(INDEX($Q$2:$Q$1001,MATCH(ROWS($O$2:O680),$O$2:$O$1001,0),0), INDEX($V$1004:$AE$1004,1,MATCH(COLUMNS($V$1006:V1006),$V$1006:$AE$1006,0)))),"Fix")))</f>
        <v>0</v>
      </c>
      <c r="C680" s="4">
        <f>IF(OR(INDEX($P$2:$P$1001,MATCH(ROWS($O$2:O680),$O$2:$O$1001,0),1)&gt;=100000,INDEX($V$1005:$AE$1005,1,MATCH(COLUMNS($V$1006:W1006),$V$1006:$AE$1006,0))&gt;=100000), " ",IF(INDEX($V$2:$AE$1001,MATCH(ROWS($O$2:O680),$O$2:$O$1001,0),MATCH(COLUMNS($V$1006:W1006),$V$1006:$AE$1006,0)), HYPERLINK("#",""), HYPERLINK(CONCATENATE("#Metadata!", ADDRESS(INDEX($Q$2:$Q$1001,MATCH(ROWS($O$2:O680),$O$2:$O$1001,0),0), INDEX($V$1004:$AE$1004,1,MATCH(COLUMNS($V$1006:W1006),$V$1006:$AE$1006,0)))),"Fix")))</f>
        <v>0</v>
      </c>
      <c r="D680" s="4">
        <f>IF(OR(INDEX($P$2:$P$1001,MATCH(ROWS($O$2:O680),$O$2:$O$1001,0),1)&gt;=100000,INDEX($V$1005:$AE$1005,1,MATCH(COLUMNS($V$1006:X1006),$V$1006:$AE$1006,0))&gt;=100000), " ",IF(INDEX($V$2:$AE$1001,MATCH(ROWS($O$2:O680),$O$2:$O$1001,0),MATCH(COLUMNS($V$1006:X1006),$V$1006:$AE$1006,0)), HYPERLINK("#",""), HYPERLINK(CONCATENATE("#Metadata!", ADDRESS(INDEX($Q$2:$Q$1001,MATCH(ROWS($O$2:O680),$O$2:$O$1001,0),0), INDEX($V$1004:$AE$1004,1,MATCH(COLUMNS($V$1006:X1006),$V$1006:$AE$1006,0)))),"Fix")))</f>
        <v>0</v>
      </c>
      <c r="E680" s="4">
        <f>IF(OR(INDEX($P$2:$P$1001,MATCH(ROWS($O$2:O680),$O$2:$O$1001,0),1)&gt;=100000,INDEX($V$1005:$AE$1005,1,MATCH(COLUMNS($V$1006:Y1006),$V$1006:$AE$1006,0))&gt;=100000), " ",IF(INDEX($V$2:$AE$1001,MATCH(ROWS($O$2:O680),$O$2:$O$1001,0),MATCH(COLUMNS($V$1006:Y1006),$V$1006:$AE$1006,0)), HYPERLINK("#",""), HYPERLINK(CONCATENATE("#Metadata!", ADDRESS(INDEX($Q$2:$Q$1001,MATCH(ROWS($O$2:O680),$O$2:$O$1001,0),0), INDEX($V$1004:$AE$1004,1,MATCH(COLUMNS($V$1006:Y1006),$V$1006:$AE$1006,0)))),"Fix")))</f>
        <v>0</v>
      </c>
      <c r="F680" s="4">
        <f>IF(OR(INDEX($P$2:$P$1001,MATCH(ROWS($O$2:O680),$O$2:$O$1001,0),1)&gt;=100000,INDEX($V$1005:$AE$1005,1,MATCH(COLUMNS($V$1006:Z1006),$V$1006:$AE$1006,0))&gt;=100000), " ",IF(INDEX($V$2:$AE$1001,MATCH(ROWS($O$2:O680),$O$2:$O$1001,0),MATCH(COLUMNS($V$1006:Z1006),$V$1006:$AE$1006,0)), HYPERLINK("#",""), HYPERLINK(CONCATENATE("#Metadata!", ADDRESS(INDEX($Q$2:$Q$1001,MATCH(ROWS($O$2:O680),$O$2:$O$1001,0),0), INDEX($V$1004:$AE$1004,1,MATCH(COLUMNS($V$1006:Z1006),$V$1006:$AE$1006,0)))),"Fix")))</f>
        <v>0</v>
      </c>
      <c r="G680" s="4">
        <f>IF(OR(INDEX($P$2:$P$1001,MATCH(ROWS($O$2:O680),$O$2:$O$1001,0),1)&gt;=100000,INDEX($V$1005:$AE$1005,1,MATCH(COLUMNS($V$1006:AA1006),$V$1006:$AE$1006,0))&gt;=100000), " ",IF(INDEX($V$2:$AE$1001,MATCH(ROWS($O$2:O680),$O$2:$O$1001,0),MATCH(COLUMNS($V$1006:AA1006),$V$1006:$AE$1006,0)), HYPERLINK("#",""), HYPERLINK(CONCATENATE("#Metadata!", ADDRESS(INDEX($Q$2:$Q$1001,MATCH(ROWS($O$2:O680),$O$2:$O$1001,0),0), INDEX($V$1004:$AE$1004,1,MATCH(COLUMNS($V$1006:AA1006),$V$1006:$AE$1006,0)))),"Fix")))</f>
        <v>0</v>
      </c>
      <c r="H680" s="4">
        <f>IF(OR(INDEX($P$2:$P$1001,MATCH(ROWS($O$2:O680),$O$2:$O$1001,0),1)&gt;=100000,INDEX($V$1005:$AE$1005,1,MATCH(COLUMNS($V$1006:AB1006),$V$1006:$AE$1006,0))&gt;=100000), " ",IF(INDEX($V$2:$AE$1001,MATCH(ROWS($O$2:O680),$O$2:$O$1001,0),MATCH(COLUMNS($V$1006:AB1006),$V$1006:$AE$1006,0)), HYPERLINK("#",""), HYPERLINK(CONCATENATE("#Metadata!", ADDRESS(INDEX($Q$2:$Q$1001,MATCH(ROWS($O$2:O680),$O$2:$O$1001,0),0), INDEX($V$1004:$AE$1004,1,MATCH(COLUMNS($V$1006:AB1006),$V$1006:$AE$1006,0)))),"Fix")))</f>
        <v>0</v>
      </c>
      <c r="I680" s="4">
        <f>IF(OR(INDEX($P$2:$P$1001,MATCH(ROWS($O$2:O680),$O$2:$O$1001,0),1)&gt;=100000,INDEX($V$1005:$AE$1005,1,MATCH(COLUMNS($V$1006:AC1006),$V$1006:$AE$1006,0))&gt;=100000), " ",IF(INDEX($V$2:$AE$1001,MATCH(ROWS($O$2:O680),$O$2:$O$1001,0),MATCH(COLUMNS($V$1006:AC1006),$V$1006:$AE$1006,0)), HYPERLINK("#",""), HYPERLINK(CONCATENATE("#Metadata!", ADDRESS(INDEX($Q$2:$Q$1001,MATCH(ROWS($O$2:O680),$O$2:$O$1001,0),0), INDEX($V$1004:$AE$1004,1,MATCH(COLUMNS($V$1006:AC1006),$V$1006:$AE$1006,0)))),"Fix")))</f>
        <v>0</v>
      </c>
      <c r="J680" s="4">
        <f>IF(OR(INDEX($P$2:$P$1001,MATCH(ROWS($O$2:O680),$O$2:$O$1001,0),1)&gt;=100000,INDEX($V$1005:$AE$1005,1,MATCH(COLUMNS($V$1006:AD1006),$V$1006:$AE$1006,0))&gt;=100000), " ",IF(INDEX($V$2:$AE$1001,MATCH(ROWS($O$2:O680),$O$2:$O$1001,0),MATCH(COLUMNS($V$1006:AD1006),$V$1006:$AE$1006,0)), HYPERLINK("#",""), HYPERLINK(CONCATENATE("#Metadata!", ADDRESS(INDEX($Q$2:$Q$1001,MATCH(ROWS($O$2:O680),$O$2:$O$1001,0),0), INDEX($V$1004:$AE$1004,1,MATCH(COLUMNS($V$1006:AD1006),$V$1006:$AE$1006,0)))),"Fix")))</f>
        <v>0</v>
      </c>
      <c r="K680" s="4">
        <f>IF(OR(INDEX($P$2:$P$1001,MATCH(ROWS($O$2:O680),$O$2:$O$1001,0),1)&gt;=100000,INDEX($V$1005:$AE$1005,1,MATCH(COLUMNS($V$1006:AE1006),$V$1006:$AE$1006,0))&gt;=100000), " ",IF(INDEX($V$2:$AE$1001,MATCH(ROWS($O$2:O680),$O$2:$O$1001,0),MATCH(COLUMNS($V$1006:AE1006),$V$1006:$AE$1006,0)), HYPERLINK("#",""), HYPERLINK(CONCATENATE("#Metadata!", ADDRESS(INDEX($Q$2:$Q$1001,MATCH(ROWS($O$2:O680),$O$2:$O$1001,0),0), INDEX($V$1004:$AE$1004,1,MATCH(COLUMNS($V$1006:AE1006),$V$1006:$AE$1006,0)))),"Fix")))</f>
        <v>0</v>
      </c>
      <c r="O680">
        <v>0</v>
      </c>
      <c r="P680">
        <v>0</v>
      </c>
      <c r="Q680">
        <v>0</v>
      </c>
      <c r="R680">
        <f>IF(S680,TRUE,AND(V680:AE680))</f>
        <v>0</v>
      </c>
      <c r="S680">
        <f>COUNTBLANK(Metadata!B680:K680)=COLUMNS(Metadata!B680:K680)</f>
        <v>0</v>
      </c>
      <c r="T680">
        <v>0</v>
      </c>
      <c r="V680">
        <f>AND(IF(Metadata!B680="",FALSE,TRUE),COUNTIF(Metadata!B:B, Metadata!B680) = 1,NOT(ISERROR(SUMPRODUCT(SEARCH(MID(Metadata!B680,ROW(INDIRECT("1:"&amp;LEN(Metadata!B680))), 1),"0123456789abcdefghijklmnopqrstuvwxyzABCDEFGHIJKLMNOPQRSTUVWXYZ.")))))</f>
        <v>0</v>
      </c>
      <c r="W680">
        <f>AND(IF(Metadata!C680="",FALSE,TRUE),exact(Metadata!C680,"urban biome"))</f>
        <v>0</v>
      </c>
      <c r="X680">
        <f>AND(IF(Metadata!D680="",FALSE,TRUE),exact(Metadata!D680,"animal-associated habitat"))</f>
        <v>0</v>
      </c>
      <c r="Y680">
        <f>OR(AND(IF(Metadata!E680="",FALSE,TRUE),OR(exact(Metadata!E680,"not applicable"),exact(Metadata!E680,"missing: not collected"),exact(Metadata!E680,"missing: not provided"),exact(Metadata!E680,"missing: restricted access"))),AND(IF(Metadata!E680="",FALSE,ISNUMBER(VALUE(Metadata!E680))),Metadata!E680&gt;0))</f>
        <v>0</v>
      </c>
      <c r="Z680">
        <f>AND(IF(Metadata!F680="",FALSE,TRUE),exact(Metadata!F680,"weeks"))</f>
        <v>0</v>
      </c>
      <c r="AA680">
        <f>AND(IF(Metadata!G680="",FALSE,TRUE),exact(Metadata!G680,"mouse"))</f>
        <v>0</v>
      </c>
      <c r="AB680">
        <f>AND(IF(Metadata!H680="",FALSE,TRUE),exact(Metadata!H680,"Mus musculus"))</f>
        <v>0</v>
      </c>
      <c r="AC680">
        <f>AND(IF(Metadata!I680="",FALSE,TRUE),exact(Metadata!I680,"10090"))</f>
        <v>0</v>
      </c>
      <c r="AD680">
        <f>OR(AND(IF(Metadata!J680="",FALSE,TRUE),OR(exact(Metadata!J680,"not applicable"),exact(Metadata!J680,"missing: not collected"),exact(Metadata!J680,"missing: not provided"),exact(Metadata!J680,"missing: restricted access"))),AND(IF(Metadata!J680="",FALSE,ISNUMBER(VALUE(Metadata!J680))),Metadata!J680&gt;0))</f>
        <v>0</v>
      </c>
      <c r="AE680">
        <f>AND(IF(Metadata!K680="",FALSE,TRUE),exact(Metadata!K680,"g"))</f>
        <v>0</v>
      </c>
    </row>
    <row r="681" spans="1:31">
      <c r="A681" s="5">
        <f>IF(B681=" "," ",HYPERLINK(CONCATENATE("#metadata!",ADDRESS(INDEX($Q$2:$Q$1001,MATCH(ROWS($O$2:O681),$O$2:$O$1001,0),0),1)),INDEX($T$2:$T$1001,MATCH(ROWS($O$2:O681),$O$2:$O$1001,0),0)))</f>
        <v>0</v>
      </c>
      <c r="B681" s="4">
        <f>IF(OR(INDEX($P$2:$P$1001,MATCH(ROWS($O$2:O681),$O$2:$O$1001,0),1)&gt;=100000,INDEX($V$1005:$AE$1005,1,MATCH(COLUMNS($V$1006:V1006),$V$1006:$AE$1006,0))&gt;=100000), " ",IF(INDEX($V$2:$AE$1001,MATCH(ROWS($O$2:O681),$O$2:$O$1001,0),MATCH(COLUMNS($V$1006:V1006),$V$1006:$AE$1006,0)), HYPERLINK("#",""), HYPERLINK(CONCATENATE("#Metadata!", ADDRESS(INDEX($Q$2:$Q$1001,MATCH(ROWS($O$2:O681),$O$2:$O$1001,0),0), INDEX($V$1004:$AE$1004,1,MATCH(COLUMNS($V$1006:V1006),$V$1006:$AE$1006,0)))),"Fix")))</f>
        <v>0</v>
      </c>
      <c r="C681" s="4">
        <f>IF(OR(INDEX($P$2:$P$1001,MATCH(ROWS($O$2:O681),$O$2:$O$1001,0),1)&gt;=100000,INDEX($V$1005:$AE$1005,1,MATCH(COLUMNS($V$1006:W1006),$V$1006:$AE$1006,0))&gt;=100000), " ",IF(INDEX($V$2:$AE$1001,MATCH(ROWS($O$2:O681),$O$2:$O$1001,0),MATCH(COLUMNS($V$1006:W1006),$V$1006:$AE$1006,0)), HYPERLINK("#",""), HYPERLINK(CONCATENATE("#Metadata!", ADDRESS(INDEX($Q$2:$Q$1001,MATCH(ROWS($O$2:O681),$O$2:$O$1001,0),0), INDEX($V$1004:$AE$1004,1,MATCH(COLUMNS($V$1006:W1006),$V$1006:$AE$1006,0)))),"Fix")))</f>
        <v>0</v>
      </c>
      <c r="D681" s="4">
        <f>IF(OR(INDEX($P$2:$P$1001,MATCH(ROWS($O$2:O681),$O$2:$O$1001,0),1)&gt;=100000,INDEX($V$1005:$AE$1005,1,MATCH(COLUMNS($V$1006:X1006),$V$1006:$AE$1006,0))&gt;=100000), " ",IF(INDEX($V$2:$AE$1001,MATCH(ROWS($O$2:O681),$O$2:$O$1001,0),MATCH(COLUMNS($V$1006:X1006),$V$1006:$AE$1006,0)), HYPERLINK("#",""), HYPERLINK(CONCATENATE("#Metadata!", ADDRESS(INDEX($Q$2:$Q$1001,MATCH(ROWS($O$2:O681),$O$2:$O$1001,0),0), INDEX($V$1004:$AE$1004,1,MATCH(COLUMNS($V$1006:X1006),$V$1006:$AE$1006,0)))),"Fix")))</f>
        <v>0</v>
      </c>
      <c r="E681" s="4">
        <f>IF(OR(INDEX($P$2:$P$1001,MATCH(ROWS($O$2:O681),$O$2:$O$1001,0),1)&gt;=100000,INDEX($V$1005:$AE$1005,1,MATCH(COLUMNS($V$1006:Y1006),$V$1006:$AE$1006,0))&gt;=100000), " ",IF(INDEX($V$2:$AE$1001,MATCH(ROWS($O$2:O681),$O$2:$O$1001,0),MATCH(COLUMNS($V$1006:Y1006),$V$1006:$AE$1006,0)), HYPERLINK("#",""), HYPERLINK(CONCATENATE("#Metadata!", ADDRESS(INDEX($Q$2:$Q$1001,MATCH(ROWS($O$2:O681),$O$2:$O$1001,0),0), INDEX($V$1004:$AE$1004,1,MATCH(COLUMNS($V$1006:Y1006),$V$1006:$AE$1006,0)))),"Fix")))</f>
        <v>0</v>
      </c>
      <c r="F681" s="4">
        <f>IF(OR(INDEX($P$2:$P$1001,MATCH(ROWS($O$2:O681),$O$2:$O$1001,0),1)&gt;=100000,INDEX($V$1005:$AE$1005,1,MATCH(COLUMNS($V$1006:Z1006),$V$1006:$AE$1006,0))&gt;=100000), " ",IF(INDEX($V$2:$AE$1001,MATCH(ROWS($O$2:O681),$O$2:$O$1001,0),MATCH(COLUMNS($V$1006:Z1006),$V$1006:$AE$1006,0)), HYPERLINK("#",""), HYPERLINK(CONCATENATE("#Metadata!", ADDRESS(INDEX($Q$2:$Q$1001,MATCH(ROWS($O$2:O681),$O$2:$O$1001,0),0), INDEX($V$1004:$AE$1004,1,MATCH(COLUMNS($V$1006:Z1006),$V$1006:$AE$1006,0)))),"Fix")))</f>
        <v>0</v>
      </c>
      <c r="G681" s="4">
        <f>IF(OR(INDEX($P$2:$P$1001,MATCH(ROWS($O$2:O681),$O$2:$O$1001,0),1)&gt;=100000,INDEX($V$1005:$AE$1005,1,MATCH(COLUMNS($V$1006:AA1006),$V$1006:$AE$1006,0))&gt;=100000), " ",IF(INDEX($V$2:$AE$1001,MATCH(ROWS($O$2:O681),$O$2:$O$1001,0),MATCH(COLUMNS($V$1006:AA1006),$V$1006:$AE$1006,0)), HYPERLINK("#",""), HYPERLINK(CONCATENATE("#Metadata!", ADDRESS(INDEX($Q$2:$Q$1001,MATCH(ROWS($O$2:O681),$O$2:$O$1001,0),0), INDEX($V$1004:$AE$1004,1,MATCH(COLUMNS($V$1006:AA1006),$V$1006:$AE$1006,0)))),"Fix")))</f>
        <v>0</v>
      </c>
      <c r="H681" s="4">
        <f>IF(OR(INDEX($P$2:$P$1001,MATCH(ROWS($O$2:O681),$O$2:$O$1001,0),1)&gt;=100000,INDEX($V$1005:$AE$1005,1,MATCH(COLUMNS($V$1006:AB1006),$V$1006:$AE$1006,0))&gt;=100000), " ",IF(INDEX($V$2:$AE$1001,MATCH(ROWS($O$2:O681),$O$2:$O$1001,0),MATCH(COLUMNS($V$1006:AB1006),$V$1006:$AE$1006,0)), HYPERLINK("#",""), HYPERLINK(CONCATENATE("#Metadata!", ADDRESS(INDEX($Q$2:$Q$1001,MATCH(ROWS($O$2:O681),$O$2:$O$1001,0),0), INDEX($V$1004:$AE$1004,1,MATCH(COLUMNS($V$1006:AB1006),$V$1006:$AE$1006,0)))),"Fix")))</f>
        <v>0</v>
      </c>
      <c r="I681" s="4">
        <f>IF(OR(INDEX($P$2:$P$1001,MATCH(ROWS($O$2:O681),$O$2:$O$1001,0),1)&gt;=100000,INDEX($V$1005:$AE$1005,1,MATCH(COLUMNS($V$1006:AC1006),$V$1006:$AE$1006,0))&gt;=100000), " ",IF(INDEX($V$2:$AE$1001,MATCH(ROWS($O$2:O681),$O$2:$O$1001,0),MATCH(COLUMNS($V$1006:AC1006),$V$1006:$AE$1006,0)), HYPERLINK("#",""), HYPERLINK(CONCATENATE("#Metadata!", ADDRESS(INDEX($Q$2:$Q$1001,MATCH(ROWS($O$2:O681),$O$2:$O$1001,0),0), INDEX($V$1004:$AE$1004,1,MATCH(COLUMNS($V$1006:AC1006),$V$1006:$AE$1006,0)))),"Fix")))</f>
        <v>0</v>
      </c>
      <c r="J681" s="4">
        <f>IF(OR(INDEX($P$2:$P$1001,MATCH(ROWS($O$2:O681),$O$2:$O$1001,0),1)&gt;=100000,INDEX($V$1005:$AE$1005,1,MATCH(COLUMNS($V$1006:AD1006),$V$1006:$AE$1006,0))&gt;=100000), " ",IF(INDEX($V$2:$AE$1001,MATCH(ROWS($O$2:O681),$O$2:$O$1001,0),MATCH(COLUMNS($V$1006:AD1006),$V$1006:$AE$1006,0)), HYPERLINK("#",""), HYPERLINK(CONCATENATE("#Metadata!", ADDRESS(INDEX($Q$2:$Q$1001,MATCH(ROWS($O$2:O681),$O$2:$O$1001,0),0), INDEX($V$1004:$AE$1004,1,MATCH(COLUMNS($V$1006:AD1006),$V$1006:$AE$1006,0)))),"Fix")))</f>
        <v>0</v>
      </c>
      <c r="K681" s="4">
        <f>IF(OR(INDEX($P$2:$P$1001,MATCH(ROWS($O$2:O681),$O$2:$O$1001,0),1)&gt;=100000,INDEX($V$1005:$AE$1005,1,MATCH(COLUMNS($V$1006:AE1006),$V$1006:$AE$1006,0))&gt;=100000), " ",IF(INDEX($V$2:$AE$1001,MATCH(ROWS($O$2:O681),$O$2:$O$1001,0),MATCH(COLUMNS($V$1006:AE1006),$V$1006:$AE$1006,0)), HYPERLINK("#",""), HYPERLINK(CONCATENATE("#Metadata!", ADDRESS(INDEX($Q$2:$Q$1001,MATCH(ROWS($O$2:O681),$O$2:$O$1001,0),0), INDEX($V$1004:$AE$1004,1,MATCH(COLUMNS($V$1006:AE1006),$V$1006:$AE$1006,0)))),"Fix")))</f>
        <v>0</v>
      </c>
      <c r="O681">
        <v>0</v>
      </c>
      <c r="P681">
        <v>0</v>
      </c>
      <c r="Q681">
        <v>0</v>
      </c>
      <c r="R681">
        <f>IF(S681,TRUE,AND(V681:AE681))</f>
        <v>0</v>
      </c>
      <c r="S681">
        <f>COUNTBLANK(Metadata!B681:K681)=COLUMNS(Metadata!B681:K681)</f>
        <v>0</v>
      </c>
      <c r="T681">
        <v>0</v>
      </c>
      <c r="V681">
        <f>AND(IF(Metadata!B681="",FALSE,TRUE),COUNTIF(Metadata!B:B, Metadata!B681) = 1,NOT(ISERROR(SUMPRODUCT(SEARCH(MID(Metadata!B681,ROW(INDIRECT("1:"&amp;LEN(Metadata!B681))), 1),"0123456789abcdefghijklmnopqrstuvwxyzABCDEFGHIJKLMNOPQRSTUVWXYZ.")))))</f>
        <v>0</v>
      </c>
      <c r="W681">
        <f>AND(IF(Metadata!C681="",FALSE,TRUE),exact(Metadata!C681,"urban biome"))</f>
        <v>0</v>
      </c>
      <c r="X681">
        <f>AND(IF(Metadata!D681="",FALSE,TRUE),exact(Metadata!D681,"animal-associated habitat"))</f>
        <v>0</v>
      </c>
      <c r="Y681">
        <f>OR(AND(IF(Metadata!E681="",FALSE,TRUE),OR(exact(Metadata!E681,"not applicable"),exact(Metadata!E681,"missing: not collected"),exact(Metadata!E681,"missing: not provided"),exact(Metadata!E681,"missing: restricted access"))),AND(IF(Metadata!E681="",FALSE,ISNUMBER(VALUE(Metadata!E681))),Metadata!E681&gt;0))</f>
        <v>0</v>
      </c>
      <c r="Z681">
        <f>AND(IF(Metadata!F681="",FALSE,TRUE),exact(Metadata!F681,"weeks"))</f>
        <v>0</v>
      </c>
      <c r="AA681">
        <f>AND(IF(Metadata!G681="",FALSE,TRUE),exact(Metadata!G681,"mouse"))</f>
        <v>0</v>
      </c>
      <c r="AB681">
        <f>AND(IF(Metadata!H681="",FALSE,TRUE),exact(Metadata!H681,"Mus musculus"))</f>
        <v>0</v>
      </c>
      <c r="AC681">
        <f>AND(IF(Metadata!I681="",FALSE,TRUE),exact(Metadata!I681,"10090"))</f>
        <v>0</v>
      </c>
      <c r="AD681">
        <f>OR(AND(IF(Metadata!J681="",FALSE,TRUE),OR(exact(Metadata!J681,"not applicable"),exact(Metadata!J681,"missing: not collected"),exact(Metadata!J681,"missing: not provided"),exact(Metadata!J681,"missing: restricted access"))),AND(IF(Metadata!J681="",FALSE,ISNUMBER(VALUE(Metadata!J681))),Metadata!J681&gt;0))</f>
        <v>0</v>
      </c>
      <c r="AE681">
        <f>AND(IF(Metadata!K681="",FALSE,TRUE),exact(Metadata!K681,"g"))</f>
        <v>0</v>
      </c>
    </row>
    <row r="682" spans="1:31">
      <c r="A682" s="5">
        <f>IF(B682=" "," ",HYPERLINK(CONCATENATE("#metadata!",ADDRESS(INDEX($Q$2:$Q$1001,MATCH(ROWS($O$2:O682),$O$2:$O$1001,0),0),1)),INDEX($T$2:$T$1001,MATCH(ROWS($O$2:O682),$O$2:$O$1001,0),0)))</f>
        <v>0</v>
      </c>
      <c r="B682" s="4">
        <f>IF(OR(INDEX($P$2:$P$1001,MATCH(ROWS($O$2:O682),$O$2:$O$1001,0),1)&gt;=100000,INDEX($V$1005:$AE$1005,1,MATCH(COLUMNS($V$1006:V1006),$V$1006:$AE$1006,0))&gt;=100000), " ",IF(INDEX($V$2:$AE$1001,MATCH(ROWS($O$2:O682),$O$2:$O$1001,0),MATCH(COLUMNS($V$1006:V1006),$V$1006:$AE$1006,0)), HYPERLINK("#",""), HYPERLINK(CONCATENATE("#Metadata!", ADDRESS(INDEX($Q$2:$Q$1001,MATCH(ROWS($O$2:O682),$O$2:$O$1001,0),0), INDEX($V$1004:$AE$1004,1,MATCH(COLUMNS($V$1006:V1006),$V$1006:$AE$1006,0)))),"Fix")))</f>
        <v>0</v>
      </c>
      <c r="C682" s="4">
        <f>IF(OR(INDEX($P$2:$P$1001,MATCH(ROWS($O$2:O682),$O$2:$O$1001,0),1)&gt;=100000,INDEX($V$1005:$AE$1005,1,MATCH(COLUMNS($V$1006:W1006),$V$1006:$AE$1006,0))&gt;=100000), " ",IF(INDEX($V$2:$AE$1001,MATCH(ROWS($O$2:O682),$O$2:$O$1001,0),MATCH(COLUMNS($V$1006:W1006),$V$1006:$AE$1006,0)), HYPERLINK("#",""), HYPERLINK(CONCATENATE("#Metadata!", ADDRESS(INDEX($Q$2:$Q$1001,MATCH(ROWS($O$2:O682),$O$2:$O$1001,0),0), INDEX($V$1004:$AE$1004,1,MATCH(COLUMNS($V$1006:W1006),$V$1006:$AE$1006,0)))),"Fix")))</f>
        <v>0</v>
      </c>
      <c r="D682" s="4">
        <f>IF(OR(INDEX($P$2:$P$1001,MATCH(ROWS($O$2:O682),$O$2:$O$1001,0),1)&gt;=100000,INDEX($V$1005:$AE$1005,1,MATCH(COLUMNS($V$1006:X1006),$V$1006:$AE$1006,0))&gt;=100000), " ",IF(INDEX($V$2:$AE$1001,MATCH(ROWS($O$2:O682),$O$2:$O$1001,0),MATCH(COLUMNS($V$1006:X1006),$V$1006:$AE$1006,0)), HYPERLINK("#",""), HYPERLINK(CONCATENATE("#Metadata!", ADDRESS(INDEX($Q$2:$Q$1001,MATCH(ROWS($O$2:O682),$O$2:$O$1001,0),0), INDEX($V$1004:$AE$1004,1,MATCH(COLUMNS($V$1006:X1006),$V$1006:$AE$1006,0)))),"Fix")))</f>
        <v>0</v>
      </c>
      <c r="E682" s="4">
        <f>IF(OR(INDEX($P$2:$P$1001,MATCH(ROWS($O$2:O682),$O$2:$O$1001,0),1)&gt;=100000,INDEX($V$1005:$AE$1005,1,MATCH(COLUMNS($V$1006:Y1006),$V$1006:$AE$1006,0))&gt;=100000), " ",IF(INDEX($V$2:$AE$1001,MATCH(ROWS($O$2:O682),$O$2:$O$1001,0),MATCH(COLUMNS($V$1006:Y1006),$V$1006:$AE$1006,0)), HYPERLINK("#",""), HYPERLINK(CONCATENATE("#Metadata!", ADDRESS(INDEX($Q$2:$Q$1001,MATCH(ROWS($O$2:O682),$O$2:$O$1001,0),0), INDEX($V$1004:$AE$1004,1,MATCH(COLUMNS($V$1006:Y1006),$V$1006:$AE$1006,0)))),"Fix")))</f>
        <v>0</v>
      </c>
      <c r="F682" s="4">
        <f>IF(OR(INDEX($P$2:$P$1001,MATCH(ROWS($O$2:O682),$O$2:$O$1001,0),1)&gt;=100000,INDEX($V$1005:$AE$1005,1,MATCH(COLUMNS($V$1006:Z1006),$V$1006:$AE$1006,0))&gt;=100000), " ",IF(INDEX($V$2:$AE$1001,MATCH(ROWS($O$2:O682),$O$2:$O$1001,0),MATCH(COLUMNS($V$1006:Z1006),$V$1006:$AE$1006,0)), HYPERLINK("#",""), HYPERLINK(CONCATENATE("#Metadata!", ADDRESS(INDEX($Q$2:$Q$1001,MATCH(ROWS($O$2:O682),$O$2:$O$1001,0),0), INDEX($V$1004:$AE$1004,1,MATCH(COLUMNS($V$1006:Z1006),$V$1006:$AE$1006,0)))),"Fix")))</f>
        <v>0</v>
      </c>
      <c r="G682" s="4">
        <f>IF(OR(INDEX($P$2:$P$1001,MATCH(ROWS($O$2:O682),$O$2:$O$1001,0),1)&gt;=100000,INDEX($V$1005:$AE$1005,1,MATCH(COLUMNS($V$1006:AA1006),$V$1006:$AE$1006,0))&gt;=100000), " ",IF(INDEX($V$2:$AE$1001,MATCH(ROWS($O$2:O682),$O$2:$O$1001,0),MATCH(COLUMNS($V$1006:AA1006),$V$1006:$AE$1006,0)), HYPERLINK("#",""), HYPERLINK(CONCATENATE("#Metadata!", ADDRESS(INDEX($Q$2:$Q$1001,MATCH(ROWS($O$2:O682),$O$2:$O$1001,0),0), INDEX($V$1004:$AE$1004,1,MATCH(COLUMNS($V$1006:AA1006),$V$1006:$AE$1006,0)))),"Fix")))</f>
        <v>0</v>
      </c>
      <c r="H682" s="4">
        <f>IF(OR(INDEX($P$2:$P$1001,MATCH(ROWS($O$2:O682),$O$2:$O$1001,0),1)&gt;=100000,INDEX($V$1005:$AE$1005,1,MATCH(COLUMNS($V$1006:AB1006),$V$1006:$AE$1006,0))&gt;=100000), " ",IF(INDEX($V$2:$AE$1001,MATCH(ROWS($O$2:O682),$O$2:$O$1001,0),MATCH(COLUMNS($V$1006:AB1006),$V$1006:$AE$1006,0)), HYPERLINK("#",""), HYPERLINK(CONCATENATE("#Metadata!", ADDRESS(INDEX($Q$2:$Q$1001,MATCH(ROWS($O$2:O682),$O$2:$O$1001,0),0), INDEX($V$1004:$AE$1004,1,MATCH(COLUMNS($V$1006:AB1006),$V$1006:$AE$1006,0)))),"Fix")))</f>
        <v>0</v>
      </c>
      <c r="I682" s="4">
        <f>IF(OR(INDEX($P$2:$P$1001,MATCH(ROWS($O$2:O682),$O$2:$O$1001,0),1)&gt;=100000,INDEX($V$1005:$AE$1005,1,MATCH(COLUMNS($V$1006:AC1006),$V$1006:$AE$1006,0))&gt;=100000), " ",IF(INDEX($V$2:$AE$1001,MATCH(ROWS($O$2:O682),$O$2:$O$1001,0),MATCH(COLUMNS($V$1006:AC1006),$V$1006:$AE$1006,0)), HYPERLINK("#",""), HYPERLINK(CONCATENATE("#Metadata!", ADDRESS(INDEX($Q$2:$Q$1001,MATCH(ROWS($O$2:O682),$O$2:$O$1001,0),0), INDEX($V$1004:$AE$1004,1,MATCH(COLUMNS($V$1006:AC1006),$V$1006:$AE$1006,0)))),"Fix")))</f>
        <v>0</v>
      </c>
      <c r="J682" s="4">
        <f>IF(OR(INDEX($P$2:$P$1001,MATCH(ROWS($O$2:O682),$O$2:$O$1001,0),1)&gt;=100000,INDEX($V$1005:$AE$1005,1,MATCH(COLUMNS($V$1006:AD1006),$V$1006:$AE$1006,0))&gt;=100000), " ",IF(INDEX($V$2:$AE$1001,MATCH(ROWS($O$2:O682),$O$2:$O$1001,0),MATCH(COLUMNS($V$1006:AD1006),$V$1006:$AE$1006,0)), HYPERLINK("#",""), HYPERLINK(CONCATENATE("#Metadata!", ADDRESS(INDEX($Q$2:$Q$1001,MATCH(ROWS($O$2:O682),$O$2:$O$1001,0),0), INDEX($V$1004:$AE$1004,1,MATCH(COLUMNS($V$1006:AD1006),$V$1006:$AE$1006,0)))),"Fix")))</f>
        <v>0</v>
      </c>
      <c r="K682" s="4">
        <f>IF(OR(INDEX($P$2:$P$1001,MATCH(ROWS($O$2:O682),$O$2:$O$1001,0),1)&gt;=100000,INDEX($V$1005:$AE$1005,1,MATCH(COLUMNS($V$1006:AE1006),$V$1006:$AE$1006,0))&gt;=100000), " ",IF(INDEX($V$2:$AE$1001,MATCH(ROWS($O$2:O682),$O$2:$O$1001,0),MATCH(COLUMNS($V$1006:AE1006),$V$1006:$AE$1006,0)), HYPERLINK("#",""), HYPERLINK(CONCATENATE("#Metadata!", ADDRESS(INDEX($Q$2:$Q$1001,MATCH(ROWS($O$2:O682),$O$2:$O$1001,0),0), INDEX($V$1004:$AE$1004,1,MATCH(COLUMNS($V$1006:AE1006),$V$1006:$AE$1006,0)))),"Fix")))</f>
        <v>0</v>
      </c>
      <c r="O682">
        <v>0</v>
      </c>
      <c r="P682">
        <v>0</v>
      </c>
      <c r="Q682">
        <v>0</v>
      </c>
      <c r="R682">
        <f>IF(S682,TRUE,AND(V682:AE682))</f>
        <v>0</v>
      </c>
      <c r="S682">
        <f>COUNTBLANK(Metadata!B682:K682)=COLUMNS(Metadata!B682:K682)</f>
        <v>0</v>
      </c>
      <c r="T682">
        <v>0</v>
      </c>
      <c r="V682">
        <f>AND(IF(Metadata!B682="",FALSE,TRUE),COUNTIF(Metadata!B:B, Metadata!B682) = 1,NOT(ISERROR(SUMPRODUCT(SEARCH(MID(Metadata!B682,ROW(INDIRECT("1:"&amp;LEN(Metadata!B682))), 1),"0123456789abcdefghijklmnopqrstuvwxyzABCDEFGHIJKLMNOPQRSTUVWXYZ.")))))</f>
        <v>0</v>
      </c>
      <c r="W682">
        <f>AND(IF(Metadata!C682="",FALSE,TRUE),exact(Metadata!C682,"urban biome"))</f>
        <v>0</v>
      </c>
      <c r="X682">
        <f>AND(IF(Metadata!D682="",FALSE,TRUE),exact(Metadata!D682,"animal-associated habitat"))</f>
        <v>0</v>
      </c>
      <c r="Y682">
        <f>OR(AND(IF(Metadata!E682="",FALSE,TRUE),OR(exact(Metadata!E682,"not applicable"),exact(Metadata!E682,"missing: not collected"),exact(Metadata!E682,"missing: not provided"),exact(Metadata!E682,"missing: restricted access"))),AND(IF(Metadata!E682="",FALSE,ISNUMBER(VALUE(Metadata!E682))),Metadata!E682&gt;0))</f>
        <v>0</v>
      </c>
      <c r="Z682">
        <f>AND(IF(Metadata!F682="",FALSE,TRUE),exact(Metadata!F682,"weeks"))</f>
        <v>0</v>
      </c>
      <c r="AA682">
        <f>AND(IF(Metadata!G682="",FALSE,TRUE),exact(Metadata!G682,"mouse"))</f>
        <v>0</v>
      </c>
      <c r="AB682">
        <f>AND(IF(Metadata!H682="",FALSE,TRUE),exact(Metadata!H682,"Mus musculus"))</f>
        <v>0</v>
      </c>
      <c r="AC682">
        <f>AND(IF(Metadata!I682="",FALSE,TRUE),exact(Metadata!I682,"10090"))</f>
        <v>0</v>
      </c>
      <c r="AD682">
        <f>OR(AND(IF(Metadata!J682="",FALSE,TRUE),OR(exact(Metadata!J682,"not applicable"),exact(Metadata!J682,"missing: not collected"),exact(Metadata!J682,"missing: not provided"),exact(Metadata!J682,"missing: restricted access"))),AND(IF(Metadata!J682="",FALSE,ISNUMBER(VALUE(Metadata!J682))),Metadata!J682&gt;0))</f>
        <v>0</v>
      </c>
      <c r="AE682">
        <f>AND(IF(Metadata!K682="",FALSE,TRUE),exact(Metadata!K682,"g"))</f>
        <v>0</v>
      </c>
    </row>
    <row r="683" spans="1:31">
      <c r="A683" s="5">
        <f>IF(B683=" "," ",HYPERLINK(CONCATENATE("#metadata!",ADDRESS(INDEX($Q$2:$Q$1001,MATCH(ROWS($O$2:O683),$O$2:$O$1001,0),0),1)),INDEX($T$2:$T$1001,MATCH(ROWS($O$2:O683),$O$2:$O$1001,0),0)))</f>
        <v>0</v>
      </c>
      <c r="B683" s="4">
        <f>IF(OR(INDEX($P$2:$P$1001,MATCH(ROWS($O$2:O683),$O$2:$O$1001,0),1)&gt;=100000,INDEX($V$1005:$AE$1005,1,MATCH(COLUMNS($V$1006:V1006),$V$1006:$AE$1006,0))&gt;=100000), " ",IF(INDEX($V$2:$AE$1001,MATCH(ROWS($O$2:O683),$O$2:$O$1001,0),MATCH(COLUMNS($V$1006:V1006),$V$1006:$AE$1006,0)), HYPERLINK("#",""), HYPERLINK(CONCATENATE("#Metadata!", ADDRESS(INDEX($Q$2:$Q$1001,MATCH(ROWS($O$2:O683),$O$2:$O$1001,0),0), INDEX($V$1004:$AE$1004,1,MATCH(COLUMNS($V$1006:V1006),$V$1006:$AE$1006,0)))),"Fix")))</f>
        <v>0</v>
      </c>
      <c r="C683" s="4">
        <f>IF(OR(INDEX($P$2:$P$1001,MATCH(ROWS($O$2:O683),$O$2:$O$1001,0),1)&gt;=100000,INDEX($V$1005:$AE$1005,1,MATCH(COLUMNS($V$1006:W1006),$V$1006:$AE$1006,0))&gt;=100000), " ",IF(INDEX($V$2:$AE$1001,MATCH(ROWS($O$2:O683),$O$2:$O$1001,0),MATCH(COLUMNS($V$1006:W1006),$V$1006:$AE$1006,0)), HYPERLINK("#",""), HYPERLINK(CONCATENATE("#Metadata!", ADDRESS(INDEX($Q$2:$Q$1001,MATCH(ROWS($O$2:O683),$O$2:$O$1001,0),0), INDEX($V$1004:$AE$1004,1,MATCH(COLUMNS($V$1006:W1006),$V$1006:$AE$1006,0)))),"Fix")))</f>
        <v>0</v>
      </c>
      <c r="D683" s="4">
        <f>IF(OR(INDEX($P$2:$P$1001,MATCH(ROWS($O$2:O683),$O$2:$O$1001,0),1)&gt;=100000,INDEX($V$1005:$AE$1005,1,MATCH(COLUMNS($V$1006:X1006),$V$1006:$AE$1006,0))&gt;=100000), " ",IF(INDEX($V$2:$AE$1001,MATCH(ROWS($O$2:O683),$O$2:$O$1001,0),MATCH(COLUMNS($V$1006:X1006),$V$1006:$AE$1006,0)), HYPERLINK("#",""), HYPERLINK(CONCATENATE("#Metadata!", ADDRESS(INDEX($Q$2:$Q$1001,MATCH(ROWS($O$2:O683),$O$2:$O$1001,0),0), INDEX($V$1004:$AE$1004,1,MATCH(COLUMNS($V$1006:X1006),$V$1006:$AE$1006,0)))),"Fix")))</f>
        <v>0</v>
      </c>
      <c r="E683" s="4">
        <f>IF(OR(INDEX($P$2:$P$1001,MATCH(ROWS($O$2:O683),$O$2:$O$1001,0),1)&gt;=100000,INDEX($V$1005:$AE$1005,1,MATCH(COLUMNS($V$1006:Y1006),$V$1006:$AE$1006,0))&gt;=100000), " ",IF(INDEX($V$2:$AE$1001,MATCH(ROWS($O$2:O683),$O$2:$O$1001,0),MATCH(COLUMNS($V$1006:Y1006),$V$1006:$AE$1006,0)), HYPERLINK("#",""), HYPERLINK(CONCATENATE("#Metadata!", ADDRESS(INDEX($Q$2:$Q$1001,MATCH(ROWS($O$2:O683),$O$2:$O$1001,0),0), INDEX($V$1004:$AE$1004,1,MATCH(COLUMNS($V$1006:Y1006),$V$1006:$AE$1006,0)))),"Fix")))</f>
        <v>0</v>
      </c>
      <c r="F683" s="4">
        <f>IF(OR(INDEX($P$2:$P$1001,MATCH(ROWS($O$2:O683),$O$2:$O$1001,0),1)&gt;=100000,INDEX($V$1005:$AE$1005,1,MATCH(COLUMNS($V$1006:Z1006),$V$1006:$AE$1006,0))&gt;=100000), " ",IF(INDEX($V$2:$AE$1001,MATCH(ROWS($O$2:O683),$O$2:$O$1001,0),MATCH(COLUMNS($V$1006:Z1006),$V$1006:$AE$1006,0)), HYPERLINK("#",""), HYPERLINK(CONCATENATE("#Metadata!", ADDRESS(INDEX($Q$2:$Q$1001,MATCH(ROWS($O$2:O683),$O$2:$O$1001,0),0), INDEX($V$1004:$AE$1004,1,MATCH(COLUMNS($V$1006:Z1006),$V$1006:$AE$1006,0)))),"Fix")))</f>
        <v>0</v>
      </c>
      <c r="G683" s="4">
        <f>IF(OR(INDEX($P$2:$P$1001,MATCH(ROWS($O$2:O683),$O$2:$O$1001,0),1)&gt;=100000,INDEX($V$1005:$AE$1005,1,MATCH(COLUMNS($V$1006:AA1006),$V$1006:$AE$1006,0))&gt;=100000), " ",IF(INDEX($V$2:$AE$1001,MATCH(ROWS($O$2:O683),$O$2:$O$1001,0),MATCH(COLUMNS($V$1006:AA1006),$V$1006:$AE$1006,0)), HYPERLINK("#",""), HYPERLINK(CONCATENATE("#Metadata!", ADDRESS(INDEX($Q$2:$Q$1001,MATCH(ROWS($O$2:O683),$O$2:$O$1001,0),0), INDEX($V$1004:$AE$1004,1,MATCH(COLUMNS($V$1006:AA1006),$V$1006:$AE$1006,0)))),"Fix")))</f>
        <v>0</v>
      </c>
      <c r="H683" s="4">
        <f>IF(OR(INDEX($P$2:$P$1001,MATCH(ROWS($O$2:O683),$O$2:$O$1001,0),1)&gt;=100000,INDEX($V$1005:$AE$1005,1,MATCH(COLUMNS($V$1006:AB1006),$V$1006:$AE$1006,0))&gt;=100000), " ",IF(INDEX($V$2:$AE$1001,MATCH(ROWS($O$2:O683),$O$2:$O$1001,0),MATCH(COLUMNS($V$1006:AB1006),$V$1006:$AE$1006,0)), HYPERLINK("#",""), HYPERLINK(CONCATENATE("#Metadata!", ADDRESS(INDEX($Q$2:$Q$1001,MATCH(ROWS($O$2:O683),$O$2:$O$1001,0),0), INDEX($V$1004:$AE$1004,1,MATCH(COLUMNS($V$1006:AB1006),$V$1006:$AE$1006,0)))),"Fix")))</f>
        <v>0</v>
      </c>
      <c r="I683" s="4">
        <f>IF(OR(INDEX($P$2:$P$1001,MATCH(ROWS($O$2:O683),$O$2:$O$1001,0),1)&gt;=100000,INDEX($V$1005:$AE$1005,1,MATCH(COLUMNS($V$1006:AC1006),$V$1006:$AE$1006,0))&gt;=100000), " ",IF(INDEX($V$2:$AE$1001,MATCH(ROWS($O$2:O683),$O$2:$O$1001,0),MATCH(COLUMNS($V$1006:AC1006),$V$1006:$AE$1006,0)), HYPERLINK("#",""), HYPERLINK(CONCATENATE("#Metadata!", ADDRESS(INDEX($Q$2:$Q$1001,MATCH(ROWS($O$2:O683),$O$2:$O$1001,0),0), INDEX($V$1004:$AE$1004,1,MATCH(COLUMNS($V$1006:AC1006),$V$1006:$AE$1006,0)))),"Fix")))</f>
        <v>0</v>
      </c>
      <c r="J683" s="4">
        <f>IF(OR(INDEX($P$2:$P$1001,MATCH(ROWS($O$2:O683),$O$2:$O$1001,0),1)&gt;=100000,INDEX($V$1005:$AE$1005,1,MATCH(COLUMNS($V$1006:AD1006),$V$1006:$AE$1006,0))&gt;=100000), " ",IF(INDEX($V$2:$AE$1001,MATCH(ROWS($O$2:O683),$O$2:$O$1001,0),MATCH(COLUMNS($V$1006:AD1006),$V$1006:$AE$1006,0)), HYPERLINK("#",""), HYPERLINK(CONCATENATE("#Metadata!", ADDRESS(INDEX($Q$2:$Q$1001,MATCH(ROWS($O$2:O683),$O$2:$O$1001,0),0), INDEX($V$1004:$AE$1004,1,MATCH(COLUMNS($V$1006:AD1006),$V$1006:$AE$1006,0)))),"Fix")))</f>
        <v>0</v>
      </c>
      <c r="K683" s="4">
        <f>IF(OR(INDEX($P$2:$P$1001,MATCH(ROWS($O$2:O683),$O$2:$O$1001,0),1)&gt;=100000,INDEX($V$1005:$AE$1005,1,MATCH(COLUMNS($V$1006:AE1006),$V$1006:$AE$1006,0))&gt;=100000), " ",IF(INDEX($V$2:$AE$1001,MATCH(ROWS($O$2:O683),$O$2:$O$1001,0),MATCH(COLUMNS($V$1006:AE1006),$V$1006:$AE$1006,0)), HYPERLINK("#",""), HYPERLINK(CONCATENATE("#Metadata!", ADDRESS(INDEX($Q$2:$Q$1001,MATCH(ROWS($O$2:O683),$O$2:$O$1001,0),0), INDEX($V$1004:$AE$1004,1,MATCH(COLUMNS($V$1006:AE1006),$V$1006:$AE$1006,0)))),"Fix")))</f>
        <v>0</v>
      </c>
      <c r="O683">
        <v>0</v>
      </c>
      <c r="P683">
        <v>0</v>
      </c>
      <c r="Q683">
        <v>0</v>
      </c>
      <c r="R683">
        <f>IF(S683,TRUE,AND(V683:AE683))</f>
        <v>0</v>
      </c>
      <c r="S683">
        <f>COUNTBLANK(Metadata!B683:K683)=COLUMNS(Metadata!B683:K683)</f>
        <v>0</v>
      </c>
      <c r="T683">
        <v>0</v>
      </c>
      <c r="V683">
        <f>AND(IF(Metadata!B683="",FALSE,TRUE),COUNTIF(Metadata!B:B, Metadata!B683) = 1,NOT(ISERROR(SUMPRODUCT(SEARCH(MID(Metadata!B683,ROW(INDIRECT("1:"&amp;LEN(Metadata!B683))), 1),"0123456789abcdefghijklmnopqrstuvwxyzABCDEFGHIJKLMNOPQRSTUVWXYZ.")))))</f>
        <v>0</v>
      </c>
      <c r="W683">
        <f>AND(IF(Metadata!C683="",FALSE,TRUE),exact(Metadata!C683,"urban biome"))</f>
        <v>0</v>
      </c>
      <c r="X683">
        <f>AND(IF(Metadata!D683="",FALSE,TRUE),exact(Metadata!D683,"animal-associated habitat"))</f>
        <v>0</v>
      </c>
      <c r="Y683">
        <f>OR(AND(IF(Metadata!E683="",FALSE,TRUE),OR(exact(Metadata!E683,"not applicable"),exact(Metadata!E683,"missing: not collected"),exact(Metadata!E683,"missing: not provided"),exact(Metadata!E683,"missing: restricted access"))),AND(IF(Metadata!E683="",FALSE,ISNUMBER(VALUE(Metadata!E683))),Metadata!E683&gt;0))</f>
        <v>0</v>
      </c>
      <c r="Z683">
        <f>AND(IF(Metadata!F683="",FALSE,TRUE),exact(Metadata!F683,"weeks"))</f>
        <v>0</v>
      </c>
      <c r="AA683">
        <f>AND(IF(Metadata!G683="",FALSE,TRUE),exact(Metadata!G683,"mouse"))</f>
        <v>0</v>
      </c>
      <c r="AB683">
        <f>AND(IF(Metadata!H683="",FALSE,TRUE),exact(Metadata!H683,"Mus musculus"))</f>
        <v>0</v>
      </c>
      <c r="AC683">
        <f>AND(IF(Metadata!I683="",FALSE,TRUE),exact(Metadata!I683,"10090"))</f>
        <v>0</v>
      </c>
      <c r="AD683">
        <f>OR(AND(IF(Metadata!J683="",FALSE,TRUE),OR(exact(Metadata!J683,"not applicable"),exact(Metadata!J683,"missing: not collected"),exact(Metadata!J683,"missing: not provided"),exact(Metadata!J683,"missing: restricted access"))),AND(IF(Metadata!J683="",FALSE,ISNUMBER(VALUE(Metadata!J683))),Metadata!J683&gt;0))</f>
        <v>0</v>
      </c>
      <c r="AE683">
        <f>AND(IF(Metadata!K683="",FALSE,TRUE),exact(Metadata!K683,"g"))</f>
        <v>0</v>
      </c>
    </row>
    <row r="684" spans="1:31">
      <c r="A684" s="5">
        <f>IF(B684=" "," ",HYPERLINK(CONCATENATE("#metadata!",ADDRESS(INDEX($Q$2:$Q$1001,MATCH(ROWS($O$2:O684),$O$2:$O$1001,0),0),1)),INDEX($T$2:$T$1001,MATCH(ROWS($O$2:O684),$O$2:$O$1001,0),0)))</f>
        <v>0</v>
      </c>
      <c r="B684" s="4">
        <f>IF(OR(INDEX($P$2:$P$1001,MATCH(ROWS($O$2:O684),$O$2:$O$1001,0),1)&gt;=100000,INDEX($V$1005:$AE$1005,1,MATCH(COLUMNS($V$1006:V1006),$V$1006:$AE$1006,0))&gt;=100000), " ",IF(INDEX($V$2:$AE$1001,MATCH(ROWS($O$2:O684),$O$2:$O$1001,0),MATCH(COLUMNS($V$1006:V1006),$V$1006:$AE$1006,0)), HYPERLINK("#",""), HYPERLINK(CONCATENATE("#Metadata!", ADDRESS(INDEX($Q$2:$Q$1001,MATCH(ROWS($O$2:O684),$O$2:$O$1001,0),0), INDEX($V$1004:$AE$1004,1,MATCH(COLUMNS($V$1006:V1006),$V$1006:$AE$1006,0)))),"Fix")))</f>
        <v>0</v>
      </c>
      <c r="C684" s="4">
        <f>IF(OR(INDEX($P$2:$P$1001,MATCH(ROWS($O$2:O684),$O$2:$O$1001,0),1)&gt;=100000,INDEX($V$1005:$AE$1005,1,MATCH(COLUMNS($V$1006:W1006),$V$1006:$AE$1006,0))&gt;=100000), " ",IF(INDEX($V$2:$AE$1001,MATCH(ROWS($O$2:O684),$O$2:$O$1001,0),MATCH(COLUMNS($V$1006:W1006),$V$1006:$AE$1006,0)), HYPERLINK("#",""), HYPERLINK(CONCATENATE("#Metadata!", ADDRESS(INDEX($Q$2:$Q$1001,MATCH(ROWS($O$2:O684),$O$2:$O$1001,0),0), INDEX($V$1004:$AE$1004,1,MATCH(COLUMNS($V$1006:W1006),$V$1006:$AE$1006,0)))),"Fix")))</f>
        <v>0</v>
      </c>
      <c r="D684" s="4">
        <f>IF(OR(INDEX($P$2:$P$1001,MATCH(ROWS($O$2:O684),$O$2:$O$1001,0),1)&gt;=100000,INDEX($V$1005:$AE$1005,1,MATCH(COLUMNS($V$1006:X1006),$V$1006:$AE$1006,0))&gt;=100000), " ",IF(INDEX($V$2:$AE$1001,MATCH(ROWS($O$2:O684),$O$2:$O$1001,0),MATCH(COLUMNS($V$1006:X1006),$V$1006:$AE$1006,0)), HYPERLINK("#",""), HYPERLINK(CONCATENATE("#Metadata!", ADDRESS(INDEX($Q$2:$Q$1001,MATCH(ROWS($O$2:O684),$O$2:$O$1001,0),0), INDEX($V$1004:$AE$1004,1,MATCH(COLUMNS($V$1006:X1006),$V$1006:$AE$1006,0)))),"Fix")))</f>
        <v>0</v>
      </c>
      <c r="E684" s="4">
        <f>IF(OR(INDEX($P$2:$P$1001,MATCH(ROWS($O$2:O684),$O$2:$O$1001,0),1)&gt;=100000,INDEX($V$1005:$AE$1005,1,MATCH(COLUMNS($V$1006:Y1006),$V$1006:$AE$1006,0))&gt;=100000), " ",IF(INDEX($V$2:$AE$1001,MATCH(ROWS($O$2:O684),$O$2:$O$1001,0),MATCH(COLUMNS($V$1006:Y1006),$V$1006:$AE$1006,0)), HYPERLINK("#",""), HYPERLINK(CONCATENATE("#Metadata!", ADDRESS(INDEX($Q$2:$Q$1001,MATCH(ROWS($O$2:O684),$O$2:$O$1001,0),0), INDEX($V$1004:$AE$1004,1,MATCH(COLUMNS($V$1006:Y1006),$V$1006:$AE$1006,0)))),"Fix")))</f>
        <v>0</v>
      </c>
      <c r="F684" s="4">
        <f>IF(OR(INDEX($P$2:$P$1001,MATCH(ROWS($O$2:O684),$O$2:$O$1001,0),1)&gt;=100000,INDEX($V$1005:$AE$1005,1,MATCH(COLUMNS($V$1006:Z1006),$V$1006:$AE$1006,0))&gt;=100000), " ",IF(INDEX($V$2:$AE$1001,MATCH(ROWS($O$2:O684),$O$2:$O$1001,0),MATCH(COLUMNS($V$1006:Z1006),$V$1006:$AE$1006,0)), HYPERLINK("#",""), HYPERLINK(CONCATENATE("#Metadata!", ADDRESS(INDEX($Q$2:$Q$1001,MATCH(ROWS($O$2:O684),$O$2:$O$1001,0),0), INDEX($V$1004:$AE$1004,1,MATCH(COLUMNS($V$1006:Z1006),$V$1006:$AE$1006,0)))),"Fix")))</f>
        <v>0</v>
      </c>
      <c r="G684" s="4">
        <f>IF(OR(INDEX($P$2:$P$1001,MATCH(ROWS($O$2:O684),$O$2:$O$1001,0),1)&gt;=100000,INDEX($V$1005:$AE$1005,1,MATCH(COLUMNS($V$1006:AA1006),$V$1006:$AE$1006,0))&gt;=100000), " ",IF(INDEX($V$2:$AE$1001,MATCH(ROWS($O$2:O684),$O$2:$O$1001,0),MATCH(COLUMNS($V$1006:AA1006),$V$1006:$AE$1006,0)), HYPERLINK("#",""), HYPERLINK(CONCATENATE("#Metadata!", ADDRESS(INDEX($Q$2:$Q$1001,MATCH(ROWS($O$2:O684),$O$2:$O$1001,0),0), INDEX($V$1004:$AE$1004,1,MATCH(COLUMNS($V$1006:AA1006),$V$1006:$AE$1006,0)))),"Fix")))</f>
        <v>0</v>
      </c>
      <c r="H684" s="4">
        <f>IF(OR(INDEX($P$2:$P$1001,MATCH(ROWS($O$2:O684),$O$2:$O$1001,0),1)&gt;=100000,INDEX($V$1005:$AE$1005,1,MATCH(COLUMNS($V$1006:AB1006),$V$1006:$AE$1006,0))&gt;=100000), " ",IF(INDEX($V$2:$AE$1001,MATCH(ROWS($O$2:O684),$O$2:$O$1001,0),MATCH(COLUMNS($V$1006:AB1006),$V$1006:$AE$1006,0)), HYPERLINK("#",""), HYPERLINK(CONCATENATE("#Metadata!", ADDRESS(INDEX($Q$2:$Q$1001,MATCH(ROWS($O$2:O684),$O$2:$O$1001,0),0), INDEX($V$1004:$AE$1004,1,MATCH(COLUMNS($V$1006:AB1006),$V$1006:$AE$1006,0)))),"Fix")))</f>
        <v>0</v>
      </c>
      <c r="I684" s="4">
        <f>IF(OR(INDEX($P$2:$P$1001,MATCH(ROWS($O$2:O684),$O$2:$O$1001,0),1)&gt;=100000,INDEX($V$1005:$AE$1005,1,MATCH(COLUMNS($V$1006:AC1006),$V$1006:$AE$1006,0))&gt;=100000), " ",IF(INDEX($V$2:$AE$1001,MATCH(ROWS($O$2:O684),$O$2:$O$1001,0),MATCH(COLUMNS($V$1006:AC1006),$V$1006:$AE$1006,0)), HYPERLINK("#",""), HYPERLINK(CONCATENATE("#Metadata!", ADDRESS(INDEX($Q$2:$Q$1001,MATCH(ROWS($O$2:O684),$O$2:$O$1001,0),0), INDEX($V$1004:$AE$1004,1,MATCH(COLUMNS($V$1006:AC1006),$V$1006:$AE$1006,0)))),"Fix")))</f>
        <v>0</v>
      </c>
      <c r="J684" s="4">
        <f>IF(OR(INDEX($P$2:$P$1001,MATCH(ROWS($O$2:O684),$O$2:$O$1001,0),1)&gt;=100000,INDEX($V$1005:$AE$1005,1,MATCH(COLUMNS($V$1006:AD1006),$V$1006:$AE$1006,0))&gt;=100000), " ",IF(INDEX($V$2:$AE$1001,MATCH(ROWS($O$2:O684),$O$2:$O$1001,0),MATCH(COLUMNS($V$1006:AD1006),$V$1006:$AE$1006,0)), HYPERLINK("#",""), HYPERLINK(CONCATENATE("#Metadata!", ADDRESS(INDEX($Q$2:$Q$1001,MATCH(ROWS($O$2:O684),$O$2:$O$1001,0),0), INDEX($V$1004:$AE$1004,1,MATCH(COLUMNS($V$1006:AD1006),$V$1006:$AE$1006,0)))),"Fix")))</f>
        <v>0</v>
      </c>
      <c r="K684" s="4">
        <f>IF(OR(INDEX($P$2:$P$1001,MATCH(ROWS($O$2:O684),$O$2:$O$1001,0),1)&gt;=100000,INDEX($V$1005:$AE$1005,1,MATCH(COLUMNS($V$1006:AE1006),$V$1006:$AE$1006,0))&gt;=100000), " ",IF(INDEX($V$2:$AE$1001,MATCH(ROWS($O$2:O684),$O$2:$O$1001,0),MATCH(COLUMNS($V$1006:AE1006),$V$1006:$AE$1006,0)), HYPERLINK("#",""), HYPERLINK(CONCATENATE("#Metadata!", ADDRESS(INDEX($Q$2:$Q$1001,MATCH(ROWS($O$2:O684),$O$2:$O$1001,0),0), INDEX($V$1004:$AE$1004,1,MATCH(COLUMNS($V$1006:AE1006),$V$1006:$AE$1006,0)))),"Fix")))</f>
        <v>0</v>
      </c>
      <c r="O684">
        <v>0</v>
      </c>
      <c r="P684">
        <v>0</v>
      </c>
      <c r="Q684">
        <v>0</v>
      </c>
      <c r="R684">
        <f>IF(S684,TRUE,AND(V684:AE684))</f>
        <v>0</v>
      </c>
      <c r="S684">
        <f>COUNTBLANK(Metadata!B684:K684)=COLUMNS(Metadata!B684:K684)</f>
        <v>0</v>
      </c>
      <c r="T684">
        <v>0</v>
      </c>
      <c r="V684">
        <f>AND(IF(Metadata!B684="",FALSE,TRUE),COUNTIF(Metadata!B:B, Metadata!B684) = 1,NOT(ISERROR(SUMPRODUCT(SEARCH(MID(Metadata!B684,ROW(INDIRECT("1:"&amp;LEN(Metadata!B684))), 1),"0123456789abcdefghijklmnopqrstuvwxyzABCDEFGHIJKLMNOPQRSTUVWXYZ.")))))</f>
        <v>0</v>
      </c>
      <c r="W684">
        <f>AND(IF(Metadata!C684="",FALSE,TRUE),exact(Metadata!C684,"urban biome"))</f>
        <v>0</v>
      </c>
      <c r="X684">
        <f>AND(IF(Metadata!D684="",FALSE,TRUE),exact(Metadata!D684,"animal-associated habitat"))</f>
        <v>0</v>
      </c>
      <c r="Y684">
        <f>OR(AND(IF(Metadata!E684="",FALSE,TRUE),OR(exact(Metadata!E684,"not applicable"),exact(Metadata!E684,"missing: not collected"),exact(Metadata!E684,"missing: not provided"),exact(Metadata!E684,"missing: restricted access"))),AND(IF(Metadata!E684="",FALSE,ISNUMBER(VALUE(Metadata!E684))),Metadata!E684&gt;0))</f>
        <v>0</v>
      </c>
      <c r="Z684">
        <f>AND(IF(Metadata!F684="",FALSE,TRUE),exact(Metadata!F684,"weeks"))</f>
        <v>0</v>
      </c>
      <c r="AA684">
        <f>AND(IF(Metadata!G684="",FALSE,TRUE),exact(Metadata!G684,"mouse"))</f>
        <v>0</v>
      </c>
      <c r="AB684">
        <f>AND(IF(Metadata!H684="",FALSE,TRUE),exact(Metadata!H684,"Mus musculus"))</f>
        <v>0</v>
      </c>
      <c r="AC684">
        <f>AND(IF(Metadata!I684="",FALSE,TRUE),exact(Metadata!I684,"10090"))</f>
        <v>0</v>
      </c>
      <c r="AD684">
        <f>OR(AND(IF(Metadata!J684="",FALSE,TRUE),OR(exact(Metadata!J684,"not applicable"),exact(Metadata!J684,"missing: not collected"),exact(Metadata!J684,"missing: not provided"),exact(Metadata!J684,"missing: restricted access"))),AND(IF(Metadata!J684="",FALSE,ISNUMBER(VALUE(Metadata!J684))),Metadata!J684&gt;0))</f>
        <v>0</v>
      </c>
      <c r="AE684">
        <f>AND(IF(Metadata!K684="",FALSE,TRUE),exact(Metadata!K684,"g"))</f>
        <v>0</v>
      </c>
    </row>
    <row r="685" spans="1:31">
      <c r="A685" s="5">
        <f>IF(B685=" "," ",HYPERLINK(CONCATENATE("#metadata!",ADDRESS(INDEX($Q$2:$Q$1001,MATCH(ROWS($O$2:O685),$O$2:$O$1001,0),0),1)),INDEX($T$2:$T$1001,MATCH(ROWS($O$2:O685),$O$2:$O$1001,0),0)))</f>
        <v>0</v>
      </c>
      <c r="B685" s="4">
        <f>IF(OR(INDEX($P$2:$P$1001,MATCH(ROWS($O$2:O685),$O$2:$O$1001,0),1)&gt;=100000,INDEX($V$1005:$AE$1005,1,MATCH(COLUMNS($V$1006:V1006),$V$1006:$AE$1006,0))&gt;=100000), " ",IF(INDEX($V$2:$AE$1001,MATCH(ROWS($O$2:O685),$O$2:$O$1001,0),MATCH(COLUMNS($V$1006:V1006),$V$1006:$AE$1006,0)), HYPERLINK("#",""), HYPERLINK(CONCATENATE("#Metadata!", ADDRESS(INDEX($Q$2:$Q$1001,MATCH(ROWS($O$2:O685),$O$2:$O$1001,0),0), INDEX($V$1004:$AE$1004,1,MATCH(COLUMNS($V$1006:V1006),$V$1006:$AE$1006,0)))),"Fix")))</f>
        <v>0</v>
      </c>
      <c r="C685" s="4">
        <f>IF(OR(INDEX($P$2:$P$1001,MATCH(ROWS($O$2:O685),$O$2:$O$1001,0),1)&gt;=100000,INDEX($V$1005:$AE$1005,1,MATCH(COLUMNS($V$1006:W1006),$V$1006:$AE$1006,0))&gt;=100000), " ",IF(INDEX($V$2:$AE$1001,MATCH(ROWS($O$2:O685),$O$2:$O$1001,0),MATCH(COLUMNS($V$1006:W1006),$V$1006:$AE$1006,0)), HYPERLINK("#",""), HYPERLINK(CONCATENATE("#Metadata!", ADDRESS(INDEX($Q$2:$Q$1001,MATCH(ROWS($O$2:O685),$O$2:$O$1001,0),0), INDEX($V$1004:$AE$1004,1,MATCH(COLUMNS($V$1006:W1006),$V$1006:$AE$1006,0)))),"Fix")))</f>
        <v>0</v>
      </c>
      <c r="D685" s="4">
        <f>IF(OR(INDEX($P$2:$P$1001,MATCH(ROWS($O$2:O685),$O$2:$O$1001,0),1)&gt;=100000,INDEX($V$1005:$AE$1005,1,MATCH(COLUMNS($V$1006:X1006),$V$1006:$AE$1006,0))&gt;=100000), " ",IF(INDEX($V$2:$AE$1001,MATCH(ROWS($O$2:O685),$O$2:$O$1001,0),MATCH(COLUMNS($V$1006:X1006),$V$1006:$AE$1006,0)), HYPERLINK("#",""), HYPERLINK(CONCATENATE("#Metadata!", ADDRESS(INDEX($Q$2:$Q$1001,MATCH(ROWS($O$2:O685),$O$2:$O$1001,0),0), INDEX($V$1004:$AE$1004,1,MATCH(COLUMNS($V$1006:X1006),$V$1006:$AE$1006,0)))),"Fix")))</f>
        <v>0</v>
      </c>
      <c r="E685" s="4">
        <f>IF(OR(INDEX($P$2:$P$1001,MATCH(ROWS($O$2:O685),$O$2:$O$1001,0),1)&gt;=100000,INDEX($V$1005:$AE$1005,1,MATCH(COLUMNS($V$1006:Y1006),$V$1006:$AE$1006,0))&gt;=100000), " ",IF(INDEX($V$2:$AE$1001,MATCH(ROWS($O$2:O685),$O$2:$O$1001,0),MATCH(COLUMNS($V$1006:Y1006),$V$1006:$AE$1006,0)), HYPERLINK("#",""), HYPERLINK(CONCATENATE("#Metadata!", ADDRESS(INDEX($Q$2:$Q$1001,MATCH(ROWS($O$2:O685),$O$2:$O$1001,0),0), INDEX($V$1004:$AE$1004,1,MATCH(COLUMNS($V$1006:Y1006),$V$1006:$AE$1006,0)))),"Fix")))</f>
        <v>0</v>
      </c>
      <c r="F685" s="4">
        <f>IF(OR(INDEX($P$2:$P$1001,MATCH(ROWS($O$2:O685),$O$2:$O$1001,0),1)&gt;=100000,INDEX($V$1005:$AE$1005,1,MATCH(COLUMNS($V$1006:Z1006),$V$1006:$AE$1006,0))&gt;=100000), " ",IF(INDEX($V$2:$AE$1001,MATCH(ROWS($O$2:O685),$O$2:$O$1001,0),MATCH(COLUMNS($V$1006:Z1006),$V$1006:$AE$1006,0)), HYPERLINK("#",""), HYPERLINK(CONCATENATE("#Metadata!", ADDRESS(INDEX($Q$2:$Q$1001,MATCH(ROWS($O$2:O685),$O$2:$O$1001,0),0), INDEX($V$1004:$AE$1004,1,MATCH(COLUMNS($V$1006:Z1006),$V$1006:$AE$1006,0)))),"Fix")))</f>
        <v>0</v>
      </c>
      <c r="G685" s="4">
        <f>IF(OR(INDEX($P$2:$P$1001,MATCH(ROWS($O$2:O685),$O$2:$O$1001,0),1)&gt;=100000,INDEX($V$1005:$AE$1005,1,MATCH(COLUMNS($V$1006:AA1006),$V$1006:$AE$1006,0))&gt;=100000), " ",IF(INDEX($V$2:$AE$1001,MATCH(ROWS($O$2:O685),$O$2:$O$1001,0),MATCH(COLUMNS($V$1006:AA1006),$V$1006:$AE$1006,0)), HYPERLINK("#",""), HYPERLINK(CONCATENATE("#Metadata!", ADDRESS(INDEX($Q$2:$Q$1001,MATCH(ROWS($O$2:O685),$O$2:$O$1001,0),0), INDEX($V$1004:$AE$1004,1,MATCH(COLUMNS($V$1006:AA1006),$V$1006:$AE$1006,0)))),"Fix")))</f>
        <v>0</v>
      </c>
      <c r="H685" s="4">
        <f>IF(OR(INDEX($P$2:$P$1001,MATCH(ROWS($O$2:O685),$O$2:$O$1001,0),1)&gt;=100000,INDEX($V$1005:$AE$1005,1,MATCH(COLUMNS($V$1006:AB1006),$V$1006:$AE$1006,0))&gt;=100000), " ",IF(INDEX($V$2:$AE$1001,MATCH(ROWS($O$2:O685),$O$2:$O$1001,0),MATCH(COLUMNS($V$1006:AB1006),$V$1006:$AE$1006,0)), HYPERLINK("#",""), HYPERLINK(CONCATENATE("#Metadata!", ADDRESS(INDEX($Q$2:$Q$1001,MATCH(ROWS($O$2:O685),$O$2:$O$1001,0),0), INDEX($V$1004:$AE$1004,1,MATCH(COLUMNS($V$1006:AB1006),$V$1006:$AE$1006,0)))),"Fix")))</f>
        <v>0</v>
      </c>
      <c r="I685" s="4">
        <f>IF(OR(INDEX($P$2:$P$1001,MATCH(ROWS($O$2:O685),$O$2:$O$1001,0),1)&gt;=100000,INDEX($V$1005:$AE$1005,1,MATCH(COLUMNS($V$1006:AC1006),$V$1006:$AE$1006,0))&gt;=100000), " ",IF(INDEX($V$2:$AE$1001,MATCH(ROWS($O$2:O685),$O$2:$O$1001,0),MATCH(COLUMNS($V$1006:AC1006),$V$1006:$AE$1006,0)), HYPERLINK("#",""), HYPERLINK(CONCATENATE("#Metadata!", ADDRESS(INDEX($Q$2:$Q$1001,MATCH(ROWS($O$2:O685),$O$2:$O$1001,0),0), INDEX($V$1004:$AE$1004,1,MATCH(COLUMNS($V$1006:AC1006),$V$1006:$AE$1006,0)))),"Fix")))</f>
        <v>0</v>
      </c>
      <c r="J685" s="4">
        <f>IF(OR(INDEX($P$2:$P$1001,MATCH(ROWS($O$2:O685),$O$2:$O$1001,0),1)&gt;=100000,INDEX($V$1005:$AE$1005,1,MATCH(COLUMNS($V$1006:AD1006),$V$1006:$AE$1006,0))&gt;=100000), " ",IF(INDEX($V$2:$AE$1001,MATCH(ROWS($O$2:O685),$O$2:$O$1001,0),MATCH(COLUMNS($V$1006:AD1006),$V$1006:$AE$1006,0)), HYPERLINK("#",""), HYPERLINK(CONCATENATE("#Metadata!", ADDRESS(INDEX($Q$2:$Q$1001,MATCH(ROWS($O$2:O685),$O$2:$O$1001,0),0), INDEX($V$1004:$AE$1004,1,MATCH(COLUMNS($V$1006:AD1006),$V$1006:$AE$1006,0)))),"Fix")))</f>
        <v>0</v>
      </c>
      <c r="K685" s="4">
        <f>IF(OR(INDEX($P$2:$P$1001,MATCH(ROWS($O$2:O685),$O$2:$O$1001,0),1)&gt;=100000,INDEX($V$1005:$AE$1005,1,MATCH(COLUMNS($V$1006:AE1006),$V$1006:$AE$1006,0))&gt;=100000), " ",IF(INDEX($V$2:$AE$1001,MATCH(ROWS($O$2:O685),$O$2:$O$1001,0),MATCH(COLUMNS($V$1006:AE1006),$V$1006:$AE$1006,0)), HYPERLINK("#",""), HYPERLINK(CONCATENATE("#Metadata!", ADDRESS(INDEX($Q$2:$Q$1001,MATCH(ROWS($O$2:O685),$O$2:$O$1001,0),0), INDEX($V$1004:$AE$1004,1,MATCH(COLUMNS($V$1006:AE1006),$V$1006:$AE$1006,0)))),"Fix")))</f>
        <v>0</v>
      </c>
      <c r="O685">
        <v>0</v>
      </c>
      <c r="P685">
        <v>0</v>
      </c>
      <c r="Q685">
        <v>0</v>
      </c>
      <c r="R685">
        <f>IF(S685,TRUE,AND(V685:AE685))</f>
        <v>0</v>
      </c>
      <c r="S685">
        <f>COUNTBLANK(Metadata!B685:K685)=COLUMNS(Metadata!B685:K685)</f>
        <v>0</v>
      </c>
      <c r="T685">
        <v>0</v>
      </c>
      <c r="V685">
        <f>AND(IF(Metadata!B685="",FALSE,TRUE),COUNTIF(Metadata!B:B, Metadata!B685) = 1,NOT(ISERROR(SUMPRODUCT(SEARCH(MID(Metadata!B685,ROW(INDIRECT("1:"&amp;LEN(Metadata!B685))), 1),"0123456789abcdefghijklmnopqrstuvwxyzABCDEFGHIJKLMNOPQRSTUVWXYZ.")))))</f>
        <v>0</v>
      </c>
      <c r="W685">
        <f>AND(IF(Metadata!C685="",FALSE,TRUE),exact(Metadata!C685,"urban biome"))</f>
        <v>0</v>
      </c>
      <c r="X685">
        <f>AND(IF(Metadata!D685="",FALSE,TRUE),exact(Metadata!D685,"animal-associated habitat"))</f>
        <v>0</v>
      </c>
      <c r="Y685">
        <f>OR(AND(IF(Metadata!E685="",FALSE,TRUE),OR(exact(Metadata!E685,"not applicable"),exact(Metadata!E685,"missing: not collected"),exact(Metadata!E685,"missing: not provided"),exact(Metadata!E685,"missing: restricted access"))),AND(IF(Metadata!E685="",FALSE,ISNUMBER(VALUE(Metadata!E685))),Metadata!E685&gt;0))</f>
        <v>0</v>
      </c>
      <c r="Z685">
        <f>AND(IF(Metadata!F685="",FALSE,TRUE),exact(Metadata!F685,"weeks"))</f>
        <v>0</v>
      </c>
      <c r="AA685">
        <f>AND(IF(Metadata!G685="",FALSE,TRUE),exact(Metadata!G685,"mouse"))</f>
        <v>0</v>
      </c>
      <c r="AB685">
        <f>AND(IF(Metadata!H685="",FALSE,TRUE),exact(Metadata!H685,"Mus musculus"))</f>
        <v>0</v>
      </c>
      <c r="AC685">
        <f>AND(IF(Metadata!I685="",FALSE,TRUE),exact(Metadata!I685,"10090"))</f>
        <v>0</v>
      </c>
      <c r="AD685">
        <f>OR(AND(IF(Metadata!J685="",FALSE,TRUE),OR(exact(Metadata!J685,"not applicable"),exact(Metadata!J685,"missing: not collected"),exact(Metadata!J685,"missing: not provided"),exact(Metadata!J685,"missing: restricted access"))),AND(IF(Metadata!J685="",FALSE,ISNUMBER(VALUE(Metadata!J685))),Metadata!J685&gt;0))</f>
        <v>0</v>
      </c>
      <c r="AE685">
        <f>AND(IF(Metadata!K685="",FALSE,TRUE),exact(Metadata!K685,"g"))</f>
        <v>0</v>
      </c>
    </row>
    <row r="686" spans="1:31">
      <c r="A686" s="5">
        <f>IF(B686=" "," ",HYPERLINK(CONCATENATE("#metadata!",ADDRESS(INDEX($Q$2:$Q$1001,MATCH(ROWS($O$2:O686),$O$2:$O$1001,0),0),1)),INDEX($T$2:$T$1001,MATCH(ROWS($O$2:O686),$O$2:$O$1001,0),0)))</f>
        <v>0</v>
      </c>
      <c r="B686" s="4">
        <f>IF(OR(INDEX($P$2:$P$1001,MATCH(ROWS($O$2:O686),$O$2:$O$1001,0),1)&gt;=100000,INDEX($V$1005:$AE$1005,1,MATCH(COLUMNS($V$1006:V1006),$V$1006:$AE$1006,0))&gt;=100000), " ",IF(INDEX($V$2:$AE$1001,MATCH(ROWS($O$2:O686),$O$2:$O$1001,0),MATCH(COLUMNS($V$1006:V1006),$V$1006:$AE$1006,0)), HYPERLINK("#",""), HYPERLINK(CONCATENATE("#Metadata!", ADDRESS(INDEX($Q$2:$Q$1001,MATCH(ROWS($O$2:O686),$O$2:$O$1001,0),0), INDEX($V$1004:$AE$1004,1,MATCH(COLUMNS($V$1006:V1006),$V$1006:$AE$1006,0)))),"Fix")))</f>
        <v>0</v>
      </c>
      <c r="C686" s="4">
        <f>IF(OR(INDEX($P$2:$P$1001,MATCH(ROWS($O$2:O686),$O$2:$O$1001,0),1)&gt;=100000,INDEX($V$1005:$AE$1005,1,MATCH(COLUMNS($V$1006:W1006),$V$1006:$AE$1006,0))&gt;=100000), " ",IF(INDEX($V$2:$AE$1001,MATCH(ROWS($O$2:O686),$O$2:$O$1001,0),MATCH(COLUMNS($V$1006:W1006),$V$1006:$AE$1006,0)), HYPERLINK("#",""), HYPERLINK(CONCATENATE("#Metadata!", ADDRESS(INDEX($Q$2:$Q$1001,MATCH(ROWS($O$2:O686),$O$2:$O$1001,0),0), INDEX($V$1004:$AE$1004,1,MATCH(COLUMNS($V$1006:W1006),$V$1006:$AE$1006,0)))),"Fix")))</f>
        <v>0</v>
      </c>
      <c r="D686" s="4">
        <f>IF(OR(INDEX($P$2:$P$1001,MATCH(ROWS($O$2:O686),$O$2:$O$1001,0),1)&gt;=100000,INDEX($V$1005:$AE$1005,1,MATCH(COLUMNS($V$1006:X1006),$V$1006:$AE$1006,0))&gt;=100000), " ",IF(INDEX($V$2:$AE$1001,MATCH(ROWS($O$2:O686),$O$2:$O$1001,0),MATCH(COLUMNS($V$1006:X1006),$V$1006:$AE$1006,0)), HYPERLINK("#",""), HYPERLINK(CONCATENATE("#Metadata!", ADDRESS(INDEX($Q$2:$Q$1001,MATCH(ROWS($O$2:O686),$O$2:$O$1001,0),0), INDEX($V$1004:$AE$1004,1,MATCH(COLUMNS($V$1006:X1006),$V$1006:$AE$1006,0)))),"Fix")))</f>
        <v>0</v>
      </c>
      <c r="E686" s="4">
        <f>IF(OR(INDEX($P$2:$P$1001,MATCH(ROWS($O$2:O686),$O$2:$O$1001,0),1)&gt;=100000,INDEX($V$1005:$AE$1005,1,MATCH(COLUMNS($V$1006:Y1006),$V$1006:$AE$1006,0))&gt;=100000), " ",IF(INDEX($V$2:$AE$1001,MATCH(ROWS($O$2:O686),$O$2:$O$1001,0),MATCH(COLUMNS($V$1006:Y1006),$V$1006:$AE$1006,0)), HYPERLINK("#",""), HYPERLINK(CONCATENATE("#Metadata!", ADDRESS(INDEX($Q$2:$Q$1001,MATCH(ROWS($O$2:O686),$O$2:$O$1001,0),0), INDEX($V$1004:$AE$1004,1,MATCH(COLUMNS($V$1006:Y1006),$V$1006:$AE$1006,0)))),"Fix")))</f>
        <v>0</v>
      </c>
      <c r="F686" s="4">
        <f>IF(OR(INDEX($P$2:$P$1001,MATCH(ROWS($O$2:O686),$O$2:$O$1001,0),1)&gt;=100000,INDEX($V$1005:$AE$1005,1,MATCH(COLUMNS($V$1006:Z1006),$V$1006:$AE$1006,0))&gt;=100000), " ",IF(INDEX($V$2:$AE$1001,MATCH(ROWS($O$2:O686),$O$2:$O$1001,0),MATCH(COLUMNS($V$1006:Z1006),$V$1006:$AE$1006,0)), HYPERLINK("#",""), HYPERLINK(CONCATENATE("#Metadata!", ADDRESS(INDEX($Q$2:$Q$1001,MATCH(ROWS($O$2:O686),$O$2:$O$1001,0),0), INDEX($V$1004:$AE$1004,1,MATCH(COLUMNS($V$1006:Z1006),$V$1006:$AE$1006,0)))),"Fix")))</f>
        <v>0</v>
      </c>
      <c r="G686" s="4">
        <f>IF(OR(INDEX($P$2:$P$1001,MATCH(ROWS($O$2:O686),$O$2:$O$1001,0),1)&gt;=100000,INDEX($V$1005:$AE$1005,1,MATCH(COLUMNS($V$1006:AA1006),$V$1006:$AE$1006,0))&gt;=100000), " ",IF(INDEX($V$2:$AE$1001,MATCH(ROWS($O$2:O686),$O$2:$O$1001,0),MATCH(COLUMNS($V$1006:AA1006),$V$1006:$AE$1006,0)), HYPERLINK("#",""), HYPERLINK(CONCATENATE("#Metadata!", ADDRESS(INDEX($Q$2:$Q$1001,MATCH(ROWS($O$2:O686),$O$2:$O$1001,0),0), INDEX($V$1004:$AE$1004,1,MATCH(COLUMNS($V$1006:AA1006),$V$1006:$AE$1006,0)))),"Fix")))</f>
        <v>0</v>
      </c>
      <c r="H686" s="4">
        <f>IF(OR(INDEX($P$2:$P$1001,MATCH(ROWS($O$2:O686),$O$2:$O$1001,0),1)&gt;=100000,INDEX($V$1005:$AE$1005,1,MATCH(COLUMNS($V$1006:AB1006),$V$1006:$AE$1006,0))&gt;=100000), " ",IF(INDEX($V$2:$AE$1001,MATCH(ROWS($O$2:O686),$O$2:$O$1001,0),MATCH(COLUMNS($V$1006:AB1006),$V$1006:$AE$1006,0)), HYPERLINK("#",""), HYPERLINK(CONCATENATE("#Metadata!", ADDRESS(INDEX($Q$2:$Q$1001,MATCH(ROWS($O$2:O686),$O$2:$O$1001,0),0), INDEX($V$1004:$AE$1004,1,MATCH(COLUMNS($V$1006:AB1006),$V$1006:$AE$1006,0)))),"Fix")))</f>
        <v>0</v>
      </c>
      <c r="I686" s="4">
        <f>IF(OR(INDEX($P$2:$P$1001,MATCH(ROWS($O$2:O686),$O$2:$O$1001,0),1)&gt;=100000,INDEX($V$1005:$AE$1005,1,MATCH(COLUMNS($V$1006:AC1006),$V$1006:$AE$1006,0))&gt;=100000), " ",IF(INDEX($V$2:$AE$1001,MATCH(ROWS($O$2:O686),$O$2:$O$1001,0),MATCH(COLUMNS($V$1006:AC1006),$V$1006:$AE$1006,0)), HYPERLINK("#",""), HYPERLINK(CONCATENATE("#Metadata!", ADDRESS(INDEX($Q$2:$Q$1001,MATCH(ROWS($O$2:O686),$O$2:$O$1001,0),0), INDEX($V$1004:$AE$1004,1,MATCH(COLUMNS($V$1006:AC1006),$V$1006:$AE$1006,0)))),"Fix")))</f>
        <v>0</v>
      </c>
      <c r="J686" s="4">
        <f>IF(OR(INDEX($P$2:$P$1001,MATCH(ROWS($O$2:O686),$O$2:$O$1001,0),1)&gt;=100000,INDEX($V$1005:$AE$1005,1,MATCH(COLUMNS($V$1006:AD1006),$V$1006:$AE$1006,0))&gt;=100000), " ",IF(INDEX($V$2:$AE$1001,MATCH(ROWS($O$2:O686),$O$2:$O$1001,0),MATCH(COLUMNS($V$1006:AD1006),$V$1006:$AE$1006,0)), HYPERLINK("#",""), HYPERLINK(CONCATENATE("#Metadata!", ADDRESS(INDEX($Q$2:$Q$1001,MATCH(ROWS($O$2:O686),$O$2:$O$1001,0),0), INDEX($V$1004:$AE$1004,1,MATCH(COLUMNS($V$1006:AD1006),$V$1006:$AE$1006,0)))),"Fix")))</f>
        <v>0</v>
      </c>
      <c r="K686" s="4">
        <f>IF(OR(INDEX($P$2:$P$1001,MATCH(ROWS($O$2:O686),$O$2:$O$1001,0),1)&gt;=100000,INDEX($V$1005:$AE$1005,1,MATCH(COLUMNS($V$1006:AE1006),$V$1006:$AE$1006,0))&gt;=100000), " ",IF(INDEX($V$2:$AE$1001,MATCH(ROWS($O$2:O686),$O$2:$O$1001,0),MATCH(COLUMNS($V$1006:AE1006),$V$1006:$AE$1006,0)), HYPERLINK("#",""), HYPERLINK(CONCATENATE("#Metadata!", ADDRESS(INDEX($Q$2:$Q$1001,MATCH(ROWS($O$2:O686),$O$2:$O$1001,0),0), INDEX($V$1004:$AE$1004,1,MATCH(COLUMNS($V$1006:AE1006),$V$1006:$AE$1006,0)))),"Fix")))</f>
        <v>0</v>
      </c>
      <c r="O686">
        <v>0</v>
      </c>
      <c r="P686">
        <v>0</v>
      </c>
      <c r="Q686">
        <v>0</v>
      </c>
      <c r="R686">
        <f>IF(S686,TRUE,AND(V686:AE686))</f>
        <v>0</v>
      </c>
      <c r="S686">
        <f>COUNTBLANK(Metadata!B686:K686)=COLUMNS(Metadata!B686:K686)</f>
        <v>0</v>
      </c>
      <c r="T686">
        <v>0</v>
      </c>
      <c r="V686">
        <f>AND(IF(Metadata!B686="",FALSE,TRUE),COUNTIF(Metadata!B:B, Metadata!B686) = 1,NOT(ISERROR(SUMPRODUCT(SEARCH(MID(Metadata!B686,ROW(INDIRECT("1:"&amp;LEN(Metadata!B686))), 1),"0123456789abcdefghijklmnopqrstuvwxyzABCDEFGHIJKLMNOPQRSTUVWXYZ.")))))</f>
        <v>0</v>
      </c>
      <c r="W686">
        <f>AND(IF(Metadata!C686="",FALSE,TRUE),exact(Metadata!C686,"urban biome"))</f>
        <v>0</v>
      </c>
      <c r="X686">
        <f>AND(IF(Metadata!D686="",FALSE,TRUE),exact(Metadata!D686,"animal-associated habitat"))</f>
        <v>0</v>
      </c>
      <c r="Y686">
        <f>OR(AND(IF(Metadata!E686="",FALSE,TRUE),OR(exact(Metadata!E686,"not applicable"),exact(Metadata!E686,"missing: not collected"),exact(Metadata!E686,"missing: not provided"),exact(Metadata!E686,"missing: restricted access"))),AND(IF(Metadata!E686="",FALSE,ISNUMBER(VALUE(Metadata!E686))),Metadata!E686&gt;0))</f>
        <v>0</v>
      </c>
      <c r="Z686">
        <f>AND(IF(Metadata!F686="",FALSE,TRUE),exact(Metadata!F686,"weeks"))</f>
        <v>0</v>
      </c>
      <c r="AA686">
        <f>AND(IF(Metadata!G686="",FALSE,TRUE),exact(Metadata!G686,"mouse"))</f>
        <v>0</v>
      </c>
      <c r="AB686">
        <f>AND(IF(Metadata!H686="",FALSE,TRUE),exact(Metadata!H686,"Mus musculus"))</f>
        <v>0</v>
      </c>
      <c r="AC686">
        <f>AND(IF(Metadata!I686="",FALSE,TRUE),exact(Metadata!I686,"10090"))</f>
        <v>0</v>
      </c>
      <c r="AD686">
        <f>OR(AND(IF(Metadata!J686="",FALSE,TRUE),OR(exact(Metadata!J686,"not applicable"),exact(Metadata!J686,"missing: not collected"),exact(Metadata!J686,"missing: not provided"),exact(Metadata!J686,"missing: restricted access"))),AND(IF(Metadata!J686="",FALSE,ISNUMBER(VALUE(Metadata!J686))),Metadata!J686&gt;0))</f>
        <v>0</v>
      </c>
      <c r="AE686">
        <f>AND(IF(Metadata!K686="",FALSE,TRUE),exact(Metadata!K686,"g"))</f>
        <v>0</v>
      </c>
    </row>
    <row r="687" spans="1:31">
      <c r="A687" s="5">
        <f>IF(B687=" "," ",HYPERLINK(CONCATENATE("#metadata!",ADDRESS(INDEX($Q$2:$Q$1001,MATCH(ROWS($O$2:O687),$O$2:$O$1001,0),0),1)),INDEX($T$2:$T$1001,MATCH(ROWS($O$2:O687),$O$2:$O$1001,0),0)))</f>
        <v>0</v>
      </c>
      <c r="B687" s="4">
        <f>IF(OR(INDEX($P$2:$P$1001,MATCH(ROWS($O$2:O687),$O$2:$O$1001,0),1)&gt;=100000,INDEX($V$1005:$AE$1005,1,MATCH(COLUMNS($V$1006:V1006),$V$1006:$AE$1006,0))&gt;=100000), " ",IF(INDEX($V$2:$AE$1001,MATCH(ROWS($O$2:O687),$O$2:$O$1001,0),MATCH(COLUMNS($V$1006:V1006),$V$1006:$AE$1006,0)), HYPERLINK("#",""), HYPERLINK(CONCATENATE("#Metadata!", ADDRESS(INDEX($Q$2:$Q$1001,MATCH(ROWS($O$2:O687),$O$2:$O$1001,0),0), INDEX($V$1004:$AE$1004,1,MATCH(COLUMNS($V$1006:V1006),$V$1006:$AE$1006,0)))),"Fix")))</f>
        <v>0</v>
      </c>
      <c r="C687" s="4">
        <f>IF(OR(INDEX($P$2:$P$1001,MATCH(ROWS($O$2:O687),$O$2:$O$1001,0),1)&gt;=100000,INDEX($V$1005:$AE$1005,1,MATCH(COLUMNS($V$1006:W1006),$V$1006:$AE$1006,0))&gt;=100000), " ",IF(INDEX($V$2:$AE$1001,MATCH(ROWS($O$2:O687),$O$2:$O$1001,0),MATCH(COLUMNS($V$1006:W1006),$V$1006:$AE$1006,0)), HYPERLINK("#",""), HYPERLINK(CONCATENATE("#Metadata!", ADDRESS(INDEX($Q$2:$Q$1001,MATCH(ROWS($O$2:O687),$O$2:$O$1001,0),0), INDEX($V$1004:$AE$1004,1,MATCH(COLUMNS($V$1006:W1006),$V$1006:$AE$1006,0)))),"Fix")))</f>
        <v>0</v>
      </c>
      <c r="D687" s="4">
        <f>IF(OR(INDEX($P$2:$P$1001,MATCH(ROWS($O$2:O687),$O$2:$O$1001,0),1)&gt;=100000,INDEX($V$1005:$AE$1005,1,MATCH(COLUMNS($V$1006:X1006),$V$1006:$AE$1006,0))&gt;=100000), " ",IF(INDEX($V$2:$AE$1001,MATCH(ROWS($O$2:O687),$O$2:$O$1001,0),MATCH(COLUMNS($V$1006:X1006),$V$1006:$AE$1006,0)), HYPERLINK("#",""), HYPERLINK(CONCATENATE("#Metadata!", ADDRESS(INDEX($Q$2:$Q$1001,MATCH(ROWS($O$2:O687),$O$2:$O$1001,0),0), INDEX($V$1004:$AE$1004,1,MATCH(COLUMNS($V$1006:X1006),$V$1006:$AE$1006,0)))),"Fix")))</f>
        <v>0</v>
      </c>
      <c r="E687" s="4">
        <f>IF(OR(INDEX($P$2:$P$1001,MATCH(ROWS($O$2:O687),$O$2:$O$1001,0),1)&gt;=100000,INDEX($V$1005:$AE$1005,1,MATCH(COLUMNS($V$1006:Y1006),$V$1006:$AE$1006,0))&gt;=100000), " ",IF(INDEX($V$2:$AE$1001,MATCH(ROWS($O$2:O687),$O$2:$O$1001,0),MATCH(COLUMNS($V$1006:Y1006),$V$1006:$AE$1006,0)), HYPERLINK("#",""), HYPERLINK(CONCATENATE("#Metadata!", ADDRESS(INDEX($Q$2:$Q$1001,MATCH(ROWS($O$2:O687),$O$2:$O$1001,0),0), INDEX($V$1004:$AE$1004,1,MATCH(COLUMNS($V$1006:Y1006),$V$1006:$AE$1006,0)))),"Fix")))</f>
        <v>0</v>
      </c>
      <c r="F687" s="4">
        <f>IF(OR(INDEX($P$2:$P$1001,MATCH(ROWS($O$2:O687),$O$2:$O$1001,0),1)&gt;=100000,INDEX($V$1005:$AE$1005,1,MATCH(COLUMNS($V$1006:Z1006),$V$1006:$AE$1006,0))&gt;=100000), " ",IF(INDEX($V$2:$AE$1001,MATCH(ROWS($O$2:O687),$O$2:$O$1001,0),MATCH(COLUMNS($V$1006:Z1006),$V$1006:$AE$1006,0)), HYPERLINK("#",""), HYPERLINK(CONCATENATE("#Metadata!", ADDRESS(INDEX($Q$2:$Q$1001,MATCH(ROWS($O$2:O687),$O$2:$O$1001,0),0), INDEX($V$1004:$AE$1004,1,MATCH(COLUMNS($V$1006:Z1006),$V$1006:$AE$1006,0)))),"Fix")))</f>
        <v>0</v>
      </c>
      <c r="G687" s="4">
        <f>IF(OR(INDEX($P$2:$P$1001,MATCH(ROWS($O$2:O687),$O$2:$O$1001,0),1)&gt;=100000,INDEX($V$1005:$AE$1005,1,MATCH(COLUMNS($V$1006:AA1006),$V$1006:$AE$1006,0))&gt;=100000), " ",IF(INDEX($V$2:$AE$1001,MATCH(ROWS($O$2:O687),$O$2:$O$1001,0),MATCH(COLUMNS($V$1006:AA1006),$V$1006:$AE$1006,0)), HYPERLINK("#",""), HYPERLINK(CONCATENATE("#Metadata!", ADDRESS(INDEX($Q$2:$Q$1001,MATCH(ROWS($O$2:O687),$O$2:$O$1001,0),0), INDEX($V$1004:$AE$1004,1,MATCH(COLUMNS($V$1006:AA1006),$V$1006:$AE$1006,0)))),"Fix")))</f>
        <v>0</v>
      </c>
      <c r="H687" s="4">
        <f>IF(OR(INDEX($P$2:$P$1001,MATCH(ROWS($O$2:O687),$O$2:$O$1001,0),1)&gt;=100000,INDEX($V$1005:$AE$1005,1,MATCH(COLUMNS($V$1006:AB1006),$V$1006:$AE$1006,0))&gt;=100000), " ",IF(INDEX($V$2:$AE$1001,MATCH(ROWS($O$2:O687),$O$2:$O$1001,0),MATCH(COLUMNS($V$1006:AB1006),$V$1006:$AE$1006,0)), HYPERLINK("#",""), HYPERLINK(CONCATENATE("#Metadata!", ADDRESS(INDEX($Q$2:$Q$1001,MATCH(ROWS($O$2:O687),$O$2:$O$1001,0),0), INDEX($V$1004:$AE$1004,1,MATCH(COLUMNS($V$1006:AB1006),$V$1006:$AE$1006,0)))),"Fix")))</f>
        <v>0</v>
      </c>
      <c r="I687" s="4">
        <f>IF(OR(INDEX($P$2:$P$1001,MATCH(ROWS($O$2:O687),$O$2:$O$1001,0),1)&gt;=100000,INDEX($V$1005:$AE$1005,1,MATCH(COLUMNS($V$1006:AC1006),$V$1006:$AE$1006,0))&gt;=100000), " ",IF(INDEX($V$2:$AE$1001,MATCH(ROWS($O$2:O687),$O$2:$O$1001,0),MATCH(COLUMNS($V$1006:AC1006),$V$1006:$AE$1006,0)), HYPERLINK("#",""), HYPERLINK(CONCATENATE("#Metadata!", ADDRESS(INDEX($Q$2:$Q$1001,MATCH(ROWS($O$2:O687),$O$2:$O$1001,0),0), INDEX($V$1004:$AE$1004,1,MATCH(COLUMNS($V$1006:AC1006),$V$1006:$AE$1006,0)))),"Fix")))</f>
        <v>0</v>
      </c>
      <c r="J687" s="4">
        <f>IF(OR(INDEX($P$2:$P$1001,MATCH(ROWS($O$2:O687),$O$2:$O$1001,0),1)&gt;=100000,INDEX($V$1005:$AE$1005,1,MATCH(COLUMNS($V$1006:AD1006),$V$1006:$AE$1006,0))&gt;=100000), " ",IF(INDEX($V$2:$AE$1001,MATCH(ROWS($O$2:O687),$O$2:$O$1001,0),MATCH(COLUMNS($V$1006:AD1006),$V$1006:$AE$1006,0)), HYPERLINK("#",""), HYPERLINK(CONCATENATE("#Metadata!", ADDRESS(INDEX($Q$2:$Q$1001,MATCH(ROWS($O$2:O687),$O$2:$O$1001,0),0), INDEX($V$1004:$AE$1004,1,MATCH(COLUMNS($V$1006:AD1006),$V$1006:$AE$1006,0)))),"Fix")))</f>
        <v>0</v>
      </c>
      <c r="K687" s="4">
        <f>IF(OR(INDEX($P$2:$P$1001,MATCH(ROWS($O$2:O687),$O$2:$O$1001,0),1)&gt;=100000,INDEX($V$1005:$AE$1005,1,MATCH(COLUMNS($V$1006:AE1006),$V$1006:$AE$1006,0))&gt;=100000), " ",IF(INDEX($V$2:$AE$1001,MATCH(ROWS($O$2:O687),$O$2:$O$1001,0),MATCH(COLUMNS($V$1006:AE1006),$V$1006:$AE$1006,0)), HYPERLINK("#",""), HYPERLINK(CONCATENATE("#Metadata!", ADDRESS(INDEX($Q$2:$Q$1001,MATCH(ROWS($O$2:O687),$O$2:$O$1001,0),0), INDEX($V$1004:$AE$1004,1,MATCH(COLUMNS($V$1006:AE1006),$V$1006:$AE$1006,0)))),"Fix")))</f>
        <v>0</v>
      </c>
      <c r="O687">
        <v>0</v>
      </c>
      <c r="P687">
        <v>0</v>
      </c>
      <c r="Q687">
        <v>0</v>
      </c>
      <c r="R687">
        <f>IF(S687,TRUE,AND(V687:AE687))</f>
        <v>0</v>
      </c>
      <c r="S687">
        <f>COUNTBLANK(Metadata!B687:K687)=COLUMNS(Metadata!B687:K687)</f>
        <v>0</v>
      </c>
      <c r="T687">
        <v>0</v>
      </c>
      <c r="V687">
        <f>AND(IF(Metadata!B687="",FALSE,TRUE),COUNTIF(Metadata!B:B, Metadata!B687) = 1,NOT(ISERROR(SUMPRODUCT(SEARCH(MID(Metadata!B687,ROW(INDIRECT("1:"&amp;LEN(Metadata!B687))), 1),"0123456789abcdefghijklmnopqrstuvwxyzABCDEFGHIJKLMNOPQRSTUVWXYZ.")))))</f>
        <v>0</v>
      </c>
      <c r="W687">
        <f>AND(IF(Metadata!C687="",FALSE,TRUE),exact(Metadata!C687,"urban biome"))</f>
        <v>0</v>
      </c>
      <c r="X687">
        <f>AND(IF(Metadata!D687="",FALSE,TRUE),exact(Metadata!D687,"animal-associated habitat"))</f>
        <v>0</v>
      </c>
      <c r="Y687">
        <f>OR(AND(IF(Metadata!E687="",FALSE,TRUE),OR(exact(Metadata!E687,"not applicable"),exact(Metadata!E687,"missing: not collected"),exact(Metadata!E687,"missing: not provided"),exact(Metadata!E687,"missing: restricted access"))),AND(IF(Metadata!E687="",FALSE,ISNUMBER(VALUE(Metadata!E687))),Metadata!E687&gt;0))</f>
        <v>0</v>
      </c>
      <c r="Z687">
        <f>AND(IF(Metadata!F687="",FALSE,TRUE),exact(Metadata!F687,"weeks"))</f>
        <v>0</v>
      </c>
      <c r="AA687">
        <f>AND(IF(Metadata!G687="",FALSE,TRUE),exact(Metadata!G687,"mouse"))</f>
        <v>0</v>
      </c>
      <c r="AB687">
        <f>AND(IF(Metadata!H687="",FALSE,TRUE),exact(Metadata!H687,"Mus musculus"))</f>
        <v>0</v>
      </c>
      <c r="AC687">
        <f>AND(IF(Metadata!I687="",FALSE,TRUE),exact(Metadata!I687,"10090"))</f>
        <v>0</v>
      </c>
      <c r="AD687">
        <f>OR(AND(IF(Metadata!J687="",FALSE,TRUE),OR(exact(Metadata!J687,"not applicable"),exact(Metadata!J687,"missing: not collected"),exact(Metadata!J687,"missing: not provided"),exact(Metadata!J687,"missing: restricted access"))),AND(IF(Metadata!J687="",FALSE,ISNUMBER(VALUE(Metadata!J687))),Metadata!J687&gt;0))</f>
        <v>0</v>
      </c>
      <c r="AE687">
        <f>AND(IF(Metadata!K687="",FALSE,TRUE),exact(Metadata!K687,"g"))</f>
        <v>0</v>
      </c>
    </row>
    <row r="688" spans="1:31">
      <c r="A688" s="5">
        <f>IF(B688=" "," ",HYPERLINK(CONCATENATE("#metadata!",ADDRESS(INDEX($Q$2:$Q$1001,MATCH(ROWS($O$2:O688),$O$2:$O$1001,0),0),1)),INDEX($T$2:$T$1001,MATCH(ROWS($O$2:O688),$O$2:$O$1001,0),0)))</f>
        <v>0</v>
      </c>
      <c r="B688" s="4">
        <f>IF(OR(INDEX($P$2:$P$1001,MATCH(ROWS($O$2:O688),$O$2:$O$1001,0),1)&gt;=100000,INDEX($V$1005:$AE$1005,1,MATCH(COLUMNS($V$1006:V1006),$V$1006:$AE$1006,0))&gt;=100000), " ",IF(INDEX($V$2:$AE$1001,MATCH(ROWS($O$2:O688),$O$2:$O$1001,0),MATCH(COLUMNS($V$1006:V1006),$V$1006:$AE$1006,0)), HYPERLINK("#",""), HYPERLINK(CONCATENATE("#Metadata!", ADDRESS(INDEX($Q$2:$Q$1001,MATCH(ROWS($O$2:O688),$O$2:$O$1001,0),0), INDEX($V$1004:$AE$1004,1,MATCH(COLUMNS($V$1006:V1006),$V$1006:$AE$1006,0)))),"Fix")))</f>
        <v>0</v>
      </c>
      <c r="C688" s="4">
        <f>IF(OR(INDEX($P$2:$P$1001,MATCH(ROWS($O$2:O688),$O$2:$O$1001,0),1)&gt;=100000,INDEX($V$1005:$AE$1005,1,MATCH(COLUMNS($V$1006:W1006),$V$1006:$AE$1006,0))&gt;=100000), " ",IF(INDEX($V$2:$AE$1001,MATCH(ROWS($O$2:O688),$O$2:$O$1001,0),MATCH(COLUMNS($V$1006:W1006),$V$1006:$AE$1006,0)), HYPERLINK("#",""), HYPERLINK(CONCATENATE("#Metadata!", ADDRESS(INDEX($Q$2:$Q$1001,MATCH(ROWS($O$2:O688),$O$2:$O$1001,0),0), INDEX($V$1004:$AE$1004,1,MATCH(COLUMNS($V$1006:W1006),$V$1006:$AE$1006,0)))),"Fix")))</f>
        <v>0</v>
      </c>
      <c r="D688" s="4">
        <f>IF(OR(INDEX($P$2:$P$1001,MATCH(ROWS($O$2:O688),$O$2:$O$1001,0),1)&gt;=100000,INDEX($V$1005:$AE$1005,1,MATCH(COLUMNS($V$1006:X1006),$V$1006:$AE$1006,0))&gt;=100000), " ",IF(INDEX($V$2:$AE$1001,MATCH(ROWS($O$2:O688),$O$2:$O$1001,0),MATCH(COLUMNS($V$1006:X1006),$V$1006:$AE$1006,0)), HYPERLINK("#",""), HYPERLINK(CONCATENATE("#Metadata!", ADDRESS(INDEX($Q$2:$Q$1001,MATCH(ROWS($O$2:O688),$O$2:$O$1001,0),0), INDEX($V$1004:$AE$1004,1,MATCH(COLUMNS($V$1006:X1006),$V$1006:$AE$1006,0)))),"Fix")))</f>
        <v>0</v>
      </c>
      <c r="E688" s="4">
        <f>IF(OR(INDEX($P$2:$P$1001,MATCH(ROWS($O$2:O688),$O$2:$O$1001,0),1)&gt;=100000,INDEX($V$1005:$AE$1005,1,MATCH(COLUMNS($V$1006:Y1006),$V$1006:$AE$1006,0))&gt;=100000), " ",IF(INDEX($V$2:$AE$1001,MATCH(ROWS($O$2:O688),$O$2:$O$1001,0),MATCH(COLUMNS($V$1006:Y1006),$V$1006:$AE$1006,0)), HYPERLINK("#",""), HYPERLINK(CONCATENATE("#Metadata!", ADDRESS(INDEX($Q$2:$Q$1001,MATCH(ROWS($O$2:O688),$O$2:$O$1001,0),0), INDEX($V$1004:$AE$1004,1,MATCH(COLUMNS($V$1006:Y1006),$V$1006:$AE$1006,0)))),"Fix")))</f>
        <v>0</v>
      </c>
      <c r="F688" s="4">
        <f>IF(OR(INDEX($P$2:$P$1001,MATCH(ROWS($O$2:O688),$O$2:$O$1001,0),1)&gt;=100000,INDEX($V$1005:$AE$1005,1,MATCH(COLUMNS($V$1006:Z1006),$V$1006:$AE$1006,0))&gt;=100000), " ",IF(INDEX($V$2:$AE$1001,MATCH(ROWS($O$2:O688),$O$2:$O$1001,0),MATCH(COLUMNS($V$1006:Z1006),$V$1006:$AE$1006,0)), HYPERLINK("#",""), HYPERLINK(CONCATENATE("#Metadata!", ADDRESS(INDEX($Q$2:$Q$1001,MATCH(ROWS($O$2:O688),$O$2:$O$1001,0),0), INDEX($V$1004:$AE$1004,1,MATCH(COLUMNS($V$1006:Z1006),$V$1006:$AE$1006,0)))),"Fix")))</f>
        <v>0</v>
      </c>
      <c r="G688" s="4">
        <f>IF(OR(INDEX($P$2:$P$1001,MATCH(ROWS($O$2:O688),$O$2:$O$1001,0),1)&gt;=100000,INDEX($V$1005:$AE$1005,1,MATCH(COLUMNS($V$1006:AA1006),$V$1006:$AE$1006,0))&gt;=100000), " ",IF(INDEX($V$2:$AE$1001,MATCH(ROWS($O$2:O688),$O$2:$O$1001,0),MATCH(COLUMNS($V$1006:AA1006),$V$1006:$AE$1006,0)), HYPERLINK("#",""), HYPERLINK(CONCATENATE("#Metadata!", ADDRESS(INDEX($Q$2:$Q$1001,MATCH(ROWS($O$2:O688),$O$2:$O$1001,0),0), INDEX($V$1004:$AE$1004,1,MATCH(COLUMNS($V$1006:AA1006),$V$1006:$AE$1006,0)))),"Fix")))</f>
        <v>0</v>
      </c>
      <c r="H688" s="4">
        <f>IF(OR(INDEX($P$2:$P$1001,MATCH(ROWS($O$2:O688),$O$2:$O$1001,0),1)&gt;=100000,INDEX($V$1005:$AE$1005,1,MATCH(COLUMNS($V$1006:AB1006),$V$1006:$AE$1006,0))&gt;=100000), " ",IF(INDEX($V$2:$AE$1001,MATCH(ROWS($O$2:O688),$O$2:$O$1001,0),MATCH(COLUMNS($V$1006:AB1006),$V$1006:$AE$1006,0)), HYPERLINK("#",""), HYPERLINK(CONCATENATE("#Metadata!", ADDRESS(INDEX($Q$2:$Q$1001,MATCH(ROWS($O$2:O688),$O$2:$O$1001,0),0), INDEX($V$1004:$AE$1004,1,MATCH(COLUMNS($V$1006:AB1006),$V$1006:$AE$1006,0)))),"Fix")))</f>
        <v>0</v>
      </c>
      <c r="I688" s="4">
        <f>IF(OR(INDEX($P$2:$P$1001,MATCH(ROWS($O$2:O688),$O$2:$O$1001,0),1)&gt;=100000,INDEX($V$1005:$AE$1005,1,MATCH(COLUMNS($V$1006:AC1006),$V$1006:$AE$1006,0))&gt;=100000), " ",IF(INDEX($V$2:$AE$1001,MATCH(ROWS($O$2:O688),$O$2:$O$1001,0),MATCH(COLUMNS($V$1006:AC1006),$V$1006:$AE$1006,0)), HYPERLINK("#",""), HYPERLINK(CONCATENATE("#Metadata!", ADDRESS(INDEX($Q$2:$Q$1001,MATCH(ROWS($O$2:O688),$O$2:$O$1001,0),0), INDEX($V$1004:$AE$1004,1,MATCH(COLUMNS($V$1006:AC1006),$V$1006:$AE$1006,0)))),"Fix")))</f>
        <v>0</v>
      </c>
      <c r="J688" s="4">
        <f>IF(OR(INDEX($P$2:$P$1001,MATCH(ROWS($O$2:O688),$O$2:$O$1001,0),1)&gt;=100000,INDEX($V$1005:$AE$1005,1,MATCH(COLUMNS($V$1006:AD1006),$V$1006:$AE$1006,0))&gt;=100000), " ",IF(INDEX($V$2:$AE$1001,MATCH(ROWS($O$2:O688),$O$2:$O$1001,0),MATCH(COLUMNS($V$1006:AD1006),$V$1006:$AE$1006,0)), HYPERLINK("#",""), HYPERLINK(CONCATENATE("#Metadata!", ADDRESS(INDEX($Q$2:$Q$1001,MATCH(ROWS($O$2:O688),$O$2:$O$1001,0),0), INDEX($V$1004:$AE$1004,1,MATCH(COLUMNS($V$1006:AD1006),$V$1006:$AE$1006,0)))),"Fix")))</f>
        <v>0</v>
      </c>
      <c r="K688" s="4">
        <f>IF(OR(INDEX($P$2:$P$1001,MATCH(ROWS($O$2:O688),$O$2:$O$1001,0),1)&gt;=100000,INDEX($V$1005:$AE$1005,1,MATCH(COLUMNS($V$1006:AE1006),$V$1006:$AE$1006,0))&gt;=100000), " ",IF(INDEX($V$2:$AE$1001,MATCH(ROWS($O$2:O688),$O$2:$O$1001,0),MATCH(COLUMNS($V$1006:AE1006),$V$1006:$AE$1006,0)), HYPERLINK("#",""), HYPERLINK(CONCATENATE("#Metadata!", ADDRESS(INDEX($Q$2:$Q$1001,MATCH(ROWS($O$2:O688),$O$2:$O$1001,0),0), INDEX($V$1004:$AE$1004,1,MATCH(COLUMNS($V$1006:AE1006),$V$1006:$AE$1006,0)))),"Fix")))</f>
        <v>0</v>
      </c>
      <c r="O688">
        <v>0</v>
      </c>
      <c r="P688">
        <v>0</v>
      </c>
      <c r="Q688">
        <v>0</v>
      </c>
      <c r="R688">
        <f>IF(S688,TRUE,AND(V688:AE688))</f>
        <v>0</v>
      </c>
      <c r="S688">
        <f>COUNTBLANK(Metadata!B688:K688)=COLUMNS(Metadata!B688:K688)</f>
        <v>0</v>
      </c>
      <c r="T688">
        <v>0</v>
      </c>
      <c r="V688">
        <f>AND(IF(Metadata!B688="",FALSE,TRUE),COUNTIF(Metadata!B:B, Metadata!B688) = 1,NOT(ISERROR(SUMPRODUCT(SEARCH(MID(Metadata!B688,ROW(INDIRECT("1:"&amp;LEN(Metadata!B688))), 1),"0123456789abcdefghijklmnopqrstuvwxyzABCDEFGHIJKLMNOPQRSTUVWXYZ.")))))</f>
        <v>0</v>
      </c>
      <c r="W688">
        <f>AND(IF(Metadata!C688="",FALSE,TRUE),exact(Metadata!C688,"urban biome"))</f>
        <v>0</v>
      </c>
      <c r="X688">
        <f>AND(IF(Metadata!D688="",FALSE,TRUE),exact(Metadata!D688,"animal-associated habitat"))</f>
        <v>0</v>
      </c>
      <c r="Y688">
        <f>OR(AND(IF(Metadata!E688="",FALSE,TRUE),OR(exact(Metadata!E688,"not applicable"),exact(Metadata!E688,"missing: not collected"),exact(Metadata!E688,"missing: not provided"),exact(Metadata!E688,"missing: restricted access"))),AND(IF(Metadata!E688="",FALSE,ISNUMBER(VALUE(Metadata!E688))),Metadata!E688&gt;0))</f>
        <v>0</v>
      </c>
      <c r="Z688">
        <f>AND(IF(Metadata!F688="",FALSE,TRUE),exact(Metadata!F688,"weeks"))</f>
        <v>0</v>
      </c>
      <c r="AA688">
        <f>AND(IF(Metadata!G688="",FALSE,TRUE),exact(Metadata!G688,"mouse"))</f>
        <v>0</v>
      </c>
      <c r="AB688">
        <f>AND(IF(Metadata!H688="",FALSE,TRUE),exact(Metadata!H688,"Mus musculus"))</f>
        <v>0</v>
      </c>
      <c r="AC688">
        <f>AND(IF(Metadata!I688="",FALSE,TRUE),exact(Metadata!I688,"10090"))</f>
        <v>0</v>
      </c>
      <c r="AD688">
        <f>OR(AND(IF(Metadata!J688="",FALSE,TRUE),OR(exact(Metadata!J688,"not applicable"),exact(Metadata!J688,"missing: not collected"),exact(Metadata!J688,"missing: not provided"),exact(Metadata!J688,"missing: restricted access"))),AND(IF(Metadata!J688="",FALSE,ISNUMBER(VALUE(Metadata!J688))),Metadata!J688&gt;0))</f>
        <v>0</v>
      </c>
      <c r="AE688">
        <f>AND(IF(Metadata!K688="",FALSE,TRUE),exact(Metadata!K688,"g"))</f>
        <v>0</v>
      </c>
    </row>
    <row r="689" spans="1:31">
      <c r="A689" s="5">
        <f>IF(B689=" "," ",HYPERLINK(CONCATENATE("#metadata!",ADDRESS(INDEX($Q$2:$Q$1001,MATCH(ROWS($O$2:O689),$O$2:$O$1001,0),0),1)),INDEX($T$2:$T$1001,MATCH(ROWS($O$2:O689),$O$2:$O$1001,0),0)))</f>
        <v>0</v>
      </c>
      <c r="B689" s="4">
        <f>IF(OR(INDEX($P$2:$P$1001,MATCH(ROWS($O$2:O689),$O$2:$O$1001,0),1)&gt;=100000,INDEX($V$1005:$AE$1005,1,MATCH(COLUMNS($V$1006:V1006),$V$1006:$AE$1006,0))&gt;=100000), " ",IF(INDEX($V$2:$AE$1001,MATCH(ROWS($O$2:O689),$O$2:$O$1001,0),MATCH(COLUMNS($V$1006:V1006),$V$1006:$AE$1006,0)), HYPERLINK("#",""), HYPERLINK(CONCATENATE("#Metadata!", ADDRESS(INDEX($Q$2:$Q$1001,MATCH(ROWS($O$2:O689),$O$2:$O$1001,0),0), INDEX($V$1004:$AE$1004,1,MATCH(COLUMNS($V$1006:V1006),$V$1006:$AE$1006,0)))),"Fix")))</f>
        <v>0</v>
      </c>
      <c r="C689" s="4">
        <f>IF(OR(INDEX($P$2:$P$1001,MATCH(ROWS($O$2:O689),$O$2:$O$1001,0),1)&gt;=100000,INDEX($V$1005:$AE$1005,1,MATCH(COLUMNS($V$1006:W1006),$V$1006:$AE$1006,0))&gt;=100000), " ",IF(INDEX($V$2:$AE$1001,MATCH(ROWS($O$2:O689),$O$2:$O$1001,0),MATCH(COLUMNS($V$1006:W1006),$V$1006:$AE$1006,0)), HYPERLINK("#",""), HYPERLINK(CONCATENATE("#Metadata!", ADDRESS(INDEX($Q$2:$Q$1001,MATCH(ROWS($O$2:O689),$O$2:$O$1001,0),0), INDEX($V$1004:$AE$1004,1,MATCH(COLUMNS($V$1006:W1006),$V$1006:$AE$1006,0)))),"Fix")))</f>
        <v>0</v>
      </c>
      <c r="D689" s="4">
        <f>IF(OR(INDEX($P$2:$P$1001,MATCH(ROWS($O$2:O689),$O$2:$O$1001,0),1)&gt;=100000,INDEX($V$1005:$AE$1005,1,MATCH(COLUMNS($V$1006:X1006),$V$1006:$AE$1006,0))&gt;=100000), " ",IF(INDEX($V$2:$AE$1001,MATCH(ROWS($O$2:O689),$O$2:$O$1001,0),MATCH(COLUMNS($V$1006:X1006),$V$1006:$AE$1006,0)), HYPERLINK("#",""), HYPERLINK(CONCATENATE("#Metadata!", ADDRESS(INDEX($Q$2:$Q$1001,MATCH(ROWS($O$2:O689),$O$2:$O$1001,0),0), INDEX($V$1004:$AE$1004,1,MATCH(COLUMNS($V$1006:X1006),$V$1006:$AE$1006,0)))),"Fix")))</f>
        <v>0</v>
      </c>
      <c r="E689" s="4">
        <f>IF(OR(INDEX($P$2:$P$1001,MATCH(ROWS($O$2:O689),$O$2:$O$1001,0),1)&gt;=100000,INDEX($V$1005:$AE$1005,1,MATCH(COLUMNS($V$1006:Y1006),$V$1006:$AE$1006,0))&gt;=100000), " ",IF(INDEX($V$2:$AE$1001,MATCH(ROWS($O$2:O689),$O$2:$O$1001,0),MATCH(COLUMNS($V$1006:Y1006),$V$1006:$AE$1006,0)), HYPERLINK("#",""), HYPERLINK(CONCATENATE("#Metadata!", ADDRESS(INDEX($Q$2:$Q$1001,MATCH(ROWS($O$2:O689),$O$2:$O$1001,0),0), INDEX($V$1004:$AE$1004,1,MATCH(COLUMNS($V$1006:Y1006),$V$1006:$AE$1006,0)))),"Fix")))</f>
        <v>0</v>
      </c>
      <c r="F689" s="4">
        <f>IF(OR(INDEX($P$2:$P$1001,MATCH(ROWS($O$2:O689),$O$2:$O$1001,0),1)&gt;=100000,INDEX($V$1005:$AE$1005,1,MATCH(COLUMNS($V$1006:Z1006),$V$1006:$AE$1006,0))&gt;=100000), " ",IF(INDEX($V$2:$AE$1001,MATCH(ROWS($O$2:O689),$O$2:$O$1001,0),MATCH(COLUMNS($V$1006:Z1006),$V$1006:$AE$1006,0)), HYPERLINK("#",""), HYPERLINK(CONCATENATE("#Metadata!", ADDRESS(INDEX($Q$2:$Q$1001,MATCH(ROWS($O$2:O689),$O$2:$O$1001,0),0), INDEX($V$1004:$AE$1004,1,MATCH(COLUMNS($V$1006:Z1006),$V$1006:$AE$1006,0)))),"Fix")))</f>
        <v>0</v>
      </c>
      <c r="G689" s="4">
        <f>IF(OR(INDEX($P$2:$P$1001,MATCH(ROWS($O$2:O689),$O$2:$O$1001,0),1)&gt;=100000,INDEX($V$1005:$AE$1005,1,MATCH(COLUMNS($V$1006:AA1006),$V$1006:$AE$1006,0))&gt;=100000), " ",IF(INDEX($V$2:$AE$1001,MATCH(ROWS($O$2:O689),$O$2:$O$1001,0),MATCH(COLUMNS($V$1006:AA1006),$V$1006:$AE$1006,0)), HYPERLINK("#",""), HYPERLINK(CONCATENATE("#Metadata!", ADDRESS(INDEX($Q$2:$Q$1001,MATCH(ROWS($O$2:O689),$O$2:$O$1001,0),0), INDEX($V$1004:$AE$1004,1,MATCH(COLUMNS($V$1006:AA1006),$V$1006:$AE$1006,0)))),"Fix")))</f>
        <v>0</v>
      </c>
      <c r="H689" s="4">
        <f>IF(OR(INDEX($P$2:$P$1001,MATCH(ROWS($O$2:O689),$O$2:$O$1001,0),1)&gt;=100000,INDEX($V$1005:$AE$1005,1,MATCH(COLUMNS($V$1006:AB1006),$V$1006:$AE$1006,0))&gt;=100000), " ",IF(INDEX($V$2:$AE$1001,MATCH(ROWS($O$2:O689),$O$2:$O$1001,0),MATCH(COLUMNS($V$1006:AB1006),$V$1006:$AE$1006,0)), HYPERLINK("#",""), HYPERLINK(CONCATENATE("#Metadata!", ADDRESS(INDEX($Q$2:$Q$1001,MATCH(ROWS($O$2:O689),$O$2:$O$1001,0),0), INDEX($V$1004:$AE$1004,1,MATCH(COLUMNS($V$1006:AB1006),$V$1006:$AE$1006,0)))),"Fix")))</f>
        <v>0</v>
      </c>
      <c r="I689" s="4">
        <f>IF(OR(INDEX($P$2:$P$1001,MATCH(ROWS($O$2:O689),$O$2:$O$1001,0),1)&gt;=100000,INDEX($V$1005:$AE$1005,1,MATCH(COLUMNS($V$1006:AC1006),$V$1006:$AE$1006,0))&gt;=100000), " ",IF(INDEX($V$2:$AE$1001,MATCH(ROWS($O$2:O689),$O$2:$O$1001,0),MATCH(COLUMNS($V$1006:AC1006),$V$1006:$AE$1006,0)), HYPERLINK("#",""), HYPERLINK(CONCATENATE("#Metadata!", ADDRESS(INDEX($Q$2:$Q$1001,MATCH(ROWS($O$2:O689),$O$2:$O$1001,0),0), INDEX($V$1004:$AE$1004,1,MATCH(COLUMNS($V$1006:AC1006),$V$1006:$AE$1006,0)))),"Fix")))</f>
        <v>0</v>
      </c>
      <c r="J689" s="4">
        <f>IF(OR(INDEX($P$2:$P$1001,MATCH(ROWS($O$2:O689),$O$2:$O$1001,0),1)&gt;=100000,INDEX($V$1005:$AE$1005,1,MATCH(COLUMNS($V$1006:AD1006),$V$1006:$AE$1006,0))&gt;=100000), " ",IF(INDEX($V$2:$AE$1001,MATCH(ROWS($O$2:O689),$O$2:$O$1001,0),MATCH(COLUMNS($V$1006:AD1006),$V$1006:$AE$1006,0)), HYPERLINK("#",""), HYPERLINK(CONCATENATE("#Metadata!", ADDRESS(INDEX($Q$2:$Q$1001,MATCH(ROWS($O$2:O689),$O$2:$O$1001,0),0), INDEX($V$1004:$AE$1004,1,MATCH(COLUMNS($V$1006:AD1006),$V$1006:$AE$1006,0)))),"Fix")))</f>
        <v>0</v>
      </c>
      <c r="K689" s="4">
        <f>IF(OR(INDEX($P$2:$P$1001,MATCH(ROWS($O$2:O689),$O$2:$O$1001,0),1)&gt;=100000,INDEX($V$1005:$AE$1005,1,MATCH(COLUMNS($V$1006:AE1006),$V$1006:$AE$1006,0))&gt;=100000), " ",IF(INDEX($V$2:$AE$1001,MATCH(ROWS($O$2:O689),$O$2:$O$1001,0),MATCH(COLUMNS($V$1006:AE1006),$V$1006:$AE$1006,0)), HYPERLINK("#",""), HYPERLINK(CONCATENATE("#Metadata!", ADDRESS(INDEX($Q$2:$Q$1001,MATCH(ROWS($O$2:O689),$O$2:$O$1001,0),0), INDEX($V$1004:$AE$1004,1,MATCH(COLUMNS($V$1006:AE1006),$V$1006:$AE$1006,0)))),"Fix")))</f>
        <v>0</v>
      </c>
      <c r="O689">
        <v>0</v>
      </c>
      <c r="P689">
        <v>0</v>
      </c>
      <c r="Q689">
        <v>0</v>
      </c>
      <c r="R689">
        <f>IF(S689,TRUE,AND(V689:AE689))</f>
        <v>0</v>
      </c>
      <c r="S689">
        <f>COUNTBLANK(Metadata!B689:K689)=COLUMNS(Metadata!B689:K689)</f>
        <v>0</v>
      </c>
      <c r="T689">
        <v>0</v>
      </c>
      <c r="V689">
        <f>AND(IF(Metadata!B689="",FALSE,TRUE),COUNTIF(Metadata!B:B, Metadata!B689) = 1,NOT(ISERROR(SUMPRODUCT(SEARCH(MID(Metadata!B689,ROW(INDIRECT("1:"&amp;LEN(Metadata!B689))), 1),"0123456789abcdefghijklmnopqrstuvwxyzABCDEFGHIJKLMNOPQRSTUVWXYZ.")))))</f>
        <v>0</v>
      </c>
      <c r="W689">
        <f>AND(IF(Metadata!C689="",FALSE,TRUE),exact(Metadata!C689,"urban biome"))</f>
        <v>0</v>
      </c>
      <c r="X689">
        <f>AND(IF(Metadata!D689="",FALSE,TRUE),exact(Metadata!D689,"animal-associated habitat"))</f>
        <v>0</v>
      </c>
      <c r="Y689">
        <f>OR(AND(IF(Metadata!E689="",FALSE,TRUE),OR(exact(Metadata!E689,"not applicable"),exact(Metadata!E689,"missing: not collected"),exact(Metadata!E689,"missing: not provided"),exact(Metadata!E689,"missing: restricted access"))),AND(IF(Metadata!E689="",FALSE,ISNUMBER(VALUE(Metadata!E689))),Metadata!E689&gt;0))</f>
        <v>0</v>
      </c>
      <c r="Z689">
        <f>AND(IF(Metadata!F689="",FALSE,TRUE),exact(Metadata!F689,"weeks"))</f>
        <v>0</v>
      </c>
      <c r="AA689">
        <f>AND(IF(Metadata!G689="",FALSE,TRUE),exact(Metadata!G689,"mouse"))</f>
        <v>0</v>
      </c>
      <c r="AB689">
        <f>AND(IF(Metadata!H689="",FALSE,TRUE),exact(Metadata!H689,"Mus musculus"))</f>
        <v>0</v>
      </c>
      <c r="AC689">
        <f>AND(IF(Metadata!I689="",FALSE,TRUE),exact(Metadata!I689,"10090"))</f>
        <v>0</v>
      </c>
      <c r="AD689">
        <f>OR(AND(IF(Metadata!J689="",FALSE,TRUE),OR(exact(Metadata!J689,"not applicable"),exact(Metadata!J689,"missing: not collected"),exact(Metadata!J689,"missing: not provided"),exact(Metadata!J689,"missing: restricted access"))),AND(IF(Metadata!J689="",FALSE,ISNUMBER(VALUE(Metadata!J689))),Metadata!J689&gt;0))</f>
        <v>0</v>
      </c>
      <c r="AE689">
        <f>AND(IF(Metadata!K689="",FALSE,TRUE),exact(Metadata!K689,"g"))</f>
        <v>0</v>
      </c>
    </row>
    <row r="690" spans="1:31">
      <c r="A690" s="5">
        <f>IF(B690=" "," ",HYPERLINK(CONCATENATE("#metadata!",ADDRESS(INDEX($Q$2:$Q$1001,MATCH(ROWS($O$2:O690),$O$2:$O$1001,0),0),1)),INDEX($T$2:$T$1001,MATCH(ROWS($O$2:O690),$O$2:$O$1001,0),0)))</f>
        <v>0</v>
      </c>
      <c r="B690" s="4">
        <f>IF(OR(INDEX($P$2:$P$1001,MATCH(ROWS($O$2:O690),$O$2:$O$1001,0),1)&gt;=100000,INDEX($V$1005:$AE$1005,1,MATCH(COLUMNS($V$1006:V1006),$V$1006:$AE$1006,0))&gt;=100000), " ",IF(INDEX($V$2:$AE$1001,MATCH(ROWS($O$2:O690),$O$2:$O$1001,0),MATCH(COLUMNS($V$1006:V1006),$V$1006:$AE$1006,0)), HYPERLINK("#",""), HYPERLINK(CONCATENATE("#Metadata!", ADDRESS(INDEX($Q$2:$Q$1001,MATCH(ROWS($O$2:O690),$O$2:$O$1001,0),0), INDEX($V$1004:$AE$1004,1,MATCH(COLUMNS($V$1006:V1006),$V$1006:$AE$1006,0)))),"Fix")))</f>
        <v>0</v>
      </c>
      <c r="C690" s="4">
        <f>IF(OR(INDEX($P$2:$P$1001,MATCH(ROWS($O$2:O690),$O$2:$O$1001,0),1)&gt;=100000,INDEX($V$1005:$AE$1005,1,MATCH(COLUMNS($V$1006:W1006),$V$1006:$AE$1006,0))&gt;=100000), " ",IF(INDEX($V$2:$AE$1001,MATCH(ROWS($O$2:O690),$O$2:$O$1001,0),MATCH(COLUMNS($V$1006:W1006),$V$1006:$AE$1006,0)), HYPERLINK("#",""), HYPERLINK(CONCATENATE("#Metadata!", ADDRESS(INDEX($Q$2:$Q$1001,MATCH(ROWS($O$2:O690),$O$2:$O$1001,0),0), INDEX($V$1004:$AE$1004,1,MATCH(COLUMNS($V$1006:W1006),$V$1006:$AE$1006,0)))),"Fix")))</f>
        <v>0</v>
      </c>
      <c r="D690" s="4">
        <f>IF(OR(INDEX($P$2:$P$1001,MATCH(ROWS($O$2:O690),$O$2:$O$1001,0),1)&gt;=100000,INDEX($V$1005:$AE$1005,1,MATCH(COLUMNS($V$1006:X1006),$V$1006:$AE$1006,0))&gt;=100000), " ",IF(INDEX($V$2:$AE$1001,MATCH(ROWS($O$2:O690),$O$2:$O$1001,0),MATCH(COLUMNS($V$1006:X1006),$V$1006:$AE$1006,0)), HYPERLINK("#",""), HYPERLINK(CONCATENATE("#Metadata!", ADDRESS(INDEX($Q$2:$Q$1001,MATCH(ROWS($O$2:O690),$O$2:$O$1001,0),0), INDEX($V$1004:$AE$1004,1,MATCH(COLUMNS($V$1006:X1006),$V$1006:$AE$1006,0)))),"Fix")))</f>
        <v>0</v>
      </c>
      <c r="E690" s="4">
        <f>IF(OR(INDEX($P$2:$P$1001,MATCH(ROWS($O$2:O690),$O$2:$O$1001,0),1)&gt;=100000,INDEX($V$1005:$AE$1005,1,MATCH(COLUMNS($V$1006:Y1006),$V$1006:$AE$1006,0))&gt;=100000), " ",IF(INDEX($V$2:$AE$1001,MATCH(ROWS($O$2:O690),$O$2:$O$1001,0),MATCH(COLUMNS($V$1006:Y1006),$V$1006:$AE$1006,0)), HYPERLINK("#",""), HYPERLINK(CONCATENATE("#Metadata!", ADDRESS(INDEX($Q$2:$Q$1001,MATCH(ROWS($O$2:O690),$O$2:$O$1001,0),0), INDEX($V$1004:$AE$1004,1,MATCH(COLUMNS($V$1006:Y1006),$V$1006:$AE$1006,0)))),"Fix")))</f>
        <v>0</v>
      </c>
      <c r="F690" s="4">
        <f>IF(OR(INDEX($P$2:$P$1001,MATCH(ROWS($O$2:O690),$O$2:$O$1001,0),1)&gt;=100000,INDEX($V$1005:$AE$1005,1,MATCH(COLUMNS($V$1006:Z1006),$V$1006:$AE$1006,0))&gt;=100000), " ",IF(INDEX($V$2:$AE$1001,MATCH(ROWS($O$2:O690),$O$2:$O$1001,0),MATCH(COLUMNS($V$1006:Z1006),$V$1006:$AE$1006,0)), HYPERLINK("#",""), HYPERLINK(CONCATENATE("#Metadata!", ADDRESS(INDEX($Q$2:$Q$1001,MATCH(ROWS($O$2:O690),$O$2:$O$1001,0),0), INDEX($V$1004:$AE$1004,1,MATCH(COLUMNS($V$1006:Z1006),$V$1006:$AE$1006,0)))),"Fix")))</f>
        <v>0</v>
      </c>
      <c r="G690" s="4">
        <f>IF(OR(INDEX($P$2:$P$1001,MATCH(ROWS($O$2:O690),$O$2:$O$1001,0),1)&gt;=100000,INDEX($V$1005:$AE$1005,1,MATCH(COLUMNS($V$1006:AA1006),$V$1006:$AE$1006,0))&gt;=100000), " ",IF(INDEX($V$2:$AE$1001,MATCH(ROWS($O$2:O690),$O$2:$O$1001,0),MATCH(COLUMNS($V$1006:AA1006),$V$1006:$AE$1006,0)), HYPERLINK("#",""), HYPERLINK(CONCATENATE("#Metadata!", ADDRESS(INDEX($Q$2:$Q$1001,MATCH(ROWS($O$2:O690),$O$2:$O$1001,0),0), INDEX($V$1004:$AE$1004,1,MATCH(COLUMNS($V$1006:AA1006),$V$1006:$AE$1006,0)))),"Fix")))</f>
        <v>0</v>
      </c>
      <c r="H690" s="4">
        <f>IF(OR(INDEX($P$2:$P$1001,MATCH(ROWS($O$2:O690),$O$2:$O$1001,0),1)&gt;=100000,INDEX($V$1005:$AE$1005,1,MATCH(COLUMNS($V$1006:AB1006),$V$1006:$AE$1006,0))&gt;=100000), " ",IF(INDEX($V$2:$AE$1001,MATCH(ROWS($O$2:O690),$O$2:$O$1001,0),MATCH(COLUMNS($V$1006:AB1006),$V$1006:$AE$1006,0)), HYPERLINK("#",""), HYPERLINK(CONCATENATE("#Metadata!", ADDRESS(INDEX($Q$2:$Q$1001,MATCH(ROWS($O$2:O690),$O$2:$O$1001,0),0), INDEX($V$1004:$AE$1004,1,MATCH(COLUMNS($V$1006:AB1006),$V$1006:$AE$1006,0)))),"Fix")))</f>
        <v>0</v>
      </c>
      <c r="I690" s="4">
        <f>IF(OR(INDEX($P$2:$P$1001,MATCH(ROWS($O$2:O690),$O$2:$O$1001,0),1)&gt;=100000,INDEX($V$1005:$AE$1005,1,MATCH(COLUMNS($V$1006:AC1006),$V$1006:$AE$1006,0))&gt;=100000), " ",IF(INDEX($V$2:$AE$1001,MATCH(ROWS($O$2:O690),$O$2:$O$1001,0),MATCH(COLUMNS($V$1006:AC1006),$V$1006:$AE$1006,0)), HYPERLINK("#",""), HYPERLINK(CONCATENATE("#Metadata!", ADDRESS(INDEX($Q$2:$Q$1001,MATCH(ROWS($O$2:O690),$O$2:$O$1001,0),0), INDEX($V$1004:$AE$1004,1,MATCH(COLUMNS($V$1006:AC1006),$V$1006:$AE$1006,0)))),"Fix")))</f>
        <v>0</v>
      </c>
      <c r="J690" s="4">
        <f>IF(OR(INDEX($P$2:$P$1001,MATCH(ROWS($O$2:O690),$O$2:$O$1001,0),1)&gt;=100000,INDEX($V$1005:$AE$1005,1,MATCH(COLUMNS($V$1006:AD1006),$V$1006:$AE$1006,0))&gt;=100000), " ",IF(INDEX($V$2:$AE$1001,MATCH(ROWS($O$2:O690),$O$2:$O$1001,0),MATCH(COLUMNS($V$1006:AD1006),$V$1006:$AE$1006,0)), HYPERLINK("#",""), HYPERLINK(CONCATENATE("#Metadata!", ADDRESS(INDEX($Q$2:$Q$1001,MATCH(ROWS($O$2:O690),$O$2:$O$1001,0),0), INDEX($V$1004:$AE$1004,1,MATCH(COLUMNS($V$1006:AD1006),$V$1006:$AE$1006,0)))),"Fix")))</f>
        <v>0</v>
      </c>
      <c r="K690" s="4">
        <f>IF(OR(INDEX($P$2:$P$1001,MATCH(ROWS($O$2:O690),$O$2:$O$1001,0),1)&gt;=100000,INDEX($V$1005:$AE$1005,1,MATCH(COLUMNS($V$1006:AE1006),$V$1006:$AE$1006,0))&gt;=100000), " ",IF(INDEX($V$2:$AE$1001,MATCH(ROWS($O$2:O690),$O$2:$O$1001,0),MATCH(COLUMNS($V$1006:AE1006),$V$1006:$AE$1006,0)), HYPERLINK("#",""), HYPERLINK(CONCATENATE("#Metadata!", ADDRESS(INDEX($Q$2:$Q$1001,MATCH(ROWS($O$2:O690),$O$2:$O$1001,0),0), INDEX($V$1004:$AE$1004,1,MATCH(COLUMNS($V$1006:AE1006),$V$1006:$AE$1006,0)))),"Fix")))</f>
        <v>0</v>
      </c>
      <c r="O690">
        <v>0</v>
      </c>
      <c r="P690">
        <v>0</v>
      </c>
      <c r="Q690">
        <v>0</v>
      </c>
      <c r="R690">
        <f>IF(S690,TRUE,AND(V690:AE690))</f>
        <v>0</v>
      </c>
      <c r="S690">
        <f>COUNTBLANK(Metadata!B690:K690)=COLUMNS(Metadata!B690:K690)</f>
        <v>0</v>
      </c>
      <c r="T690">
        <v>0</v>
      </c>
      <c r="V690">
        <f>AND(IF(Metadata!B690="",FALSE,TRUE),COUNTIF(Metadata!B:B, Metadata!B690) = 1,NOT(ISERROR(SUMPRODUCT(SEARCH(MID(Metadata!B690,ROW(INDIRECT("1:"&amp;LEN(Metadata!B690))), 1),"0123456789abcdefghijklmnopqrstuvwxyzABCDEFGHIJKLMNOPQRSTUVWXYZ.")))))</f>
        <v>0</v>
      </c>
      <c r="W690">
        <f>AND(IF(Metadata!C690="",FALSE,TRUE),exact(Metadata!C690,"urban biome"))</f>
        <v>0</v>
      </c>
      <c r="X690">
        <f>AND(IF(Metadata!D690="",FALSE,TRUE),exact(Metadata!D690,"animal-associated habitat"))</f>
        <v>0</v>
      </c>
      <c r="Y690">
        <f>OR(AND(IF(Metadata!E690="",FALSE,TRUE),OR(exact(Metadata!E690,"not applicable"),exact(Metadata!E690,"missing: not collected"),exact(Metadata!E690,"missing: not provided"),exact(Metadata!E690,"missing: restricted access"))),AND(IF(Metadata!E690="",FALSE,ISNUMBER(VALUE(Metadata!E690))),Metadata!E690&gt;0))</f>
        <v>0</v>
      </c>
      <c r="Z690">
        <f>AND(IF(Metadata!F690="",FALSE,TRUE),exact(Metadata!F690,"weeks"))</f>
        <v>0</v>
      </c>
      <c r="AA690">
        <f>AND(IF(Metadata!G690="",FALSE,TRUE),exact(Metadata!G690,"mouse"))</f>
        <v>0</v>
      </c>
      <c r="AB690">
        <f>AND(IF(Metadata!H690="",FALSE,TRUE),exact(Metadata!H690,"Mus musculus"))</f>
        <v>0</v>
      </c>
      <c r="AC690">
        <f>AND(IF(Metadata!I690="",FALSE,TRUE),exact(Metadata!I690,"10090"))</f>
        <v>0</v>
      </c>
      <c r="AD690">
        <f>OR(AND(IF(Metadata!J690="",FALSE,TRUE),OR(exact(Metadata!J690,"not applicable"),exact(Metadata!J690,"missing: not collected"),exact(Metadata!J690,"missing: not provided"),exact(Metadata!J690,"missing: restricted access"))),AND(IF(Metadata!J690="",FALSE,ISNUMBER(VALUE(Metadata!J690))),Metadata!J690&gt;0))</f>
        <v>0</v>
      </c>
      <c r="AE690">
        <f>AND(IF(Metadata!K690="",FALSE,TRUE),exact(Metadata!K690,"g"))</f>
        <v>0</v>
      </c>
    </row>
    <row r="691" spans="1:31">
      <c r="A691" s="5">
        <f>IF(B691=" "," ",HYPERLINK(CONCATENATE("#metadata!",ADDRESS(INDEX($Q$2:$Q$1001,MATCH(ROWS($O$2:O691),$O$2:$O$1001,0),0),1)),INDEX($T$2:$T$1001,MATCH(ROWS($O$2:O691),$O$2:$O$1001,0),0)))</f>
        <v>0</v>
      </c>
      <c r="B691" s="4">
        <f>IF(OR(INDEX($P$2:$P$1001,MATCH(ROWS($O$2:O691),$O$2:$O$1001,0),1)&gt;=100000,INDEX($V$1005:$AE$1005,1,MATCH(COLUMNS($V$1006:V1006),$V$1006:$AE$1006,0))&gt;=100000), " ",IF(INDEX($V$2:$AE$1001,MATCH(ROWS($O$2:O691),$O$2:$O$1001,0),MATCH(COLUMNS($V$1006:V1006),$V$1006:$AE$1006,0)), HYPERLINK("#",""), HYPERLINK(CONCATENATE("#Metadata!", ADDRESS(INDEX($Q$2:$Q$1001,MATCH(ROWS($O$2:O691),$O$2:$O$1001,0),0), INDEX($V$1004:$AE$1004,1,MATCH(COLUMNS($V$1006:V1006),$V$1006:$AE$1006,0)))),"Fix")))</f>
        <v>0</v>
      </c>
      <c r="C691" s="4">
        <f>IF(OR(INDEX($P$2:$P$1001,MATCH(ROWS($O$2:O691),$O$2:$O$1001,0),1)&gt;=100000,INDEX($V$1005:$AE$1005,1,MATCH(COLUMNS($V$1006:W1006),$V$1006:$AE$1006,0))&gt;=100000), " ",IF(INDEX($V$2:$AE$1001,MATCH(ROWS($O$2:O691),$O$2:$O$1001,0),MATCH(COLUMNS($V$1006:W1006),$V$1006:$AE$1006,0)), HYPERLINK("#",""), HYPERLINK(CONCATENATE("#Metadata!", ADDRESS(INDEX($Q$2:$Q$1001,MATCH(ROWS($O$2:O691),$O$2:$O$1001,0),0), INDEX($V$1004:$AE$1004,1,MATCH(COLUMNS($V$1006:W1006),$V$1006:$AE$1006,0)))),"Fix")))</f>
        <v>0</v>
      </c>
      <c r="D691" s="4">
        <f>IF(OR(INDEX($P$2:$P$1001,MATCH(ROWS($O$2:O691),$O$2:$O$1001,0),1)&gt;=100000,INDEX($V$1005:$AE$1005,1,MATCH(COLUMNS($V$1006:X1006),$V$1006:$AE$1006,0))&gt;=100000), " ",IF(INDEX($V$2:$AE$1001,MATCH(ROWS($O$2:O691),$O$2:$O$1001,0),MATCH(COLUMNS($V$1006:X1006),$V$1006:$AE$1006,0)), HYPERLINK("#",""), HYPERLINK(CONCATENATE("#Metadata!", ADDRESS(INDEX($Q$2:$Q$1001,MATCH(ROWS($O$2:O691),$O$2:$O$1001,0),0), INDEX($V$1004:$AE$1004,1,MATCH(COLUMNS($V$1006:X1006),$V$1006:$AE$1006,0)))),"Fix")))</f>
        <v>0</v>
      </c>
      <c r="E691" s="4">
        <f>IF(OR(INDEX($P$2:$P$1001,MATCH(ROWS($O$2:O691),$O$2:$O$1001,0),1)&gt;=100000,INDEX($V$1005:$AE$1005,1,MATCH(COLUMNS($V$1006:Y1006),$V$1006:$AE$1006,0))&gt;=100000), " ",IF(INDEX($V$2:$AE$1001,MATCH(ROWS($O$2:O691),$O$2:$O$1001,0),MATCH(COLUMNS($V$1006:Y1006),$V$1006:$AE$1006,0)), HYPERLINK("#",""), HYPERLINK(CONCATENATE("#Metadata!", ADDRESS(INDEX($Q$2:$Q$1001,MATCH(ROWS($O$2:O691),$O$2:$O$1001,0),0), INDEX($V$1004:$AE$1004,1,MATCH(COLUMNS($V$1006:Y1006),$V$1006:$AE$1006,0)))),"Fix")))</f>
        <v>0</v>
      </c>
      <c r="F691" s="4">
        <f>IF(OR(INDEX($P$2:$P$1001,MATCH(ROWS($O$2:O691),$O$2:$O$1001,0),1)&gt;=100000,INDEX($V$1005:$AE$1005,1,MATCH(COLUMNS($V$1006:Z1006),$V$1006:$AE$1006,0))&gt;=100000), " ",IF(INDEX($V$2:$AE$1001,MATCH(ROWS($O$2:O691),$O$2:$O$1001,0),MATCH(COLUMNS($V$1006:Z1006),$V$1006:$AE$1006,0)), HYPERLINK("#",""), HYPERLINK(CONCATENATE("#Metadata!", ADDRESS(INDEX($Q$2:$Q$1001,MATCH(ROWS($O$2:O691),$O$2:$O$1001,0),0), INDEX($V$1004:$AE$1004,1,MATCH(COLUMNS($V$1006:Z1006),$V$1006:$AE$1006,0)))),"Fix")))</f>
        <v>0</v>
      </c>
      <c r="G691" s="4">
        <f>IF(OR(INDEX($P$2:$P$1001,MATCH(ROWS($O$2:O691),$O$2:$O$1001,0),1)&gt;=100000,INDEX($V$1005:$AE$1005,1,MATCH(COLUMNS($V$1006:AA1006),$V$1006:$AE$1006,0))&gt;=100000), " ",IF(INDEX($V$2:$AE$1001,MATCH(ROWS($O$2:O691),$O$2:$O$1001,0),MATCH(COLUMNS($V$1006:AA1006),$V$1006:$AE$1006,0)), HYPERLINK("#",""), HYPERLINK(CONCATENATE("#Metadata!", ADDRESS(INDEX($Q$2:$Q$1001,MATCH(ROWS($O$2:O691),$O$2:$O$1001,0),0), INDEX($V$1004:$AE$1004,1,MATCH(COLUMNS($V$1006:AA1006),$V$1006:$AE$1006,0)))),"Fix")))</f>
        <v>0</v>
      </c>
      <c r="H691" s="4">
        <f>IF(OR(INDEX($P$2:$P$1001,MATCH(ROWS($O$2:O691),$O$2:$O$1001,0),1)&gt;=100000,INDEX($V$1005:$AE$1005,1,MATCH(COLUMNS($V$1006:AB1006),$V$1006:$AE$1006,0))&gt;=100000), " ",IF(INDEX($V$2:$AE$1001,MATCH(ROWS($O$2:O691),$O$2:$O$1001,0),MATCH(COLUMNS($V$1006:AB1006),$V$1006:$AE$1006,0)), HYPERLINK("#",""), HYPERLINK(CONCATENATE("#Metadata!", ADDRESS(INDEX($Q$2:$Q$1001,MATCH(ROWS($O$2:O691),$O$2:$O$1001,0),0), INDEX($V$1004:$AE$1004,1,MATCH(COLUMNS($V$1006:AB1006),$V$1006:$AE$1006,0)))),"Fix")))</f>
        <v>0</v>
      </c>
      <c r="I691" s="4">
        <f>IF(OR(INDEX($P$2:$P$1001,MATCH(ROWS($O$2:O691),$O$2:$O$1001,0),1)&gt;=100000,INDEX($V$1005:$AE$1005,1,MATCH(COLUMNS($V$1006:AC1006),$V$1006:$AE$1006,0))&gt;=100000), " ",IF(INDEX($V$2:$AE$1001,MATCH(ROWS($O$2:O691),$O$2:$O$1001,0),MATCH(COLUMNS($V$1006:AC1006),$V$1006:$AE$1006,0)), HYPERLINK("#",""), HYPERLINK(CONCATENATE("#Metadata!", ADDRESS(INDEX($Q$2:$Q$1001,MATCH(ROWS($O$2:O691),$O$2:$O$1001,0),0), INDEX($V$1004:$AE$1004,1,MATCH(COLUMNS($V$1006:AC1006),$V$1006:$AE$1006,0)))),"Fix")))</f>
        <v>0</v>
      </c>
      <c r="J691" s="4">
        <f>IF(OR(INDEX($P$2:$P$1001,MATCH(ROWS($O$2:O691),$O$2:$O$1001,0),1)&gt;=100000,INDEX($V$1005:$AE$1005,1,MATCH(COLUMNS($V$1006:AD1006),$V$1006:$AE$1006,0))&gt;=100000), " ",IF(INDEX($V$2:$AE$1001,MATCH(ROWS($O$2:O691),$O$2:$O$1001,0),MATCH(COLUMNS($V$1006:AD1006),$V$1006:$AE$1006,0)), HYPERLINK("#",""), HYPERLINK(CONCATENATE("#Metadata!", ADDRESS(INDEX($Q$2:$Q$1001,MATCH(ROWS($O$2:O691),$O$2:$O$1001,0),0), INDEX($V$1004:$AE$1004,1,MATCH(COLUMNS($V$1006:AD1006),$V$1006:$AE$1006,0)))),"Fix")))</f>
        <v>0</v>
      </c>
      <c r="K691" s="4">
        <f>IF(OR(INDEX($P$2:$P$1001,MATCH(ROWS($O$2:O691),$O$2:$O$1001,0),1)&gt;=100000,INDEX($V$1005:$AE$1005,1,MATCH(COLUMNS($V$1006:AE1006),$V$1006:$AE$1006,0))&gt;=100000), " ",IF(INDEX($V$2:$AE$1001,MATCH(ROWS($O$2:O691),$O$2:$O$1001,0),MATCH(COLUMNS($V$1006:AE1006),$V$1006:$AE$1006,0)), HYPERLINK("#",""), HYPERLINK(CONCATENATE("#Metadata!", ADDRESS(INDEX($Q$2:$Q$1001,MATCH(ROWS($O$2:O691),$O$2:$O$1001,0),0), INDEX($V$1004:$AE$1004,1,MATCH(COLUMNS($V$1006:AE1006),$V$1006:$AE$1006,0)))),"Fix")))</f>
        <v>0</v>
      </c>
      <c r="O691">
        <v>0</v>
      </c>
      <c r="P691">
        <v>0</v>
      </c>
      <c r="Q691">
        <v>0</v>
      </c>
      <c r="R691">
        <f>IF(S691,TRUE,AND(V691:AE691))</f>
        <v>0</v>
      </c>
      <c r="S691">
        <f>COUNTBLANK(Metadata!B691:K691)=COLUMNS(Metadata!B691:K691)</f>
        <v>0</v>
      </c>
      <c r="T691">
        <v>0</v>
      </c>
      <c r="V691">
        <f>AND(IF(Metadata!B691="",FALSE,TRUE),COUNTIF(Metadata!B:B, Metadata!B691) = 1,NOT(ISERROR(SUMPRODUCT(SEARCH(MID(Metadata!B691,ROW(INDIRECT("1:"&amp;LEN(Metadata!B691))), 1),"0123456789abcdefghijklmnopqrstuvwxyzABCDEFGHIJKLMNOPQRSTUVWXYZ.")))))</f>
        <v>0</v>
      </c>
      <c r="W691">
        <f>AND(IF(Metadata!C691="",FALSE,TRUE),exact(Metadata!C691,"urban biome"))</f>
        <v>0</v>
      </c>
      <c r="X691">
        <f>AND(IF(Metadata!D691="",FALSE,TRUE),exact(Metadata!D691,"animal-associated habitat"))</f>
        <v>0</v>
      </c>
      <c r="Y691">
        <f>OR(AND(IF(Metadata!E691="",FALSE,TRUE),OR(exact(Metadata!E691,"not applicable"),exact(Metadata!E691,"missing: not collected"),exact(Metadata!E691,"missing: not provided"),exact(Metadata!E691,"missing: restricted access"))),AND(IF(Metadata!E691="",FALSE,ISNUMBER(VALUE(Metadata!E691))),Metadata!E691&gt;0))</f>
        <v>0</v>
      </c>
      <c r="Z691">
        <f>AND(IF(Metadata!F691="",FALSE,TRUE),exact(Metadata!F691,"weeks"))</f>
        <v>0</v>
      </c>
      <c r="AA691">
        <f>AND(IF(Metadata!G691="",FALSE,TRUE),exact(Metadata!G691,"mouse"))</f>
        <v>0</v>
      </c>
      <c r="AB691">
        <f>AND(IF(Metadata!H691="",FALSE,TRUE),exact(Metadata!H691,"Mus musculus"))</f>
        <v>0</v>
      </c>
      <c r="AC691">
        <f>AND(IF(Metadata!I691="",FALSE,TRUE),exact(Metadata!I691,"10090"))</f>
        <v>0</v>
      </c>
      <c r="AD691">
        <f>OR(AND(IF(Metadata!J691="",FALSE,TRUE),OR(exact(Metadata!J691,"not applicable"),exact(Metadata!J691,"missing: not collected"),exact(Metadata!J691,"missing: not provided"),exact(Metadata!J691,"missing: restricted access"))),AND(IF(Metadata!J691="",FALSE,ISNUMBER(VALUE(Metadata!J691))),Metadata!J691&gt;0))</f>
        <v>0</v>
      </c>
      <c r="AE691">
        <f>AND(IF(Metadata!K691="",FALSE,TRUE),exact(Metadata!K691,"g"))</f>
        <v>0</v>
      </c>
    </row>
    <row r="692" spans="1:31">
      <c r="A692" s="5">
        <f>IF(B692=" "," ",HYPERLINK(CONCATENATE("#metadata!",ADDRESS(INDEX($Q$2:$Q$1001,MATCH(ROWS($O$2:O692),$O$2:$O$1001,0),0),1)),INDEX($T$2:$T$1001,MATCH(ROWS($O$2:O692),$O$2:$O$1001,0),0)))</f>
        <v>0</v>
      </c>
      <c r="B692" s="4">
        <f>IF(OR(INDEX($P$2:$P$1001,MATCH(ROWS($O$2:O692),$O$2:$O$1001,0),1)&gt;=100000,INDEX($V$1005:$AE$1005,1,MATCH(COLUMNS($V$1006:V1006),$V$1006:$AE$1006,0))&gt;=100000), " ",IF(INDEX($V$2:$AE$1001,MATCH(ROWS($O$2:O692),$O$2:$O$1001,0),MATCH(COLUMNS($V$1006:V1006),$V$1006:$AE$1006,0)), HYPERLINK("#",""), HYPERLINK(CONCATENATE("#Metadata!", ADDRESS(INDEX($Q$2:$Q$1001,MATCH(ROWS($O$2:O692),$O$2:$O$1001,0),0), INDEX($V$1004:$AE$1004,1,MATCH(COLUMNS($V$1006:V1006),$V$1006:$AE$1006,0)))),"Fix")))</f>
        <v>0</v>
      </c>
      <c r="C692" s="4">
        <f>IF(OR(INDEX($P$2:$P$1001,MATCH(ROWS($O$2:O692),$O$2:$O$1001,0),1)&gt;=100000,INDEX($V$1005:$AE$1005,1,MATCH(COLUMNS($V$1006:W1006),$V$1006:$AE$1006,0))&gt;=100000), " ",IF(INDEX($V$2:$AE$1001,MATCH(ROWS($O$2:O692),$O$2:$O$1001,0),MATCH(COLUMNS($V$1006:W1006),$V$1006:$AE$1006,0)), HYPERLINK("#",""), HYPERLINK(CONCATENATE("#Metadata!", ADDRESS(INDEX($Q$2:$Q$1001,MATCH(ROWS($O$2:O692),$O$2:$O$1001,0),0), INDEX($V$1004:$AE$1004,1,MATCH(COLUMNS($V$1006:W1006),$V$1006:$AE$1006,0)))),"Fix")))</f>
        <v>0</v>
      </c>
      <c r="D692" s="4">
        <f>IF(OR(INDEX($P$2:$P$1001,MATCH(ROWS($O$2:O692),$O$2:$O$1001,0),1)&gt;=100000,INDEX($V$1005:$AE$1005,1,MATCH(COLUMNS($V$1006:X1006),$V$1006:$AE$1006,0))&gt;=100000), " ",IF(INDEX($V$2:$AE$1001,MATCH(ROWS($O$2:O692),$O$2:$O$1001,0),MATCH(COLUMNS($V$1006:X1006),$V$1006:$AE$1006,0)), HYPERLINK("#",""), HYPERLINK(CONCATENATE("#Metadata!", ADDRESS(INDEX($Q$2:$Q$1001,MATCH(ROWS($O$2:O692),$O$2:$O$1001,0),0), INDEX($V$1004:$AE$1004,1,MATCH(COLUMNS($V$1006:X1006),$V$1006:$AE$1006,0)))),"Fix")))</f>
        <v>0</v>
      </c>
      <c r="E692" s="4">
        <f>IF(OR(INDEX($P$2:$P$1001,MATCH(ROWS($O$2:O692),$O$2:$O$1001,0),1)&gt;=100000,INDEX($V$1005:$AE$1005,1,MATCH(COLUMNS($V$1006:Y1006),$V$1006:$AE$1006,0))&gt;=100000), " ",IF(INDEX($V$2:$AE$1001,MATCH(ROWS($O$2:O692),$O$2:$O$1001,0),MATCH(COLUMNS($V$1006:Y1006),$V$1006:$AE$1006,0)), HYPERLINK("#",""), HYPERLINK(CONCATENATE("#Metadata!", ADDRESS(INDEX($Q$2:$Q$1001,MATCH(ROWS($O$2:O692),$O$2:$O$1001,0),0), INDEX($V$1004:$AE$1004,1,MATCH(COLUMNS($V$1006:Y1006),$V$1006:$AE$1006,0)))),"Fix")))</f>
        <v>0</v>
      </c>
      <c r="F692" s="4">
        <f>IF(OR(INDEX($P$2:$P$1001,MATCH(ROWS($O$2:O692),$O$2:$O$1001,0),1)&gt;=100000,INDEX($V$1005:$AE$1005,1,MATCH(COLUMNS($V$1006:Z1006),$V$1006:$AE$1006,0))&gt;=100000), " ",IF(INDEX($V$2:$AE$1001,MATCH(ROWS($O$2:O692),$O$2:$O$1001,0),MATCH(COLUMNS($V$1006:Z1006),$V$1006:$AE$1006,0)), HYPERLINK("#",""), HYPERLINK(CONCATENATE("#Metadata!", ADDRESS(INDEX($Q$2:$Q$1001,MATCH(ROWS($O$2:O692),$O$2:$O$1001,0),0), INDEX($V$1004:$AE$1004,1,MATCH(COLUMNS($V$1006:Z1006),$V$1006:$AE$1006,0)))),"Fix")))</f>
        <v>0</v>
      </c>
      <c r="G692" s="4">
        <f>IF(OR(INDEX($P$2:$P$1001,MATCH(ROWS($O$2:O692),$O$2:$O$1001,0),1)&gt;=100000,INDEX($V$1005:$AE$1005,1,MATCH(COLUMNS($V$1006:AA1006),$V$1006:$AE$1006,0))&gt;=100000), " ",IF(INDEX($V$2:$AE$1001,MATCH(ROWS($O$2:O692),$O$2:$O$1001,0),MATCH(COLUMNS($V$1006:AA1006),$V$1006:$AE$1006,0)), HYPERLINK("#",""), HYPERLINK(CONCATENATE("#Metadata!", ADDRESS(INDEX($Q$2:$Q$1001,MATCH(ROWS($O$2:O692),$O$2:$O$1001,0),0), INDEX($V$1004:$AE$1004,1,MATCH(COLUMNS($V$1006:AA1006),$V$1006:$AE$1006,0)))),"Fix")))</f>
        <v>0</v>
      </c>
      <c r="H692" s="4">
        <f>IF(OR(INDEX($P$2:$P$1001,MATCH(ROWS($O$2:O692),$O$2:$O$1001,0),1)&gt;=100000,INDEX($V$1005:$AE$1005,1,MATCH(COLUMNS($V$1006:AB1006),$V$1006:$AE$1006,0))&gt;=100000), " ",IF(INDEX($V$2:$AE$1001,MATCH(ROWS($O$2:O692),$O$2:$O$1001,0),MATCH(COLUMNS($V$1006:AB1006),$V$1006:$AE$1006,0)), HYPERLINK("#",""), HYPERLINK(CONCATENATE("#Metadata!", ADDRESS(INDEX($Q$2:$Q$1001,MATCH(ROWS($O$2:O692),$O$2:$O$1001,0),0), INDEX($V$1004:$AE$1004,1,MATCH(COLUMNS($V$1006:AB1006),$V$1006:$AE$1006,0)))),"Fix")))</f>
        <v>0</v>
      </c>
      <c r="I692" s="4">
        <f>IF(OR(INDEX($P$2:$P$1001,MATCH(ROWS($O$2:O692),$O$2:$O$1001,0),1)&gt;=100000,INDEX($V$1005:$AE$1005,1,MATCH(COLUMNS($V$1006:AC1006),$V$1006:$AE$1006,0))&gt;=100000), " ",IF(INDEX($V$2:$AE$1001,MATCH(ROWS($O$2:O692),$O$2:$O$1001,0),MATCH(COLUMNS($V$1006:AC1006),$V$1006:$AE$1006,0)), HYPERLINK("#",""), HYPERLINK(CONCATENATE("#Metadata!", ADDRESS(INDEX($Q$2:$Q$1001,MATCH(ROWS($O$2:O692),$O$2:$O$1001,0),0), INDEX($V$1004:$AE$1004,1,MATCH(COLUMNS($V$1006:AC1006),$V$1006:$AE$1006,0)))),"Fix")))</f>
        <v>0</v>
      </c>
      <c r="J692" s="4">
        <f>IF(OR(INDEX($P$2:$P$1001,MATCH(ROWS($O$2:O692),$O$2:$O$1001,0),1)&gt;=100000,INDEX($V$1005:$AE$1005,1,MATCH(COLUMNS($V$1006:AD1006),$V$1006:$AE$1006,0))&gt;=100000), " ",IF(INDEX($V$2:$AE$1001,MATCH(ROWS($O$2:O692),$O$2:$O$1001,0),MATCH(COLUMNS($V$1006:AD1006),$V$1006:$AE$1006,0)), HYPERLINK("#",""), HYPERLINK(CONCATENATE("#Metadata!", ADDRESS(INDEX($Q$2:$Q$1001,MATCH(ROWS($O$2:O692),$O$2:$O$1001,0),0), INDEX($V$1004:$AE$1004,1,MATCH(COLUMNS($V$1006:AD1006),$V$1006:$AE$1006,0)))),"Fix")))</f>
        <v>0</v>
      </c>
      <c r="K692" s="4">
        <f>IF(OR(INDEX($P$2:$P$1001,MATCH(ROWS($O$2:O692),$O$2:$O$1001,0),1)&gt;=100000,INDEX($V$1005:$AE$1005,1,MATCH(COLUMNS($V$1006:AE1006),$V$1006:$AE$1006,0))&gt;=100000), " ",IF(INDEX($V$2:$AE$1001,MATCH(ROWS($O$2:O692),$O$2:$O$1001,0),MATCH(COLUMNS($V$1006:AE1006),$V$1006:$AE$1006,0)), HYPERLINK("#",""), HYPERLINK(CONCATENATE("#Metadata!", ADDRESS(INDEX($Q$2:$Q$1001,MATCH(ROWS($O$2:O692),$O$2:$O$1001,0),0), INDEX($V$1004:$AE$1004,1,MATCH(COLUMNS($V$1006:AE1006),$V$1006:$AE$1006,0)))),"Fix")))</f>
        <v>0</v>
      </c>
      <c r="O692">
        <v>0</v>
      </c>
      <c r="P692">
        <v>0</v>
      </c>
      <c r="Q692">
        <v>0</v>
      </c>
      <c r="R692">
        <f>IF(S692,TRUE,AND(V692:AE692))</f>
        <v>0</v>
      </c>
      <c r="S692">
        <f>COUNTBLANK(Metadata!B692:K692)=COLUMNS(Metadata!B692:K692)</f>
        <v>0</v>
      </c>
      <c r="T692">
        <v>0</v>
      </c>
      <c r="V692">
        <f>AND(IF(Metadata!B692="",FALSE,TRUE),COUNTIF(Metadata!B:B, Metadata!B692) = 1,NOT(ISERROR(SUMPRODUCT(SEARCH(MID(Metadata!B692,ROW(INDIRECT("1:"&amp;LEN(Metadata!B692))), 1),"0123456789abcdefghijklmnopqrstuvwxyzABCDEFGHIJKLMNOPQRSTUVWXYZ.")))))</f>
        <v>0</v>
      </c>
      <c r="W692">
        <f>AND(IF(Metadata!C692="",FALSE,TRUE),exact(Metadata!C692,"urban biome"))</f>
        <v>0</v>
      </c>
      <c r="X692">
        <f>AND(IF(Metadata!D692="",FALSE,TRUE),exact(Metadata!D692,"animal-associated habitat"))</f>
        <v>0</v>
      </c>
      <c r="Y692">
        <f>OR(AND(IF(Metadata!E692="",FALSE,TRUE),OR(exact(Metadata!E692,"not applicable"),exact(Metadata!E692,"missing: not collected"),exact(Metadata!E692,"missing: not provided"),exact(Metadata!E692,"missing: restricted access"))),AND(IF(Metadata!E692="",FALSE,ISNUMBER(VALUE(Metadata!E692))),Metadata!E692&gt;0))</f>
        <v>0</v>
      </c>
      <c r="Z692">
        <f>AND(IF(Metadata!F692="",FALSE,TRUE),exact(Metadata!F692,"weeks"))</f>
        <v>0</v>
      </c>
      <c r="AA692">
        <f>AND(IF(Metadata!G692="",FALSE,TRUE),exact(Metadata!G692,"mouse"))</f>
        <v>0</v>
      </c>
      <c r="AB692">
        <f>AND(IF(Metadata!H692="",FALSE,TRUE),exact(Metadata!H692,"Mus musculus"))</f>
        <v>0</v>
      </c>
      <c r="AC692">
        <f>AND(IF(Metadata!I692="",FALSE,TRUE),exact(Metadata!I692,"10090"))</f>
        <v>0</v>
      </c>
      <c r="AD692">
        <f>OR(AND(IF(Metadata!J692="",FALSE,TRUE),OR(exact(Metadata!J692,"not applicable"),exact(Metadata!J692,"missing: not collected"),exact(Metadata!J692,"missing: not provided"),exact(Metadata!J692,"missing: restricted access"))),AND(IF(Metadata!J692="",FALSE,ISNUMBER(VALUE(Metadata!J692))),Metadata!J692&gt;0))</f>
        <v>0</v>
      </c>
      <c r="AE692">
        <f>AND(IF(Metadata!K692="",FALSE,TRUE),exact(Metadata!K692,"g"))</f>
        <v>0</v>
      </c>
    </row>
    <row r="693" spans="1:31">
      <c r="A693" s="5">
        <f>IF(B693=" "," ",HYPERLINK(CONCATENATE("#metadata!",ADDRESS(INDEX($Q$2:$Q$1001,MATCH(ROWS($O$2:O693),$O$2:$O$1001,0),0),1)),INDEX($T$2:$T$1001,MATCH(ROWS($O$2:O693),$O$2:$O$1001,0),0)))</f>
        <v>0</v>
      </c>
      <c r="B693" s="4">
        <f>IF(OR(INDEX($P$2:$P$1001,MATCH(ROWS($O$2:O693),$O$2:$O$1001,0),1)&gt;=100000,INDEX($V$1005:$AE$1005,1,MATCH(COLUMNS($V$1006:V1006),$V$1006:$AE$1006,0))&gt;=100000), " ",IF(INDEX($V$2:$AE$1001,MATCH(ROWS($O$2:O693),$O$2:$O$1001,0),MATCH(COLUMNS($V$1006:V1006),$V$1006:$AE$1006,0)), HYPERLINK("#",""), HYPERLINK(CONCATENATE("#Metadata!", ADDRESS(INDEX($Q$2:$Q$1001,MATCH(ROWS($O$2:O693),$O$2:$O$1001,0),0), INDEX($V$1004:$AE$1004,1,MATCH(COLUMNS($V$1006:V1006),$V$1006:$AE$1006,0)))),"Fix")))</f>
        <v>0</v>
      </c>
      <c r="C693" s="4">
        <f>IF(OR(INDEX($P$2:$P$1001,MATCH(ROWS($O$2:O693),$O$2:$O$1001,0),1)&gt;=100000,INDEX($V$1005:$AE$1005,1,MATCH(COLUMNS($V$1006:W1006),$V$1006:$AE$1006,0))&gt;=100000), " ",IF(INDEX($V$2:$AE$1001,MATCH(ROWS($O$2:O693),$O$2:$O$1001,0),MATCH(COLUMNS($V$1006:W1006),$V$1006:$AE$1006,0)), HYPERLINK("#",""), HYPERLINK(CONCATENATE("#Metadata!", ADDRESS(INDEX($Q$2:$Q$1001,MATCH(ROWS($O$2:O693),$O$2:$O$1001,0),0), INDEX($V$1004:$AE$1004,1,MATCH(COLUMNS($V$1006:W1006),$V$1006:$AE$1006,0)))),"Fix")))</f>
        <v>0</v>
      </c>
      <c r="D693" s="4">
        <f>IF(OR(INDEX($P$2:$P$1001,MATCH(ROWS($O$2:O693),$O$2:$O$1001,0),1)&gt;=100000,INDEX($V$1005:$AE$1005,1,MATCH(COLUMNS($V$1006:X1006),$V$1006:$AE$1006,0))&gt;=100000), " ",IF(INDEX($V$2:$AE$1001,MATCH(ROWS($O$2:O693),$O$2:$O$1001,0),MATCH(COLUMNS($V$1006:X1006),$V$1006:$AE$1006,0)), HYPERLINK("#",""), HYPERLINK(CONCATENATE("#Metadata!", ADDRESS(INDEX($Q$2:$Q$1001,MATCH(ROWS($O$2:O693),$O$2:$O$1001,0),0), INDEX($V$1004:$AE$1004,1,MATCH(COLUMNS($V$1006:X1006),$V$1006:$AE$1006,0)))),"Fix")))</f>
        <v>0</v>
      </c>
      <c r="E693" s="4">
        <f>IF(OR(INDEX($P$2:$P$1001,MATCH(ROWS($O$2:O693),$O$2:$O$1001,0),1)&gt;=100000,INDEX($V$1005:$AE$1005,1,MATCH(COLUMNS($V$1006:Y1006),$V$1006:$AE$1006,0))&gt;=100000), " ",IF(INDEX($V$2:$AE$1001,MATCH(ROWS($O$2:O693),$O$2:$O$1001,0),MATCH(COLUMNS($V$1006:Y1006),$V$1006:$AE$1006,0)), HYPERLINK("#",""), HYPERLINK(CONCATENATE("#Metadata!", ADDRESS(INDEX($Q$2:$Q$1001,MATCH(ROWS($O$2:O693),$O$2:$O$1001,0),0), INDEX($V$1004:$AE$1004,1,MATCH(COLUMNS($V$1006:Y1006),$V$1006:$AE$1006,0)))),"Fix")))</f>
        <v>0</v>
      </c>
      <c r="F693" s="4">
        <f>IF(OR(INDEX($P$2:$P$1001,MATCH(ROWS($O$2:O693),$O$2:$O$1001,0),1)&gt;=100000,INDEX($V$1005:$AE$1005,1,MATCH(COLUMNS($V$1006:Z1006),$V$1006:$AE$1006,0))&gt;=100000), " ",IF(INDEX($V$2:$AE$1001,MATCH(ROWS($O$2:O693),$O$2:$O$1001,0),MATCH(COLUMNS($V$1006:Z1006),$V$1006:$AE$1006,0)), HYPERLINK("#",""), HYPERLINK(CONCATENATE("#Metadata!", ADDRESS(INDEX($Q$2:$Q$1001,MATCH(ROWS($O$2:O693),$O$2:$O$1001,0),0), INDEX($V$1004:$AE$1004,1,MATCH(COLUMNS($V$1006:Z1006),$V$1006:$AE$1006,0)))),"Fix")))</f>
        <v>0</v>
      </c>
      <c r="G693" s="4">
        <f>IF(OR(INDEX($P$2:$P$1001,MATCH(ROWS($O$2:O693),$O$2:$O$1001,0),1)&gt;=100000,INDEX($V$1005:$AE$1005,1,MATCH(COLUMNS($V$1006:AA1006),$V$1006:$AE$1006,0))&gt;=100000), " ",IF(INDEX($V$2:$AE$1001,MATCH(ROWS($O$2:O693),$O$2:$O$1001,0),MATCH(COLUMNS($V$1006:AA1006),$V$1006:$AE$1006,0)), HYPERLINK("#",""), HYPERLINK(CONCATENATE("#Metadata!", ADDRESS(INDEX($Q$2:$Q$1001,MATCH(ROWS($O$2:O693),$O$2:$O$1001,0),0), INDEX($V$1004:$AE$1004,1,MATCH(COLUMNS($V$1006:AA1006),$V$1006:$AE$1006,0)))),"Fix")))</f>
        <v>0</v>
      </c>
      <c r="H693" s="4">
        <f>IF(OR(INDEX($P$2:$P$1001,MATCH(ROWS($O$2:O693),$O$2:$O$1001,0),1)&gt;=100000,INDEX($V$1005:$AE$1005,1,MATCH(COLUMNS($V$1006:AB1006),$V$1006:$AE$1006,0))&gt;=100000), " ",IF(INDEX($V$2:$AE$1001,MATCH(ROWS($O$2:O693),$O$2:$O$1001,0),MATCH(COLUMNS($V$1006:AB1006),$V$1006:$AE$1006,0)), HYPERLINK("#",""), HYPERLINK(CONCATENATE("#Metadata!", ADDRESS(INDEX($Q$2:$Q$1001,MATCH(ROWS($O$2:O693),$O$2:$O$1001,0),0), INDEX($V$1004:$AE$1004,1,MATCH(COLUMNS($V$1006:AB1006),$V$1006:$AE$1006,0)))),"Fix")))</f>
        <v>0</v>
      </c>
      <c r="I693" s="4">
        <f>IF(OR(INDEX($P$2:$P$1001,MATCH(ROWS($O$2:O693),$O$2:$O$1001,0),1)&gt;=100000,INDEX($V$1005:$AE$1005,1,MATCH(COLUMNS($V$1006:AC1006),$V$1006:$AE$1006,0))&gt;=100000), " ",IF(INDEX($V$2:$AE$1001,MATCH(ROWS($O$2:O693),$O$2:$O$1001,0),MATCH(COLUMNS($V$1006:AC1006),$V$1006:$AE$1006,0)), HYPERLINK("#",""), HYPERLINK(CONCATENATE("#Metadata!", ADDRESS(INDEX($Q$2:$Q$1001,MATCH(ROWS($O$2:O693),$O$2:$O$1001,0),0), INDEX($V$1004:$AE$1004,1,MATCH(COLUMNS($V$1006:AC1006),$V$1006:$AE$1006,0)))),"Fix")))</f>
        <v>0</v>
      </c>
      <c r="J693" s="4">
        <f>IF(OR(INDEX($P$2:$P$1001,MATCH(ROWS($O$2:O693),$O$2:$O$1001,0),1)&gt;=100000,INDEX($V$1005:$AE$1005,1,MATCH(COLUMNS($V$1006:AD1006),$V$1006:$AE$1006,0))&gt;=100000), " ",IF(INDEX($V$2:$AE$1001,MATCH(ROWS($O$2:O693),$O$2:$O$1001,0),MATCH(COLUMNS($V$1006:AD1006),$V$1006:$AE$1006,0)), HYPERLINK("#",""), HYPERLINK(CONCATENATE("#Metadata!", ADDRESS(INDEX($Q$2:$Q$1001,MATCH(ROWS($O$2:O693),$O$2:$O$1001,0),0), INDEX($V$1004:$AE$1004,1,MATCH(COLUMNS($V$1006:AD1006),$V$1006:$AE$1006,0)))),"Fix")))</f>
        <v>0</v>
      </c>
      <c r="K693" s="4">
        <f>IF(OR(INDEX($P$2:$P$1001,MATCH(ROWS($O$2:O693),$O$2:$O$1001,0),1)&gt;=100000,INDEX($V$1005:$AE$1005,1,MATCH(COLUMNS($V$1006:AE1006),$V$1006:$AE$1006,0))&gt;=100000), " ",IF(INDEX($V$2:$AE$1001,MATCH(ROWS($O$2:O693),$O$2:$O$1001,0),MATCH(COLUMNS($V$1006:AE1006),$V$1006:$AE$1006,0)), HYPERLINK("#",""), HYPERLINK(CONCATENATE("#Metadata!", ADDRESS(INDEX($Q$2:$Q$1001,MATCH(ROWS($O$2:O693),$O$2:$O$1001,0),0), INDEX($V$1004:$AE$1004,1,MATCH(COLUMNS($V$1006:AE1006),$V$1006:$AE$1006,0)))),"Fix")))</f>
        <v>0</v>
      </c>
      <c r="O693">
        <v>0</v>
      </c>
      <c r="P693">
        <v>0</v>
      </c>
      <c r="Q693">
        <v>0</v>
      </c>
      <c r="R693">
        <f>IF(S693,TRUE,AND(V693:AE693))</f>
        <v>0</v>
      </c>
      <c r="S693">
        <f>COUNTBLANK(Metadata!B693:K693)=COLUMNS(Metadata!B693:K693)</f>
        <v>0</v>
      </c>
      <c r="T693">
        <v>0</v>
      </c>
      <c r="V693">
        <f>AND(IF(Metadata!B693="",FALSE,TRUE),COUNTIF(Metadata!B:B, Metadata!B693) = 1,NOT(ISERROR(SUMPRODUCT(SEARCH(MID(Metadata!B693,ROW(INDIRECT("1:"&amp;LEN(Metadata!B693))), 1),"0123456789abcdefghijklmnopqrstuvwxyzABCDEFGHIJKLMNOPQRSTUVWXYZ.")))))</f>
        <v>0</v>
      </c>
      <c r="W693">
        <f>AND(IF(Metadata!C693="",FALSE,TRUE),exact(Metadata!C693,"urban biome"))</f>
        <v>0</v>
      </c>
      <c r="X693">
        <f>AND(IF(Metadata!D693="",FALSE,TRUE),exact(Metadata!D693,"animal-associated habitat"))</f>
        <v>0</v>
      </c>
      <c r="Y693">
        <f>OR(AND(IF(Metadata!E693="",FALSE,TRUE),OR(exact(Metadata!E693,"not applicable"),exact(Metadata!E693,"missing: not collected"),exact(Metadata!E693,"missing: not provided"),exact(Metadata!E693,"missing: restricted access"))),AND(IF(Metadata!E693="",FALSE,ISNUMBER(VALUE(Metadata!E693))),Metadata!E693&gt;0))</f>
        <v>0</v>
      </c>
      <c r="Z693">
        <f>AND(IF(Metadata!F693="",FALSE,TRUE),exact(Metadata!F693,"weeks"))</f>
        <v>0</v>
      </c>
      <c r="AA693">
        <f>AND(IF(Metadata!G693="",FALSE,TRUE),exact(Metadata!G693,"mouse"))</f>
        <v>0</v>
      </c>
      <c r="AB693">
        <f>AND(IF(Metadata!H693="",FALSE,TRUE),exact(Metadata!H693,"Mus musculus"))</f>
        <v>0</v>
      </c>
      <c r="AC693">
        <f>AND(IF(Metadata!I693="",FALSE,TRUE),exact(Metadata!I693,"10090"))</f>
        <v>0</v>
      </c>
      <c r="AD693">
        <f>OR(AND(IF(Metadata!J693="",FALSE,TRUE),OR(exact(Metadata!J693,"not applicable"),exact(Metadata!J693,"missing: not collected"),exact(Metadata!J693,"missing: not provided"),exact(Metadata!J693,"missing: restricted access"))),AND(IF(Metadata!J693="",FALSE,ISNUMBER(VALUE(Metadata!J693))),Metadata!J693&gt;0))</f>
        <v>0</v>
      </c>
      <c r="AE693">
        <f>AND(IF(Metadata!K693="",FALSE,TRUE),exact(Metadata!K693,"g"))</f>
        <v>0</v>
      </c>
    </row>
    <row r="694" spans="1:31">
      <c r="A694" s="5">
        <f>IF(B694=" "," ",HYPERLINK(CONCATENATE("#metadata!",ADDRESS(INDEX($Q$2:$Q$1001,MATCH(ROWS($O$2:O694),$O$2:$O$1001,0),0),1)),INDEX($T$2:$T$1001,MATCH(ROWS($O$2:O694),$O$2:$O$1001,0),0)))</f>
        <v>0</v>
      </c>
      <c r="B694" s="4">
        <f>IF(OR(INDEX($P$2:$P$1001,MATCH(ROWS($O$2:O694),$O$2:$O$1001,0),1)&gt;=100000,INDEX($V$1005:$AE$1005,1,MATCH(COLUMNS($V$1006:V1006),$V$1006:$AE$1006,0))&gt;=100000), " ",IF(INDEX($V$2:$AE$1001,MATCH(ROWS($O$2:O694),$O$2:$O$1001,0),MATCH(COLUMNS($V$1006:V1006),$V$1006:$AE$1006,0)), HYPERLINK("#",""), HYPERLINK(CONCATENATE("#Metadata!", ADDRESS(INDEX($Q$2:$Q$1001,MATCH(ROWS($O$2:O694),$O$2:$O$1001,0),0), INDEX($V$1004:$AE$1004,1,MATCH(COLUMNS($V$1006:V1006),$V$1006:$AE$1006,0)))),"Fix")))</f>
        <v>0</v>
      </c>
      <c r="C694" s="4">
        <f>IF(OR(INDEX($P$2:$P$1001,MATCH(ROWS($O$2:O694),$O$2:$O$1001,0),1)&gt;=100000,INDEX($V$1005:$AE$1005,1,MATCH(COLUMNS($V$1006:W1006),$V$1006:$AE$1006,0))&gt;=100000), " ",IF(INDEX($V$2:$AE$1001,MATCH(ROWS($O$2:O694),$O$2:$O$1001,0),MATCH(COLUMNS($V$1006:W1006),$V$1006:$AE$1006,0)), HYPERLINK("#",""), HYPERLINK(CONCATENATE("#Metadata!", ADDRESS(INDEX($Q$2:$Q$1001,MATCH(ROWS($O$2:O694),$O$2:$O$1001,0),0), INDEX($V$1004:$AE$1004,1,MATCH(COLUMNS($V$1006:W1006),$V$1006:$AE$1006,0)))),"Fix")))</f>
        <v>0</v>
      </c>
      <c r="D694" s="4">
        <f>IF(OR(INDEX($P$2:$P$1001,MATCH(ROWS($O$2:O694),$O$2:$O$1001,0),1)&gt;=100000,INDEX($V$1005:$AE$1005,1,MATCH(COLUMNS($V$1006:X1006),$V$1006:$AE$1006,0))&gt;=100000), " ",IF(INDEX($V$2:$AE$1001,MATCH(ROWS($O$2:O694),$O$2:$O$1001,0),MATCH(COLUMNS($V$1006:X1006),$V$1006:$AE$1006,0)), HYPERLINK("#",""), HYPERLINK(CONCATENATE("#Metadata!", ADDRESS(INDEX($Q$2:$Q$1001,MATCH(ROWS($O$2:O694),$O$2:$O$1001,0),0), INDEX($V$1004:$AE$1004,1,MATCH(COLUMNS($V$1006:X1006),$V$1006:$AE$1006,0)))),"Fix")))</f>
        <v>0</v>
      </c>
      <c r="E694" s="4">
        <f>IF(OR(INDEX($P$2:$P$1001,MATCH(ROWS($O$2:O694),$O$2:$O$1001,0),1)&gt;=100000,INDEX($V$1005:$AE$1005,1,MATCH(COLUMNS($V$1006:Y1006),$V$1006:$AE$1006,0))&gt;=100000), " ",IF(INDEX($V$2:$AE$1001,MATCH(ROWS($O$2:O694),$O$2:$O$1001,0),MATCH(COLUMNS($V$1006:Y1006),$V$1006:$AE$1006,0)), HYPERLINK("#",""), HYPERLINK(CONCATENATE("#Metadata!", ADDRESS(INDEX($Q$2:$Q$1001,MATCH(ROWS($O$2:O694),$O$2:$O$1001,0),0), INDEX($V$1004:$AE$1004,1,MATCH(COLUMNS($V$1006:Y1006),$V$1006:$AE$1006,0)))),"Fix")))</f>
        <v>0</v>
      </c>
      <c r="F694" s="4">
        <f>IF(OR(INDEX($P$2:$P$1001,MATCH(ROWS($O$2:O694),$O$2:$O$1001,0),1)&gt;=100000,INDEX($V$1005:$AE$1005,1,MATCH(COLUMNS($V$1006:Z1006),$V$1006:$AE$1006,0))&gt;=100000), " ",IF(INDEX($V$2:$AE$1001,MATCH(ROWS($O$2:O694),$O$2:$O$1001,0),MATCH(COLUMNS($V$1006:Z1006),$V$1006:$AE$1006,0)), HYPERLINK("#",""), HYPERLINK(CONCATENATE("#Metadata!", ADDRESS(INDEX($Q$2:$Q$1001,MATCH(ROWS($O$2:O694),$O$2:$O$1001,0),0), INDEX($V$1004:$AE$1004,1,MATCH(COLUMNS($V$1006:Z1006),$V$1006:$AE$1006,0)))),"Fix")))</f>
        <v>0</v>
      </c>
      <c r="G694" s="4">
        <f>IF(OR(INDEX($P$2:$P$1001,MATCH(ROWS($O$2:O694),$O$2:$O$1001,0),1)&gt;=100000,INDEX($V$1005:$AE$1005,1,MATCH(COLUMNS($V$1006:AA1006),$V$1006:$AE$1006,0))&gt;=100000), " ",IF(INDEX($V$2:$AE$1001,MATCH(ROWS($O$2:O694),$O$2:$O$1001,0),MATCH(COLUMNS($V$1006:AA1006),$V$1006:$AE$1006,0)), HYPERLINK("#",""), HYPERLINK(CONCATENATE("#Metadata!", ADDRESS(INDEX($Q$2:$Q$1001,MATCH(ROWS($O$2:O694),$O$2:$O$1001,0),0), INDEX($V$1004:$AE$1004,1,MATCH(COLUMNS($V$1006:AA1006),$V$1006:$AE$1006,0)))),"Fix")))</f>
        <v>0</v>
      </c>
      <c r="H694" s="4">
        <f>IF(OR(INDEX($P$2:$P$1001,MATCH(ROWS($O$2:O694),$O$2:$O$1001,0),1)&gt;=100000,INDEX($V$1005:$AE$1005,1,MATCH(COLUMNS($V$1006:AB1006),$V$1006:$AE$1006,0))&gt;=100000), " ",IF(INDEX($V$2:$AE$1001,MATCH(ROWS($O$2:O694),$O$2:$O$1001,0),MATCH(COLUMNS($V$1006:AB1006),$V$1006:$AE$1006,0)), HYPERLINK("#",""), HYPERLINK(CONCATENATE("#Metadata!", ADDRESS(INDEX($Q$2:$Q$1001,MATCH(ROWS($O$2:O694),$O$2:$O$1001,0),0), INDEX($V$1004:$AE$1004,1,MATCH(COLUMNS($V$1006:AB1006),$V$1006:$AE$1006,0)))),"Fix")))</f>
        <v>0</v>
      </c>
      <c r="I694" s="4">
        <f>IF(OR(INDEX($P$2:$P$1001,MATCH(ROWS($O$2:O694),$O$2:$O$1001,0),1)&gt;=100000,INDEX($V$1005:$AE$1005,1,MATCH(COLUMNS($V$1006:AC1006),$V$1006:$AE$1006,0))&gt;=100000), " ",IF(INDEX($V$2:$AE$1001,MATCH(ROWS($O$2:O694),$O$2:$O$1001,0),MATCH(COLUMNS($V$1006:AC1006),$V$1006:$AE$1006,0)), HYPERLINK("#",""), HYPERLINK(CONCATENATE("#Metadata!", ADDRESS(INDEX($Q$2:$Q$1001,MATCH(ROWS($O$2:O694),$O$2:$O$1001,0),0), INDEX($V$1004:$AE$1004,1,MATCH(COLUMNS($V$1006:AC1006),$V$1006:$AE$1006,0)))),"Fix")))</f>
        <v>0</v>
      </c>
      <c r="J694" s="4">
        <f>IF(OR(INDEX($P$2:$P$1001,MATCH(ROWS($O$2:O694),$O$2:$O$1001,0),1)&gt;=100000,INDEX($V$1005:$AE$1005,1,MATCH(COLUMNS($V$1006:AD1006),$V$1006:$AE$1006,0))&gt;=100000), " ",IF(INDEX($V$2:$AE$1001,MATCH(ROWS($O$2:O694),$O$2:$O$1001,0),MATCH(COLUMNS($V$1006:AD1006),$V$1006:$AE$1006,0)), HYPERLINK("#",""), HYPERLINK(CONCATENATE("#Metadata!", ADDRESS(INDEX($Q$2:$Q$1001,MATCH(ROWS($O$2:O694),$O$2:$O$1001,0),0), INDEX($V$1004:$AE$1004,1,MATCH(COLUMNS($V$1006:AD1006),$V$1006:$AE$1006,0)))),"Fix")))</f>
        <v>0</v>
      </c>
      <c r="K694" s="4">
        <f>IF(OR(INDEX($P$2:$P$1001,MATCH(ROWS($O$2:O694),$O$2:$O$1001,0),1)&gt;=100000,INDEX($V$1005:$AE$1005,1,MATCH(COLUMNS($V$1006:AE1006),$V$1006:$AE$1006,0))&gt;=100000), " ",IF(INDEX($V$2:$AE$1001,MATCH(ROWS($O$2:O694),$O$2:$O$1001,0),MATCH(COLUMNS($V$1006:AE1006),$V$1006:$AE$1006,0)), HYPERLINK("#",""), HYPERLINK(CONCATENATE("#Metadata!", ADDRESS(INDEX($Q$2:$Q$1001,MATCH(ROWS($O$2:O694),$O$2:$O$1001,0),0), INDEX($V$1004:$AE$1004,1,MATCH(COLUMNS($V$1006:AE1006),$V$1006:$AE$1006,0)))),"Fix")))</f>
        <v>0</v>
      </c>
      <c r="O694">
        <v>0</v>
      </c>
      <c r="P694">
        <v>0</v>
      </c>
      <c r="Q694">
        <v>0</v>
      </c>
      <c r="R694">
        <f>IF(S694,TRUE,AND(V694:AE694))</f>
        <v>0</v>
      </c>
      <c r="S694">
        <f>COUNTBLANK(Metadata!B694:K694)=COLUMNS(Metadata!B694:K694)</f>
        <v>0</v>
      </c>
      <c r="T694">
        <v>0</v>
      </c>
      <c r="V694">
        <f>AND(IF(Metadata!B694="",FALSE,TRUE),COUNTIF(Metadata!B:B, Metadata!B694) = 1,NOT(ISERROR(SUMPRODUCT(SEARCH(MID(Metadata!B694,ROW(INDIRECT("1:"&amp;LEN(Metadata!B694))), 1),"0123456789abcdefghijklmnopqrstuvwxyzABCDEFGHIJKLMNOPQRSTUVWXYZ.")))))</f>
        <v>0</v>
      </c>
      <c r="W694">
        <f>AND(IF(Metadata!C694="",FALSE,TRUE),exact(Metadata!C694,"urban biome"))</f>
        <v>0</v>
      </c>
      <c r="X694">
        <f>AND(IF(Metadata!D694="",FALSE,TRUE),exact(Metadata!D694,"animal-associated habitat"))</f>
        <v>0</v>
      </c>
      <c r="Y694">
        <f>OR(AND(IF(Metadata!E694="",FALSE,TRUE),OR(exact(Metadata!E694,"not applicable"),exact(Metadata!E694,"missing: not collected"),exact(Metadata!E694,"missing: not provided"),exact(Metadata!E694,"missing: restricted access"))),AND(IF(Metadata!E694="",FALSE,ISNUMBER(VALUE(Metadata!E694))),Metadata!E694&gt;0))</f>
        <v>0</v>
      </c>
      <c r="Z694">
        <f>AND(IF(Metadata!F694="",FALSE,TRUE),exact(Metadata!F694,"weeks"))</f>
        <v>0</v>
      </c>
      <c r="AA694">
        <f>AND(IF(Metadata!G694="",FALSE,TRUE),exact(Metadata!G694,"mouse"))</f>
        <v>0</v>
      </c>
      <c r="AB694">
        <f>AND(IF(Metadata!H694="",FALSE,TRUE),exact(Metadata!H694,"Mus musculus"))</f>
        <v>0</v>
      </c>
      <c r="AC694">
        <f>AND(IF(Metadata!I694="",FALSE,TRUE),exact(Metadata!I694,"10090"))</f>
        <v>0</v>
      </c>
      <c r="AD694">
        <f>OR(AND(IF(Metadata!J694="",FALSE,TRUE),OR(exact(Metadata!J694,"not applicable"),exact(Metadata!J694,"missing: not collected"),exact(Metadata!J694,"missing: not provided"),exact(Metadata!J694,"missing: restricted access"))),AND(IF(Metadata!J694="",FALSE,ISNUMBER(VALUE(Metadata!J694))),Metadata!J694&gt;0))</f>
        <v>0</v>
      </c>
      <c r="AE694">
        <f>AND(IF(Metadata!K694="",FALSE,TRUE),exact(Metadata!K694,"g"))</f>
        <v>0</v>
      </c>
    </row>
    <row r="695" spans="1:31">
      <c r="A695" s="5">
        <f>IF(B695=" "," ",HYPERLINK(CONCATENATE("#metadata!",ADDRESS(INDEX($Q$2:$Q$1001,MATCH(ROWS($O$2:O695),$O$2:$O$1001,0),0),1)),INDEX($T$2:$T$1001,MATCH(ROWS($O$2:O695),$O$2:$O$1001,0),0)))</f>
        <v>0</v>
      </c>
      <c r="B695" s="4">
        <f>IF(OR(INDEX($P$2:$P$1001,MATCH(ROWS($O$2:O695),$O$2:$O$1001,0),1)&gt;=100000,INDEX($V$1005:$AE$1005,1,MATCH(COLUMNS($V$1006:V1006),$V$1006:$AE$1006,0))&gt;=100000), " ",IF(INDEX($V$2:$AE$1001,MATCH(ROWS($O$2:O695),$O$2:$O$1001,0),MATCH(COLUMNS($V$1006:V1006),$V$1006:$AE$1006,0)), HYPERLINK("#",""), HYPERLINK(CONCATENATE("#Metadata!", ADDRESS(INDEX($Q$2:$Q$1001,MATCH(ROWS($O$2:O695),$O$2:$O$1001,0),0), INDEX($V$1004:$AE$1004,1,MATCH(COLUMNS($V$1006:V1006),$V$1006:$AE$1006,0)))),"Fix")))</f>
        <v>0</v>
      </c>
      <c r="C695" s="4">
        <f>IF(OR(INDEX($P$2:$P$1001,MATCH(ROWS($O$2:O695),$O$2:$O$1001,0),1)&gt;=100000,INDEX($V$1005:$AE$1005,1,MATCH(COLUMNS($V$1006:W1006),$V$1006:$AE$1006,0))&gt;=100000), " ",IF(INDEX($V$2:$AE$1001,MATCH(ROWS($O$2:O695),$O$2:$O$1001,0),MATCH(COLUMNS($V$1006:W1006),$V$1006:$AE$1006,0)), HYPERLINK("#",""), HYPERLINK(CONCATENATE("#Metadata!", ADDRESS(INDEX($Q$2:$Q$1001,MATCH(ROWS($O$2:O695),$O$2:$O$1001,0),0), INDEX($V$1004:$AE$1004,1,MATCH(COLUMNS($V$1006:W1006),$V$1006:$AE$1006,0)))),"Fix")))</f>
        <v>0</v>
      </c>
      <c r="D695" s="4">
        <f>IF(OR(INDEX($P$2:$P$1001,MATCH(ROWS($O$2:O695),$O$2:$O$1001,0),1)&gt;=100000,INDEX($V$1005:$AE$1005,1,MATCH(COLUMNS($V$1006:X1006),$V$1006:$AE$1006,0))&gt;=100000), " ",IF(INDEX($V$2:$AE$1001,MATCH(ROWS($O$2:O695),$O$2:$O$1001,0),MATCH(COLUMNS($V$1006:X1006),$V$1006:$AE$1006,0)), HYPERLINK("#",""), HYPERLINK(CONCATENATE("#Metadata!", ADDRESS(INDEX($Q$2:$Q$1001,MATCH(ROWS($O$2:O695),$O$2:$O$1001,0),0), INDEX($V$1004:$AE$1004,1,MATCH(COLUMNS($V$1006:X1006),$V$1006:$AE$1006,0)))),"Fix")))</f>
        <v>0</v>
      </c>
      <c r="E695" s="4">
        <f>IF(OR(INDEX($P$2:$P$1001,MATCH(ROWS($O$2:O695),$O$2:$O$1001,0),1)&gt;=100000,INDEX($V$1005:$AE$1005,1,MATCH(COLUMNS($V$1006:Y1006),$V$1006:$AE$1006,0))&gt;=100000), " ",IF(INDEX($V$2:$AE$1001,MATCH(ROWS($O$2:O695),$O$2:$O$1001,0),MATCH(COLUMNS($V$1006:Y1006),$V$1006:$AE$1006,0)), HYPERLINK("#",""), HYPERLINK(CONCATENATE("#Metadata!", ADDRESS(INDEX($Q$2:$Q$1001,MATCH(ROWS($O$2:O695),$O$2:$O$1001,0),0), INDEX($V$1004:$AE$1004,1,MATCH(COLUMNS($V$1006:Y1006),$V$1006:$AE$1006,0)))),"Fix")))</f>
        <v>0</v>
      </c>
      <c r="F695" s="4">
        <f>IF(OR(INDEX($P$2:$P$1001,MATCH(ROWS($O$2:O695),$O$2:$O$1001,0),1)&gt;=100000,INDEX($V$1005:$AE$1005,1,MATCH(COLUMNS($V$1006:Z1006),$V$1006:$AE$1006,0))&gt;=100000), " ",IF(INDEX($V$2:$AE$1001,MATCH(ROWS($O$2:O695),$O$2:$O$1001,0),MATCH(COLUMNS($V$1006:Z1006),$V$1006:$AE$1006,0)), HYPERLINK("#",""), HYPERLINK(CONCATENATE("#Metadata!", ADDRESS(INDEX($Q$2:$Q$1001,MATCH(ROWS($O$2:O695),$O$2:$O$1001,0),0), INDEX($V$1004:$AE$1004,1,MATCH(COLUMNS($V$1006:Z1006),$V$1006:$AE$1006,0)))),"Fix")))</f>
        <v>0</v>
      </c>
      <c r="G695" s="4">
        <f>IF(OR(INDEX($P$2:$P$1001,MATCH(ROWS($O$2:O695),$O$2:$O$1001,0),1)&gt;=100000,INDEX($V$1005:$AE$1005,1,MATCH(COLUMNS($V$1006:AA1006),$V$1006:$AE$1006,0))&gt;=100000), " ",IF(INDEX($V$2:$AE$1001,MATCH(ROWS($O$2:O695),$O$2:$O$1001,0),MATCH(COLUMNS($V$1006:AA1006),$V$1006:$AE$1006,0)), HYPERLINK("#",""), HYPERLINK(CONCATENATE("#Metadata!", ADDRESS(INDEX($Q$2:$Q$1001,MATCH(ROWS($O$2:O695),$O$2:$O$1001,0),0), INDEX($V$1004:$AE$1004,1,MATCH(COLUMNS($V$1006:AA1006),$V$1006:$AE$1006,0)))),"Fix")))</f>
        <v>0</v>
      </c>
      <c r="H695" s="4">
        <f>IF(OR(INDEX($P$2:$P$1001,MATCH(ROWS($O$2:O695),$O$2:$O$1001,0),1)&gt;=100000,INDEX($V$1005:$AE$1005,1,MATCH(COLUMNS($V$1006:AB1006),$V$1006:$AE$1006,0))&gt;=100000), " ",IF(INDEX($V$2:$AE$1001,MATCH(ROWS($O$2:O695),$O$2:$O$1001,0),MATCH(COLUMNS($V$1006:AB1006),$V$1006:$AE$1006,0)), HYPERLINK("#",""), HYPERLINK(CONCATENATE("#Metadata!", ADDRESS(INDEX($Q$2:$Q$1001,MATCH(ROWS($O$2:O695),$O$2:$O$1001,0),0), INDEX($V$1004:$AE$1004,1,MATCH(COLUMNS($V$1006:AB1006),$V$1006:$AE$1006,0)))),"Fix")))</f>
        <v>0</v>
      </c>
      <c r="I695" s="4">
        <f>IF(OR(INDEX($P$2:$P$1001,MATCH(ROWS($O$2:O695),$O$2:$O$1001,0),1)&gt;=100000,INDEX($V$1005:$AE$1005,1,MATCH(COLUMNS($V$1006:AC1006),$V$1006:$AE$1006,0))&gt;=100000), " ",IF(INDEX($V$2:$AE$1001,MATCH(ROWS($O$2:O695),$O$2:$O$1001,0),MATCH(COLUMNS($V$1006:AC1006),$V$1006:$AE$1006,0)), HYPERLINK("#",""), HYPERLINK(CONCATENATE("#Metadata!", ADDRESS(INDEX($Q$2:$Q$1001,MATCH(ROWS($O$2:O695),$O$2:$O$1001,0),0), INDEX($V$1004:$AE$1004,1,MATCH(COLUMNS($V$1006:AC1006),$V$1006:$AE$1006,0)))),"Fix")))</f>
        <v>0</v>
      </c>
      <c r="J695" s="4">
        <f>IF(OR(INDEX($P$2:$P$1001,MATCH(ROWS($O$2:O695),$O$2:$O$1001,0),1)&gt;=100000,INDEX($V$1005:$AE$1005,1,MATCH(COLUMNS($V$1006:AD1006),$V$1006:$AE$1006,0))&gt;=100000), " ",IF(INDEX($V$2:$AE$1001,MATCH(ROWS($O$2:O695),$O$2:$O$1001,0),MATCH(COLUMNS($V$1006:AD1006),$V$1006:$AE$1006,0)), HYPERLINK("#",""), HYPERLINK(CONCATENATE("#Metadata!", ADDRESS(INDEX($Q$2:$Q$1001,MATCH(ROWS($O$2:O695),$O$2:$O$1001,0),0), INDEX($V$1004:$AE$1004,1,MATCH(COLUMNS($V$1006:AD1006),$V$1006:$AE$1006,0)))),"Fix")))</f>
        <v>0</v>
      </c>
      <c r="K695" s="4">
        <f>IF(OR(INDEX($P$2:$P$1001,MATCH(ROWS($O$2:O695),$O$2:$O$1001,0),1)&gt;=100000,INDEX($V$1005:$AE$1005,1,MATCH(COLUMNS($V$1006:AE1006),$V$1006:$AE$1006,0))&gt;=100000), " ",IF(INDEX($V$2:$AE$1001,MATCH(ROWS($O$2:O695),$O$2:$O$1001,0),MATCH(COLUMNS($V$1006:AE1006),$V$1006:$AE$1006,0)), HYPERLINK("#",""), HYPERLINK(CONCATENATE("#Metadata!", ADDRESS(INDEX($Q$2:$Q$1001,MATCH(ROWS($O$2:O695),$O$2:$O$1001,0),0), INDEX($V$1004:$AE$1004,1,MATCH(COLUMNS($V$1006:AE1006),$V$1006:$AE$1006,0)))),"Fix")))</f>
        <v>0</v>
      </c>
      <c r="O695">
        <v>0</v>
      </c>
      <c r="P695">
        <v>0</v>
      </c>
      <c r="Q695">
        <v>0</v>
      </c>
      <c r="R695">
        <f>IF(S695,TRUE,AND(V695:AE695))</f>
        <v>0</v>
      </c>
      <c r="S695">
        <f>COUNTBLANK(Metadata!B695:K695)=COLUMNS(Metadata!B695:K695)</f>
        <v>0</v>
      </c>
      <c r="T695">
        <v>0</v>
      </c>
      <c r="V695">
        <f>AND(IF(Metadata!B695="",FALSE,TRUE),COUNTIF(Metadata!B:B, Metadata!B695) = 1,NOT(ISERROR(SUMPRODUCT(SEARCH(MID(Metadata!B695,ROW(INDIRECT("1:"&amp;LEN(Metadata!B695))), 1),"0123456789abcdefghijklmnopqrstuvwxyzABCDEFGHIJKLMNOPQRSTUVWXYZ.")))))</f>
        <v>0</v>
      </c>
      <c r="W695">
        <f>AND(IF(Metadata!C695="",FALSE,TRUE),exact(Metadata!C695,"urban biome"))</f>
        <v>0</v>
      </c>
      <c r="X695">
        <f>AND(IF(Metadata!D695="",FALSE,TRUE),exact(Metadata!D695,"animal-associated habitat"))</f>
        <v>0</v>
      </c>
      <c r="Y695">
        <f>OR(AND(IF(Metadata!E695="",FALSE,TRUE),OR(exact(Metadata!E695,"not applicable"),exact(Metadata!E695,"missing: not collected"),exact(Metadata!E695,"missing: not provided"),exact(Metadata!E695,"missing: restricted access"))),AND(IF(Metadata!E695="",FALSE,ISNUMBER(VALUE(Metadata!E695))),Metadata!E695&gt;0))</f>
        <v>0</v>
      </c>
      <c r="Z695">
        <f>AND(IF(Metadata!F695="",FALSE,TRUE),exact(Metadata!F695,"weeks"))</f>
        <v>0</v>
      </c>
      <c r="AA695">
        <f>AND(IF(Metadata!G695="",FALSE,TRUE),exact(Metadata!G695,"mouse"))</f>
        <v>0</v>
      </c>
      <c r="AB695">
        <f>AND(IF(Metadata!H695="",FALSE,TRUE),exact(Metadata!H695,"Mus musculus"))</f>
        <v>0</v>
      </c>
      <c r="AC695">
        <f>AND(IF(Metadata!I695="",FALSE,TRUE),exact(Metadata!I695,"10090"))</f>
        <v>0</v>
      </c>
      <c r="AD695">
        <f>OR(AND(IF(Metadata!J695="",FALSE,TRUE),OR(exact(Metadata!J695,"not applicable"),exact(Metadata!J695,"missing: not collected"),exact(Metadata!J695,"missing: not provided"),exact(Metadata!J695,"missing: restricted access"))),AND(IF(Metadata!J695="",FALSE,ISNUMBER(VALUE(Metadata!J695))),Metadata!J695&gt;0))</f>
        <v>0</v>
      </c>
      <c r="AE695">
        <f>AND(IF(Metadata!K695="",FALSE,TRUE),exact(Metadata!K695,"g"))</f>
        <v>0</v>
      </c>
    </row>
    <row r="696" spans="1:31">
      <c r="A696" s="5">
        <f>IF(B696=" "," ",HYPERLINK(CONCATENATE("#metadata!",ADDRESS(INDEX($Q$2:$Q$1001,MATCH(ROWS($O$2:O696),$O$2:$O$1001,0),0),1)),INDEX($T$2:$T$1001,MATCH(ROWS($O$2:O696),$O$2:$O$1001,0),0)))</f>
        <v>0</v>
      </c>
      <c r="B696" s="4">
        <f>IF(OR(INDEX($P$2:$P$1001,MATCH(ROWS($O$2:O696),$O$2:$O$1001,0),1)&gt;=100000,INDEX($V$1005:$AE$1005,1,MATCH(COLUMNS($V$1006:V1006),$V$1006:$AE$1006,0))&gt;=100000), " ",IF(INDEX($V$2:$AE$1001,MATCH(ROWS($O$2:O696),$O$2:$O$1001,0),MATCH(COLUMNS($V$1006:V1006),$V$1006:$AE$1006,0)), HYPERLINK("#",""), HYPERLINK(CONCATENATE("#Metadata!", ADDRESS(INDEX($Q$2:$Q$1001,MATCH(ROWS($O$2:O696),$O$2:$O$1001,0),0), INDEX($V$1004:$AE$1004,1,MATCH(COLUMNS($V$1006:V1006),$V$1006:$AE$1006,0)))),"Fix")))</f>
        <v>0</v>
      </c>
      <c r="C696" s="4">
        <f>IF(OR(INDEX($P$2:$P$1001,MATCH(ROWS($O$2:O696),$O$2:$O$1001,0),1)&gt;=100000,INDEX($V$1005:$AE$1005,1,MATCH(COLUMNS($V$1006:W1006),$V$1006:$AE$1006,0))&gt;=100000), " ",IF(INDEX($V$2:$AE$1001,MATCH(ROWS($O$2:O696),$O$2:$O$1001,0),MATCH(COLUMNS($V$1006:W1006),$V$1006:$AE$1006,0)), HYPERLINK("#",""), HYPERLINK(CONCATENATE("#Metadata!", ADDRESS(INDEX($Q$2:$Q$1001,MATCH(ROWS($O$2:O696),$O$2:$O$1001,0),0), INDEX($V$1004:$AE$1004,1,MATCH(COLUMNS($V$1006:W1006),$V$1006:$AE$1006,0)))),"Fix")))</f>
        <v>0</v>
      </c>
      <c r="D696" s="4">
        <f>IF(OR(INDEX($P$2:$P$1001,MATCH(ROWS($O$2:O696),$O$2:$O$1001,0),1)&gt;=100000,INDEX($V$1005:$AE$1005,1,MATCH(COLUMNS($V$1006:X1006),$V$1006:$AE$1006,0))&gt;=100000), " ",IF(INDEX($V$2:$AE$1001,MATCH(ROWS($O$2:O696),$O$2:$O$1001,0),MATCH(COLUMNS($V$1006:X1006),$V$1006:$AE$1006,0)), HYPERLINK("#",""), HYPERLINK(CONCATENATE("#Metadata!", ADDRESS(INDEX($Q$2:$Q$1001,MATCH(ROWS($O$2:O696),$O$2:$O$1001,0),0), INDEX($V$1004:$AE$1004,1,MATCH(COLUMNS($V$1006:X1006),$V$1006:$AE$1006,0)))),"Fix")))</f>
        <v>0</v>
      </c>
      <c r="E696" s="4">
        <f>IF(OR(INDEX($P$2:$P$1001,MATCH(ROWS($O$2:O696),$O$2:$O$1001,0),1)&gt;=100000,INDEX($V$1005:$AE$1005,1,MATCH(COLUMNS($V$1006:Y1006),$V$1006:$AE$1006,0))&gt;=100000), " ",IF(INDEX($V$2:$AE$1001,MATCH(ROWS($O$2:O696),$O$2:$O$1001,0),MATCH(COLUMNS($V$1006:Y1006),$V$1006:$AE$1006,0)), HYPERLINK("#",""), HYPERLINK(CONCATENATE("#Metadata!", ADDRESS(INDEX($Q$2:$Q$1001,MATCH(ROWS($O$2:O696),$O$2:$O$1001,0),0), INDEX($V$1004:$AE$1004,1,MATCH(COLUMNS($V$1006:Y1006),$V$1006:$AE$1006,0)))),"Fix")))</f>
        <v>0</v>
      </c>
      <c r="F696" s="4">
        <f>IF(OR(INDEX($P$2:$P$1001,MATCH(ROWS($O$2:O696),$O$2:$O$1001,0),1)&gt;=100000,INDEX($V$1005:$AE$1005,1,MATCH(COLUMNS($V$1006:Z1006),$V$1006:$AE$1006,0))&gt;=100000), " ",IF(INDEX($V$2:$AE$1001,MATCH(ROWS($O$2:O696),$O$2:$O$1001,0),MATCH(COLUMNS($V$1006:Z1006),$V$1006:$AE$1006,0)), HYPERLINK("#",""), HYPERLINK(CONCATENATE("#Metadata!", ADDRESS(INDEX($Q$2:$Q$1001,MATCH(ROWS($O$2:O696),$O$2:$O$1001,0),0), INDEX($V$1004:$AE$1004,1,MATCH(COLUMNS($V$1006:Z1006),$V$1006:$AE$1006,0)))),"Fix")))</f>
        <v>0</v>
      </c>
      <c r="G696" s="4">
        <f>IF(OR(INDEX($P$2:$P$1001,MATCH(ROWS($O$2:O696),$O$2:$O$1001,0),1)&gt;=100000,INDEX($V$1005:$AE$1005,1,MATCH(COLUMNS($V$1006:AA1006),$V$1006:$AE$1006,0))&gt;=100000), " ",IF(INDEX($V$2:$AE$1001,MATCH(ROWS($O$2:O696),$O$2:$O$1001,0),MATCH(COLUMNS($V$1006:AA1006),$V$1006:$AE$1006,0)), HYPERLINK("#",""), HYPERLINK(CONCATENATE("#Metadata!", ADDRESS(INDEX($Q$2:$Q$1001,MATCH(ROWS($O$2:O696),$O$2:$O$1001,0),0), INDEX($V$1004:$AE$1004,1,MATCH(COLUMNS($V$1006:AA1006),$V$1006:$AE$1006,0)))),"Fix")))</f>
        <v>0</v>
      </c>
      <c r="H696" s="4">
        <f>IF(OR(INDEX($P$2:$P$1001,MATCH(ROWS($O$2:O696),$O$2:$O$1001,0),1)&gt;=100000,INDEX($V$1005:$AE$1005,1,MATCH(COLUMNS($V$1006:AB1006),$V$1006:$AE$1006,0))&gt;=100000), " ",IF(INDEX($V$2:$AE$1001,MATCH(ROWS($O$2:O696),$O$2:$O$1001,0),MATCH(COLUMNS($V$1006:AB1006),$V$1006:$AE$1006,0)), HYPERLINK("#",""), HYPERLINK(CONCATENATE("#Metadata!", ADDRESS(INDEX($Q$2:$Q$1001,MATCH(ROWS($O$2:O696),$O$2:$O$1001,0),0), INDEX($V$1004:$AE$1004,1,MATCH(COLUMNS($V$1006:AB1006),$V$1006:$AE$1006,0)))),"Fix")))</f>
        <v>0</v>
      </c>
      <c r="I696" s="4">
        <f>IF(OR(INDEX($P$2:$P$1001,MATCH(ROWS($O$2:O696),$O$2:$O$1001,0),1)&gt;=100000,INDEX($V$1005:$AE$1005,1,MATCH(COLUMNS($V$1006:AC1006),$V$1006:$AE$1006,0))&gt;=100000), " ",IF(INDEX($V$2:$AE$1001,MATCH(ROWS($O$2:O696),$O$2:$O$1001,0),MATCH(COLUMNS($V$1006:AC1006),$V$1006:$AE$1006,0)), HYPERLINK("#",""), HYPERLINK(CONCATENATE("#Metadata!", ADDRESS(INDEX($Q$2:$Q$1001,MATCH(ROWS($O$2:O696),$O$2:$O$1001,0),0), INDEX($V$1004:$AE$1004,1,MATCH(COLUMNS($V$1006:AC1006),$V$1006:$AE$1006,0)))),"Fix")))</f>
        <v>0</v>
      </c>
      <c r="J696" s="4">
        <f>IF(OR(INDEX($P$2:$P$1001,MATCH(ROWS($O$2:O696),$O$2:$O$1001,0),1)&gt;=100000,INDEX($V$1005:$AE$1005,1,MATCH(COLUMNS($V$1006:AD1006),$V$1006:$AE$1006,0))&gt;=100000), " ",IF(INDEX($V$2:$AE$1001,MATCH(ROWS($O$2:O696),$O$2:$O$1001,0),MATCH(COLUMNS($V$1006:AD1006),$V$1006:$AE$1006,0)), HYPERLINK("#",""), HYPERLINK(CONCATENATE("#Metadata!", ADDRESS(INDEX($Q$2:$Q$1001,MATCH(ROWS($O$2:O696),$O$2:$O$1001,0),0), INDEX($V$1004:$AE$1004,1,MATCH(COLUMNS($V$1006:AD1006),$V$1006:$AE$1006,0)))),"Fix")))</f>
        <v>0</v>
      </c>
      <c r="K696" s="4">
        <f>IF(OR(INDEX($P$2:$P$1001,MATCH(ROWS($O$2:O696),$O$2:$O$1001,0),1)&gt;=100000,INDEX($V$1005:$AE$1005,1,MATCH(COLUMNS($V$1006:AE1006),$V$1006:$AE$1006,0))&gt;=100000), " ",IF(INDEX($V$2:$AE$1001,MATCH(ROWS($O$2:O696),$O$2:$O$1001,0),MATCH(COLUMNS($V$1006:AE1006),$V$1006:$AE$1006,0)), HYPERLINK("#",""), HYPERLINK(CONCATENATE("#Metadata!", ADDRESS(INDEX($Q$2:$Q$1001,MATCH(ROWS($O$2:O696),$O$2:$O$1001,0),0), INDEX($V$1004:$AE$1004,1,MATCH(COLUMNS($V$1006:AE1006),$V$1006:$AE$1006,0)))),"Fix")))</f>
        <v>0</v>
      </c>
      <c r="O696">
        <v>0</v>
      </c>
      <c r="P696">
        <v>0</v>
      </c>
      <c r="Q696">
        <v>0</v>
      </c>
      <c r="R696">
        <f>IF(S696,TRUE,AND(V696:AE696))</f>
        <v>0</v>
      </c>
      <c r="S696">
        <f>COUNTBLANK(Metadata!B696:K696)=COLUMNS(Metadata!B696:K696)</f>
        <v>0</v>
      </c>
      <c r="T696">
        <v>0</v>
      </c>
      <c r="V696">
        <f>AND(IF(Metadata!B696="",FALSE,TRUE),COUNTIF(Metadata!B:B, Metadata!B696) = 1,NOT(ISERROR(SUMPRODUCT(SEARCH(MID(Metadata!B696,ROW(INDIRECT("1:"&amp;LEN(Metadata!B696))), 1),"0123456789abcdefghijklmnopqrstuvwxyzABCDEFGHIJKLMNOPQRSTUVWXYZ.")))))</f>
        <v>0</v>
      </c>
      <c r="W696">
        <f>AND(IF(Metadata!C696="",FALSE,TRUE),exact(Metadata!C696,"urban biome"))</f>
        <v>0</v>
      </c>
      <c r="X696">
        <f>AND(IF(Metadata!D696="",FALSE,TRUE),exact(Metadata!D696,"animal-associated habitat"))</f>
        <v>0</v>
      </c>
      <c r="Y696">
        <f>OR(AND(IF(Metadata!E696="",FALSE,TRUE),OR(exact(Metadata!E696,"not applicable"),exact(Metadata!E696,"missing: not collected"),exact(Metadata!E696,"missing: not provided"),exact(Metadata!E696,"missing: restricted access"))),AND(IF(Metadata!E696="",FALSE,ISNUMBER(VALUE(Metadata!E696))),Metadata!E696&gt;0))</f>
        <v>0</v>
      </c>
      <c r="Z696">
        <f>AND(IF(Metadata!F696="",FALSE,TRUE),exact(Metadata!F696,"weeks"))</f>
        <v>0</v>
      </c>
      <c r="AA696">
        <f>AND(IF(Metadata!G696="",FALSE,TRUE),exact(Metadata!G696,"mouse"))</f>
        <v>0</v>
      </c>
      <c r="AB696">
        <f>AND(IF(Metadata!H696="",FALSE,TRUE),exact(Metadata!H696,"Mus musculus"))</f>
        <v>0</v>
      </c>
      <c r="AC696">
        <f>AND(IF(Metadata!I696="",FALSE,TRUE),exact(Metadata!I696,"10090"))</f>
        <v>0</v>
      </c>
      <c r="AD696">
        <f>OR(AND(IF(Metadata!J696="",FALSE,TRUE),OR(exact(Metadata!J696,"not applicable"),exact(Metadata!J696,"missing: not collected"),exact(Metadata!J696,"missing: not provided"),exact(Metadata!J696,"missing: restricted access"))),AND(IF(Metadata!J696="",FALSE,ISNUMBER(VALUE(Metadata!J696))),Metadata!J696&gt;0))</f>
        <v>0</v>
      </c>
      <c r="AE696">
        <f>AND(IF(Metadata!K696="",FALSE,TRUE),exact(Metadata!K696,"g"))</f>
        <v>0</v>
      </c>
    </row>
    <row r="697" spans="1:31">
      <c r="A697" s="5">
        <f>IF(B697=" "," ",HYPERLINK(CONCATENATE("#metadata!",ADDRESS(INDEX($Q$2:$Q$1001,MATCH(ROWS($O$2:O697),$O$2:$O$1001,0),0),1)),INDEX($T$2:$T$1001,MATCH(ROWS($O$2:O697),$O$2:$O$1001,0),0)))</f>
        <v>0</v>
      </c>
      <c r="B697" s="4">
        <f>IF(OR(INDEX($P$2:$P$1001,MATCH(ROWS($O$2:O697),$O$2:$O$1001,0),1)&gt;=100000,INDEX($V$1005:$AE$1005,1,MATCH(COLUMNS($V$1006:V1006),$V$1006:$AE$1006,0))&gt;=100000), " ",IF(INDEX($V$2:$AE$1001,MATCH(ROWS($O$2:O697),$O$2:$O$1001,0),MATCH(COLUMNS($V$1006:V1006),$V$1006:$AE$1006,0)), HYPERLINK("#",""), HYPERLINK(CONCATENATE("#Metadata!", ADDRESS(INDEX($Q$2:$Q$1001,MATCH(ROWS($O$2:O697),$O$2:$O$1001,0),0), INDEX($V$1004:$AE$1004,1,MATCH(COLUMNS($V$1006:V1006),$V$1006:$AE$1006,0)))),"Fix")))</f>
        <v>0</v>
      </c>
      <c r="C697" s="4">
        <f>IF(OR(INDEX($P$2:$P$1001,MATCH(ROWS($O$2:O697),$O$2:$O$1001,0),1)&gt;=100000,INDEX($V$1005:$AE$1005,1,MATCH(COLUMNS($V$1006:W1006),$V$1006:$AE$1006,0))&gt;=100000), " ",IF(INDEX($V$2:$AE$1001,MATCH(ROWS($O$2:O697),$O$2:$O$1001,0),MATCH(COLUMNS($V$1006:W1006),$V$1006:$AE$1006,0)), HYPERLINK("#",""), HYPERLINK(CONCATENATE("#Metadata!", ADDRESS(INDEX($Q$2:$Q$1001,MATCH(ROWS($O$2:O697),$O$2:$O$1001,0),0), INDEX($V$1004:$AE$1004,1,MATCH(COLUMNS($V$1006:W1006),$V$1006:$AE$1006,0)))),"Fix")))</f>
        <v>0</v>
      </c>
      <c r="D697" s="4">
        <f>IF(OR(INDEX($P$2:$P$1001,MATCH(ROWS($O$2:O697),$O$2:$O$1001,0),1)&gt;=100000,INDEX($V$1005:$AE$1005,1,MATCH(COLUMNS($V$1006:X1006),$V$1006:$AE$1006,0))&gt;=100000), " ",IF(INDEX($V$2:$AE$1001,MATCH(ROWS($O$2:O697),$O$2:$O$1001,0),MATCH(COLUMNS($V$1006:X1006),$V$1006:$AE$1006,0)), HYPERLINK("#",""), HYPERLINK(CONCATENATE("#Metadata!", ADDRESS(INDEX($Q$2:$Q$1001,MATCH(ROWS($O$2:O697),$O$2:$O$1001,0),0), INDEX($V$1004:$AE$1004,1,MATCH(COLUMNS($V$1006:X1006),$V$1006:$AE$1006,0)))),"Fix")))</f>
        <v>0</v>
      </c>
      <c r="E697" s="4">
        <f>IF(OR(INDEX($P$2:$P$1001,MATCH(ROWS($O$2:O697),$O$2:$O$1001,0),1)&gt;=100000,INDEX($V$1005:$AE$1005,1,MATCH(COLUMNS($V$1006:Y1006),$V$1006:$AE$1006,0))&gt;=100000), " ",IF(INDEX($V$2:$AE$1001,MATCH(ROWS($O$2:O697),$O$2:$O$1001,0),MATCH(COLUMNS($V$1006:Y1006),$V$1006:$AE$1006,0)), HYPERLINK("#",""), HYPERLINK(CONCATENATE("#Metadata!", ADDRESS(INDEX($Q$2:$Q$1001,MATCH(ROWS($O$2:O697),$O$2:$O$1001,0),0), INDEX($V$1004:$AE$1004,1,MATCH(COLUMNS($V$1006:Y1006),$V$1006:$AE$1006,0)))),"Fix")))</f>
        <v>0</v>
      </c>
      <c r="F697" s="4">
        <f>IF(OR(INDEX($P$2:$P$1001,MATCH(ROWS($O$2:O697),$O$2:$O$1001,0),1)&gt;=100000,INDEX($V$1005:$AE$1005,1,MATCH(COLUMNS($V$1006:Z1006),$V$1006:$AE$1006,0))&gt;=100000), " ",IF(INDEX($V$2:$AE$1001,MATCH(ROWS($O$2:O697),$O$2:$O$1001,0),MATCH(COLUMNS($V$1006:Z1006),$V$1006:$AE$1006,0)), HYPERLINK("#",""), HYPERLINK(CONCATENATE("#Metadata!", ADDRESS(INDEX($Q$2:$Q$1001,MATCH(ROWS($O$2:O697),$O$2:$O$1001,0),0), INDEX($V$1004:$AE$1004,1,MATCH(COLUMNS($V$1006:Z1006),$V$1006:$AE$1006,0)))),"Fix")))</f>
        <v>0</v>
      </c>
      <c r="G697" s="4">
        <f>IF(OR(INDEX($P$2:$P$1001,MATCH(ROWS($O$2:O697),$O$2:$O$1001,0),1)&gt;=100000,INDEX($V$1005:$AE$1005,1,MATCH(COLUMNS($V$1006:AA1006),$V$1006:$AE$1006,0))&gt;=100000), " ",IF(INDEX($V$2:$AE$1001,MATCH(ROWS($O$2:O697),$O$2:$O$1001,0),MATCH(COLUMNS($V$1006:AA1006),$V$1006:$AE$1006,0)), HYPERLINK("#",""), HYPERLINK(CONCATENATE("#Metadata!", ADDRESS(INDEX($Q$2:$Q$1001,MATCH(ROWS($O$2:O697),$O$2:$O$1001,0),0), INDEX($V$1004:$AE$1004,1,MATCH(COLUMNS($V$1006:AA1006),$V$1006:$AE$1006,0)))),"Fix")))</f>
        <v>0</v>
      </c>
      <c r="H697" s="4">
        <f>IF(OR(INDEX($P$2:$P$1001,MATCH(ROWS($O$2:O697),$O$2:$O$1001,0),1)&gt;=100000,INDEX($V$1005:$AE$1005,1,MATCH(COLUMNS($V$1006:AB1006),$V$1006:$AE$1006,0))&gt;=100000), " ",IF(INDEX($V$2:$AE$1001,MATCH(ROWS($O$2:O697),$O$2:$O$1001,0),MATCH(COLUMNS($V$1006:AB1006),$V$1006:$AE$1006,0)), HYPERLINK("#",""), HYPERLINK(CONCATENATE("#Metadata!", ADDRESS(INDEX($Q$2:$Q$1001,MATCH(ROWS($O$2:O697),$O$2:$O$1001,0),0), INDEX($V$1004:$AE$1004,1,MATCH(COLUMNS($V$1006:AB1006),$V$1006:$AE$1006,0)))),"Fix")))</f>
        <v>0</v>
      </c>
      <c r="I697" s="4">
        <f>IF(OR(INDEX($P$2:$P$1001,MATCH(ROWS($O$2:O697),$O$2:$O$1001,0),1)&gt;=100000,INDEX($V$1005:$AE$1005,1,MATCH(COLUMNS($V$1006:AC1006),$V$1006:$AE$1006,0))&gt;=100000), " ",IF(INDEX($V$2:$AE$1001,MATCH(ROWS($O$2:O697),$O$2:$O$1001,0),MATCH(COLUMNS($V$1006:AC1006),$V$1006:$AE$1006,0)), HYPERLINK("#",""), HYPERLINK(CONCATENATE("#Metadata!", ADDRESS(INDEX($Q$2:$Q$1001,MATCH(ROWS($O$2:O697),$O$2:$O$1001,0),0), INDEX($V$1004:$AE$1004,1,MATCH(COLUMNS($V$1006:AC1006),$V$1006:$AE$1006,0)))),"Fix")))</f>
        <v>0</v>
      </c>
      <c r="J697" s="4">
        <f>IF(OR(INDEX($P$2:$P$1001,MATCH(ROWS($O$2:O697),$O$2:$O$1001,0),1)&gt;=100000,INDEX($V$1005:$AE$1005,1,MATCH(COLUMNS($V$1006:AD1006),$V$1006:$AE$1006,0))&gt;=100000), " ",IF(INDEX($V$2:$AE$1001,MATCH(ROWS($O$2:O697),$O$2:$O$1001,0),MATCH(COLUMNS($V$1006:AD1006),$V$1006:$AE$1006,0)), HYPERLINK("#",""), HYPERLINK(CONCATENATE("#Metadata!", ADDRESS(INDEX($Q$2:$Q$1001,MATCH(ROWS($O$2:O697),$O$2:$O$1001,0),0), INDEX($V$1004:$AE$1004,1,MATCH(COLUMNS($V$1006:AD1006),$V$1006:$AE$1006,0)))),"Fix")))</f>
        <v>0</v>
      </c>
      <c r="K697" s="4">
        <f>IF(OR(INDEX($P$2:$P$1001,MATCH(ROWS($O$2:O697),$O$2:$O$1001,0),1)&gt;=100000,INDEX($V$1005:$AE$1005,1,MATCH(COLUMNS($V$1006:AE1006),$V$1006:$AE$1006,0))&gt;=100000), " ",IF(INDEX($V$2:$AE$1001,MATCH(ROWS($O$2:O697),$O$2:$O$1001,0),MATCH(COLUMNS($V$1006:AE1006),$V$1006:$AE$1006,0)), HYPERLINK("#",""), HYPERLINK(CONCATENATE("#Metadata!", ADDRESS(INDEX($Q$2:$Q$1001,MATCH(ROWS($O$2:O697),$O$2:$O$1001,0),0), INDEX($V$1004:$AE$1004,1,MATCH(COLUMNS($V$1006:AE1006),$V$1006:$AE$1006,0)))),"Fix")))</f>
        <v>0</v>
      </c>
      <c r="O697">
        <v>0</v>
      </c>
      <c r="P697">
        <v>0</v>
      </c>
      <c r="Q697">
        <v>0</v>
      </c>
      <c r="R697">
        <f>IF(S697,TRUE,AND(V697:AE697))</f>
        <v>0</v>
      </c>
      <c r="S697">
        <f>COUNTBLANK(Metadata!B697:K697)=COLUMNS(Metadata!B697:K697)</f>
        <v>0</v>
      </c>
      <c r="T697">
        <v>0</v>
      </c>
      <c r="V697">
        <f>AND(IF(Metadata!B697="",FALSE,TRUE),COUNTIF(Metadata!B:B, Metadata!B697) = 1,NOT(ISERROR(SUMPRODUCT(SEARCH(MID(Metadata!B697,ROW(INDIRECT("1:"&amp;LEN(Metadata!B697))), 1),"0123456789abcdefghijklmnopqrstuvwxyzABCDEFGHIJKLMNOPQRSTUVWXYZ.")))))</f>
        <v>0</v>
      </c>
      <c r="W697">
        <f>AND(IF(Metadata!C697="",FALSE,TRUE),exact(Metadata!C697,"urban biome"))</f>
        <v>0</v>
      </c>
      <c r="X697">
        <f>AND(IF(Metadata!D697="",FALSE,TRUE),exact(Metadata!D697,"animal-associated habitat"))</f>
        <v>0</v>
      </c>
      <c r="Y697">
        <f>OR(AND(IF(Metadata!E697="",FALSE,TRUE),OR(exact(Metadata!E697,"not applicable"),exact(Metadata!E697,"missing: not collected"),exact(Metadata!E697,"missing: not provided"),exact(Metadata!E697,"missing: restricted access"))),AND(IF(Metadata!E697="",FALSE,ISNUMBER(VALUE(Metadata!E697))),Metadata!E697&gt;0))</f>
        <v>0</v>
      </c>
      <c r="Z697">
        <f>AND(IF(Metadata!F697="",FALSE,TRUE),exact(Metadata!F697,"weeks"))</f>
        <v>0</v>
      </c>
      <c r="AA697">
        <f>AND(IF(Metadata!G697="",FALSE,TRUE),exact(Metadata!G697,"mouse"))</f>
        <v>0</v>
      </c>
      <c r="AB697">
        <f>AND(IF(Metadata!H697="",FALSE,TRUE),exact(Metadata!H697,"Mus musculus"))</f>
        <v>0</v>
      </c>
      <c r="AC697">
        <f>AND(IF(Metadata!I697="",FALSE,TRUE),exact(Metadata!I697,"10090"))</f>
        <v>0</v>
      </c>
      <c r="AD697">
        <f>OR(AND(IF(Metadata!J697="",FALSE,TRUE),OR(exact(Metadata!J697,"not applicable"),exact(Metadata!J697,"missing: not collected"),exact(Metadata!J697,"missing: not provided"),exact(Metadata!J697,"missing: restricted access"))),AND(IF(Metadata!J697="",FALSE,ISNUMBER(VALUE(Metadata!J697))),Metadata!J697&gt;0))</f>
        <v>0</v>
      </c>
      <c r="AE697">
        <f>AND(IF(Metadata!K697="",FALSE,TRUE),exact(Metadata!K697,"g"))</f>
        <v>0</v>
      </c>
    </row>
    <row r="698" spans="1:31">
      <c r="A698" s="5">
        <f>IF(B698=" "," ",HYPERLINK(CONCATENATE("#metadata!",ADDRESS(INDEX($Q$2:$Q$1001,MATCH(ROWS($O$2:O698),$O$2:$O$1001,0),0),1)),INDEX($T$2:$T$1001,MATCH(ROWS($O$2:O698),$O$2:$O$1001,0),0)))</f>
        <v>0</v>
      </c>
      <c r="B698" s="4">
        <f>IF(OR(INDEX($P$2:$P$1001,MATCH(ROWS($O$2:O698),$O$2:$O$1001,0),1)&gt;=100000,INDEX($V$1005:$AE$1005,1,MATCH(COLUMNS($V$1006:V1006),$V$1006:$AE$1006,0))&gt;=100000), " ",IF(INDEX($V$2:$AE$1001,MATCH(ROWS($O$2:O698),$O$2:$O$1001,0),MATCH(COLUMNS($V$1006:V1006),$V$1006:$AE$1006,0)), HYPERLINK("#",""), HYPERLINK(CONCATENATE("#Metadata!", ADDRESS(INDEX($Q$2:$Q$1001,MATCH(ROWS($O$2:O698),$O$2:$O$1001,0),0), INDEX($V$1004:$AE$1004,1,MATCH(COLUMNS($V$1006:V1006),$V$1006:$AE$1006,0)))),"Fix")))</f>
        <v>0</v>
      </c>
      <c r="C698" s="4">
        <f>IF(OR(INDEX($P$2:$P$1001,MATCH(ROWS($O$2:O698),$O$2:$O$1001,0),1)&gt;=100000,INDEX($V$1005:$AE$1005,1,MATCH(COLUMNS($V$1006:W1006),$V$1006:$AE$1006,0))&gt;=100000), " ",IF(INDEX($V$2:$AE$1001,MATCH(ROWS($O$2:O698),$O$2:$O$1001,0),MATCH(COLUMNS($V$1006:W1006),$V$1006:$AE$1006,0)), HYPERLINK("#",""), HYPERLINK(CONCATENATE("#Metadata!", ADDRESS(INDEX($Q$2:$Q$1001,MATCH(ROWS($O$2:O698),$O$2:$O$1001,0),0), INDEX($V$1004:$AE$1004,1,MATCH(COLUMNS($V$1006:W1006),$V$1006:$AE$1006,0)))),"Fix")))</f>
        <v>0</v>
      </c>
      <c r="D698" s="4">
        <f>IF(OR(INDEX($P$2:$P$1001,MATCH(ROWS($O$2:O698),$O$2:$O$1001,0),1)&gt;=100000,INDEX($V$1005:$AE$1005,1,MATCH(COLUMNS($V$1006:X1006),$V$1006:$AE$1006,0))&gt;=100000), " ",IF(INDEX($V$2:$AE$1001,MATCH(ROWS($O$2:O698),$O$2:$O$1001,0),MATCH(COLUMNS($V$1006:X1006),$V$1006:$AE$1006,0)), HYPERLINK("#",""), HYPERLINK(CONCATENATE("#Metadata!", ADDRESS(INDEX($Q$2:$Q$1001,MATCH(ROWS($O$2:O698),$O$2:$O$1001,0),0), INDEX($V$1004:$AE$1004,1,MATCH(COLUMNS($V$1006:X1006),$V$1006:$AE$1006,0)))),"Fix")))</f>
        <v>0</v>
      </c>
      <c r="E698" s="4">
        <f>IF(OR(INDEX($P$2:$P$1001,MATCH(ROWS($O$2:O698),$O$2:$O$1001,0),1)&gt;=100000,INDEX($V$1005:$AE$1005,1,MATCH(COLUMNS($V$1006:Y1006),$V$1006:$AE$1006,0))&gt;=100000), " ",IF(INDEX($V$2:$AE$1001,MATCH(ROWS($O$2:O698),$O$2:$O$1001,0),MATCH(COLUMNS($V$1006:Y1006),$V$1006:$AE$1006,0)), HYPERLINK("#",""), HYPERLINK(CONCATENATE("#Metadata!", ADDRESS(INDEX($Q$2:$Q$1001,MATCH(ROWS($O$2:O698),$O$2:$O$1001,0),0), INDEX($V$1004:$AE$1004,1,MATCH(COLUMNS($V$1006:Y1006),$V$1006:$AE$1006,0)))),"Fix")))</f>
        <v>0</v>
      </c>
      <c r="F698" s="4">
        <f>IF(OR(INDEX($P$2:$P$1001,MATCH(ROWS($O$2:O698),$O$2:$O$1001,0),1)&gt;=100000,INDEX($V$1005:$AE$1005,1,MATCH(COLUMNS($V$1006:Z1006),$V$1006:$AE$1006,0))&gt;=100000), " ",IF(INDEX($V$2:$AE$1001,MATCH(ROWS($O$2:O698),$O$2:$O$1001,0),MATCH(COLUMNS($V$1006:Z1006),$V$1006:$AE$1006,0)), HYPERLINK("#",""), HYPERLINK(CONCATENATE("#Metadata!", ADDRESS(INDEX($Q$2:$Q$1001,MATCH(ROWS($O$2:O698),$O$2:$O$1001,0),0), INDEX($V$1004:$AE$1004,1,MATCH(COLUMNS($V$1006:Z1006),$V$1006:$AE$1006,0)))),"Fix")))</f>
        <v>0</v>
      </c>
      <c r="G698" s="4">
        <f>IF(OR(INDEX($P$2:$P$1001,MATCH(ROWS($O$2:O698),$O$2:$O$1001,0),1)&gt;=100000,INDEX($V$1005:$AE$1005,1,MATCH(COLUMNS($V$1006:AA1006),$V$1006:$AE$1006,0))&gt;=100000), " ",IF(INDEX($V$2:$AE$1001,MATCH(ROWS($O$2:O698),$O$2:$O$1001,0),MATCH(COLUMNS($V$1006:AA1006),$V$1006:$AE$1006,0)), HYPERLINK("#",""), HYPERLINK(CONCATENATE("#Metadata!", ADDRESS(INDEX($Q$2:$Q$1001,MATCH(ROWS($O$2:O698),$O$2:$O$1001,0),0), INDEX($V$1004:$AE$1004,1,MATCH(COLUMNS($V$1006:AA1006),$V$1006:$AE$1006,0)))),"Fix")))</f>
        <v>0</v>
      </c>
      <c r="H698" s="4">
        <f>IF(OR(INDEX($P$2:$P$1001,MATCH(ROWS($O$2:O698),$O$2:$O$1001,0),1)&gt;=100000,INDEX($V$1005:$AE$1005,1,MATCH(COLUMNS($V$1006:AB1006),$V$1006:$AE$1006,0))&gt;=100000), " ",IF(INDEX($V$2:$AE$1001,MATCH(ROWS($O$2:O698),$O$2:$O$1001,0),MATCH(COLUMNS($V$1006:AB1006),$V$1006:$AE$1006,0)), HYPERLINK("#",""), HYPERLINK(CONCATENATE("#Metadata!", ADDRESS(INDEX($Q$2:$Q$1001,MATCH(ROWS($O$2:O698),$O$2:$O$1001,0),0), INDEX($V$1004:$AE$1004,1,MATCH(COLUMNS($V$1006:AB1006),$V$1006:$AE$1006,0)))),"Fix")))</f>
        <v>0</v>
      </c>
      <c r="I698" s="4">
        <f>IF(OR(INDEX($P$2:$P$1001,MATCH(ROWS($O$2:O698),$O$2:$O$1001,0),1)&gt;=100000,INDEX($V$1005:$AE$1005,1,MATCH(COLUMNS($V$1006:AC1006),$V$1006:$AE$1006,0))&gt;=100000), " ",IF(INDEX($V$2:$AE$1001,MATCH(ROWS($O$2:O698),$O$2:$O$1001,0),MATCH(COLUMNS($V$1006:AC1006),$V$1006:$AE$1006,0)), HYPERLINK("#",""), HYPERLINK(CONCATENATE("#Metadata!", ADDRESS(INDEX($Q$2:$Q$1001,MATCH(ROWS($O$2:O698),$O$2:$O$1001,0),0), INDEX($V$1004:$AE$1004,1,MATCH(COLUMNS($V$1006:AC1006),$V$1006:$AE$1006,0)))),"Fix")))</f>
        <v>0</v>
      </c>
      <c r="J698" s="4">
        <f>IF(OR(INDEX($P$2:$P$1001,MATCH(ROWS($O$2:O698),$O$2:$O$1001,0),1)&gt;=100000,INDEX($V$1005:$AE$1005,1,MATCH(COLUMNS($V$1006:AD1006),$V$1006:$AE$1006,0))&gt;=100000), " ",IF(INDEX($V$2:$AE$1001,MATCH(ROWS($O$2:O698),$O$2:$O$1001,0),MATCH(COLUMNS($V$1006:AD1006),$V$1006:$AE$1006,0)), HYPERLINK("#",""), HYPERLINK(CONCATENATE("#Metadata!", ADDRESS(INDEX($Q$2:$Q$1001,MATCH(ROWS($O$2:O698),$O$2:$O$1001,0),0), INDEX($V$1004:$AE$1004,1,MATCH(COLUMNS($V$1006:AD1006),$V$1006:$AE$1006,0)))),"Fix")))</f>
        <v>0</v>
      </c>
      <c r="K698" s="4">
        <f>IF(OR(INDEX($P$2:$P$1001,MATCH(ROWS($O$2:O698),$O$2:$O$1001,0),1)&gt;=100000,INDEX($V$1005:$AE$1005,1,MATCH(COLUMNS($V$1006:AE1006),$V$1006:$AE$1006,0))&gt;=100000), " ",IF(INDEX($V$2:$AE$1001,MATCH(ROWS($O$2:O698),$O$2:$O$1001,0),MATCH(COLUMNS($V$1006:AE1006),$V$1006:$AE$1006,0)), HYPERLINK("#",""), HYPERLINK(CONCATENATE("#Metadata!", ADDRESS(INDEX($Q$2:$Q$1001,MATCH(ROWS($O$2:O698),$O$2:$O$1001,0),0), INDEX($V$1004:$AE$1004,1,MATCH(COLUMNS($V$1006:AE1006),$V$1006:$AE$1006,0)))),"Fix")))</f>
        <v>0</v>
      </c>
      <c r="O698">
        <v>0</v>
      </c>
      <c r="P698">
        <v>0</v>
      </c>
      <c r="Q698">
        <v>0</v>
      </c>
      <c r="R698">
        <f>IF(S698,TRUE,AND(V698:AE698))</f>
        <v>0</v>
      </c>
      <c r="S698">
        <f>COUNTBLANK(Metadata!B698:K698)=COLUMNS(Metadata!B698:K698)</f>
        <v>0</v>
      </c>
      <c r="T698">
        <v>0</v>
      </c>
      <c r="V698">
        <f>AND(IF(Metadata!B698="",FALSE,TRUE),COUNTIF(Metadata!B:B, Metadata!B698) = 1,NOT(ISERROR(SUMPRODUCT(SEARCH(MID(Metadata!B698,ROW(INDIRECT("1:"&amp;LEN(Metadata!B698))), 1),"0123456789abcdefghijklmnopqrstuvwxyzABCDEFGHIJKLMNOPQRSTUVWXYZ.")))))</f>
        <v>0</v>
      </c>
      <c r="W698">
        <f>AND(IF(Metadata!C698="",FALSE,TRUE),exact(Metadata!C698,"urban biome"))</f>
        <v>0</v>
      </c>
      <c r="X698">
        <f>AND(IF(Metadata!D698="",FALSE,TRUE),exact(Metadata!D698,"animal-associated habitat"))</f>
        <v>0</v>
      </c>
      <c r="Y698">
        <f>OR(AND(IF(Metadata!E698="",FALSE,TRUE),OR(exact(Metadata!E698,"not applicable"),exact(Metadata!E698,"missing: not collected"),exact(Metadata!E698,"missing: not provided"),exact(Metadata!E698,"missing: restricted access"))),AND(IF(Metadata!E698="",FALSE,ISNUMBER(VALUE(Metadata!E698))),Metadata!E698&gt;0))</f>
        <v>0</v>
      </c>
      <c r="Z698">
        <f>AND(IF(Metadata!F698="",FALSE,TRUE),exact(Metadata!F698,"weeks"))</f>
        <v>0</v>
      </c>
      <c r="AA698">
        <f>AND(IF(Metadata!G698="",FALSE,TRUE),exact(Metadata!G698,"mouse"))</f>
        <v>0</v>
      </c>
      <c r="AB698">
        <f>AND(IF(Metadata!H698="",FALSE,TRUE),exact(Metadata!H698,"Mus musculus"))</f>
        <v>0</v>
      </c>
      <c r="AC698">
        <f>AND(IF(Metadata!I698="",FALSE,TRUE),exact(Metadata!I698,"10090"))</f>
        <v>0</v>
      </c>
      <c r="AD698">
        <f>OR(AND(IF(Metadata!J698="",FALSE,TRUE),OR(exact(Metadata!J698,"not applicable"),exact(Metadata!J698,"missing: not collected"),exact(Metadata!J698,"missing: not provided"),exact(Metadata!J698,"missing: restricted access"))),AND(IF(Metadata!J698="",FALSE,ISNUMBER(VALUE(Metadata!J698))),Metadata!J698&gt;0))</f>
        <v>0</v>
      </c>
      <c r="AE698">
        <f>AND(IF(Metadata!K698="",FALSE,TRUE),exact(Metadata!K698,"g"))</f>
        <v>0</v>
      </c>
    </row>
    <row r="699" spans="1:31">
      <c r="A699" s="5">
        <f>IF(B699=" "," ",HYPERLINK(CONCATENATE("#metadata!",ADDRESS(INDEX($Q$2:$Q$1001,MATCH(ROWS($O$2:O699),$O$2:$O$1001,0),0),1)),INDEX($T$2:$T$1001,MATCH(ROWS($O$2:O699),$O$2:$O$1001,0),0)))</f>
        <v>0</v>
      </c>
      <c r="B699" s="4">
        <f>IF(OR(INDEX($P$2:$P$1001,MATCH(ROWS($O$2:O699),$O$2:$O$1001,0),1)&gt;=100000,INDEX($V$1005:$AE$1005,1,MATCH(COLUMNS($V$1006:V1006),$V$1006:$AE$1006,0))&gt;=100000), " ",IF(INDEX($V$2:$AE$1001,MATCH(ROWS($O$2:O699),$O$2:$O$1001,0),MATCH(COLUMNS($V$1006:V1006),$V$1006:$AE$1006,0)), HYPERLINK("#",""), HYPERLINK(CONCATENATE("#Metadata!", ADDRESS(INDEX($Q$2:$Q$1001,MATCH(ROWS($O$2:O699),$O$2:$O$1001,0),0), INDEX($V$1004:$AE$1004,1,MATCH(COLUMNS($V$1006:V1006),$V$1006:$AE$1006,0)))),"Fix")))</f>
        <v>0</v>
      </c>
      <c r="C699" s="4">
        <f>IF(OR(INDEX($P$2:$P$1001,MATCH(ROWS($O$2:O699),$O$2:$O$1001,0),1)&gt;=100000,INDEX($V$1005:$AE$1005,1,MATCH(COLUMNS($V$1006:W1006),$V$1006:$AE$1006,0))&gt;=100000), " ",IF(INDEX($V$2:$AE$1001,MATCH(ROWS($O$2:O699),$O$2:$O$1001,0),MATCH(COLUMNS($V$1006:W1006),$V$1006:$AE$1006,0)), HYPERLINK("#",""), HYPERLINK(CONCATENATE("#Metadata!", ADDRESS(INDEX($Q$2:$Q$1001,MATCH(ROWS($O$2:O699),$O$2:$O$1001,0),0), INDEX($V$1004:$AE$1004,1,MATCH(COLUMNS($V$1006:W1006),$V$1006:$AE$1006,0)))),"Fix")))</f>
        <v>0</v>
      </c>
      <c r="D699" s="4">
        <f>IF(OR(INDEX($P$2:$P$1001,MATCH(ROWS($O$2:O699),$O$2:$O$1001,0),1)&gt;=100000,INDEX($V$1005:$AE$1005,1,MATCH(COLUMNS($V$1006:X1006),$V$1006:$AE$1006,0))&gt;=100000), " ",IF(INDEX($V$2:$AE$1001,MATCH(ROWS($O$2:O699),$O$2:$O$1001,0),MATCH(COLUMNS($V$1006:X1006),$V$1006:$AE$1006,0)), HYPERLINK("#",""), HYPERLINK(CONCATENATE("#Metadata!", ADDRESS(INDEX($Q$2:$Q$1001,MATCH(ROWS($O$2:O699),$O$2:$O$1001,0),0), INDEX($V$1004:$AE$1004,1,MATCH(COLUMNS($V$1006:X1006),$V$1006:$AE$1006,0)))),"Fix")))</f>
        <v>0</v>
      </c>
      <c r="E699" s="4">
        <f>IF(OR(INDEX($P$2:$P$1001,MATCH(ROWS($O$2:O699),$O$2:$O$1001,0),1)&gt;=100000,INDEX($V$1005:$AE$1005,1,MATCH(COLUMNS($V$1006:Y1006),$V$1006:$AE$1006,0))&gt;=100000), " ",IF(INDEX($V$2:$AE$1001,MATCH(ROWS($O$2:O699),$O$2:$O$1001,0),MATCH(COLUMNS($V$1006:Y1006),$V$1006:$AE$1006,0)), HYPERLINK("#",""), HYPERLINK(CONCATENATE("#Metadata!", ADDRESS(INDEX($Q$2:$Q$1001,MATCH(ROWS($O$2:O699),$O$2:$O$1001,0),0), INDEX($V$1004:$AE$1004,1,MATCH(COLUMNS($V$1006:Y1006),$V$1006:$AE$1006,0)))),"Fix")))</f>
        <v>0</v>
      </c>
      <c r="F699" s="4">
        <f>IF(OR(INDEX($P$2:$P$1001,MATCH(ROWS($O$2:O699),$O$2:$O$1001,0),1)&gt;=100000,INDEX($V$1005:$AE$1005,1,MATCH(COLUMNS($V$1006:Z1006),$V$1006:$AE$1006,0))&gt;=100000), " ",IF(INDEX($V$2:$AE$1001,MATCH(ROWS($O$2:O699),$O$2:$O$1001,0),MATCH(COLUMNS($V$1006:Z1006),$V$1006:$AE$1006,0)), HYPERLINK("#",""), HYPERLINK(CONCATENATE("#Metadata!", ADDRESS(INDEX($Q$2:$Q$1001,MATCH(ROWS($O$2:O699),$O$2:$O$1001,0),0), INDEX($V$1004:$AE$1004,1,MATCH(COLUMNS($V$1006:Z1006),$V$1006:$AE$1006,0)))),"Fix")))</f>
        <v>0</v>
      </c>
      <c r="G699" s="4">
        <f>IF(OR(INDEX($P$2:$P$1001,MATCH(ROWS($O$2:O699),$O$2:$O$1001,0),1)&gt;=100000,INDEX($V$1005:$AE$1005,1,MATCH(COLUMNS($V$1006:AA1006),$V$1006:$AE$1006,0))&gt;=100000), " ",IF(INDEX($V$2:$AE$1001,MATCH(ROWS($O$2:O699),$O$2:$O$1001,0),MATCH(COLUMNS($V$1006:AA1006),$V$1006:$AE$1006,0)), HYPERLINK("#",""), HYPERLINK(CONCATENATE("#Metadata!", ADDRESS(INDEX($Q$2:$Q$1001,MATCH(ROWS($O$2:O699),$O$2:$O$1001,0),0), INDEX($V$1004:$AE$1004,1,MATCH(COLUMNS($V$1006:AA1006),$V$1006:$AE$1006,0)))),"Fix")))</f>
        <v>0</v>
      </c>
      <c r="H699" s="4">
        <f>IF(OR(INDEX($P$2:$P$1001,MATCH(ROWS($O$2:O699),$O$2:$O$1001,0),1)&gt;=100000,INDEX($V$1005:$AE$1005,1,MATCH(COLUMNS($V$1006:AB1006),$V$1006:$AE$1006,0))&gt;=100000), " ",IF(INDEX($V$2:$AE$1001,MATCH(ROWS($O$2:O699),$O$2:$O$1001,0),MATCH(COLUMNS($V$1006:AB1006),$V$1006:$AE$1006,0)), HYPERLINK("#",""), HYPERLINK(CONCATENATE("#Metadata!", ADDRESS(INDEX($Q$2:$Q$1001,MATCH(ROWS($O$2:O699),$O$2:$O$1001,0),0), INDEX($V$1004:$AE$1004,1,MATCH(COLUMNS($V$1006:AB1006),$V$1006:$AE$1006,0)))),"Fix")))</f>
        <v>0</v>
      </c>
      <c r="I699" s="4">
        <f>IF(OR(INDEX($P$2:$P$1001,MATCH(ROWS($O$2:O699),$O$2:$O$1001,0),1)&gt;=100000,INDEX($V$1005:$AE$1005,1,MATCH(COLUMNS($V$1006:AC1006),$V$1006:$AE$1006,0))&gt;=100000), " ",IF(INDEX($V$2:$AE$1001,MATCH(ROWS($O$2:O699),$O$2:$O$1001,0),MATCH(COLUMNS($V$1006:AC1006),$V$1006:$AE$1006,0)), HYPERLINK("#",""), HYPERLINK(CONCATENATE("#Metadata!", ADDRESS(INDEX($Q$2:$Q$1001,MATCH(ROWS($O$2:O699),$O$2:$O$1001,0),0), INDEX($V$1004:$AE$1004,1,MATCH(COLUMNS($V$1006:AC1006),$V$1006:$AE$1006,0)))),"Fix")))</f>
        <v>0</v>
      </c>
      <c r="J699" s="4">
        <f>IF(OR(INDEX($P$2:$P$1001,MATCH(ROWS($O$2:O699),$O$2:$O$1001,0),1)&gt;=100000,INDEX($V$1005:$AE$1005,1,MATCH(COLUMNS($V$1006:AD1006),$V$1006:$AE$1006,0))&gt;=100000), " ",IF(INDEX($V$2:$AE$1001,MATCH(ROWS($O$2:O699),$O$2:$O$1001,0),MATCH(COLUMNS($V$1006:AD1006),$V$1006:$AE$1006,0)), HYPERLINK("#",""), HYPERLINK(CONCATENATE("#Metadata!", ADDRESS(INDEX($Q$2:$Q$1001,MATCH(ROWS($O$2:O699),$O$2:$O$1001,0),0), INDEX($V$1004:$AE$1004,1,MATCH(COLUMNS($V$1006:AD1006),$V$1006:$AE$1006,0)))),"Fix")))</f>
        <v>0</v>
      </c>
      <c r="K699" s="4">
        <f>IF(OR(INDEX($P$2:$P$1001,MATCH(ROWS($O$2:O699),$O$2:$O$1001,0),1)&gt;=100000,INDEX($V$1005:$AE$1005,1,MATCH(COLUMNS($V$1006:AE1006),$V$1006:$AE$1006,0))&gt;=100000), " ",IF(INDEX($V$2:$AE$1001,MATCH(ROWS($O$2:O699),$O$2:$O$1001,0),MATCH(COLUMNS($V$1006:AE1006),$V$1006:$AE$1006,0)), HYPERLINK("#",""), HYPERLINK(CONCATENATE("#Metadata!", ADDRESS(INDEX($Q$2:$Q$1001,MATCH(ROWS($O$2:O699),$O$2:$O$1001,0),0), INDEX($V$1004:$AE$1004,1,MATCH(COLUMNS($V$1006:AE1006),$V$1006:$AE$1006,0)))),"Fix")))</f>
        <v>0</v>
      </c>
      <c r="O699">
        <v>0</v>
      </c>
      <c r="P699">
        <v>0</v>
      </c>
      <c r="Q699">
        <v>0</v>
      </c>
      <c r="R699">
        <f>IF(S699,TRUE,AND(V699:AE699))</f>
        <v>0</v>
      </c>
      <c r="S699">
        <f>COUNTBLANK(Metadata!B699:K699)=COLUMNS(Metadata!B699:K699)</f>
        <v>0</v>
      </c>
      <c r="T699">
        <v>0</v>
      </c>
      <c r="V699">
        <f>AND(IF(Metadata!B699="",FALSE,TRUE),COUNTIF(Metadata!B:B, Metadata!B699) = 1,NOT(ISERROR(SUMPRODUCT(SEARCH(MID(Metadata!B699,ROW(INDIRECT("1:"&amp;LEN(Metadata!B699))), 1),"0123456789abcdefghijklmnopqrstuvwxyzABCDEFGHIJKLMNOPQRSTUVWXYZ.")))))</f>
        <v>0</v>
      </c>
      <c r="W699">
        <f>AND(IF(Metadata!C699="",FALSE,TRUE),exact(Metadata!C699,"urban biome"))</f>
        <v>0</v>
      </c>
      <c r="X699">
        <f>AND(IF(Metadata!D699="",FALSE,TRUE),exact(Metadata!D699,"animal-associated habitat"))</f>
        <v>0</v>
      </c>
      <c r="Y699">
        <f>OR(AND(IF(Metadata!E699="",FALSE,TRUE),OR(exact(Metadata!E699,"not applicable"),exact(Metadata!E699,"missing: not collected"),exact(Metadata!E699,"missing: not provided"),exact(Metadata!E699,"missing: restricted access"))),AND(IF(Metadata!E699="",FALSE,ISNUMBER(VALUE(Metadata!E699))),Metadata!E699&gt;0))</f>
        <v>0</v>
      </c>
      <c r="Z699">
        <f>AND(IF(Metadata!F699="",FALSE,TRUE),exact(Metadata!F699,"weeks"))</f>
        <v>0</v>
      </c>
      <c r="AA699">
        <f>AND(IF(Metadata!G699="",FALSE,TRUE),exact(Metadata!G699,"mouse"))</f>
        <v>0</v>
      </c>
      <c r="AB699">
        <f>AND(IF(Metadata!H699="",FALSE,TRUE),exact(Metadata!H699,"Mus musculus"))</f>
        <v>0</v>
      </c>
      <c r="AC699">
        <f>AND(IF(Metadata!I699="",FALSE,TRUE),exact(Metadata!I699,"10090"))</f>
        <v>0</v>
      </c>
      <c r="AD699">
        <f>OR(AND(IF(Metadata!J699="",FALSE,TRUE),OR(exact(Metadata!J699,"not applicable"),exact(Metadata!J699,"missing: not collected"),exact(Metadata!J699,"missing: not provided"),exact(Metadata!J699,"missing: restricted access"))),AND(IF(Metadata!J699="",FALSE,ISNUMBER(VALUE(Metadata!J699))),Metadata!J699&gt;0))</f>
        <v>0</v>
      </c>
      <c r="AE699">
        <f>AND(IF(Metadata!K699="",FALSE,TRUE),exact(Metadata!K699,"g"))</f>
        <v>0</v>
      </c>
    </row>
    <row r="700" spans="1:31">
      <c r="A700" s="5">
        <f>IF(B700=" "," ",HYPERLINK(CONCATENATE("#metadata!",ADDRESS(INDEX($Q$2:$Q$1001,MATCH(ROWS($O$2:O700),$O$2:$O$1001,0),0),1)),INDEX($T$2:$T$1001,MATCH(ROWS($O$2:O700),$O$2:$O$1001,0),0)))</f>
        <v>0</v>
      </c>
      <c r="B700" s="4">
        <f>IF(OR(INDEX($P$2:$P$1001,MATCH(ROWS($O$2:O700),$O$2:$O$1001,0),1)&gt;=100000,INDEX($V$1005:$AE$1005,1,MATCH(COLUMNS($V$1006:V1006),$V$1006:$AE$1006,0))&gt;=100000), " ",IF(INDEX($V$2:$AE$1001,MATCH(ROWS($O$2:O700),$O$2:$O$1001,0),MATCH(COLUMNS($V$1006:V1006),$V$1006:$AE$1006,0)), HYPERLINK("#",""), HYPERLINK(CONCATENATE("#Metadata!", ADDRESS(INDEX($Q$2:$Q$1001,MATCH(ROWS($O$2:O700),$O$2:$O$1001,0),0), INDEX($V$1004:$AE$1004,1,MATCH(COLUMNS($V$1006:V1006),$V$1006:$AE$1006,0)))),"Fix")))</f>
        <v>0</v>
      </c>
      <c r="C700" s="4">
        <f>IF(OR(INDEX($P$2:$P$1001,MATCH(ROWS($O$2:O700),$O$2:$O$1001,0),1)&gt;=100000,INDEX($V$1005:$AE$1005,1,MATCH(COLUMNS($V$1006:W1006),$V$1006:$AE$1006,0))&gt;=100000), " ",IF(INDEX($V$2:$AE$1001,MATCH(ROWS($O$2:O700),$O$2:$O$1001,0),MATCH(COLUMNS($V$1006:W1006),$V$1006:$AE$1006,0)), HYPERLINK("#",""), HYPERLINK(CONCATENATE("#Metadata!", ADDRESS(INDEX($Q$2:$Q$1001,MATCH(ROWS($O$2:O700),$O$2:$O$1001,0),0), INDEX($V$1004:$AE$1004,1,MATCH(COLUMNS($V$1006:W1006),$V$1006:$AE$1006,0)))),"Fix")))</f>
        <v>0</v>
      </c>
      <c r="D700" s="4">
        <f>IF(OR(INDEX($P$2:$P$1001,MATCH(ROWS($O$2:O700),$O$2:$O$1001,0),1)&gt;=100000,INDEX($V$1005:$AE$1005,1,MATCH(COLUMNS($V$1006:X1006),$V$1006:$AE$1006,0))&gt;=100000), " ",IF(INDEX($V$2:$AE$1001,MATCH(ROWS($O$2:O700),$O$2:$O$1001,0),MATCH(COLUMNS($V$1006:X1006),$V$1006:$AE$1006,0)), HYPERLINK("#",""), HYPERLINK(CONCATENATE("#Metadata!", ADDRESS(INDEX($Q$2:$Q$1001,MATCH(ROWS($O$2:O700),$O$2:$O$1001,0),0), INDEX($V$1004:$AE$1004,1,MATCH(COLUMNS($V$1006:X1006),$V$1006:$AE$1006,0)))),"Fix")))</f>
        <v>0</v>
      </c>
      <c r="E700" s="4">
        <f>IF(OR(INDEX($P$2:$P$1001,MATCH(ROWS($O$2:O700),$O$2:$O$1001,0),1)&gt;=100000,INDEX($V$1005:$AE$1005,1,MATCH(COLUMNS($V$1006:Y1006),$V$1006:$AE$1006,0))&gt;=100000), " ",IF(INDEX($V$2:$AE$1001,MATCH(ROWS($O$2:O700),$O$2:$O$1001,0),MATCH(COLUMNS($V$1006:Y1006),$V$1006:$AE$1006,0)), HYPERLINK("#",""), HYPERLINK(CONCATENATE("#Metadata!", ADDRESS(INDEX($Q$2:$Q$1001,MATCH(ROWS($O$2:O700),$O$2:$O$1001,0),0), INDEX($V$1004:$AE$1004,1,MATCH(COLUMNS($V$1006:Y1006),$V$1006:$AE$1006,0)))),"Fix")))</f>
        <v>0</v>
      </c>
      <c r="F700" s="4">
        <f>IF(OR(INDEX($P$2:$P$1001,MATCH(ROWS($O$2:O700),$O$2:$O$1001,0),1)&gt;=100000,INDEX($V$1005:$AE$1005,1,MATCH(COLUMNS($V$1006:Z1006),$V$1006:$AE$1006,0))&gt;=100000), " ",IF(INDEX($V$2:$AE$1001,MATCH(ROWS($O$2:O700),$O$2:$O$1001,0),MATCH(COLUMNS($V$1006:Z1006),$V$1006:$AE$1006,0)), HYPERLINK("#",""), HYPERLINK(CONCATENATE("#Metadata!", ADDRESS(INDEX($Q$2:$Q$1001,MATCH(ROWS($O$2:O700),$O$2:$O$1001,0),0), INDEX($V$1004:$AE$1004,1,MATCH(COLUMNS($V$1006:Z1006),$V$1006:$AE$1006,0)))),"Fix")))</f>
        <v>0</v>
      </c>
      <c r="G700" s="4">
        <f>IF(OR(INDEX($P$2:$P$1001,MATCH(ROWS($O$2:O700),$O$2:$O$1001,0),1)&gt;=100000,INDEX($V$1005:$AE$1005,1,MATCH(COLUMNS($V$1006:AA1006),$V$1006:$AE$1006,0))&gt;=100000), " ",IF(INDEX($V$2:$AE$1001,MATCH(ROWS($O$2:O700),$O$2:$O$1001,0),MATCH(COLUMNS($V$1006:AA1006),$V$1006:$AE$1006,0)), HYPERLINK("#",""), HYPERLINK(CONCATENATE("#Metadata!", ADDRESS(INDEX($Q$2:$Q$1001,MATCH(ROWS($O$2:O700),$O$2:$O$1001,0),0), INDEX($V$1004:$AE$1004,1,MATCH(COLUMNS($V$1006:AA1006),$V$1006:$AE$1006,0)))),"Fix")))</f>
        <v>0</v>
      </c>
      <c r="H700" s="4">
        <f>IF(OR(INDEX($P$2:$P$1001,MATCH(ROWS($O$2:O700),$O$2:$O$1001,0),1)&gt;=100000,INDEX($V$1005:$AE$1005,1,MATCH(COLUMNS($V$1006:AB1006),$V$1006:$AE$1006,0))&gt;=100000), " ",IF(INDEX($V$2:$AE$1001,MATCH(ROWS($O$2:O700),$O$2:$O$1001,0),MATCH(COLUMNS($V$1006:AB1006),$V$1006:$AE$1006,0)), HYPERLINK("#",""), HYPERLINK(CONCATENATE("#Metadata!", ADDRESS(INDEX($Q$2:$Q$1001,MATCH(ROWS($O$2:O700),$O$2:$O$1001,0),0), INDEX($V$1004:$AE$1004,1,MATCH(COLUMNS($V$1006:AB1006),$V$1006:$AE$1006,0)))),"Fix")))</f>
        <v>0</v>
      </c>
      <c r="I700" s="4">
        <f>IF(OR(INDEX($P$2:$P$1001,MATCH(ROWS($O$2:O700),$O$2:$O$1001,0),1)&gt;=100000,INDEX($V$1005:$AE$1005,1,MATCH(COLUMNS($V$1006:AC1006),$V$1006:$AE$1006,0))&gt;=100000), " ",IF(INDEX($V$2:$AE$1001,MATCH(ROWS($O$2:O700),$O$2:$O$1001,0),MATCH(COLUMNS($V$1006:AC1006),$V$1006:$AE$1006,0)), HYPERLINK("#",""), HYPERLINK(CONCATENATE("#Metadata!", ADDRESS(INDEX($Q$2:$Q$1001,MATCH(ROWS($O$2:O700),$O$2:$O$1001,0),0), INDEX($V$1004:$AE$1004,1,MATCH(COLUMNS($V$1006:AC1006),$V$1006:$AE$1006,0)))),"Fix")))</f>
        <v>0</v>
      </c>
      <c r="J700" s="4">
        <f>IF(OR(INDEX($P$2:$P$1001,MATCH(ROWS($O$2:O700),$O$2:$O$1001,0),1)&gt;=100000,INDEX($V$1005:$AE$1005,1,MATCH(COLUMNS($V$1006:AD1006),$V$1006:$AE$1006,0))&gt;=100000), " ",IF(INDEX($V$2:$AE$1001,MATCH(ROWS($O$2:O700),$O$2:$O$1001,0),MATCH(COLUMNS($V$1006:AD1006),$V$1006:$AE$1006,0)), HYPERLINK("#",""), HYPERLINK(CONCATENATE("#Metadata!", ADDRESS(INDEX($Q$2:$Q$1001,MATCH(ROWS($O$2:O700),$O$2:$O$1001,0),0), INDEX($V$1004:$AE$1004,1,MATCH(COLUMNS($V$1006:AD1006),$V$1006:$AE$1006,0)))),"Fix")))</f>
        <v>0</v>
      </c>
      <c r="K700" s="4">
        <f>IF(OR(INDEX($P$2:$P$1001,MATCH(ROWS($O$2:O700),$O$2:$O$1001,0),1)&gt;=100000,INDEX($V$1005:$AE$1005,1,MATCH(COLUMNS($V$1006:AE1006),$V$1006:$AE$1006,0))&gt;=100000), " ",IF(INDEX($V$2:$AE$1001,MATCH(ROWS($O$2:O700),$O$2:$O$1001,0),MATCH(COLUMNS($V$1006:AE1006),$V$1006:$AE$1006,0)), HYPERLINK("#",""), HYPERLINK(CONCATENATE("#Metadata!", ADDRESS(INDEX($Q$2:$Q$1001,MATCH(ROWS($O$2:O700),$O$2:$O$1001,0),0), INDEX($V$1004:$AE$1004,1,MATCH(COLUMNS($V$1006:AE1006),$V$1006:$AE$1006,0)))),"Fix")))</f>
        <v>0</v>
      </c>
      <c r="O700">
        <v>0</v>
      </c>
      <c r="P700">
        <v>0</v>
      </c>
      <c r="Q700">
        <v>0</v>
      </c>
      <c r="R700">
        <f>IF(S700,TRUE,AND(V700:AE700))</f>
        <v>0</v>
      </c>
      <c r="S700">
        <f>COUNTBLANK(Metadata!B700:K700)=COLUMNS(Metadata!B700:K700)</f>
        <v>0</v>
      </c>
      <c r="T700">
        <v>0</v>
      </c>
      <c r="V700">
        <f>AND(IF(Metadata!B700="",FALSE,TRUE),COUNTIF(Metadata!B:B, Metadata!B700) = 1,NOT(ISERROR(SUMPRODUCT(SEARCH(MID(Metadata!B700,ROW(INDIRECT("1:"&amp;LEN(Metadata!B700))), 1),"0123456789abcdefghijklmnopqrstuvwxyzABCDEFGHIJKLMNOPQRSTUVWXYZ.")))))</f>
        <v>0</v>
      </c>
      <c r="W700">
        <f>AND(IF(Metadata!C700="",FALSE,TRUE),exact(Metadata!C700,"urban biome"))</f>
        <v>0</v>
      </c>
      <c r="X700">
        <f>AND(IF(Metadata!D700="",FALSE,TRUE),exact(Metadata!D700,"animal-associated habitat"))</f>
        <v>0</v>
      </c>
      <c r="Y700">
        <f>OR(AND(IF(Metadata!E700="",FALSE,TRUE),OR(exact(Metadata!E700,"not applicable"),exact(Metadata!E700,"missing: not collected"),exact(Metadata!E700,"missing: not provided"),exact(Metadata!E700,"missing: restricted access"))),AND(IF(Metadata!E700="",FALSE,ISNUMBER(VALUE(Metadata!E700))),Metadata!E700&gt;0))</f>
        <v>0</v>
      </c>
      <c r="Z700">
        <f>AND(IF(Metadata!F700="",FALSE,TRUE),exact(Metadata!F700,"weeks"))</f>
        <v>0</v>
      </c>
      <c r="AA700">
        <f>AND(IF(Metadata!G700="",FALSE,TRUE),exact(Metadata!G700,"mouse"))</f>
        <v>0</v>
      </c>
      <c r="AB700">
        <f>AND(IF(Metadata!H700="",FALSE,TRUE),exact(Metadata!H700,"Mus musculus"))</f>
        <v>0</v>
      </c>
      <c r="AC700">
        <f>AND(IF(Metadata!I700="",FALSE,TRUE),exact(Metadata!I700,"10090"))</f>
        <v>0</v>
      </c>
      <c r="AD700">
        <f>OR(AND(IF(Metadata!J700="",FALSE,TRUE),OR(exact(Metadata!J700,"not applicable"),exact(Metadata!J700,"missing: not collected"),exact(Metadata!J700,"missing: not provided"),exact(Metadata!J700,"missing: restricted access"))),AND(IF(Metadata!J700="",FALSE,ISNUMBER(VALUE(Metadata!J700))),Metadata!J700&gt;0))</f>
        <v>0</v>
      </c>
      <c r="AE700">
        <f>AND(IF(Metadata!K700="",FALSE,TRUE),exact(Metadata!K700,"g"))</f>
        <v>0</v>
      </c>
    </row>
    <row r="701" spans="1:31">
      <c r="A701" s="5">
        <f>IF(B701=" "," ",HYPERLINK(CONCATENATE("#metadata!",ADDRESS(INDEX($Q$2:$Q$1001,MATCH(ROWS($O$2:O701),$O$2:$O$1001,0),0),1)),INDEX($T$2:$T$1001,MATCH(ROWS($O$2:O701),$O$2:$O$1001,0),0)))</f>
        <v>0</v>
      </c>
      <c r="B701" s="4">
        <f>IF(OR(INDEX($P$2:$P$1001,MATCH(ROWS($O$2:O701),$O$2:$O$1001,0),1)&gt;=100000,INDEX($V$1005:$AE$1005,1,MATCH(COLUMNS($V$1006:V1006),$V$1006:$AE$1006,0))&gt;=100000), " ",IF(INDEX($V$2:$AE$1001,MATCH(ROWS($O$2:O701),$O$2:$O$1001,0),MATCH(COLUMNS($V$1006:V1006),$V$1006:$AE$1006,0)), HYPERLINK("#",""), HYPERLINK(CONCATENATE("#Metadata!", ADDRESS(INDEX($Q$2:$Q$1001,MATCH(ROWS($O$2:O701),$O$2:$O$1001,0),0), INDEX($V$1004:$AE$1004,1,MATCH(COLUMNS($V$1006:V1006),$V$1006:$AE$1006,0)))),"Fix")))</f>
        <v>0</v>
      </c>
      <c r="C701" s="4">
        <f>IF(OR(INDEX($P$2:$P$1001,MATCH(ROWS($O$2:O701),$O$2:$O$1001,0),1)&gt;=100000,INDEX($V$1005:$AE$1005,1,MATCH(COLUMNS($V$1006:W1006),$V$1006:$AE$1006,0))&gt;=100000), " ",IF(INDEX($V$2:$AE$1001,MATCH(ROWS($O$2:O701),$O$2:$O$1001,0),MATCH(COLUMNS($V$1006:W1006),$V$1006:$AE$1006,0)), HYPERLINK("#",""), HYPERLINK(CONCATENATE("#Metadata!", ADDRESS(INDEX($Q$2:$Q$1001,MATCH(ROWS($O$2:O701),$O$2:$O$1001,0),0), INDEX($V$1004:$AE$1004,1,MATCH(COLUMNS($V$1006:W1006),$V$1006:$AE$1006,0)))),"Fix")))</f>
        <v>0</v>
      </c>
      <c r="D701" s="4">
        <f>IF(OR(INDEX($P$2:$P$1001,MATCH(ROWS($O$2:O701),$O$2:$O$1001,0),1)&gt;=100000,INDEX($V$1005:$AE$1005,1,MATCH(COLUMNS($V$1006:X1006),$V$1006:$AE$1006,0))&gt;=100000), " ",IF(INDEX($V$2:$AE$1001,MATCH(ROWS($O$2:O701),$O$2:$O$1001,0),MATCH(COLUMNS($V$1006:X1006),$V$1006:$AE$1006,0)), HYPERLINK("#",""), HYPERLINK(CONCATENATE("#Metadata!", ADDRESS(INDEX($Q$2:$Q$1001,MATCH(ROWS($O$2:O701),$O$2:$O$1001,0),0), INDEX($V$1004:$AE$1004,1,MATCH(COLUMNS($V$1006:X1006),$V$1006:$AE$1006,0)))),"Fix")))</f>
        <v>0</v>
      </c>
      <c r="E701" s="4">
        <f>IF(OR(INDEX($P$2:$P$1001,MATCH(ROWS($O$2:O701),$O$2:$O$1001,0),1)&gt;=100000,INDEX($V$1005:$AE$1005,1,MATCH(COLUMNS($V$1006:Y1006),$V$1006:$AE$1006,0))&gt;=100000), " ",IF(INDEX($V$2:$AE$1001,MATCH(ROWS($O$2:O701),$O$2:$O$1001,0),MATCH(COLUMNS($V$1006:Y1006),$V$1006:$AE$1006,0)), HYPERLINK("#",""), HYPERLINK(CONCATENATE("#Metadata!", ADDRESS(INDEX($Q$2:$Q$1001,MATCH(ROWS($O$2:O701),$O$2:$O$1001,0),0), INDEX($V$1004:$AE$1004,1,MATCH(COLUMNS($V$1006:Y1006),$V$1006:$AE$1006,0)))),"Fix")))</f>
        <v>0</v>
      </c>
      <c r="F701" s="4">
        <f>IF(OR(INDEX($P$2:$P$1001,MATCH(ROWS($O$2:O701),$O$2:$O$1001,0),1)&gt;=100000,INDEX($V$1005:$AE$1005,1,MATCH(COLUMNS($V$1006:Z1006),$V$1006:$AE$1006,0))&gt;=100000), " ",IF(INDEX($V$2:$AE$1001,MATCH(ROWS($O$2:O701),$O$2:$O$1001,0),MATCH(COLUMNS($V$1006:Z1006),$V$1006:$AE$1006,0)), HYPERLINK("#",""), HYPERLINK(CONCATENATE("#Metadata!", ADDRESS(INDEX($Q$2:$Q$1001,MATCH(ROWS($O$2:O701),$O$2:$O$1001,0),0), INDEX($V$1004:$AE$1004,1,MATCH(COLUMNS($V$1006:Z1006),$V$1006:$AE$1006,0)))),"Fix")))</f>
        <v>0</v>
      </c>
      <c r="G701" s="4">
        <f>IF(OR(INDEX($P$2:$P$1001,MATCH(ROWS($O$2:O701),$O$2:$O$1001,0),1)&gt;=100000,INDEX($V$1005:$AE$1005,1,MATCH(COLUMNS($V$1006:AA1006),$V$1006:$AE$1006,0))&gt;=100000), " ",IF(INDEX($V$2:$AE$1001,MATCH(ROWS($O$2:O701),$O$2:$O$1001,0),MATCH(COLUMNS($V$1006:AA1006),$V$1006:$AE$1006,0)), HYPERLINK("#",""), HYPERLINK(CONCATENATE("#Metadata!", ADDRESS(INDEX($Q$2:$Q$1001,MATCH(ROWS($O$2:O701),$O$2:$O$1001,0),0), INDEX($V$1004:$AE$1004,1,MATCH(COLUMNS($V$1006:AA1006),$V$1006:$AE$1006,0)))),"Fix")))</f>
        <v>0</v>
      </c>
      <c r="H701" s="4">
        <f>IF(OR(INDEX($P$2:$P$1001,MATCH(ROWS($O$2:O701),$O$2:$O$1001,0),1)&gt;=100000,INDEX($V$1005:$AE$1005,1,MATCH(COLUMNS($V$1006:AB1006),$V$1006:$AE$1006,0))&gt;=100000), " ",IF(INDEX($V$2:$AE$1001,MATCH(ROWS($O$2:O701),$O$2:$O$1001,0),MATCH(COLUMNS($V$1006:AB1006),$V$1006:$AE$1006,0)), HYPERLINK("#",""), HYPERLINK(CONCATENATE("#Metadata!", ADDRESS(INDEX($Q$2:$Q$1001,MATCH(ROWS($O$2:O701),$O$2:$O$1001,0),0), INDEX($V$1004:$AE$1004,1,MATCH(COLUMNS($V$1006:AB1006),$V$1006:$AE$1006,0)))),"Fix")))</f>
        <v>0</v>
      </c>
      <c r="I701" s="4">
        <f>IF(OR(INDEX($P$2:$P$1001,MATCH(ROWS($O$2:O701),$O$2:$O$1001,0),1)&gt;=100000,INDEX($V$1005:$AE$1005,1,MATCH(COLUMNS($V$1006:AC1006),$V$1006:$AE$1006,0))&gt;=100000), " ",IF(INDEX($V$2:$AE$1001,MATCH(ROWS($O$2:O701),$O$2:$O$1001,0),MATCH(COLUMNS($V$1006:AC1006),$V$1006:$AE$1006,0)), HYPERLINK("#",""), HYPERLINK(CONCATENATE("#Metadata!", ADDRESS(INDEX($Q$2:$Q$1001,MATCH(ROWS($O$2:O701),$O$2:$O$1001,0),0), INDEX($V$1004:$AE$1004,1,MATCH(COLUMNS($V$1006:AC1006),$V$1006:$AE$1006,0)))),"Fix")))</f>
        <v>0</v>
      </c>
      <c r="J701" s="4">
        <f>IF(OR(INDEX($P$2:$P$1001,MATCH(ROWS($O$2:O701),$O$2:$O$1001,0),1)&gt;=100000,INDEX($V$1005:$AE$1005,1,MATCH(COLUMNS($V$1006:AD1006),$V$1006:$AE$1006,0))&gt;=100000), " ",IF(INDEX($V$2:$AE$1001,MATCH(ROWS($O$2:O701),$O$2:$O$1001,0),MATCH(COLUMNS($V$1006:AD1006),$V$1006:$AE$1006,0)), HYPERLINK("#",""), HYPERLINK(CONCATENATE("#Metadata!", ADDRESS(INDEX($Q$2:$Q$1001,MATCH(ROWS($O$2:O701),$O$2:$O$1001,0),0), INDEX($V$1004:$AE$1004,1,MATCH(COLUMNS($V$1006:AD1006),$V$1006:$AE$1006,0)))),"Fix")))</f>
        <v>0</v>
      </c>
      <c r="K701" s="4">
        <f>IF(OR(INDEX($P$2:$P$1001,MATCH(ROWS($O$2:O701),$O$2:$O$1001,0),1)&gt;=100000,INDEX($V$1005:$AE$1005,1,MATCH(COLUMNS($V$1006:AE1006),$V$1006:$AE$1006,0))&gt;=100000), " ",IF(INDEX($V$2:$AE$1001,MATCH(ROWS($O$2:O701),$O$2:$O$1001,0),MATCH(COLUMNS($V$1006:AE1006),$V$1006:$AE$1006,0)), HYPERLINK("#",""), HYPERLINK(CONCATENATE("#Metadata!", ADDRESS(INDEX($Q$2:$Q$1001,MATCH(ROWS($O$2:O701),$O$2:$O$1001,0),0), INDEX($V$1004:$AE$1004,1,MATCH(COLUMNS($V$1006:AE1006),$V$1006:$AE$1006,0)))),"Fix")))</f>
        <v>0</v>
      </c>
      <c r="O701">
        <v>0</v>
      </c>
      <c r="P701">
        <v>0</v>
      </c>
      <c r="Q701">
        <v>0</v>
      </c>
      <c r="R701">
        <f>IF(S701,TRUE,AND(V701:AE701))</f>
        <v>0</v>
      </c>
      <c r="S701">
        <f>COUNTBLANK(Metadata!B701:K701)=COLUMNS(Metadata!B701:K701)</f>
        <v>0</v>
      </c>
      <c r="T701">
        <v>0</v>
      </c>
      <c r="V701">
        <f>AND(IF(Metadata!B701="",FALSE,TRUE),COUNTIF(Metadata!B:B, Metadata!B701) = 1,NOT(ISERROR(SUMPRODUCT(SEARCH(MID(Metadata!B701,ROW(INDIRECT("1:"&amp;LEN(Metadata!B701))), 1),"0123456789abcdefghijklmnopqrstuvwxyzABCDEFGHIJKLMNOPQRSTUVWXYZ.")))))</f>
        <v>0</v>
      </c>
      <c r="W701">
        <f>AND(IF(Metadata!C701="",FALSE,TRUE),exact(Metadata!C701,"urban biome"))</f>
        <v>0</v>
      </c>
      <c r="X701">
        <f>AND(IF(Metadata!D701="",FALSE,TRUE),exact(Metadata!D701,"animal-associated habitat"))</f>
        <v>0</v>
      </c>
      <c r="Y701">
        <f>OR(AND(IF(Metadata!E701="",FALSE,TRUE),OR(exact(Metadata!E701,"not applicable"),exact(Metadata!E701,"missing: not collected"),exact(Metadata!E701,"missing: not provided"),exact(Metadata!E701,"missing: restricted access"))),AND(IF(Metadata!E701="",FALSE,ISNUMBER(VALUE(Metadata!E701))),Metadata!E701&gt;0))</f>
        <v>0</v>
      </c>
      <c r="Z701">
        <f>AND(IF(Metadata!F701="",FALSE,TRUE),exact(Metadata!F701,"weeks"))</f>
        <v>0</v>
      </c>
      <c r="AA701">
        <f>AND(IF(Metadata!G701="",FALSE,TRUE),exact(Metadata!G701,"mouse"))</f>
        <v>0</v>
      </c>
      <c r="AB701">
        <f>AND(IF(Metadata!H701="",FALSE,TRUE),exact(Metadata!H701,"Mus musculus"))</f>
        <v>0</v>
      </c>
      <c r="AC701">
        <f>AND(IF(Metadata!I701="",FALSE,TRUE),exact(Metadata!I701,"10090"))</f>
        <v>0</v>
      </c>
      <c r="AD701">
        <f>OR(AND(IF(Metadata!J701="",FALSE,TRUE),OR(exact(Metadata!J701,"not applicable"),exact(Metadata!J701,"missing: not collected"),exact(Metadata!J701,"missing: not provided"),exact(Metadata!J701,"missing: restricted access"))),AND(IF(Metadata!J701="",FALSE,ISNUMBER(VALUE(Metadata!J701))),Metadata!J701&gt;0))</f>
        <v>0</v>
      </c>
      <c r="AE701">
        <f>AND(IF(Metadata!K701="",FALSE,TRUE),exact(Metadata!K701,"g"))</f>
        <v>0</v>
      </c>
    </row>
    <row r="702" spans="1:31">
      <c r="A702" s="5">
        <f>IF(B702=" "," ",HYPERLINK(CONCATENATE("#metadata!",ADDRESS(INDEX($Q$2:$Q$1001,MATCH(ROWS($O$2:O702),$O$2:$O$1001,0),0),1)),INDEX($T$2:$T$1001,MATCH(ROWS($O$2:O702),$O$2:$O$1001,0),0)))</f>
        <v>0</v>
      </c>
      <c r="B702" s="4">
        <f>IF(OR(INDEX($P$2:$P$1001,MATCH(ROWS($O$2:O702),$O$2:$O$1001,0),1)&gt;=100000,INDEX($V$1005:$AE$1005,1,MATCH(COLUMNS($V$1006:V1006),$V$1006:$AE$1006,0))&gt;=100000), " ",IF(INDEX($V$2:$AE$1001,MATCH(ROWS($O$2:O702),$O$2:$O$1001,0),MATCH(COLUMNS($V$1006:V1006),$V$1006:$AE$1006,0)), HYPERLINK("#",""), HYPERLINK(CONCATENATE("#Metadata!", ADDRESS(INDEX($Q$2:$Q$1001,MATCH(ROWS($O$2:O702),$O$2:$O$1001,0),0), INDEX($V$1004:$AE$1004,1,MATCH(COLUMNS($V$1006:V1006),$V$1006:$AE$1006,0)))),"Fix")))</f>
        <v>0</v>
      </c>
      <c r="C702" s="4">
        <f>IF(OR(INDEX($P$2:$P$1001,MATCH(ROWS($O$2:O702),$O$2:$O$1001,0),1)&gt;=100000,INDEX($V$1005:$AE$1005,1,MATCH(COLUMNS($V$1006:W1006),$V$1006:$AE$1006,0))&gt;=100000), " ",IF(INDEX($V$2:$AE$1001,MATCH(ROWS($O$2:O702),$O$2:$O$1001,0),MATCH(COLUMNS($V$1006:W1006),$V$1006:$AE$1006,0)), HYPERLINK("#",""), HYPERLINK(CONCATENATE("#Metadata!", ADDRESS(INDEX($Q$2:$Q$1001,MATCH(ROWS($O$2:O702),$O$2:$O$1001,0),0), INDEX($V$1004:$AE$1004,1,MATCH(COLUMNS($V$1006:W1006),$V$1006:$AE$1006,0)))),"Fix")))</f>
        <v>0</v>
      </c>
      <c r="D702" s="4">
        <f>IF(OR(INDEX($P$2:$P$1001,MATCH(ROWS($O$2:O702),$O$2:$O$1001,0),1)&gt;=100000,INDEX($V$1005:$AE$1005,1,MATCH(COLUMNS($V$1006:X1006),$V$1006:$AE$1006,0))&gt;=100000), " ",IF(INDEX($V$2:$AE$1001,MATCH(ROWS($O$2:O702),$O$2:$O$1001,0),MATCH(COLUMNS($V$1006:X1006),$V$1006:$AE$1006,0)), HYPERLINK("#",""), HYPERLINK(CONCATENATE("#Metadata!", ADDRESS(INDEX($Q$2:$Q$1001,MATCH(ROWS($O$2:O702),$O$2:$O$1001,0),0), INDEX($V$1004:$AE$1004,1,MATCH(COLUMNS($V$1006:X1006),$V$1006:$AE$1006,0)))),"Fix")))</f>
        <v>0</v>
      </c>
      <c r="E702" s="4">
        <f>IF(OR(INDEX($P$2:$P$1001,MATCH(ROWS($O$2:O702),$O$2:$O$1001,0),1)&gt;=100000,INDEX($V$1005:$AE$1005,1,MATCH(COLUMNS($V$1006:Y1006),$V$1006:$AE$1006,0))&gt;=100000), " ",IF(INDEX($V$2:$AE$1001,MATCH(ROWS($O$2:O702),$O$2:$O$1001,0),MATCH(COLUMNS($V$1006:Y1006),$V$1006:$AE$1006,0)), HYPERLINK("#",""), HYPERLINK(CONCATENATE("#Metadata!", ADDRESS(INDEX($Q$2:$Q$1001,MATCH(ROWS($O$2:O702),$O$2:$O$1001,0),0), INDEX($V$1004:$AE$1004,1,MATCH(COLUMNS($V$1006:Y1006),$V$1006:$AE$1006,0)))),"Fix")))</f>
        <v>0</v>
      </c>
      <c r="F702" s="4">
        <f>IF(OR(INDEX($P$2:$P$1001,MATCH(ROWS($O$2:O702),$O$2:$O$1001,0),1)&gt;=100000,INDEX($V$1005:$AE$1005,1,MATCH(COLUMNS($V$1006:Z1006),$V$1006:$AE$1006,0))&gt;=100000), " ",IF(INDEX($V$2:$AE$1001,MATCH(ROWS($O$2:O702),$O$2:$O$1001,0),MATCH(COLUMNS($V$1006:Z1006),$V$1006:$AE$1006,0)), HYPERLINK("#",""), HYPERLINK(CONCATENATE("#Metadata!", ADDRESS(INDEX($Q$2:$Q$1001,MATCH(ROWS($O$2:O702),$O$2:$O$1001,0),0), INDEX($V$1004:$AE$1004,1,MATCH(COLUMNS($V$1006:Z1006),$V$1006:$AE$1006,0)))),"Fix")))</f>
        <v>0</v>
      </c>
      <c r="G702" s="4">
        <f>IF(OR(INDEX($P$2:$P$1001,MATCH(ROWS($O$2:O702),$O$2:$O$1001,0),1)&gt;=100000,INDEX($V$1005:$AE$1005,1,MATCH(COLUMNS($V$1006:AA1006),$V$1006:$AE$1006,0))&gt;=100000), " ",IF(INDEX($V$2:$AE$1001,MATCH(ROWS($O$2:O702),$O$2:$O$1001,0),MATCH(COLUMNS($V$1006:AA1006),$V$1006:$AE$1006,0)), HYPERLINK("#",""), HYPERLINK(CONCATENATE("#Metadata!", ADDRESS(INDEX($Q$2:$Q$1001,MATCH(ROWS($O$2:O702),$O$2:$O$1001,0),0), INDEX($V$1004:$AE$1004,1,MATCH(COLUMNS($V$1006:AA1006),$V$1006:$AE$1006,0)))),"Fix")))</f>
        <v>0</v>
      </c>
      <c r="H702" s="4">
        <f>IF(OR(INDEX($P$2:$P$1001,MATCH(ROWS($O$2:O702),$O$2:$O$1001,0),1)&gt;=100000,INDEX($V$1005:$AE$1005,1,MATCH(COLUMNS($V$1006:AB1006),$V$1006:$AE$1006,0))&gt;=100000), " ",IF(INDEX($V$2:$AE$1001,MATCH(ROWS($O$2:O702),$O$2:$O$1001,0),MATCH(COLUMNS($V$1006:AB1006),$V$1006:$AE$1006,0)), HYPERLINK("#",""), HYPERLINK(CONCATENATE("#Metadata!", ADDRESS(INDEX($Q$2:$Q$1001,MATCH(ROWS($O$2:O702),$O$2:$O$1001,0),0), INDEX($V$1004:$AE$1004,1,MATCH(COLUMNS($V$1006:AB1006),$V$1006:$AE$1006,0)))),"Fix")))</f>
        <v>0</v>
      </c>
      <c r="I702" s="4">
        <f>IF(OR(INDEX($P$2:$P$1001,MATCH(ROWS($O$2:O702),$O$2:$O$1001,0),1)&gt;=100000,INDEX($V$1005:$AE$1005,1,MATCH(COLUMNS($V$1006:AC1006),$V$1006:$AE$1006,0))&gt;=100000), " ",IF(INDEX($V$2:$AE$1001,MATCH(ROWS($O$2:O702),$O$2:$O$1001,0),MATCH(COLUMNS($V$1006:AC1006),$V$1006:$AE$1006,0)), HYPERLINK("#",""), HYPERLINK(CONCATENATE("#Metadata!", ADDRESS(INDEX($Q$2:$Q$1001,MATCH(ROWS($O$2:O702),$O$2:$O$1001,0),0), INDEX($V$1004:$AE$1004,1,MATCH(COLUMNS($V$1006:AC1006),$V$1006:$AE$1006,0)))),"Fix")))</f>
        <v>0</v>
      </c>
      <c r="J702" s="4">
        <f>IF(OR(INDEX($P$2:$P$1001,MATCH(ROWS($O$2:O702),$O$2:$O$1001,0),1)&gt;=100000,INDEX($V$1005:$AE$1005,1,MATCH(COLUMNS($V$1006:AD1006),$V$1006:$AE$1006,0))&gt;=100000), " ",IF(INDEX($V$2:$AE$1001,MATCH(ROWS($O$2:O702),$O$2:$O$1001,0),MATCH(COLUMNS($V$1006:AD1006),$V$1006:$AE$1006,0)), HYPERLINK("#",""), HYPERLINK(CONCATENATE("#Metadata!", ADDRESS(INDEX($Q$2:$Q$1001,MATCH(ROWS($O$2:O702),$O$2:$O$1001,0),0), INDEX($V$1004:$AE$1004,1,MATCH(COLUMNS($V$1006:AD1006),$V$1006:$AE$1006,0)))),"Fix")))</f>
        <v>0</v>
      </c>
      <c r="K702" s="4">
        <f>IF(OR(INDEX($P$2:$P$1001,MATCH(ROWS($O$2:O702),$O$2:$O$1001,0),1)&gt;=100000,INDEX($V$1005:$AE$1005,1,MATCH(COLUMNS($V$1006:AE1006),$V$1006:$AE$1006,0))&gt;=100000), " ",IF(INDEX($V$2:$AE$1001,MATCH(ROWS($O$2:O702),$O$2:$O$1001,0),MATCH(COLUMNS($V$1006:AE1006),$V$1006:$AE$1006,0)), HYPERLINK("#",""), HYPERLINK(CONCATENATE("#Metadata!", ADDRESS(INDEX($Q$2:$Q$1001,MATCH(ROWS($O$2:O702),$O$2:$O$1001,0),0), INDEX($V$1004:$AE$1004,1,MATCH(COLUMNS($V$1006:AE1006),$V$1006:$AE$1006,0)))),"Fix")))</f>
        <v>0</v>
      </c>
      <c r="O702">
        <v>0</v>
      </c>
      <c r="P702">
        <v>0</v>
      </c>
      <c r="Q702">
        <v>0</v>
      </c>
      <c r="R702">
        <f>IF(S702,TRUE,AND(V702:AE702))</f>
        <v>0</v>
      </c>
      <c r="S702">
        <f>COUNTBLANK(Metadata!B702:K702)=COLUMNS(Metadata!B702:K702)</f>
        <v>0</v>
      </c>
      <c r="T702">
        <v>0</v>
      </c>
      <c r="V702">
        <f>AND(IF(Metadata!B702="",FALSE,TRUE),COUNTIF(Metadata!B:B, Metadata!B702) = 1,NOT(ISERROR(SUMPRODUCT(SEARCH(MID(Metadata!B702,ROW(INDIRECT("1:"&amp;LEN(Metadata!B702))), 1),"0123456789abcdefghijklmnopqrstuvwxyzABCDEFGHIJKLMNOPQRSTUVWXYZ.")))))</f>
        <v>0</v>
      </c>
      <c r="W702">
        <f>AND(IF(Metadata!C702="",FALSE,TRUE),exact(Metadata!C702,"urban biome"))</f>
        <v>0</v>
      </c>
      <c r="X702">
        <f>AND(IF(Metadata!D702="",FALSE,TRUE),exact(Metadata!D702,"animal-associated habitat"))</f>
        <v>0</v>
      </c>
      <c r="Y702">
        <f>OR(AND(IF(Metadata!E702="",FALSE,TRUE),OR(exact(Metadata!E702,"not applicable"),exact(Metadata!E702,"missing: not collected"),exact(Metadata!E702,"missing: not provided"),exact(Metadata!E702,"missing: restricted access"))),AND(IF(Metadata!E702="",FALSE,ISNUMBER(VALUE(Metadata!E702))),Metadata!E702&gt;0))</f>
        <v>0</v>
      </c>
      <c r="Z702">
        <f>AND(IF(Metadata!F702="",FALSE,TRUE),exact(Metadata!F702,"weeks"))</f>
        <v>0</v>
      </c>
      <c r="AA702">
        <f>AND(IF(Metadata!G702="",FALSE,TRUE),exact(Metadata!G702,"mouse"))</f>
        <v>0</v>
      </c>
      <c r="AB702">
        <f>AND(IF(Metadata!H702="",FALSE,TRUE),exact(Metadata!H702,"Mus musculus"))</f>
        <v>0</v>
      </c>
      <c r="AC702">
        <f>AND(IF(Metadata!I702="",FALSE,TRUE),exact(Metadata!I702,"10090"))</f>
        <v>0</v>
      </c>
      <c r="AD702">
        <f>OR(AND(IF(Metadata!J702="",FALSE,TRUE),OR(exact(Metadata!J702,"not applicable"),exact(Metadata!J702,"missing: not collected"),exact(Metadata!J702,"missing: not provided"),exact(Metadata!J702,"missing: restricted access"))),AND(IF(Metadata!J702="",FALSE,ISNUMBER(VALUE(Metadata!J702))),Metadata!J702&gt;0))</f>
        <v>0</v>
      </c>
      <c r="AE702">
        <f>AND(IF(Metadata!K702="",FALSE,TRUE),exact(Metadata!K702,"g"))</f>
        <v>0</v>
      </c>
    </row>
    <row r="703" spans="1:31">
      <c r="A703" s="5">
        <f>IF(B703=" "," ",HYPERLINK(CONCATENATE("#metadata!",ADDRESS(INDEX($Q$2:$Q$1001,MATCH(ROWS($O$2:O703),$O$2:$O$1001,0),0),1)),INDEX($T$2:$T$1001,MATCH(ROWS($O$2:O703),$O$2:$O$1001,0),0)))</f>
        <v>0</v>
      </c>
      <c r="B703" s="4">
        <f>IF(OR(INDEX($P$2:$P$1001,MATCH(ROWS($O$2:O703),$O$2:$O$1001,0),1)&gt;=100000,INDEX($V$1005:$AE$1005,1,MATCH(COLUMNS($V$1006:V1006),$V$1006:$AE$1006,0))&gt;=100000), " ",IF(INDEX($V$2:$AE$1001,MATCH(ROWS($O$2:O703),$O$2:$O$1001,0),MATCH(COLUMNS($V$1006:V1006),$V$1006:$AE$1006,0)), HYPERLINK("#",""), HYPERLINK(CONCATENATE("#Metadata!", ADDRESS(INDEX($Q$2:$Q$1001,MATCH(ROWS($O$2:O703),$O$2:$O$1001,0),0), INDEX($V$1004:$AE$1004,1,MATCH(COLUMNS($V$1006:V1006),$V$1006:$AE$1006,0)))),"Fix")))</f>
        <v>0</v>
      </c>
      <c r="C703" s="4">
        <f>IF(OR(INDEX($P$2:$P$1001,MATCH(ROWS($O$2:O703),$O$2:$O$1001,0),1)&gt;=100000,INDEX($V$1005:$AE$1005,1,MATCH(COLUMNS($V$1006:W1006),$V$1006:$AE$1006,0))&gt;=100000), " ",IF(INDEX($V$2:$AE$1001,MATCH(ROWS($O$2:O703),$O$2:$O$1001,0),MATCH(COLUMNS($V$1006:W1006),$V$1006:$AE$1006,0)), HYPERLINK("#",""), HYPERLINK(CONCATENATE("#Metadata!", ADDRESS(INDEX($Q$2:$Q$1001,MATCH(ROWS($O$2:O703),$O$2:$O$1001,0),0), INDEX($V$1004:$AE$1004,1,MATCH(COLUMNS($V$1006:W1006),$V$1006:$AE$1006,0)))),"Fix")))</f>
        <v>0</v>
      </c>
      <c r="D703" s="4">
        <f>IF(OR(INDEX($P$2:$P$1001,MATCH(ROWS($O$2:O703),$O$2:$O$1001,0),1)&gt;=100000,INDEX($V$1005:$AE$1005,1,MATCH(COLUMNS($V$1006:X1006),$V$1006:$AE$1006,0))&gt;=100000), " ",IF(INDEX($V$2:$AE$1001,MATCH(ROWS($O$2:O703),$O$2:$O$1001,0),MATCH(COLUMNS($V$1006:X1006),$V$1006:$AE$1006,0)), HYPERLINK("#",""), HYPERLINK(CONCATENATE("#Metadata!", ADDRESS(INDEX($Q$2:$Q$1001,MATCH(ROWS($O$2:O703),$O$2:$O$1001,0),0), INDEX($V$1004:$AE$1004,1,MATCH(COLUMNS($V$1006:X1006),$V$1006:$AE$1006,0)))),"Fix")))</f>
        <v>0</v>
      </c>
      <c r="E703" s="4">
        <f>IF(OR(INDEX($P$2:$P$1001,MATCH(ROWS($O$2:O703),$O$2:$O$1001,0),1)&gt;=100000,INDEX($V$1005:$AE$1005,1,MATCH(COLUMNS($V$1006:Y1006),$V$1006:$AE$1006,0))&gt;=100000), " ",IF(INDEX($V$2:$AE$1001,MATCH(ROWS($O$2:O703),$O$2:$O$1001,0),MATCH(COLUMNS($V$1006:Y1006),$V$1006:$AE$1006,0)), HYPERLINK("#",""), HYPERLINK(CONCATENATE("#Metadata!", ADDRESS(INDEX($Q$2:$Q$1001,MATCH(ROWS($O$2:O703),$O$2:$O$1001,0),0), INDEX($V$1004:$AE$1004,1,MATCH(COLUMNS($V$1006:Y1006),$V$1006:$AE$1006,0)))),"Fix")))</f>
        <v>0</v>
      </c>
      <c r="F703" s="4">
        <f>IF(OR(INDEX($P$2:$P$1001,MATCH(ROWS($O$2:O703),$O$2:$O$1001,0),1)&gt;=100000,INDEX($V$1005:$AE$1005,1,MATCH(COLUMNS($V$1006:Z1006),$V$1006:$AE$1006,0))&gt;=100000), " ",IF(INDEX($V$2:$AE$1001,MATCH(ROWS($O$2:O703),$O$2:$O$1001,0),MATCH(COLUMNS($V$1006:Z1006),$V$1006:$AE$1006,0)), HYPERLINK("#",""), HYPERLINK(CONCATENATE("#Metadata!", ADDRESS(INDEX($Q$2:$Q$1001,MATCH(ROWS($O$2:O703),$O$2:$O$1001,0),0), INDEX($V$1004:$AE$1004,1,MATCH(COLUMNS($V$1006:Z1006),$V$1006:$AE$1006,0)))),"Fix")))</f>
        <v>0</v>
      </c>
      <c r="G703" s="4">
        <f>IF(OR(INDEX($P$2:$P$1001,MATCH(ROWS($O$2:O703),$O$2:$O$1001,0),1)&gt;=100000,INDEX($V$1005:$AE$1005,1,MATCH(COLUMNS($V$1006:AA1006),$V$1006:$AE$1006,0))&gt;=100000), " ",IF(INDEX($V$2:$AE$1001,MATCH(ROWS($O$2:O703),$O$2:$O$1001,0),MATCH(COLUMNS($V$1006:AA1006),$V$1006:$AE$1006,0)), HYPERLINK("#",""), HYPERLINK(CONCATENATE("#Metadata!", ADDRESS(INDEX($Q$2:$Q$1001,MATCH(ROWS($O$2:O703),$O$2:$O$1001,0),0), INDEX($V$1004:$AE$1004,1,MATCH(COLUMNS($V$1006:AA1006),$V$1006:$AE$1006,0)))),"Fix")))</f>
        <v>0</v>
      </c>
      <c r="H703" s="4">
        <f>IF(OR(INDEX($P$2:$P$1001,MATCH(ROWS($O$2:O703),$O$2:$O$1001,0),1)&gt;=100000,INDEX($V$1005:$AE$1005,1,MATCH(COLUMNS($V$1006:AB1006),$V$1006:$AE$1006,0))&gt;=100000), " ",IF(INDEX($V$2:$AE$1001,MATCH(ROWS($O$2:O703),$O$2:$O$1001,0),MATCH(COLUMNS($V$1006:AB1006),$V$1006:$AE$1006,0)), HYPERLINK("#",""), HYPERLINK(CONCATENATE("#Metadata!", ADDRESS(INDEX($Q$2:$Q$1001,MATCH(ROWS($O$2:O703),$O$2:$O$1001,0),0), INDEX($V$1004:$AE$1004,1,MATCH(COLUMNS($V$1006:AB1006),$V$1006:$AE$1006,0)))),"Fix")))</f>
        <v>0</v>
      </c>
      <c r="I703" s="4">
        <f>IF(OR(INDEX($P$2:$P$1001,MATCH(ROWS($O$2:O703),$O$2:$O$1001,0),1)&gt;=100000,INDEX($V$1005:$AE$1005,1,MATCH(COLUMNS($V$1006:AC1006),$V$1006:$AE$1006,0))&gt;=100000), " ",IF(INDEX($V$2:$AE$1001,MATCH(ROWS($O$2:O703),$O$2:$O$1001,0),MATCH(COLUMNS($V$1006:AC1006),$V$1006:$AE$1006,0)), HYPERLINK("#",""), HYPERLINK(CONCATENATE("#Metadata!", ADDRESS(INDEX($Q$2:$Q$1001,MATCH(ROWS($O$2:O703),$O$2:$O$1001,0),0), INDEX($V$1004:$AE$1004,1,MATCH(COLUMNS($V$1006:AC1006),$V$1006:$AE$1006,0)))),"Fix")))</f>
        <v>0</v>
      </c>
      <c r="J703" s="4">
        <f>IF(OR(INDEX($P$2:$P$1001,MATCH(ROWS($O$2:O703),$O$2:$O$1001,0),1)&gt;=100000,INDEX($V$1005:$AE$1005,1,MATCH(COLUMNS($V$1006:AD1006),$V$1006:$AE$1006,0))&gt;=100000), " ",IF(INDEX($V$2:$AE$1001,MATCH(ROWS($O$2:O703),$O$2:$O$1001,0),MATCH(COLUMNS($V$1006:AD1006),$V$1006:$AE$1006,0)), HYPERLINK("#",""), HYPERLINK(CONCATENATE("#Metadata!", ADDRESS(INDEX($Q$2:$Q$1001,MATCH(ROWS($O$2:O703),$O$2:$O$1001,0),0), INDEX($V$1004:$AE$1004,1,MATCH(COLUMNS($V$1006:AD1006),$V$1006:$AE$1006,0)))),"Fix")))</f>
        <v>0</v>
      </c>
      <c r="K703" s="4">
        <f>IF(OR(INDEX($P$2:$P$1001,MATCH(ROWS($O$2:O703),$O$2:$O$1001,0),1)&gt;=100000,INDEX($V$1005:$AE$1005,1,MATCH(COLUMNS($V$1006:AE1006),$V$1006:$AE$1006,0))&gt;=100000), " ",IF(INDEX($V$2:$AE$1001,MATCH(ROWS($O$2:O703),$O$2:$O$1001,0),MATCH(COLUMNS($V$1006:AE1006),$V$1006:$AE$1006,0)), HYPERLINK("#",""), HYPERLINK(CONCATENATE("#Metadata!", ADDRESS(INDEX($Q$2:$Q$1001,MATCH(ROWS($O$2:O703),$O$2:$O$1001,0),0), INDEX($V$1004:$AE$1004,1,MATCH(COLUMNS($V$1006:AE1006),$V$1006:$AE$1006,0)))),"Fix")))</f>
        <v>0</v>
      </c>
      <c r="O703">
        <v>0</v>
      </c>
      <c r="P703">
        <v>0</v>
      </c>
      <c r="Q703">
        <v>0</v>
      </c>
      <c r="R703">
        <f>IF(S703,TRUE,AND(V703:AE703))</f>
        <v>0</v>
      </c>
      <c r="S703">
        <f>COUNTBLANK(Metadata!B703:K703)=COLUMNS(Metadata!B703:K703)</f>
        <v>0</v>
      </c>
      <c r="T703">
        <v>0</v>
      </c>
      <c r="V703">
        <f>AND(IF(Metadata!B703="",FALSE,TRUE),COUNTIF(Metadata!B:B, Metadata!B703) = 1,NOT(ISERROR(SUMPRODUCT(SEARCH(MID(Metadata!B703,ROW(INDIRECT("1:"&amp;LEN(Metadata!B703))), 1),"0123456789abcdefghijklmnopqrstuvwxyzABCDEFGHIJKLMNOPQRSTUVWXYZ.")))))</f>
        <v>0</v>
      </c>
      <c r="W703">
        <f>AND(IF(Metadata!C703="",FALSE,TRUE),exact(Metadata!C703,"urban biome"))</f>
        <v>0</v>
      </c>
      <c r="X703">
        <f>AND(IF(Metadata!D703="",FALSE,TRUE),exact(Metadata!D703,"animal-associated habitat"))</f>
        <v>0</v>
      </c>
      <c r="Y703">
        <f>OR(AND(IF(Metadata!E703="",FALSE,TRUE),OR(exact(Metadata!E703,"not applicable"),exact(Metadata!E703,"missing: not collected"),exact(Metadata!E703,"missing: not provided"),exact(Metadata!E703,"missing: restricted access"))),AND(IF(Metadata!E703="",FALSE,ISNUMBER(VALUE(Metadata!E703))),Metadata!E703&gt;0))</f>
        <v>0</v>
      </c>
      <c r="Z703">
        <f>AND(IF(Metadata!F703="",FALSE,TRUE),exact(Metadata!F703,"weeks"))</f>
        <v>0</v>
      </c>
      <c r="AA703">
        <f>AND(IF(Metadata!G703="",FALSE,TRUE),exact(Metadata!G703,"mouse"))</f>
        <v>0</v>
      </c>
      <c r="AB703">
        <f>AND(IF(Metadata!H703="",FALSE,TRUE),exact(Metadata!H703,"Mus musculus"))</f>
        <v>0</v>
      </c>
      <c r="AC703">
        <f>AND(IF(Metadata!I703="",FALSE,TRUE),exact(Metadata!I703,"10090"))</f>
        <v>0</v>
      </c>
      <c r="AD703">
        <f>OR(AND(IF(Metadata!J703="",FALSE,TRUE),OR(exact(Metadata!J703,"not applicable"),exact(Metadata!J703,"missing: not collected"),exact(Metadata!J703,"missing: not provided"),exact(Metadata!J703,"missing: restricted access"))),AND(IF(Metadata!J703="",FALSE,ISNUMBER(VALUE(Metadata!J703))),Metadata!J703&gt;0))</f>
        <v>0</v>
      </c>
      <c r="AE703">
        <f>AND(IF(Metadata!K703="",FALSE,TRUE),exact(Metadata!K703,"g"))</f>
        <v>0</v>
      </c>
    </row>
    <row r="704" spans="1:31">
      <c r="A704" s="5">
        <f>IF(B704=" "," ",HYPERLINK(CONCATENATE("#metadata!",ADDRESS(INDEX($Q$2:$Q$1001,MATCH(ROWS($O$2:O704),$O$2:$O$1001,0),0),1)),INDEX($T$2:$T$1001,MATCH(ROWS($O$2:O704),$O$2:$O$1001,0),0)))</f>
        <v>0</v>
      </c>
      <c r="B704" s="4">
        <f>IF(OR(INDEX($P$2:$P$1001,MATCH(ROWS($O$2:O704),$O$2:$O$1001,0),1)&gt;=100000,INDEX($V$1005:$AE$1005,1,MATCH(COLUMNS($V$1006:V1006),$V$1006:$AE$1006,0))&gt;=100000), " ",IF(INDEX($V$2:$AE$1001,MATCH(ROWS($O$2:O704),$O$2:$O$1001,0),MATCH(COLUMNS($V$1006:V1006),$V$1006:$AE$1006,0)), HYPERLINK("#",""), HYPERLINK(CONCATENATE("#Metadata!", ADDRESS(INDEX($Q$2:$Q$1001,MATCH(ROWS($O$2:O704),$O$2:$O$1001,0),0), INDEX($V$1004:$AE$1004,1,MATCH(COLUMNS($V$1006:V1006),$V$1006:$AE$1006,0)))),"Fix")))</f>
        <v>0</v>
      </c>
      <c r="C704" s="4">
        <f>IF(OR(INDEX($P$2:$P$1001,MATCH(ROWS($O$2:O704),$O$2:$O$1001,0),1)&gt;=100000,INDEX($V$1005:$AE$1005,1,MATCH(COLUMNS($V$1006:W1006),$V$1006:$AE$1006,0))&gt;=100000), " ",IF(INDEX($V$2:$AE$1001,MATCH(ROWS($O$2:O704),$O$2:$O$1001,0),MATCH(COLUMNS($V$1006:W1006),$V$1006:$AE$1006,0)), HYPERLINK("#",""), HYPERLINK(CONCATENATE("#Metadata!", ADDRESS(INDEX($Q$2:$Q$1001,MATCH(ROWS($O$2:O704),$O$2:$O$1001,0),0), INDEX($V$1004:$AE$1004,1,MATCH(COLUMNS($V$1006:W1006),$V$1006:$AE$1006,0)))),"Fix")))</f>
        <v>0</v>
      </c>
      <c r="D704" s="4">
        <f>IF(OR(INDEX($P$2:$P$1001,MATCH(ROWS($O$2:O704),$O$2:$O$1001,0),1)&gt;=100000,INDEX($V$1005:$AE$1005,1,MATCH(COLUMNS($V$1006:X1006),$V$1006:$AE$1006,0))&gt;=100000), " ",IF(INDEX($V$2:$AE$1001,MATCH(ROWS($O$2:O704),$O$2:$O$1001,0),MATCH(COLUMNS($V$1006:X1006),$V$1006:$AE$1006,0)), HYPERLINK("#",""), HYPERLINK(CONCATENATE("#Metadata!", ADDRESS(INDEX($Q$2:$Q$1001,MATCH(ROWS($O$2:O704),$O$2:$O$1001,0),0), INDEX($V$1004:$AE$1004,1,MATCH(COLUMNS($V$1006:X1006),$V$1006:$AE$1006,0)))),"Fix")))</f>
        <v>0</v>
      </c>
      <c r="E704" s="4">
        <f>IF(OR(INDEX($P$2:$P$1001,MATCH(ROWS($O$2:O704),$O$2:$O$1001,0),1)&gt;=100000,INDEX($V$1005:$AE$1005,1,MATCH(COLUMNS($V$1006:Y1006),$V$1006:$AE$1006,0))&gt;=100000), " ",IF(INDEX($V$2:$AE$1001,MATCH(ROWS($O$2:O704),$O$2:$O$1001,0),MATCH(COLUMNS($V$1006:Y1006),$V$1006:$AE$1006,0)), HYPERLINK("#",""), HYPERLINK(CONCATENATE("#Metadata!", ADDRESS(INDEX($Q$2:$Q$1001,MATCH(ROWS($O$2:O704),$O$2:$O$1001,0),0), INDEX($V$1004:$AE$1004,1,MATCH(COLUMNS($V$1006:Y1006),$V$1006:$AE$1006,0)))),"Fix")))</f>
        <v>0</v>
      </c>
      <c r="F704" s="4">
        <f>IF(OR(INDEX($P$2:$P$1001,MATCH(ROWS($O$2:O704),$O$2:$O$1001,0),1)&gt;=100000,INDEX($V$1005:$AE$1005,1,MATCH(COLUMNS($V$1006:Z1006),$V$1006:$AE$1006,0))&gt;=100000), " ",IF(INDEX($V$2:$AE$1001,MATCH(ROWS($O$2:O704),$O$2:$O$1001,0),MATCH(COLUMNS($V$1006:Z1006),$V$1006:$AE$1006,0)), HYPERLINK("#",""), HYPERLINK(CONCATENATE("#Metadata!", ADDRESS(INDEX($Q$2:$Q$1001,MATCH(ROWS($O$2:O704),$O$2:$O$1001,0),0), INDEX($V$1004:$AE$1004,1,MATCH(COLUMNS($V$1006:Z1006),$V$1006:$AE$1006,0)))),"Fix")))</f>
        <v>0</v>
      </c>
      <c r="G704" s="4">
        <f>IF(OR(INDEX($P$2:$P$1001,MATCH(ROWS($O$2:O704),$O$2:$O$1001,0),1)&gt;=100000,INDEX($V$1005:$AE$1005,1,MATCH(COLUMNS($V$1006:AA1006),$V$1006:$AE$1006,0))&gt;=100000), " ",IF(INDEX($V$2:$AE$1001,MATCH(ROWS($O$2:O704),$O$2:$O$1001,0),MATCH(COLUMNS($V$1006:AA1006),$V$1006:$AE$1006,0)), HYPERLINK("#",""), HYPERLINK(CONCATENATE("#Metadata!", ADDRESS(INDEX($Q$2:$Q$1001,MATCH(ROWS($O$2:O704),$O$2:$O$1001,0),0), INDEX($V$1004:$AE$1004,1,MATCH(COLUMNS($V$1006:AA1006),$V$1006:$AE$1006,0)))),"Fix")))</f>
        <v>0</v>
      </c>
      <c r="H704" s="4">
        <f>IF(OR(INDEX($P$2:$P$1001,MATCH(ROWS($O$2:O704),$O$2:$O$1001,0),1)&gt;=100000,INDEX($V$1005:$AE$1005,1,MATCH(COLUMNS($V$1006:AB1006),$V$1006:$AE$1006,0))&gt;=100000), " ",IF(INDEX($V$2:$AE$1001,MATCH(ROWS($O$2:O704),$O$2:$O$1001,0),MATCH(COLUMNS($V$1006:AB1006),$V$1006:$AE$1006,0)), HYPERLINK("#",""), HYPERLINK(CONCATENATE("#Metadata!", ADDRESS(INDEX($Q$2:$Q$1001,MATCH(ROWS($O$2:O704),$O$2:$O$1001,0),0), INDEX($V$1004:$AE$1004,1,MATCH(COLUMNS($V$1006:AB1006),$V$1006:$AE$1006,0)))),"Fix")))</f>
        <v>0</v>
      </c>
      <c r="I704" s="4">
        <f>IF(OR(INDEX($P$2:$P$1001,MATCH(ROWS($O$2:O704),$O$2:$O$1001,0),1)&gt;=100000,INDEX($V$1005:$AE$1005,1,MATCH(COLUMNS($V$1006:AC1006),$V$1006:$AE$1006,0))&gt;=100000), " ",IF(INDEX($V$2:$AE$1001,MATCH(ROWS($O$2:O704),$O$2:$O$1001,0),MATCH(COLUMNS($V$1006:AC1006),$V$1006:$AE$1006,0)), HYPERLINK("#",""), HYPERLINK(CONCATENATE("#Metadata!", ADDRESS(INDEX($Q$2:$Q$1001,MATCH(ROWS($O$2:O704),$O$2:$O$1001,0),0), INDEX($V$1004:$AE$1004,1,MATCH(COLUMNS($V$1006:AC1006),$V$1006:$AE$1006,0)))),"Fix")))</f>
        <v>0</v>
      </c>
      <c r="J704" s="4">
        <f>IF(OR(INDEX($P$2:$P$1001,MATCH(ROWS($O$2:O704),$O$2:$O$1001,0),1)&gt;=100000,INDEX($V$1005:$AE$1005,1,MATCH(COLUMNS($V$1006:AD1006),$V$1006:$AE$1006,0))&gt;=100000), " ",IF(INDEX($V$2:$AE$1001,MATCH(ROWS($O$2:O704),$O$2:$O$1001,0),MATCH(COLUMNS($V$1006:AD1006),$V$1006:$AE$1006,0)), HYPERLINK("#",""), HYPERLINK(CONCATENATE("#Metadata!", ADDRESS(INDEX($Q$2:$Q$1001,MATCH(ROWS($O$2:O704),$O$2:$O$1001,0),0), INDEX($V$1004:$AE$1004,1,MATCH(COLUMNS($V$1006:AD1006),$V$1006:$AE$1006,0)))),"Fix")))</f>
        <v>0</v>
      </c>
      <c r="K704" s="4">
        <f>IF(OR(INDEX($P$2:$P$1001,MATCH(ROWS($O$2:O704),$O$2:$O$1001,0),1)&gt;=100000,INDEX($V$1005:$AE$1005,1,MATCH(COLUMNS($V$1006:AE1006),$V$1006:$AE$1006,0))&gt;=100000), " ",IF(INDEX($V$2:$AE$1001,MATCH(ROWS($O$2:O704),$O$2:$O$1001,0),MATCH(COLUMNS($V$1006:AE1006),$V$1006:$AE$1006,0)), HYPERLINK("#",""), HYPERLINK(CONCATENATE("#Metadata!", ADDRESS(INDEX($Q$2:$Q$1001,MATCH(ROWS($O$2:O704),$O$2:$O$1001,0),0), INDEX($V$1004:$AE$1004,1,MATCH(COLUMNS($V$1006:AE1006),$V$1006:$AE$1006,0)))),"Fix")))</f>
        <v>0</v>
      </c>
      <c r="O704">
        <v>0</v>
      </c>
      <c r="P704">
        <v>0</v>
      </c>
      <c r="Q704">
        <v>0</v>
      </c>
      <c r="R704">
        <f>IF(S704,TRUE,AND(V704:AE704))</f>
        <v>0</v>
      </c>
      <c r="S704">
        <f>COUNTBLANK(Metadata!B704:K704)=COLUMNS(Metadata!B704:K704)</f>
        <v>0</v>
      </c>
      <c r="T704">
        <v>0</v>
      </c>
      <c r="V704">
        <f>AND(IF(Metadata!B704="",FALSE,TRUE),COUNTIF(Metadata!B:B, Metadata!B704) = 1,NOT(ISERROR(SUMPRODUCT(SEARCH(MID(Metadata!B704,ROW(INDIRECT("1:"&amp;LEN(Metadata!B704))), 1),"0123456789abcdefghijklmnopqrstuvwxyzABCDEFGHIJKLMNOPQRSTUVWXYZ.")))))</f>
        <v>0</v>
      </c>
      <c r="W704">
        <f>AND(IF(Metadata!C704="",FALSE,TRUE),exact(Metadata!C704,"urban biome"))</f>
        <v>0</v>
      </c>
      <c r="X704">
        <f>AND(IF(Metadata!D704="",FALSE,TRUE),exact(Metadata!D704,"animal-associated habitat"))</f>
        <v>0</v>
      </c>
      <c r="Y704">
        <f>OR(AND(IF(Metadata!E704="",FALSE,TRUE),OR(exact(Metadata!E704,"not applicable"),exact(Metadata!E704,"missing: not collected"),exact(Metadata!E704,"missing: not provided"),exact(Metadata!E704,"missing: restricted access"))),AND(IF(Metadata!E704="",FALSE,ISNUMBER(VALUE(Metadata!E704))),Metadata!E704&gt;0))</f>
        <v>0</v>
      </c>
      <c r="Z704">
        <f>AND(IF(Metadata!F704="",FALSE,TRUE),exact(Metadata!F704,"weeks"))</f>
        <v>0</v>
      </c>
      <c r="AA704">
        <f>AND(IF(Metadata!G704="",FALSE,TRUE),exact(Metadata!G704,"mouse"))</f>
        <v>0</v>
      </c>
      <c r="AB704">
        <f>AND(IF(Metadata!H704="",FALSE,TRUE),exact(Metadata!H704,"Mus musculus"))</f>
        <v>0</v>
      </c>
      <c r="AC704">
        <f>AND(IF(Metadata!I704="",FALSE,TRUE),exact(Metadata!I704,"10090"))</f>
        <v>0</v>
      </c>
      <c r="AD704">
        <f>OR(AND(IF(Metadata!J704="",FALSE,TRUE),OR(exact(Metadata!J704,"not applicable"),exact(Metadata!J704,"missing: not collected"),exact(Metadata!J704,"missing: not provided"),exact(Metadata!J704,"missing: restricted access"))),AND(IF(Metadata!J704="",FALSE,ISNUMBER(VALUE(Metadata!J704))),Metadata!J704&gt;0))</f>
        <v>0</v>
      </c>
      <c r="AE704">
        <f>AND(IF(Metadata!K704="",FALSE,TRUE),exact(Metadata!K704,"g"))</f>
        <v>0</v>
      </c>
    </row>
    <row r="705" spans="1:31">
      <c r="A705" s="5">
        <f>IF(B705=" "," ",HYPERLINK(CONCATENATE("#metadata!",ADDRESS(INDEX($Q$2:$Q$1001,MATCH(ROWS($O$2:O705),$O$2:$O$1001,0),0),1)),INDEX($T$2:$T$1001,MATCH(ROWS($O$2:O705),$O$2:$O$1001,0),0)))</f>
        <v>0</v>
      </c>
      <c r="B705" s="4">
        <f>IF(OR(INDEX($P$2:$P$1001,MATCH(ROWS($O$2:O705),$O$2:$O$1001,0),1)&gt;=100000,INDEX($V$1005:$AE$1005,1,MATCH(COLUMNS($V$1006:V1006),$V$1006:$AE$1006,0))&gt;=100000), " ",IF(INDEX($V$2:$AE$1001,MATCH(ROWS($O$2:O705),$O$2:$O$1001,0),MATCH(COLUMNS($V$1006:V1006),$V$1006:$AE$1006,0)), HYPERLINK("#",""), HYPERLINK(CONCATENATE("#Metadata!", ADDRESS(INDEX($Q$2:$Q$1001,MATCH(ROWS($O$2:O705),$O$2:$O$1001,0),0), INDEX($V$1004:$AE$1004,1,MATCH(COLUMNS($V$1006:V1006),$V$1006:$AE$1006,0)))),"Fix")))</f>
        <v>0</v>
      </c>
      <c r="C705" s="4">
        <f>IF(OR(INDEX($P$2:$P$1001,MATCH(ROWS($O$2:O705),$O$2:$O$1001,0),1)&gt;=100000,INDEX($V$1005:$AE$1005,1,MATCH(COLUMNS($V$1006:W1006),$V$1006:$AE$1006,0))&gt;=100000), " ",IF(INDEX($V$2:$AE$1001,MATCH(ROWS($O$2:O705),$O$2:$O$1001,0),MATCH(COLUMNS($V$1006:W1006),$V$1006:$AE$1006,0)), HYPERLINK("#",""), HYPERLINK(CONCATENATE("#Metadata!", ADDRESS(INDEX($Q$2:$Q$1001,MATCH(ROWS($O$2:O705),$O$2:$O$1001,0),0), INDEX($V$1004:$AE$1004,1,MATCH(COLUMNS($V$1006:W1006),$V$1006:$AE$1006,0)))),"Fix")))</f>
        <v>0</v>
      </c>
      <c r="D705" s="4">
        <f>IF(OR(INDEX($P$2:$P$1001,MATCH(ROWS($O$2:O705),$O$2:$O$1001,0),1)&gt;=100000,INDEX($V$1005:$AE$1005,1,MATCH(COLUMNS($V$1006:X1006),$V$1006:$AE$1006,0))&gt;=100000), " ",IF(INDEX($V$2:$AE$1001,MATCH(ROWS($O$2:O705),$O$2:$O$1001,0),MATCH(COLUMNS($V$1006:X1006),$V$1006:$AE$1006,0)), HYPERLINK("#",""), HYPERLINK(CONCATENATE("#Metadata!", ADDRESS(INDEX($Q$2:$Q$1001,MATCH(ROWS($O$2:O705),$O$2:$O$1001,0),0), INDEX($V$1004:$AE$1004,1,MATCH(COLUMNS($V$1006:X1006),$V$1006:$AE$1006,0)))),"Fix")))</f>
        <v>0</v>
      </c>
      <c r="E705" s="4">
        <f>IF(OR(INDEX($P$2:$P$1001,MATCH(ROWS($O$2:O705),$O$2:$O$1001,0),1)&gt;=100000,INDEX($V$1005:$AE$1005,1,MATCH(COLUMNS($V$1006:Y1006),$V$1006:$AE$1006,0))&gt;=100000), " ",IF(INDEX($V$2:$AE$1001,MATCH(ROWS($O$2:O705),$O$2:$O$1001,0),MATCH(COLUMNS($V$1006:Y1006),$V$1006:$AE$1006,0)), HYPERLINK("#",""), HYPERLINK(CONCATENATE("#Metadata!", ADDRESS(INDEX($Q$2:$Q$1001,MATCH(ROWS($O$2:O705),$O$2:$O$1001,0),0), INDEX($V$1004:$AE$1004,1,MATCH(COLUMNS($V$1006:Y1006),$V$1006:$AE$1006,0)))),"Fix")))</f>
        <v>0</v>
      </c>
      <c r="F705" s="4">
        <f>IF(OR(INDEX($P$2:$P$1001,MATCH(ROWS($O$2:O705),$O$2:$O$1001,0),1)&gt;=100000,INDEX($V$1005:$AE$1005,1,MATCH(COLUMNS($V$1006:Z1006),$V$1006:$AE$1006,0))&gt;=100000), " ",IF(INDEX($V$2:$AE$1001,MATCH(ROWS($O$2:O705),$O$2:$O$1001,0),MATCH(COLUMNS($V$1006:Z1006),$V$1006:$AE$1006,0)), HYPERLINK("#",""), HYPERLINK(CONCATENATE("#Metadata!", ADDRESS(INDEX($Q$2:$Q$1001,MATCH(ROWS($O$2:O705),$O$2:$O$1001,0),0), INDEX($V$1004:$AE$1004,1,MATCH(COLUMNS($V$1006:Z1006),$V$1006:$AE$1006,0)))),"Fix")))</f>
        <v>0</v>
      </c>
      <c r="G705" s="4">
        <f>IF(OR(INDEX($P$2:$P$1001,MATCH(ROWS($O$2:O705),$O$2:$O$1001,0),1)&gt;=100000,INDEX($V$1005:$AE$1005,1,MATCH(COLUMNS($V$1006:AA1006),$V$1006:$AE$1006,0))&gt;=100000), " ",IF(INDEX($V$2:$AE$1001,MATCH(ROWS($O$2:O705),$O$2:$O$1001,0),MATCH(COLUMNS($V$1006:AA1006),$V$1006:$AE$1006,0)), HYPERLINK("#",""), HYPERLINK(CONCATENATE("#Metadata!", ADDRESS(INDEX($Q$2:$Q$1001,MATCH(ROWS($O$2:O705),$O$2:$O$1001,0),0), INDEX($V$1004:$AE$1004,1,MATCH(COLUMNS($V$1006:AA1006),$V$1006:$AE$1006,0)))),"Fix")))</f>
        <v>0</v>
      </c>
      <c r="H705" s="4">
        <f>IF(OR(INDEX($P$2:$P$1001,MATCH(ROWS($O$2:O705),$O$2:$O$1001,0),1)&gt;=100000,INDEX($V$1005:$AE$1005,1,MATCH(COLUMNS($V$1006:AB1006),$V$1006:$AE$1006,0))&gt;=100000), " ",IF(INDEX($V$2:$AE$1001,MATCH(ROWS($O$2:O705),$O$2:$O$1001,0),MATCH(COLUMNS($V$1006:AB1006),$V$1006:$AE$1006,0)), HYPERLINK("#",""), HYPERLINK(CONCATENATE("#Metadata!", ADDRESS(INDEX($Q$2:$Q$1001,MATCH(ROWS($O$2:O705),$O$2:$O$1001,0),0), INDEX($V$1004:$AE$1004,1,MATCH(COLUMNS($V$1006:AB1006),$V$1006:$AE$1006,0)))),"Fix")))</f>
        <v>0</v>
      </c>
      <c r="I705" s="4">
        <f>IF(OR(INDEX($P$2:$P$1001,MATCH(ROWS($O$2:O705),$O$2:$O$1001,0),1)&gt;=100000,INDEX($V$1005:$AE$1005,1,MATCH(COLUMNS($V$1006:AC1006),$V$1006:$AE$1006,0))&gt;=100000), " ",IF(INDEX($V$2:$AE$1001,MATCH(ROWS($O$2:O705),$O$2:$O$1001,0),MATCH(COLUMNS($V$1006:AC1006),$V$1006:$AE$1006,0)), HYPERLINK("#",""), HYPERLINK(CONCATENATE("#Metadata!", ADDRESS(INDEX($Q$2:$Q$1001,MATCH(ROWS($O$2:O705),$O$2:$O$1001,0),0), INDEX($V$1004:$AE$1004,1,MATCH(COLUMNS($V$1006:AC1006),$V$1006:$AE$1006,0)))),"Fix")))</f>
        <v>0</v>
      </c>
      <c r="J705" s="4">
        <f>IF(OR(INDEX($P$2:$P$1001,MATCH(ROWS($O$2:O705),$O$2:$O$1001,0),1)&gt;=100000,INDEX($V$1005:$AE$1005,1,MATCH(COLUMNS($V$1006:AD1006),$V$1006:$AE$1006,0))&gt;=100000), " ",IF(INDEX($V$2:$AE$1001,MATCH(ROWS($O$2:O705),$O$2:$O$1001,0),MATCH(COLUMNS($V$1006:AD1006),$V$1006:$AE$1006,0)), HYPERLINK("#",""), HYPERLINK(CONCATENATE("#Metadata!", ADDRESS(INDEX($Q$2:$Q$1001,MATCH(ROWS($O$2:O705),$O$2:$O$1001,0),0), INDEX($V$1004:$AE$1004,1,MATCH(COLUMNS($V$1006:AD1006),$V$1006:$AE$1006,0)))),"Fix")))</f>
        <v>0</v>
      </c>
      <c r="K705" s="4">
        <f>IF(OR(INDEX($P$2:$P$1001,MATCH(ROWS($O$2:O705),$O$2:$O$1001,0),1)&gt;=100000,INDEX($V$1005:$AE$1005,1,MATCH(COLUMNS($V$1006:AE1006),$V$1006:$AE$1006,0))&gt;=100000), " ",IF(INDEX($V$2:$AE$1001,MATCH(ROWS($O$2:O705),$O$2:$O$1001,0),MATCH(COLUMNS($V$1006:AE1006),$V$1006:$AE$1006,0)), HYPERLINK("#",""), HYPERLINK(CONCATENATE("#Metadata!", ADDRESS(INDEX($Q$2:$Q$1001,MATCH(ROWS($O$2:O705),$O$2:$O$1001,0),0), INDEX($V$1004:$AE$1004,1,MATCH(COLUMNS($V$1006:AE1006),$V$1006:$AE$1006,0)))),"Fix")))</f>
        <v>0</v>
      </c>
      <c r="O705">
        <v>0</v>
      </c>
      <c r="P705">
        <v>0</v>
      </c>
      <c r="Q705">
        <v>0</v>
      </c>
      <c r="R705">
        <f>IF(S705,TRUE,AND(V705:AE705))</f>
        <v>0</v>
      </c>
      <c r="S705">
        <f>COUNTBLANK(Metadata!B705:K705)=COLUMNS(Metadata!B705:K705)</f>
        <v>0</v>
      </c>
      <c r="T705">
        <v>0</v>
      </c>
      <c r="V705">
        <f>AND(IF(Metadata!B705="",FALSE,TRUE),COUNTIF(Metadata!B:B, Metadata!B705) = 1,NOT(ISERROR(SUMPRODUCT(SEARCH(MID(Metadata!B705,ROW(INDIRECT("1:"&amp;LEN(Metadata!B705))), 1),"0123456789abcdefghijklmnopqrstuvwxyzABCDEFGHIJKLMNOPQRSTUVWXYZ.")))))</f>
        <v>0</v>
      </c>
      <c r="W705">
        <f>AND(IF(Metadata!C705="",FALSE,TRUE),exact(Metadata!C705,"urban biome"))</f>
        <v>0</v>
      </c>
      <c r="X705">
        <f>AND(IF(Metadata!D705="",FALSE,TRUE),exact(Metadata!D705,"animal-associated habitat"))</f>
        <v>0</v>
      </c>
      <c r="Y705">
        <f>OR(AND(IF(Metadata!E705="",FALSE,TRUE),OR(exact(Metadata!E705,"not applicable"),exact(Metadata!E705,"missing: not collected"),exact(Metadata!E705,"missing: not provided"),exact(Metadata!E705,"missing: restricted access"))),AND(IF(Metadata!E705="",FALSE,ISNUMBER(VALUE(Metadata!E705))),Metadata!E705&gt;0))</f>
        <v>0</v>
      </c>
      <c r="Z705">
        <f>AND(IF(Metadata!F705="",FALSE,TRUE),exact(Metadata!F705,"weeks"))</f>
        <v>0</v>
      </c>
      <c r="AA705">
        <f>AND(IF(Metadata!G705="",FALSE,TRUE),exact(Metadata!G705,"mouse"))</f>
        <v>0</v>
      </c>
      <c r="AB705">
        <f>AND(IF(Metadata!H705="",FALSE,TRUE),exact(Metadata!H705,"Mus musculus"))</f>
        <v>0</v>
      </c>
      <c r="AC705">
        <f>AND(IF(Metadata!I705="",FALSE,TRUE),exact(Metadata!I705,"10090"))</f>
        <v>0</v>
      </c>
      <c r="AD705">
        <f>OR(AND(IF(Metadata!J705="",FALSE,TRUE),OR(exact(Metadata!J705,"not applicable"),exact(Metadata!J705,"missing: not collected"),exact(Metadata!J705,"missing: not provided"),exact(Metadata!J705,"missing: restricted access"))),AND(IF(Metadata!J705="",FALSE,ISNUMBER(VALUE(Metadata!J705))),Metadata!J705&gt;0))</f>
        <v>0</v>
      </c>
      <c r="AE705">
        <f>AND(IF(Metadata!K705="",FALSE,TRUE),exact(Metadata!K705,"g"))</f>
        <v>0</v>
      </c>
    </row>
    <row r="706" spans="1:31">
      <c r="A706" s="5">
        <f>IF(B706=" "," ",HYPERLINK(CONCATENATE("#metadata!",ADDRESS(INDEX($Q$2:$Q$1001,MATCH(ROWS($O$2:O706),$O$2:$O$1001,0),0),1)),INDEX($T$2:$T$1001,MATCH(ROWS($O$2:O706),$O$2:$O$1001,0),0)))</f>
        <v>0</v>
      </c>
      <c r="B706" s="4">
        <f>IF(OR(INDEX($P$2:$P$1001,MATCH(ROWS($O$2:O706),$O$2:$O$1001,0),1)&gt;=100000,INDEX($V$1005:$AE$1005,1,MATCH(COLUMNS($V$1006:V1006),$V$1006:$AE$1006,0))&gt;=100000), " ",IF(INDEX($V$2:$AE$1001,MATCH(ROWS($O$2:O706),$O$2:$O$1001,0),MATCH(COLUMNS($V$1006:V1006),$V$1006:$AE$1006,0)), HYPERLINK("#",""), HYPERLINK(CONCATENATE("#Metadata!", ADDRESS(INDEX($Q$2:$Q$1001,MATCH(ROWS($O$2:O706),$O$2:$O$1001,0),0), INDEX($V$1004:$AE$1004,1,MATCH(COLUMNS($V$1006:V1006),$V$1006:$AE$1006,0)))),"Fix")))</f>
        <v>0</v>
      </c>
      <c r="C706" s="4">
        <f>IF(OR(INDEX($P$2:$P$1001,MATCH(ROWS($O$2:O706),$O$2:$O$1001,0),1)&gt;=100000,INDEX($V$1005:$AE$1005,1,MATCH(COLUMNS($V$1006:W1006),$V$1006:$AE$1006,0))&gt;=100000), " ",IF(INDEX($V$2:$AE$1001,MATCH(ROWS($O$2:O706),$O$2:$O$1001,0),MATCH(COLUMNS($V$1006:W1006),$V$1006:$AE$1006,0)), HYPERLINK("#",""), HYPERLINK(CONCATENATE("#Metadata!", ADDRESS(INDEX($Q$2:$Q$1001,MATCH(ROWS($O$2:O706),$O$2:$O$1001,0),0), INDEX($V$1004:$AE$1004,1,MATCH(COLUMNS($V$1006:W1006),$V$1006:$AE$1006,0)))),"Fix")))</f>
        <v>0</v>
      </c>
      <c r="D706" s="4">
        <f>IF(OR(INDEX($P$2:$P$1001,MATCH(ROWS($O$2:O706),$O$2:$O$1001,0),1)&gt;=100000,INDEX($V$1005:$AE$1005,1,MATCH(COLUMNS($V$1006:X1006),$V$1006:$AE$1006,0))&gt;=100000), " ",IF(INDEX($V$2:$AE$1001,MATCH(ROWS($O$2:O706),$O$2:$O$1001,0),MATCH(COLUMNS($V$1006:X1006),$V$1006:$AE$1006,0)), HYPERLINK("#",""), HYPERLINK(CONCATENATE("#Metadata!", ADDRESS(INDEX($Q$2:$Q$1001,MATCH(ROWS($O$2:O706),$O$2:$O$1001,0),0), INDEX($V$1004:$AE$1004,1,MATCH(COLUMNS($V$1006:X1006),$V$1006:$AE$1006,0)))),"Fix")))</f>
        <v>0</v>
      </c>
      <c r="E706" s="4">
        <f>IF(OR(INDEX($P$2:$P$1001,MATCH(ROWS($O$2:O706),$O$2:$O$1001,0),1)&gt;=100000,INDEX($V$1005:$AE$1005,1,MATCH(COLUMNS($V$1006:Y1006),$V$1006:$AE$1006,0))&gt;=100000), " ",IF(INDEX($V$2:$AE$1001,MATCH(ROWS($O$2:O706),$O$2:$O$1001,0),MATCH(COLUMNS($V$1006:Y1006),$V$1006:$AE$1006,0)), HYPERLINK("#",""), HYPERLINK(CONCATENATE("#Metadata!", ADDRESS(INDEX($Q$2:$Q$1001,MATCH(ROWS($O$2:O706),$O$2:$O$1001,0),0), INDEX($V$1004:$AE$1004,1,MATCH(COLUMNS($V$1006:Y1006),$V$1006:$AE$1006,0)))),"Fix")))</f>
        <v>0</v>
      </c>
      <c r="F706" s="4">
        <f>IF(OR(INDEX($P$2:$P$1001,MATCH(ROWS($O$2:O706),$O$2:$O$1001,0),1)&gt;=100000,INDEX($V$1005:$AE$1005,1,MATCH(COLUMNS($V$1006:Z1006),$V$1006:$AE$1006,0))&gt;=100000), " ",IF(INDEX($V$2:$AE$1001,MATCH(ROWS($O$2:O706),$O$2:$O$1001,0),MATCH(COLUMNS($V$1006:Z1006),$V$1006:$AE$1006,0)), HYPERLINK("#",""), HYPERLINK(CONCATENATE("#Metadata!", ADDRESS(INDEX($Q$2:$Q$1001,MATCH(ROWS($O$2:O706),$O$2:$O$1001,0),0), INDEX($V$1004:$AE$1004,1,MATCH(COLUMNS($V$1006:Z1006),$V$1006:$AE$1006,0)))),"Fix")))</f>
        <v>0</v>
      </c>
      <c r="G706" s="4">
        <f>IF(OR(INDEX($P$2:$P$1001,MATCH(ROWS($O$2:O706),$O$2:$O$1001,0),1)&gt;=100000,INDEX($V$1005:$AE$1005,1,MATCH(COLUMNS($V$1006:AA1006),$V$1006:$AE$1006,0))&gt;=100000), " ",IF(INDEX($V$2:$AE$1001,MATCH(ROWS($O$2:O706),$O$2:$O$1001,0),MATCH(COLUMNS($V$1006:AA1006),$V$1006:$AE$1006,0)), HYPERLINK("#",""), HYPERLINK(CONCATENATE("#Metadata!", ADDRESS(INDEX($Q$2:$Q$1001,MATCH(ROWS($O$2:O706),$O$2:$O$1001,0),0), INDEX($V$1004:$AE$1004,1,MATCH(COLUMNS($V$1006:AA1006),$V$1006:$AE$1006,0)))),"Fix")))</f>
        <v>0</v>
      </c>
      <c r="H706" s="4">
        <f>IF(OR(INDEX($P$2:$P$1001,MATCH(ROWS($O$2:O706),$O$2:$O$1001,0),1)&gt;=100000,INDEX($V$1005:$AE$1005,1,MATCH(COLUMNS($V$1006:AB1006),$V$1006:$AE$1006,0))&gt;=100000), " ",IF(INDEX($V$2:$AE$1001,MATCH(ROWS($O$2:O706),$O$2:$O$1001,0),MATCH(COLUMNS($V$1006:AB1006),$V$1006:$AE$1006,0)), HYPERLINK("#",""), HYPERLINK(CONCATENATE("#Metadata!", ADDRESS(INDEX($Q$2:$Q$1001,MATCH(ROWS($O$2:O706),$O$2:$O$1001,0),0), INDEX($V$1004:$AE$1004,1,MATCH(COLUMNS($V$1006:AB1006),$V$1006:$AE$1006,0)))),"Fix")))</f>
        <v>0</v>
      </c>
      <c r="I706" s="4">
        <f>IF(OR(INDEX($P$2:$P$1001,MATCH(ROWS($O$2:O706),$O$2:$O$1001,0),1)&gt;=100000,INDEX($V$1005:$AE$1005,1,MATCH(COLUMNS($V$1006:AC1006),$V$1006:$AE$1006,0))&gt;=100000), " ",IF(INDEX($V$2:$AE$1001,MATCH(ROWS($O$2:O706),$O$2:$O$1001,0),MATCH(COLUMNS($V$1006:AC1006),$V$1006:$AE$1006,0)), HYPERLINK("#",""), HYPERLINK(CONCATENATE("#Metadata!", ADDRESS(INDEX($Q$2:$Q$1001,MATCH(ROWS($O$2:O706),$O$2:$O$1001,0),0), INDEX($V$1004:$AE$1004,1,MATCH(COLUMNS($V$1006:AC1006),$V$1006:$AE$1006,0)))),"Fix")))</f>
        <v>0</v>
      </c>
      <c r="J706" s="4">
        <f>IF(OR(INDEX($P$2:$P$1001,MATCH(ROWS($O$2:O706),$O$2:$O$1001,0),1)&gt;=100000,INDEX($V$1005:$AE$1005,1,MATCH(COLUMNS($V$1006:AD1006),$V$1006:$AE$1006,0))&gt;=100000), " ",IF(INDEX($V$2:$AE$1001,MATCH(ROWS($O$2:O706),$O$2:$O$1001,0),MATCH(COLUMNS($V$1006:AD1006),$V$1006:$AE$1006,0)), HYPERLINK("#",""), HYPERLINK(CONCATENATE("#Metadata!", ADDRESS(INDEX($Q$2:$Q$1001,MATCH(ROWS($O$2:O706),$O$2:$O$1001,0),0), INDEX($V$1004:$AE$1004,1,MATCH(COLUMNS($V$1006:AD1006),$V$1006:$AE$1006,0)))),"Fix")))</f>
        <v>0</v>
      </c>
      <c r="K706" s="4">
        <f>IF(OR(INDEX($P$2:$P$1001,MATCH(ROWS($O$2:O706),$O$2:$O$1001,0),1)&gt;=100000,INDEX($V$1005:$AE$1005,1,MATCH(COLUMNS($V$1006:AE1006),$V$1006:$AE$1006,0))&gt;=100000), " ",IF(INDEX($V$2:$AE$1001,MATCH(ROWS($O$2:O706),$O$2:$O$1001,0),MATCH(COLUMNS($V$1006:AE1006),$V$1006:$AE$1006,0)), HYPERLINK("#",""), HYPERLINK(CONCATENATE("#Metadata!", ADDRESS(INDEX($Q$2:$Q$1001,MATCH(ROWS($O$2:O706),$O$2:$O$1001,0),0), INDEX($V$1004:$AE$1004,1,MATCH(COLUMNS($V$1006:AE1006),$V$1006:$AE$1006,0)))),"Fix")))</f>
        <v>0</v>
      </c>
      <c r="O706">
        <v>0</v>
      </c>
      <c r="P706">
        <v>0</v>
      </c>
      <c r="Q706">
        <v>0</v>
      </c>
      <c r="R706">
        <f>IF(S706,TRUE,AND(V706:AE706))</f>
        <v>0</v>
      </c>
      <c r="S706">
        <f>COUNTBLANK(Metadata!B706:K706)=COLUMNS(Metadata!B706:K706)</f>
        <v>0</v>
      </c>
      <c r="T706">
        <v>0</v>
      </c>
      <c r="V706">
        <f>AND(IF(Metadata!B706="",FALSE,TRUE),COUNTIF(Metadata!B:B, Metadata!B706) = 1,NOT(ISERROR(SUMPRODUCT(SEARCH(MID(Metadata!B706,ROW(INDIRECT("1:"&amp;LEN(Metadata!B706))), 1),"0123456789abcdefghijklmnopqrstuvwxyzABCDEFGHIJKLMNOPQRSTUVWXYZ.")))))</f>
        <v>0</v>
      </c>
      <c r="W706">
        <f>AND(IF(Metadata!C706="",FALSE,TRUE),exact(Metadata!C706,"urban biome"))</f>
        <v>0</v>
      </c>
      <c r="X706">
        <f>AND(IF(Metadata!D706="",FALSE,TRUE),exact(Metadata!D706,"animal-associated habitat"))</f>
        <v>0</v>
      </c>
      <c r="Y706">
        <f>OR(AND(IF(Metadata!E706="",FALSE,TRUE),OR(exact(Metadata!E706,"not applicable"),exact(Metadata!E706,"missing: not collected"),exact(Metadata!E706,"missing: not provided"),exact(Metadata!E706,"missing: restricted access"))),AND(IF(Metadata!E706="",FALSE,ISNUMBER(VALUE(Metadata!E706))),Metadata!E706&gt;0))</f>
        <v>0</v>
      </c>
      <c r="Z706">
        <f>AND(IF(Metadata!F706="",FALSE,TRUE),exact(Metadata!F706,"weeks"))</f>
        <v>0</v>
      </c>
      <c r="AA706">
        <f>AND(IF(Metadata!G706="",FALSE,TRUE),exact(Metadata!G706,"mouse"))</f>
        <v>0</v>
      </c>
      <c r="AB706">
        <f>AND(IF(Metadata!H706="",FALSE,TRUE),exact(Metadata!H706,"Mus musculus"))</f>
        <v>0</v>
      </c>
      <c r="AC706">
        <f>AND(IF(Metadata!I706="",FALSE,TRUE),exact(Metadata!I706,"10090"))</f>
        <v>0</v>
      </c>
      <c r="AD706">
        <f>OR(AND(IF(Metadata!J706="",FALSE,TRUE),OR(exact(Metadata!J706,"not applicable"),exact(Metadata!J706,"missing: not collected"),exact(Metadata!J706,"missing: not provided"),exact(Metadata!J706,"missing: restricted access"))),AND(IF(Metadata!J706="",FALSE,ISNUMBER(VALUE(Metadata!J706))),Metadata!J706&gt;0))</f>
        <v>0</v>
      </c>
      <c r="AE706">
        <f>AND(IF(Metadata!K706="",FALSE,TRUE),exact(Metadata!K706,"g"))</f>
        <v>0</v>
      </c>
    </row>
    <row r="707" spans="1:31">
      <c r="A707" s="5">
        <f>IF(B707=" "," ",HYPERLINK(CONCATENATE("#metadata!",ADDRESS(INDEX($Q$2:$Q$1001,MATCH(ROWS($O$2:O707),$O$2:$O$1001,0),0),1)),INDEX($T$2:$T$1001,MATCH(ROWS($O$2:O707),$O$2:$O$1001,0),0)))</f>
        <v>0</v>
      </c>
      <c r="B707" s="4">
        <f>IF(OR(INDEX($P$2:$P$1001,MATCH(ROWS($O$2:O707),$O$2:$O$1001,0),1)&gt;=100000,INDEX($V$1005:$AE$1005,1,MATCH(COLUMNS($V$1006:V1006),$V$1006:$AE$1006,0))&gt;=100000), " ",IF(INDEX($V$2:$AE$1001,MATCH(ROWS($O$2:O707),$O$2:$O$1001,0),MATCH(COLUMNS($V$1006:V1006),$V$1006:$AE$1006,0)), HYPERLINK("#",""), HYPERLINK(CONCATENATE("#Metadata!", ADDRESS(INDEX($Q$2:$Q$1001,MATCH(ROWS($O$2:O707),$O$2:$O$1001,0),0), INDEX($V$1004:$AE$1004,1,MATCH(COLUMNS($V$1006:V1006),$V$1006:$AE$1006,0)))),"Fix")))</f>
        <v>0</v>
      </c>
      <c r="C707" s="4">
        <f>IF(OR(INDEX($P$2:$P$1001,MATCH(ROWS($O$2:O707),$O$2:$O$1001,0),1)&gt;=100000,INDEX($V$1005:$AE$1005,1,MATCH(COLUMNS($V$1006:W1006),$V$1006:$AE$1006,0))&gt;=100000), " ",IF(INDEX($V$2:$AE$1001,MATCH(ROWS($O$2:O707),$O$2:$O$1001,0),MATCH(COLUMNS($V$1006:W1006),$V$1006:$AE$1006,0)), HYPERLINK("#",""), HYPERLINK(CONCATENATE("#Metadata!", ADDRESS(INDEX($Q$2:$Q$1001,MATCH(ROWS($O$2:O707),$O$2:$O$1001,0),0), INDEX($V$1004:$AE$1004,1,MATCH(COLUMNS($V$1006:W1006),$V$1006:$AE$1006,0)))),"Fix")))</f>
        <v>0</v>
      </c>
      <c r="D707" s="4">
        <f>IF(OR(INDEX($P$2:$P$1001,MATCH(ROWS($O$2:O707),$O$2:$O$1001,0),1)&gt;=100000,INDEX($V$1005:$AE$1005,1,MATCH(COLUMNS($V$1006:X1006),$V$1006:$AE$1006,0))&gt;=100000), " ",IF(INDEX($V$2:$AE$1001,MATCH(ROWS($O$2:O707),$O$2:$O$1001,0),MATCH(COLUMNS($V$1006:X1006),$V$1006:$AE$1006,0)), HYPERLINK("#",""), HYPERLINK(CONCATENATE("#Metadata!", ADDRESS(INDEX($Q$2:$Q$1001,MATCH(ROWS($O$2:O707),$O$2:$O$1001,0),0), INDEX($V$1004:$AE$1004,1,MATCH(COLUMNS($V$1006:X1006),$V$1006:$AE$1006,0)))),"Fix")))</f>
        <v>0</v>
      </c>
      <c r="E707" s="4">
        <f>IF(OR(INDEX($P$2:$P$1001,MATCH(ROWS($O$2:O707),$O$2:$O$1001,0),1)&gt;=100000,INDEX($V$1005:$AE$1005,1,MATCH(COLUMNS($V$1006:Y1006),$V$1006:$AE$1006,0))&gt;=100000), " ",IF(INDEX($V$2:$AE$1001,MATCH(ROWS($O$2:O707),$O$2:$O$1001,0),MATCH(COLUMNS($V$1006:Y1006),$V$1006:$AE$1006,0)), HYPERLINK("#",""), HYPERLINK(CONCATENATE("#Metadata!", ADDRESS(INDEX($Q$2:$Q$1001,MATCH(ROWS($O$2:O707),$O$2:$O$1001,0),0), INDEX($V$1004:$AE$1004,1,MATCH(COLUMNS($V$1006:Y1006),$V$1006:$AE$1006,0)))),"Fix")))</f>
        <v>0</v>
      </c>
      <c r="F707" s="4">
        <f>IF(OR(INDEX($P$2:$P$1001,MATCH(ROWS($O$2:O707),$O$2:$O$1001,0),1)&gt;=100000,INDEX($V$1005:$AE$1005,1,MATCH(COLUMNS($V$1006:Z1006),$V$1006:$AE$1006,0))&gt;=100000), " ",IF(INDEX($V$2:$AE$1001,MATCH(ROWS($O$2:O707),$O$2:$O$1001,0),MATCH(COLUMNS($V$1006:Z1006),$V$1006:$AE$1006,0)), HYPERLINK("#",""), HYPERLINK(CONCATENATE("#Metadata!", ADDRESS(INDEX($Q$2:$Q$1001,MATCH(ROWS($O$2:O707),$O$2:$O$1001,0),0), INDEX($V$1004:$AE$1004,1,MATCH(COLUMNS($V$1006:Z1006),$V$1006:$AE$1006,0)))),"Fix")))</f>
        <v>0</v>
      </c>
      <c r="G707" s="4">
        <f>IF(OR(INDEX($P$2:$P$1001,MATCH(ROWS($O$2:O707),$O$2:$O$1001,0),1)&gt;=100000,INDEX($V$1005:$AE$1005,1,MATCH(COLUMNS($V$1006:AA1006),$V$1006:$AE$1006,0))&gt;=100000), " ",IF(INDEX($V$2:$AE$1001,MATCH(ROWS($O$2:O707),$O$2:$O$1001,0),MATCH(COLUMNS($V$1006:AA1006),$V$1006:$AE$1006,0)), HYPERLINK("#",""), HYPERLINK(CONCATENATE("#Metadata!", ADDRESS(INDEX($Q$2:$Q$1001,MATCH(ROWS($O$2:O707),$O$2:$O$1001,0),0), INDEX($V$1004:$AE$1004,1,MATCH(COLUMNS($V$1006:AA1006),$V$1006:$AE$1006,0)))),"Fix")))</f>
        <v>0</v>
      </c>
      <c r="H707" s="4">
        <f>IF(OR(INDEX($P$2:$P$1001,MATCH(ROWS($O$2:O707),$O$2:$O$1001,0),1)&gt;=100000,INDEX($V$1005:$AE$1005,1,MATCH(COLUMNS($V$1006:AB1006),$V$1006:$AE$1006,0))&gt;=100000), " ",IF(INDEX($V$2:$AE$1001,MATCH(ROWS($O$2:O707),$O$2:$O$1001,0),MATCH(COLUMNS($V$1006:AB1006),$V$1006:$AE$1006,0)), HYPERLINK("#",""), HYPERLINK(CONCATENATE("#Metadata!", ADDRESS(INDEX($Q$2:$Q$1001,MATCH(ROWS($O$2:O707),$O$2:$O$1001,0),0), INDEX($V$1004:$AE$1004,1,MATCH(COLUMNS($V$1006:AB1006),$V$1006:$AE$1006,0)))),"Fix")))</f>
        <v>0</v>
      </c>
      <c r="I707" s="4">
        <f>IF(OR(INDEX($P$2:$P$1001,MATCH(ROWS($O$2:O707),$O$2:$O$1001,0),1)&gt;=100000,INDEX($V$1005:$AE$1005,1,MATCH(COLUMNS($V$1006:AC1006),$V$1006:$AE$1006,0))&gt;=100000), " ",IF(INDEX($V$2:$AE$1001,MATCH(ROWS($O$2:O707),$O$2:$O$1001,0),MATCH(COLUMNS($V$1006:AC1006),$V$1006:$AE$1006,0)), HYPERLINK("#",""), HYPERLINK(CONCATENATE("#Metadata!", ADDRESS(INDEX($Q$2:$Q$1001,MATCH(ROWS($O$2:O707),$O$2:$O$1001,0),0), INDEX($V$1004:$AE$1004,1,MATCH(COLUMNS($V$1006:AC1006),$V$1006:$AE$1006,0)))),"Fix")))</f>
        <v>0</v>
      </c>
      <c r="J707" s="4">
        <f>IF(OR(INDEX($P$2:$P$1001,MATCH(ROWS($O$2:O707),$O$2:$O$1001,0),1)&gt;=100000,INDEX($V$1005:$AE$1005,1,MATCH(COLUMNS($V$1006:AD1006),$V$1006:$AE$1006,0))&gt;=100000), " ",IF(INDEX($V$2:$AE$1001,MATCH(ROWS($O$2:O707),$O$2:$O$1001,0),MATCH(COLUMNS($V$1006:AD1006),$V$1006:$AE$1006,0)), HYPERLINK("#",""), HYPERLINK(CONCATENATE("#Metadata!", ADDRESS(INDEX($Q$2:$Q$1001,MATCH(ROWS($O$2:O707),$O$2:$O$1001,0),0), INDEX($V$1004:$AE$1004,1,MATCH(COLUMNS($V$1006:AD1006),$V$1006:$AE$1006,0)))),"Fix")))</f>
        <v>0</v>
      </c>
      <c r="K707" s="4">
        <f>IF(OR(INDEX($P$2:$P$1001,MATCH(ROWS($O$2:O707),$O$2:$O$1001,0),1)&gt;=100000,INDEX($V$1005:$AE$1005,1,MATCH(COLUMNS($V$1006:AE1006),$V$1006:$AE$1006,0))&gt;=100000), " ",IF(INDEX($V$2:$AE$1001,MATCH(ROWS($O$2:O707),$O$2:$O$1001,0),MATCH(COLUMNS($V$1006:AE1006),$V$1006:$AE$1006,0)), HYPERLINK("#",""), HYPERLINK(CONCATENATE("#Metadata!", ADDRESS(INDEX($Q$2:$Q$1001,MATCH(ROWS($O$2:O707),$O$2:$O$1001,0),0), INDEX($V$1004:$AE$1004,1,MATCH(COLUMNS($V$1006:AE1006),$V$1006:$AE$1006,0)))),"Fix")))</f>
        <v>0</v>
      </c>
      <c r="O707">
        <v>0</v>
      </c>
      <c r="P707">
        <v>0</v>
      </c>
      <c r="Q707">
        <v>0</v>
      </c>
      <c r="R707">
        <f>IF(S707,TRUE,AND(V707:AE707))</f>
        <v>0</v>
      </c>
      <c r="S707">
        <f>COUNTBLANK(Metadata!B707:K707)=COLUMNS(Metadata!B707:K707)</f>
        <v>0</v>
      </c>
      <c r="T707">
        <v>0</v>
      </c>
      <c r="V707">
        <f>AND(IF(Metadata!B707="",FALSE,TRUE),COUNTIF(Metadata!B:B, Metadata!B707) = 1,NOT(ISERROR(SUMPRODUCT(SEARCH(MID(Metadata!B707,ROW(INDIRECT("1:"&amp;LEN(Metadata!B707))), 1),"0123456789abcdefghijklmnopqrstuvwxyzABCDEFGHIJKLMNOPQRSTUVWXYZ.")))))</f>
        <v>0</v>
      </c>
      <c r="W707">
        <f>AND(IF(Metadata!C707="",FALSE,TRUE),exact(Metadata!C707,"urban biome"))</f>
        <v>0</v>
      </c>
      <c r="X707">
        <f>AND(IF(Metadata!D707="",FALSE,TRUE),exact(Metadata!D707,"animal-associated habitat"))</f>
        <v>0</v>
      </c>
      <c r="Y707">
        <f>OR(AND(IF(Metadata!E707="",FALSE,TRUE),OR(exact(Metadata!E707,"not applicable"),exact(Metadata!E707,"missing: not collected"),exact(Metadata!E707,"missing: not provided"),exact(Metadata!E707,"missing: restricted access"))),AND(IF(Metadata!E707="",FALSE,ISNUMBER(VALUE(Metadata!E707))),Metadata!E707&gt;0))</f>
        <v>0</v>
      </c>
      <c r="Z707">
        <f>AND(IF(Metadata!F707="",FALSE,TRUE),exact(Metadata!F707,"weeks"))</f>
        <v>0</v>
      </c>
      <c r="AA707">
        <f>AND(IF(Metadata!G707="",FALSE,TRUE),exact(Metadata!G707,"mouse"))</f>
        <v>0</v>
      </c>
      <c r="AB707">
        <f>AND(IF(Metadata!H707="",FALSE,TRUE),exact(Metadata!H707,"Mus musculus"))</f>
        <v>0</v>
      </c>
      <c r="AC707">
        <f>AND(IF(Metadata!I707="",FALSE,TRUE),exact(Metadata!I707,"10090"))</f>
        <v>0</v>
      </c>
      <c r="AD707">
        <f>OR(AND(IF(Metadata!J707="",FALSE,TRUE),OR(exact(Metadata!J707,"not applicable"),exact(Metadata!J707,"missing: not collected"),exact(Metadata!J707,"missing: not provided"),exact(Metadata!J707,"missing: restricted access"))),AND(IF(Metadata!J707="",FALSE,ISNUMBER(VALUE(Metadata!J707))),Metadata!J707&gt;0))</f>
        <v>0</v>
      </c>
      <c r="AE707">
        <f>AND(IF(Metadata!K707="",FALSE,TRUE),exact(Metadata!K707,"g"))</f>
        <v>0</v>
      </c>
    </row>
    <row r="708" spans="1:31">
      <c r="A708" s="5">
        <f>IF(B708=" "," ",HYPERLINK(CONCATENATE("#metadata!",ADDRESS(INDEX($Q$2:$Q$1001,MATCH(ROWS($O$2:O708),$O$2:$O$1001,0),0),1)),INDEX($T$2:$T$1001,MATCH(ROWS($O$2:O708),$O$2:$O$1001,0),0)))</f>
        <v>0</v>
      </c>
      <c r="B708" s="4">
        <f>IF(OR(INDEX($P$2:$P$1001,MATCH(ROWS($O$2:O708),$O$2:$O$1001,0),1)&gt;=100000,INDEX($V$1005:$AE$1005,1,MATCH(COLUMNS($V$1006:V1006),$V$1006:$AE$1006,0))&gt;=100000), " ",IF(INDEX($V$2:$AE$1001,MATCH(ROWS($O$2:O708),$O$2:$O$1001,0),MATCH(COLUMNS($V$1006:V1006),$V$1006:$AE$1006,0)), HYPERLINK("#",""), HYPERLINK(CONCATENATE("#Metadata!", ADDRESS(INDEX($Q$2:$Q$1001,MATCH(ROWS($O$2:O708),$O$2:$O$1001,0),0), INDEX($V$1004:$AE$1004,1,MATCH(COLUMNS($V$1006:V1006),$V$1006:$AE$1006,0)))),"Fix")))</f>
        <v>0</v>
      </c>
      <c r="C708" s="4">
        <f>IF(OR(INDEX($P$2:$P$1001,MATCH(ROWS($O$2:O708),$O$2:$O$1001,0),1)&gt;=100000,INDEX($V$1005:$AE$1005,1,MATCH(COLUMNS($V$1006:W1006),$V$1006:$AE$1006,0))&gt;=100000), " ",IF(INDEX($V$2:$AE$1001,MATCH(ROWS($O$2:O708),$O$2:$O$1001,0),MATCH(COLUMNS($V$1006:W1006),$V$1006:$AE$1006,0)), HYPERLINK("#",""), HYPERLINK(CONCATENATE("#Metadata!", ADDRESS(INDEX($Q$2:$Q$1001,MATCH(ROWS($O$2:O708),$O$2:$O$1001,0),0), INDEX($V$1004:$AE$1004,1,MATCH(COLUMNS($V$1006:W1006),$V$1006:$AE$1006,0)))),"Fix")))</f>
        <v>0</v>
      </c>
      <c r="D708" s="4">
        <f>IF(OR(INDEX($P$2:$P$1001,MATCH(ROWS($O$2:O708),$O$2:$O$1001,0),1)&gt;=100000,INDEX($V$1005:$AE$1005,1,MATCH(COLUMNS($V$1006:X1006),$V$1006:$AE$1006,0))&gt;=100000), " ",IF(INDEX($V$2:$AE$1001,MATCH(ROWS($O$2:O708),$O$2:$O$1001,0),MATCH(COLUMNS($V$1006:X1006),$V$1006:$AE$1006,0)), HYPERLINK("#",""), HYPERLINK(CONCATENATE("#Metadata!", ADDRESS(INDEX($Q$2:$Q$1001,MATCH(ROWS($O$2:O708),$O$2:$O$1001,0),0), INDEX($V$1004:$AE$1004,1,MATCH(COLUMNS($V$1006:X1006),$V$1006:$AE$1006,0)))),"Fix")))</f>
        <v>0</v>
      </c>
      <c r="E708" s="4">
        <f>IF(OR(INDEX($P$2:$P$1001,MATCH(ROWS($O$2:O708),$O$2:$O$1001,0),1)&gt;=100000,INDEX($V$1005:$AE$1005,1,MATCH(COLUMNS($V$1006:Y1006),$V$1006:$AE$1006,0))&gt;=100000), " ",IF(INDEX($V$2:$AE$1001,MATCH(ROWS($O$2:O708),$O$2:$O$1001,0),MATCH(COLUMNS($V$1006:Y1006),$V$1006:$AE$1006,0)), HYPERLINK("#",""), HYPERLINK(CONCATENATE("#Metadata!", ADDRESS(INDEX($Q$2:$Q$1001,MATCH(ROWS($O$2:O708),$O$2:$O$1001,0),0), INDEX($V$1004:$AE$1004,1,MATCH(COLUMNS($V$1006:Y1006),$V$1006:$AE$1006,0)))),"Fix")))</f>
        <v>0</v>
      </c>
      <c r="F708" s="4">
        <f>IF(OR(INDEX($P$2:$P$1001,MATCH(ROWS($O$2:O708),$O$2:$O$1001,0),1)&gt;=100000,INDEX($V$1005:$AE$1005,1,MATCH(COLUMNS($V$1006:Z1006),$V$1006:$AE$1006,0))&gt;=100000), " ",IF(INDEX($V$2:$AE$1001,MATCH(ROWS($O$2:O708),$O$2:$O$1001,0),MATCH(COLUMNS($V$1006:Z1006),$V$1006:$AE$1006,0)), HYPERLINK("#",""), HYPERLINK(CONCATENATE("#Metadata!", ADDRESS(INDEX($Q$2:$Q$1001,MATCH(ROWS($O$2:O708),$O$2:$O$1001,0),0), INDEX($V$1004:$AE$1004,1,MATCH(COLUMNS($V$1006:Z1006),$V$1006:$AE$1006,0)))),"Fix")))</f>
        <v>0</v>
      </c>
      <c r="G708" s="4">
        <f>IF(OR(INDEX($P$2:$P$1001,MATCH(ROWS($O$2:O708),$O$2:$O$1001,0),1)&gt;=100000,INDEX($V$1005:$AE$1005,1,MATCH(COLUMNS($V$1006:AA1006),$V$1006:$AE$1006,0))&gt;=100000), " ",IF(INDEX($V$2:$AE$1001,MATCH(ROWS($O$2:O708),$O$2:$O$1001,0),MATCH(COLUMNS($V$1006:AA1006),$V$1006:$AE$1006,0)), HYPERLINK("#",""), HYPERLINK(CONCATENATE("#Metadata!", ADDRESS(INDEX($Q$2:$Q$1001,MATCH(ROWS($O$2:O708),$O$2:$O$1001,0),0), INDEX($V$1004:$AE$1004,1,MATCH(COLUMNS($V$1006:AA1006),$V$1006:$AE$1006,0)))),"Fix")))</f>
        <v>0</v>
      </c>
      <c r="H708" s="4">
        <f>IF(OR(INDEX($P$2:$P$1001,MATCH(ROWS($O$2:O708),$O$2:$O$1001,0),1)&gt;=100000,INDEX($V$1005:$AE$1005,1,MATCH(COLUMNS($V$1006:AB1006),$V$1006:$AE$1006,0))&gt;=100000), " ",IF(INDEX($V$2:$AE$1001,MATCH(ROWS($O$2:O708),$O$2:$O$1001,0),MATCH(COLUMNS($V$1006:AB1006),$V$1006:$AE$1006,0)), HYPERLINK("#",""), HYPERLINK(CONCATENATE("#Metadata!", ADDRESS(INDEX($Q$2:$Q$1001,MATCH(ROWS($O$2:O708),$O$2:$O$1001,0),0), INDEX($V$1004:$AE$1004,1,MATCH(COLUMNS($V$1006:AB1006),$V$1006:$AE$1006,0)))),"Fix")))</f>
        <v>0</v>
      </c>
      <c r="I708" s="4">
        <f>IF(OR(INDEX($P$2:$P$1001,MATCH(ROWS($O$2:O708),$O$2:$O$1001,0),1)&gt;=100000,INDEX($V$1005:$AE$1005,1,MATCH(COLUMNS($V$1006:AC1006),$V$1006:$AE$1006,0))&gt;=100000), " ",IF(INDEX($V$2:$AE$1001,MATCH(ROWS($O$2:O708),$O$2:$O$1001,0),MATCH(COLUMNS($V$1006:AC1006),$V$1006:$AE$1006,0)), HYPERLINK("#",""), HYPERLINK(CONCATENATE("#Metadata!", ADDRESS(INDEX($Q$2:$Q$1001,MATCH(ROWS($O$2:O708),$O$2:$O$1001,0),0), INDEX($V$1004:$AE$1004,1,MATCH(COLUMNS($V$1006:AC1006),$V$1006:$AE$1006,0)))),"Fix")))</f>
        <v>0</v>
      </c>
      <c r="J708" s="4">
        <f>IF(OR(INDEX($P$2:$P$1001,MATCH(ROWS($O$2:O708),$O$2:$O$1001,0),1)&gt;=100000,INDEX($V$1005:$AE$1005,1,MATCH(COLUMNS($V$1006:AD1006),$V$1006:$AE$1006,0))&gt;=100000), " ",IF(INDEX($V$2:$AE$1001,MATCH(ROWS($O$2:O708),$O$2:$O$1001,0),MATCH(COLUMNS($V$1006:AD1006),$V$1006:$AE$1006,0)), HYPERLINK("#",""), HYPERLINK(CONCATENATE("#Metadata!", ADDRESS(INDEX($Q$2:$Q$1001,MATCH(ROWS($O$2:O708),$O$2:$O$1001,0),0), INDEX($V$1004:$AE$1004,1,MATCH(COLUMNS($V$1006:AD1006),$V$1006:$AE$1006,0)))),"Fix")))</f>
        <v>0</v>
      </c>
      <c r="K708" s="4">
        <f>IF(OR(INDEX($P$2:$P$1001,MATCH(ROWS($O$2:O708),$O$2:$O$1001,0),1)&gt;=100000,INDEX($V$1005:$AE$1005,1,MATCH(COLUMNS($V$1006:AE1006),$V$1006:$AE$1006,0))&gt;=100000), " ",IF(INDEX($V$2:$AE$1001,MATCH(ROWS($O$2:O708),$O$2:$O$1001,0),MATCH(COLUMNS($V$1006:AE1006),$V$1006:$AE$1006,0)), HYPERLINK("#",""), HYPERLINK(CONCATENATE("#Metadata!", ADDRESS(INDEX($Q$2:$Q$1001,MATCH(ROWS($O$2:O708),$O$2:$O$1001,0),0), INDEX($V$1004:$AE$1004,1,MATCH(COLUMNS($V$1006:AE1006),$V$1006:$AE$1006,0)))),"Fix")))</f>
        <v>0</v>
      </c>
      <c r="O708">
        <v>0</v>
      </c>
      <c r="P708">
        <v>0</v>
      </c>
      <c r="Q708">
        <v>0</v>
      </c>
      <c r="R708">
        <f>IF(S708,TRUE,AND(V708:AE708))</f>
        <v>0</v>
      </c>
      <c r="S708">
        <f>COUNTBLANK(Metadata!B708:K708)=COLUMNS(Metadata!B708:K708)</f>
        <v>0</v>
      </c>
      <c r="T708">
        <v>0</v>
      </c>
      <c r="V708">
        <f>AND(IF(Metadata!B708="",FALSE,TRUE),COUNTIF(Metadata!B:B, Metadata!B708) = 1,NOT(ISERROR(SUMPRODUCT(SEARCH(MID(Metadata!B708,ROW(INDIRECT("1:"&amp;LEN(Metadata!B708))), 1),"0123456789abcdefghijklmnopqrstuvwxyzABCDEFGHIJKLMNOPQRSTUVWXYZ.")))))</f>
        <v>0</v>
      </c>
      <c r="W708">
        <f>AND(IF(Metadata!C708="",FALSE,TRUE),exact(Metadata!C708,"urban biome"))</f>
        <v>0</v>
      </c>
      <c r="X708">
        <f>AND(IF(Metadata!D708="",FALSE,TRUE),exact(Metadata!D708,"animal-associated habitat"))</f>
        <v>0</v>
      </c>
      <c r="Y708">
        <f>OR(AND(IF(Metadata!E708="",FALSE,TRUE),OR(exact(Metadata!E708,"not applicable"),exact(Metadata!E708,"missing: not collected"),exact(Metadata!E708,"missing: not provided"),exact(Metadata!E708,"missing: restricted access"))),AND(IF(Metadata!E708="",FALSE,ISNUMBER(VALUE(Metadata!E708))),Metadata!E708&gt;0))</f>
        <v>0</v>
      </c>
      <c r="Z708">
        <f>AND(IF(Metadata!F708="",FALSE,TRUE),exact(Metadata!F708,"weeks"))</f>
        <v>0</v>
      </c>
      <c r="AA708">
        <f>AND(IF(Metadata!G708="",FALSE,TRUE),exact(Metadata!G708,"mouse"))</f>
        <v>0</v>
      </c>
      <c r="AB708">
        <f>AND(IF(Metadata!H708="",FALSE,TRUE),exact(Metadata!H708,"Mus musculus"))</f>
        <v>0</v>
      </c>
      <c r="AC708">
        <f>AND(IF(Metadata!I708="",FALSE,TRUE),exact(Metadata!I708,"10090"))</f>
        <v>0</v>
      </c>
      <c r="AD708">
        <f>OR(AND(IF(Metadata!J708="",FALSE,TRUE),OR(exact(Metadata!J708,"not applicable"),exact(Metadata!J708,"missing: not collected"),exact(Metadata!J708,"missing: not provided"),exact(Metadata!J708,"missing: restricted access"))),AND(IF(Metadata!J708="",FALSE,ISNUMBER(VALUE(Metadata!J708))),Metadata!J708&gt;0))</f>
        <v>0</v>
      </c>
      <c r="AE708">
        <f>AND(IF(Metadata!K708="",FALSE,TRUE),exact(Metadata!K708,"g"))</f>
        <v>0</v>
      </c>
    </row>
    <row r="709" spans="1:31">
      <c r="A709" s="5">
        <f>IF(B709=" "," ",HYPERLINK(CONCATENATE("#metadata!",ADDRESS(INDEX($Q$2:$Q$1001,MATCH(ROWS($O$2:O709),$O$2:$O$1001,0),0),1)),INDEX($T$2:$T$1001,MATCH(ROWS($O$2:O709),$O$2:$O$1001,0),0)))</f>
        <v>0</v>
      </c>
      <c r="B709" s="4">
        <f>IF(OR(INDEX($P$2:$P$1001,MATCH(ROWS($O$2:O709),$O$2:$O$1001,0),1)&gt;=100000,INDEX($V$1005:$AE$1005,1,MATCH(COLUMNS($V$1006:V1006),$V$1006:$AE$1006,0))&gt;=100000), " ",IF(INDEX($V$2:$AE$1001,MATCH(ROWS($O$2:O709),$O$2:$O$1001,0),MATCH(COLUMNS($V$1006:V1006),$V$1006:$AE$1006,0)), HYPERLINK("#",""), HYPERLINK(CONCATENATE("#Metadata!", ADDRESS(INDEX($Q$2:$Q$1001,MATCH(ROWS($O$2:O709),$O$2:$O$1001,0),0), INDEX($V$1004:$AE$1004,1,MATCH(COLUMNS($V$1006:V1006),$V$1006:$AE$1006,0)))),"Fix")))</f>
        <v>0</v>
      </c>
      <c r="C709" s="4">
        <f>IF(OR(INDEX($P$2:$P$1001,MATCH(ROWS($O$2:O709),$O$2:$O$1001,0),1)&gt;=100000,INDEX($V$1005:$AE$1005,1,MATCH(COLUMNS($V$1006:W1006),$V$1006:$AE$1006,0))&gt;=100000), " ",IF(INDEX($V$2:$AE$1001,MATCH(ROWS($O$2:O709),$O$2:$O$1001,0),MATCH(COLUMNS($V$1006:W1006),$V$1006:$AE$1006,0)), HYPERLINK("#",""), HYPERLINK(CONCATENATE("#Metadata!", ADDRESS(INDEX($Q$2:$Q$1001,MATCH(ROWS($O$2:O709),$O$2:$O$1001,0),0), INDEX($V$1004:$AE$1004,1,MATCH(COLUMNS($V$1006:W1006),$V$1006:$AE$1006,0)))),"Fix")))</f>
        <v>0</v>
      </c>
      <c r="D709" s="4">
        <f>IF(OR(INDEX($P$2:$P$1001,MATCH(ROWS($O$2:O709),$O$2:$O$1001,0),1)&gt;=100000,INDEX($V$1005:$AE$1005,1,MATCH(COLUMNS($V$1006:X1006),$V$1006:$AE$1006,0))&gt;=100000), " ",IF(INDEX($V$2:$AE$1001,MATCH(ROWS($O$2:O709),$O$2:$O$1001,0),MATCH(COLUMNS($V$1006:X1006),$V$1006:$AE$1006,0)), HYPERLINK("#",""), HYPERLINK(CONCATENATE("#Metadata!", ADDRESS(INDEX($Q$2:$Q$1001,MATCH(ROWS($O$2:O709),$O$2:$O$1001,0),0), INDEX($V$1004:$AE$1004,1,MATCH(COLUMNS($V$1006:X1006),$V$1006:$AE$1006,0)))),"Fix")))</f>
        <v>0</v>
      </c>
      <c r="E709" s="4">
        <f>IF(OR(INDEX($P$2:$P$1001,MATCH(ROWS($O$2:O709),$O$2:$O$1001,0),1)&gt;=100000,INDEX($V$1005:$AE$1005,1,MATCH(COLUMNS($V$1006:Y1006),$V$1006:$AE$1006,0))&gt;=100000), " ",IF(INDEX($V$2:$AE$1001,MATCH(ROWS($O$2:O709),$O$2:$O$1001,0),MATCH(COLUMNS($V$1006:Y1006),$V$1006:$AE$1006,0)), HYPERLINK("#",""), HYPERLINK(CONCATENATE("#Metadata!", ADDRESS(INDEX($Q$2:$Q$1001,MATCH(ROWS($O$2:O709),$O$2:$O$1001,0),0), INDEX($V$1004:$AE$1004,1,MATCH(COLUMNS($V$1006:Y1006),$V$1006:$AE$1006,0)))),"Fix")))</f>
        <v>0</v>
      </c>
      <c r="F709" s="4">
        <f>IF(OR(INDEX($P$2:$P$1001,MATCH(ROWS($O$2:O709),$O$2:$O$1001,0),1)&gt;=100000,INDEX($V$1005:$AE$1005,1,MATCH(COLUMNS($V$1006:Z1006),$V$1006:$AE$1006,0))&gt;=100000), " ",IF(INDEX($V$2:$AE$1001,MATCH(ROWS($O$2:O709),$O$2:$O$1001,0),MATCH(COLUMNS($V$1006:Z1006),$V$1006:$AE$1006,0)), HYPERLINK("#",""), HYPERLINK(CONCATENATE("#Metadata!", ADDRESS(INDEX($Q$2:$Q$1001,MATCH(ROWS($O$2:O709),$O$2:$O$1001,0),0), INDEX($V$1004:$AE$1004,1,MATCH(COLUMNS($V$1006:Z1006),$V$1006:$AE$1006,0)))),"Fix")))</f>
        <v>0</v>
      </c>
      <c r="G709" s="4">
        <f>IF(OR(INDEX($P$2:$P$1001,MATCH(ROWS($O$2:O709),$O$2:$O$1001,0),1)&gt;=100000,INDEX($V$1005:$AE$1005,1,MATCH(COLUMNS($V$1006:AA1006),$V$1006:$AE$1006,0))&gt;=100000), " ",IF(INDEX($V$2:$AE$1001,MATCH(ROWS($O$2:O709),$O$2:$O$1001,0),MATCH(COLUMNS($V$1006:AA1006),$V$1006:$AE$1006,0)), HYPERLINK("#",""), HYPERLINK(CONCATENATE("#Metadata!", ADDRESS(INDEX($Q$2:$Q$1001,MATCH(ROWS($O$2:O709),$O$2:$O$1001,0),0), INDEX($V$1004:$AE$1004,1,MATCH(COLUMNS($V$1006:AA1006),$V$1006:$AE$1006,0)))),"Fix")))</f>
        <v>0</v>
      </c>
      <c r="H709" s="4">
        <f>IF(OR(INDEX($P$2:$P$1001,MATCH(ROWS($O$2:O709),$O$2:$O$1001,0),1)&gt;=100000,INDEX($V$1005:$AE$1005,1,MATCH(COLUMNS($V$1006:AB1006),$V$1006:$AE$1006,0))&gt;=100000), " ",IF(INDEX($V$2:$AE$1001,MATCH(ROWS($O$2:O709),$O$2:$O$1001,0),MATCH(COLUMNS($V$1006:AB1006),$V$1006:$AE$1006,0)), HYPERLINK("#",""), HYPERLINK(CONCATENATE("#Metadata!", ADDRESS(INDEX($Q$2:$Q$1001,MATCH(ROWS($O$2:O709),$O$2:$O$1001,0),0), INDEX($V$1004:$AE$1004,1,MATCH(COLUMNS($V$1006:AB1006),$V$1006:$AE$1006,0)))),"Fix")))</f>
        <v>0</v>
      </c>
      <c r="I709" s="4">
        <f>IF(OR(INDEX($P$2:$P$1001,MATCH(ROWS($O$2:O709),$O$2:$O$1001,0),1)&gt;=100000,INDEX($V$1005:$AE$1005,1,MATCH(COLUMNS($V$1006:AC1006),$V$1006:$AE$1006,0))&gt;=100000), " ",IF(INDEX($V$2:$AE$1001,MATCH(ROWS($O$2:O709),$O$2:$O$1001,0),MATCH(COLUMNS($V$1006:AC1006),$V$1006:$AE$1006,0)), HYPERLINK("#",""), HYPERLINK(CONCATENATE("#Metadata!", ADDRESS(INDEX($Q$2:$Q$1001,MATCH(ROWS($O$2:O709),$O$2:$O$1001,0),0), INDEX($V$1004:$AE$1004,1,MATCH(COLUMNS($V$1006:AC1006),$V$1006:$AE$1006,0)))),"Fix")))</f>
        <v>0</v>
      </c>
      <c r="J709" s="4">
        <f>IF(OR(INDEX($P$2:$P$1001,MATCH(ROWS($O$2:O709),$O$2:$O$1001,0),1)&gt;=100000,INDEX($V$1005:$AE$1005,1,MATCH(COLUMNS($V$1006:AD1006),$V$1006:$AE$1006,0))&gt;=100000), " ",IF(INDEX($V$2:$AE$1001,MATCH(ROWS($O$2:O709),$O$2:$O$1001,0),MATCH(COLUMNS($V$1006:AD1006),$V$1006:$AE$1006,0)), HYPERLINK("#",""), HYPERLINK(CONCATENATE("#Metadata!", ADDRESS(INDEX($Q$2:$Q$1001,MATCH(ROWS($O$2:O709),$O$2:$O$1001,0),0), INDEX($V$1004:$AE$1004,1,MATCH(COLUMNS($V$1006:AD1006),$V$1006:$AE$1006,0)))),"Fix")))</f>
        <v>0</v>
      </c>
      <c r="K709" s="4">
        <f>IF(OR(INDEX($P$2:$P$1001,MATCH(ROWS($O$2:O709),$O$2:$O$1001,0),1)&gt;=100000,INDEX($V$1005:$AE$1005,1,MATCH(COLUMNS($V$1006:AE1006),$V$1006:$AE$1006,0))&gt;=100000), " ",IF(INDEX($V$2:$AE$1001,MATCH(ROWS($O$2:O709),$O$2:$O$1001,0),MATCH(COLUMNS($V$1006:AE1006),$V$1006:$AE$1006,0)), HYPERLINK("#",""), HYPERLINK(CONCATENATE("#Metadata!", ADDRESS(INDEX($Q$2:$Q$1001,MATCH(ROWS($O$2:O709),$O$2:$O$1001,0),0), INDEX($V$1004:$AE$1004,1,MATCH(COLUMNS($V$1006:AE1006),$V$1006:$AE$1006,0)))),"Fix")))</f>
        <v>0</v>
      </c>
      <c r="O709">
        <v>0</v>
      </c>
      <c r="P709">
        <v>0</v>
      </c>
      <c r="Q709">
        <v>0</v>
      </c>
      <c r="R709">
        <f>IF(S709,TRUE,AND(V709:AE709))</f>
        <v>0</v>
      </c>
      <c r="S709">
        <f>COUNTBLANK(Metadata!B709:K709)=COLUMNS(Metadata!B709:K709)</f>
        <v>0</v>
      </c>
      <c r="T709">
        <v>0</v>
      </c>
      <c r="V709">
        <f>AND(IF(Metadata!B709="",FALSE,TRUE),COUNTIF(Metadata!B:B, Metadata!B709) = 1,NOT(ISERROR(SUMPRODUCT(SEARCH(MID(Metadata!B709,ROW(INDIRECT("1:"&amp;LEN(Metadata!B709))), 1),"0123456789abcdefghijklmnopqrstuvwxyzABCDEFGHIJKLMNOPQRSTUVWXYZ.")))))</f>
        <v>0</v>
      </c>
      <c r="W709">
        <f>AND(IF(Metadata!C709="",FALSE,TRUE),exact(Metadata!C709,"urban biome"))</f>
        <v>0</v>
      </c>
      <c r="X709">
        <f>AND(IF(Metadata!D709="",FALSE,TRUE),exact(Metadata!D709,"animal-associated habitat"))</f>
        <v>0</v>
      </c>
      <c r="Y709">
        <f>OR(AND(IF(Metadata!E709="",FALSE,TRUE),OR(exact(Metadata!E709,"not applicable"),exact(Metadata!E709,"missing: not collected"),exact(Metadata!E709,"missing: not provided"),exact(Metadata!E709,"missing: restricted access"))),AND(IF(Metadata!E709="",FALSE,ISNUMBER(VALUE(Metadata!E709))),Metadata!E709&gt;0))</f>
        <v>0</v>
      </c>
      <c r="Z709">
        <f>AND(IF(Metadata!F709="",FALSE,TRUE),exact(Metadata!F709,"weeks"))</f>
        <v>0</v>
      </c>
      <c r="AA709">
        <f>AND(IF(Metadata!G709="",FALSE,TRUE),exact(Metadata!G709,"mouse"))</f>
        <v>0</v>
      </c>
      <c r="AB709">
        <f>AND(IF(Metadata!H709="",FALSE,TRUE),exact(Metadata!H709,"Mus musculus"))</f>
        <v>0</v>
      </c>
      <c r="AC709">
        <f>AND(IF(Metadata!I709="",FALSE,TRUE),exact(Metadata!I709,"10090"))</f>
        <v>0</v>
      </c>
      <c r="AD709">
        <f>OR(AND(IF(Metadata!J709="",FALSE,TRUE),OR(exact(Metadata!J709,"not applicable"),exact(Metadata!J709,"missing: not collected"),exact(Metadata!J709,"missing: not provided"),exact(Metadata!J709,"missing: restricted access"))),AND(IF(Metadata!J709="",FALSE,ISNUMBER(VALUE(Metadata!J709))),Metadata!J709&gt;0))</f>
        <v>0</v>
      </c>
      <c r="AE709">
        <f>AND(IF(Metadata!K709="",FALSE,TRUE),exact(Metadata!K709,"g"))</f>
        <v>0</v>
      </c>
    </row>
    <row r="710" spans="1:31">
      <c r="A710" s="5">
        <f>IF(B710=" "," ",HYPERLINK(CONCATENATE("#metadata!",ADDRESS(INDEX($Q$2:$Q$1001,MATCH(ROWS($O$2:O710),$O$2:$O$1001,0),0),1)),INDEX($T$2:$T$1001,MATCH(ROWS($O$2:O710),$O$2:$O$1001,0),0)))</f>
        <v>0</v>
      </c>
      <c r="B710" s="4">
        <f>IF(OR(INDEX($P$2:$P$1001,MATCH(ROWS($O$2:O710),$O$2:$O$1001,0),1)&gt;=100000,INDEX($V$1005:$AE$1005,1,MATCH(COLUMNS($V$1006:V1006),$V$1006:$AE$1006,0))&gt;=100000), " ",IF(INDEX($V$2:$AE$1001,MATCH(ROWS($O$2:O710),$O$2:$O$1001,0),MATCH(COLUMNS($V$1006:V1006),$V$1006:$AE$1006,0)), HYPERLINK("#",""), HYPERLINK(CONCATENATE("#Metadata!", ADDRESS(INDEX($Q$2:$Q$1001,MATCH(ROWS($O$2:O710),$O$2:$O$1001,0),0), INDEX($V$1004:$AE$1004,1,MATCH(COLUMNS($V$1006:V1006),$V$1006:$AE$1006,0)))),"Fix")))</f>
        <v>0</v>
      </c>
      <c r="C710" s="4">
        <f>IF(OR(INDEX($P$2:$P$1001,MATCH(ROWS($O$2:O710),$O$2:$O$1001,0),1)&gt;=100000,INDEX($V$1005:$AE$1005,1,MATCH(COLUMNS($V$1006:W1006),$V$1006:$AE$1006,0))&gt;=100000), " ",IF(INDEX($V$2:$AE$1001,MATCH(ROWS($O$2:O710),$O$2:$O$1001,0),MATCH(COLUMNS($V$1006:W1006),$V$1006:$AE$1006,0)), HYPERLINK("#",""), HYPERLINK(CONCATENATE("#Metadata!", ADDRESS(INDEX($Q$2:$Q$1001,MATCH(ROWS($O$2:O710),$O$2:$O$1001,0),0), INDEX($V$1004:$AE$1004,1,MATCH(COLUMNS($V$1006:W1006),$V$1006:$AE$1006,0)))),"Fix")))</f>
        <v>0</v>
      </c>
      <c r="D710" s="4">
        <f>IF(OR(INDEX($P$2:$P$1001,MATCH(ROWS($O$2:O710),$O$2:$O$1001,0),1)&gt;=100000,INDEX($V$1005:$AE$1005,1,MATCH(COLUMNS($V$1006:X1006),$V$1006:$AE$1006,0))&gt;=100000), " ",IF(INDEX($V$2:$AE$1001,MATCH(ROWS($O$2:O710),$O$2:$O$1001,0),MATCH(COLUMNS($V$1006:X1006),$V$1006:$AE$1006,0)), HYPERLINK("#",""), HYPERLINK(CONCATENATE("#Metadata!", ADDRESS(INDEX($Q$2:$Q$1001,MATCH(ROWS($O$2:O710),$O$2:$O$1001,0),0), INDEX($V$1004:$AE$1004,1,MATCH(COLUMNS($V$1006:X1006),$V$1006:$AE$1006,0)))),"Fix")))</f>
        <v>0</v>
      </c>
      <c r="E710" s="4">
        <f>IF(OR(INDEX($P$2:$P$1001,MATCH(ROWS($O$2:O710),$O$2:$O$1001,0),1)&gt;=100000,INDEX($V$1005:$AE$1005,1,MATCH(COLUMNS($V$1006:Y1006),$V$1006:$AE$1006,0))&gt;=100000), " ",IF(INDEX($V$2:$AE$1001,MATCH(ROWS($O$2:O710),$O$2:$O$1001,0),MATCH(COLUMNS($V$1006:Y1006),$V$1006:$AE$1006,0)), HYPERLINK("#",""), HYPERLINK(CONCATENATE("#Metadata!", ADDRESS(INDEX($Q$2:$Q$1001,MATCH(ROWS($O$2:O710),$O$2:$O$1001,0),0), INDEX($V$1004:$AE$1004,1,MATCH(COLUMNS($V$1006:Y1006),$V$1006:$AE$1006,0)))),"Fix")))</f>
        <v>0</v>
      </c>
      <c r="F710" s="4">
        <f>IF(OR(INDEX($P$2:$P$1001,MATCH(ROWS($O$2:O710),$O$2:$O$1001,0),1)&gt;=100000,INDEX($V$1005:$AE$1005,1,MATCH(COLUMNS($V$1006:Z1006),$V$1006:$AE$1006,0))&gt;=100000), " ",IF(INDEX($V$2:$AE$1001,MATCH(ROWS($O$2:O710),$O$2:$O$1001,0),MATCH(COLUMNS($V$1006:Z1006),$V$1006:$AE$1006,0)), HYPERLINK("#",""), HYPERLINK(CONCATENATE("#Metadata!", ADDRESS(INDEX($Q$2:$Q$1001,MATCH(ROWS($O$2:O710),$O$2:$O$1001,0),0), INDEX($V$1004:$AE$1004,1,MATCH(COLUMNS($V$1006:Z1006),$V$1006:$AE$1006,0)))),"Fix")))</f>
        <v>0</v>
      </c>
      <c r="G710" s="4">
        <f>IF(OR(INDEX($P$2:$P$1001,MATCH(ROWS($O$2:O710),$O$2:$O$1001,0),1)&gt;=100000,INDEX($V$1005:$AE$1005,1,MATCH(COLUMNS($V$1006:AA1006),$V$1006:$AE$1006,0))&gt;=100000), " ",IF(INDEX($V$2:$AE$1001,MATCH(ROWS($O$2:O710),$O$2:$O$1001,0),MATCH(COLUMNS($V$1006:AA1006),$V$1006:$AE$1006,0)), HYPERLINK("#",""), HYPERLINK(CONCATENATE("#Metadata!", ADDRESS(INDEX($Q$2:$Q$1001,MATCH(ROWS($O$2:O710),$O$2:$O$1001,0),0), INDEX($V$1004:$AE$1004,1,MATCH(COLUMNS($V$1006:AA1006),$V$1006:$AE$1006,0)))),"Fix")))</f>
        <v>0</v>
      </c>
      <c r="H710" s="4">
        <f>IF(OR(INDEX($P$2:$P$1001,MATCH(ROWS($O$2:O710),$O$2:$O$1001,0),1)&gt;=100000,INDEX($V$1005:$AE$1005,1,MATCH(COLUMNS($V$1006:AB1006),$V$1006:$AE$1006,0))&gt;=100000), " ",IF(INDEX($V$2:$AE$1001,MATCH(ROWS($O$2:O710),$O$2:$O$1001,0),MATCH(COLUMNS($V$1006:AB1006),$V$1006:$AE$1006,0)), HYPERLINK("#",""), HYPERLINK(CONCATENATE("#Metadata!", ADDRESS(INDEX($Q$2:$Q$1001,MATCH(ROWS($O$2:O710),$O$2:$O$1001,0),0), INDEX($V$1004:$AE$1004,1,MATCH(COLUMNS($V$1006:AB1006),$V$1006:$AE$1006,0)))),"Fix")))</f>
        <v>0</v>
      </c>
      <c r="I710" s="4">
        <f>IF(OR(INDEX($P$2:$P$1001,MATCH(ROWS($O$2:O710),$O$2:$O$1001,0),1)&gt;=100000,INDEX($V$1005:$AE$1005,1,MATCH(COLUMNS($V$1006:AC1006),$V$1006:$AE$1006,0))&gt;=100000), " ",IF(INDEX($V$2:$AE$1001,MATCH(ROWS($O$2:O710),$O$2:$O$1001,0),MATCH(COLUMNS($V$1006:AC1006),$V$1006:$AE$1006,0)), HYPERLINK("#",""), HYPERLINK(CONCATENATE("#Metadata!", ADDRESS(INDEX($Q$2:$Q$1001,MATCH(ROWS($O$2:O710),$O$2:$O$1001,0),0), INDEX($V$1004:$AE$1004,1,MATCH(COLUMNS($V$1006:AC1006),$V$1006:$AE$1006,0)))),"Fix")))</f>
        <v>0</v>
      </c>
      <c r="J710" s="4">
        <f>IF(OR(INDEX($P$2:$P$1001,MATCH(ROWS($O$2:O710),$O$2:$O$1001,0),1)&gt;=100000,INDEX($V$1005:$AE$1005,1,MATCH(COLUMNS($V$1006:AD1006),$V$1006:$AE$1006,0))&gt;=100000), " ",IF(INDEX($V$2:$AE$1001,MATCH(ROWS($O$2:O710),$O$2:$O$1001,0),MATCH(COLUMNS($V$1006:AD1006),$V$1006:$AE$1006,0)), HYPERLINK("#",""), HYPERLINK(CONCATENATE("#Metadata!", ADDRESS(INDEX($Q$2:$Q$1001,MATCH(ROWS($O$2:O710),$O$2:$O$1001,0),0), INDEX($V$1004:$AE$1004,1,MATCH(COLUMNS($V$1006:AD1006),$V$1006:$AE$1006,0)))),"Fix")))</f>
        <v>0</v>
      </c>
      <c r="K710" s="4">
        <f>IF(OR(INDEX($P$2:$P$1001,MATCH(ROWS($O$2:O710),$O$2:$O$1001,0),1)&gt;=100000,INDEX($V$1005:$AE$1005,1,MATCH(COLUMNS($V$1006:AE1006),$V$1006:$AE$1006,0))&gt;=100000), " ",IF(INDEX($V$2:$AE$1001,MATCH(ROWS($O$2:O710),$O$2:$O$1001,0),MATCH(COLUMNS($V$1006:AE1006),$V$1006:$AE$1006,0)), HYPERLINK("#",""), HYPERLINK(CONCATENATE("#Metadata!", ADDRESS(INDEX($Q$2:$Q$1001,MATCH(ROWS($O$2:O710),$O$2:$O$1001,0),0), INDEX($V$1004:$AE$1004,1,MATCH(COLUMNS($V$1006:AE1006),$V$1006:$AE$1006,0)))),"Fix")))</f>
        <v>0</v>
      </c>
      <c r="O710">
        <v>0</v>
      </c>
      <c r="P710">
        <v>0</v>
      </c>
      <c r="Q710">
        <v>0</v>
      </c>
      <c r="R710">
        <f>IF(S710,TRUE,AND(V710:AE710))</f>
        <v>0</v>
      </c>
      <c r="S710">
        <f>COUNTBLANK(Metadata!B710:K710)=COLUMNS(Metadata!B710:K710)</f>
        <v>0</v>
      </c>
      <c r="T710">
        <v>0</v>
      </c>
      <c r="V710">
        <f>AND(IF(Metadata!B710="",FALSE,TRUE),COUNTIF(Metadata!B:B, Metadata!B710) = 1,NOT(ISERROR(SUMPRODUCT(SEARCH(MID(Metadata!B710,ROW(INDIRECT("1:"&amp;LEN(Metadata!B710))), 1),"0123456789abcdefghijklmnopqrstuvwxyzABCDEFGHIJKLMNOPQRSTUVWXYZ.")))))</f>
        <v>0</v>
      </c>
      <c r="W710">
        <f>AND(IF(Metadata!C710="",FALSE,TRUE),exact(Metadata!C710,"urban biome"))</f>
        <v>0</v>
      </c>
      <c r="X710">
        <f>AND(IF(Metadata!D710="",FALSE,TRUE),exact(Metadata!D710,"animal-associated habitat"))</f>
        <v>0</v>
      </c>
      <c r="Y710">
        <f>OR(AND(IF(Metadata!E710="",FALSE,TRUE),OR(exact(Metadata!E710,"not applicable"),exact(Metadata!E710,"missing: not collected"),exact(Metadata!E710,"missing: not provided"),exact(Metadata!E710,"missing: restricted access"))),AND(IF(Metadata!E710="",FALSE,ISNUMBER(VALUE(Metadata!E710))),Metadata!E710&gt;0))</f>
        <v>0</v>
      </c>
      <c r="Z710">
        <f>AND(IF(Metadata!F710="",FALSE,TRUE),exact(Metadata!F710,"weeks"))</f>
        <v>0</v>
      </c>
      <c r="AA710">
        <f>AND(IF(Metadata!G710="",FALSE,TRUE),exact(Metadata!G710,"mouse"))</f>
        <v>0</v>
      </c>
      <c r="AB710">
        <f>AND(IF(Metadata!H710="",FALSE,TRUE),exact(Metadata!H710,"Mus musculus"))</f>
        <v>0</v>
      </c>
      <c r="AC710">
        <f>AND(IF(Metadata!I710="",FALSE,TRUE),exact(Metadata!I710,"10090"))</f>
        <v>0</v>
      </c>
      <c r="AD710">
        <f>OR(AND(IF(Metadata!J710="",FALSE,TRUE),OR(exact(Metadata!J710,"not applicable"),exact(Metadata!J710,"missing: not collected"),exact(Metadata!J710,"missing: not provided"),exact(Metadata!J710,"missing: restricted access"))),AND(IF(Metadata!J710="",FALSE,ISNUMBER(VALUE(Metadata!J710))),Metadata!J710&gt;0))</f>
        <v>0</v>
      </c>
      <c r="AE710">
        <f>AND(IF(Metadata!K710="",FALSE,TRUE),exact(Metadata!K710,"g"))</f>
        <v>0</v>
      </c>
    </row>
    <row r="711" spans="1:31">
      <c r="A711" s="5">
        <f>IF(B711=" "," ",HYPERLINK(CONCATENATE("#metadata!",ADDRESS(INDEX($Q$2:$Q$1001,MATCH(ROWS($O$2:O711),$O$2:$O$1001,0),0),1)),INDEX($T$2:$T$1001,MATCH(ROWS($O$2:O711),$O$2:$O$1001,0),0)))</f>
        <v>0</v>
      </c>
      <c r="B711" s="4">
        <f>IF(OR(INDEX($P$2:$P$1001,MATCH(ROWS($O$2:O711),$O$2:$O$1001,0),1)&gt;=100000,INDEX($V$1005:$AE$1005,1,MATCH(COLUMNS($V$1006:V1006),$V$1006:$AE$1006,0))&gt;=100000), " ",IF(INDEX($V$2:$AE$1001,MATCH(ROWS($O$2:O711),$O$2:$O$1001,0),MATCH(COLUMNS($V$1006:V1006),$V$1006:$AE$1006,0)), HYPERLINK("#",""), HYPERLINK(CONCATENATE("#Metadata!", ADDRESS(INDEX($Q$2:$Q$1001,MATCH(ROWS($O$2:O711),$O$2:$O$1001,0),0), INDEX($V$1004:$AE$1004,1,MATCH(COLUMNS($V$1006:V1006),$V$1006:$AE$1006,0)))),"Fix")))</f>
        <v>0</v>
      </c>
      <c r="C711" s="4">
        <f>IF(OR(INDEX($P$2:$P$1001,MATCH(ROWS($O$2:O711),$O$2:$O$1001,0),1)&gt;=100000,INDEX($V$1005:$AE$1005,1,MATCH(COLUMNS($V$1006:W1006),$V$1006:$AE$1006,0))&gt;=100000), " ",IF(INDEX($V$2:$AE$1001,MATCH(ROWS($O$2:O711),$O$2:$O$1001,0),MATCH(COLUMNS($V$1006:W1006),$V$1006:$AE$1006,0)), HYPERLINK("#",""), HYPERLINK(CONCATENATE("#Metadata!", ADDRESS(INDEX($Q$2:$Q$1001,MATCH(ROWS($O$2:O711),$O$2:$O$1001,0),0), INDEX($V$1004:$AE$1004,1,MATCH(COLUMNS($V$1006:W1006),$V$1006:$AE$1006,0)))),"Fix")))</f>
        <v>0</v>
      </c>
      <c r="D711" s="4">
        <f>IF(OR(INDEX($P$2:$P$1001,MATCH(ROWS($O$2:O711),$O$2:$O$1001,0),1)&gt;=100000,INDEX($V$1005:$AE$1005,1,MATCH(COLUMNS($V$1006:X1006),$V$1006:$AE$1006,0))&gt;=100000), " ",IF(INDEX($V$2:$AE$1001,MATCH(ROWS($O$2:O711),$O$2:$O$1001,0),MATCH(COLUMNS($V$1006:X1006),$V$1006:$AE$1006,0)), HYPERLINK("#",""), HYPERLINK(CONCATENATE("#Metadata!", ADDRESS(INDEX($Q$2:$Q$1001,MATCH(ROWS($O$2:O711),$O$2:$O$1001,0),0), INDEX($V$1004:$AE$1004,1,MATCH(COLUMNS($V$1006:X1006),$V$1006:$AE$1006,0)))),"Fix")))</f>
        <v>0</v>
      </c>
      <c r="E711" s="4">
        <f>IF(OR(INDEX($P$2:$P$1001,MATCH(ROWS($O$2:O711),$O$2:$O$1001,0),1)&gt;=100000,INDEX($V$1005:$AE$1005,1,MATCH(COLUMNS($V$1006:Y1006),$V$1006:$AE$1006,0))&gt;=100000), " ",IF(INDEX($V$2:$AE$1001,MATCH(ROWS($O$2:O711),$O$2:$O$1001,0),MATCH(COLUMNS($V$1006:Y1006),$V$1006:$AE$1006,0)), HYPERLINK("#",""), HYPERLINK(CONCATENATE("#Metadata!", ADDRESS(INDEX($Q$2:$Q$1001,MATCH(ROWS($O$2:O711),$O$2:$O$1001,0),0), INDEX($V$1004:$AE$1004,1,MATCH(COLUMNS($V$1006:Y1006),$V$1006:$AE$1006,0)))),"Fix")))</f>
        <v>0</v>
      </c>
      <c r="F711" s="4">
        <f>IF(OR(INDEX($P$2:$P$1001,MATCH(ROWS($O$2:O711),$O$2:$O$1001,0),1)&gt;=100000,INDEX($V$1005:$AE$1005,1,MATCH(COLUMNS($V$1006:Z1006),$V$1006:$AE$1006,0))&gt;=100000), " ",IF(INDEX($V$2:$AE$1001,MATCH(ROWS($O$2:O711),$O$2:$O$1001,0),MATCH(COLUMNS($V$1006:Z1006),$V$1006:$AE$1006,0)), HYPERLINK("#",""), HYPERLINK(CONCATENATE("#Metadata!", ADDRESS(INDEX($Q$2:$Q$1001,MATCH(ROWS($O$2:O711),$O$2:$O$1001,0),0), INDEX($V$1004:$AE$1004,1,MATCH(COLUMNS($V$1006:Z1006),$V$1006:$AE$1006,0)))),"Fix")))</f>
        <v>0</v>
      </c>
      <c r="G711" s="4">
        <f>IF(OR(INDEX($P$2:$P$1001,MATCH(ROWS($O$2:O711),$O$2:$O$1001,0),1)&gt;=100000,INDEX($V$1005:$AE$1005,1,MATCH(COLUMNS($V$1006:AA1006),$V$1006:$AE$1006,0))&gt;=100000), " ",IF(INDEX($V$2:$AE$1001,MATCH(ROWS($O$2:O711),$O$2:$O$1001,0),MATCH(COLUMNS($V$1006:AA1006),$V$1006:$AE$1006,0)), HYPERLINK("#",""), HYPERLINK(CONCATENATE("#Metadata!", ADDRESS(INDEX($Q$2:$Q$1001,MATCH(ROWS($O$2:O711),$O$2:$O$1001,0),0), INDEX($V$1004:$AE$1004,1,MATCH(COLUMNS($V$1006:AA1006),$V$1006:$AE$1006,0)))),"Fix")))</f>
        <v>0</v>
      </c>
      <c r="H711" s="4">
        <f>IF(OR(INDEX($P$2:$P$1001,MATCH(ROWS($O$2:O711),$O$2:$O$1001,0),1)&gt;=100000,INDEX($V$1005:$AE$1005,1,MATCH(COLUMNS($V$1006:AB1006),$V$1006:$AE$1006,0))&gt;=100000), " ",IF(INDEX($V$2:$AE$1001,MATCH(ROWS($O$2:O711),$O$2:$O$1001,0),MATCH(COLUMNS($V$1006:AB1006),$V$1006:$AE$1006,0)), HYPERLINK("#",""), HYPERLINK(CONCATENATE("#Metadata!", ADDRESS(INDEX($Q$2:$Q$1001,MATCH(ROWS($O$2:O711),$O$2:$O$1001,0),0), INDEX($V$1004:$AE$1004,1,MATCH(COLUMNS($V$1006:AB1006),$V$1006:$AE$1006,0)))),"Fix")))</f>
        <v>0</v>
      </c>
      <c r="I711" s="4">
        <f>IF(OR(INDEX($P$2:$P$1001,MATCH(ROWS($O$2:O711),$O$2:$O$1001,0),1)&gt;=100000,INDEX($V$1005:$AE$1005,1,MATCH(COLUMNS($V$1006:AC1006),$V$1006:$AE$1006,0))&gt;=100000), " ",IF(INDEX($V$2:$AE$1001,MATCH(ROWS($O$2:O711),$O$2:$O$1001,0),MATCH(COLUMNS($V$1006:AC1006),$V$1006:$AE$1006,0)), HYPERLINK("#",""), HYPERLINK(CONCATENATE("#Metadata!", ADDRESS(INDEX($Q$2:$Q$1001,MATCH(ROWS($O$2:O711),$O$2:$O$1001,0),0), INDEX($V$1004:$AE$1004,1,MATCH(COLUMNS($V$1006:AC1006),$V$1006:$AE$1006,0)))),"Fix")))</f>
        <v>0</v>
      </c>
      <c r="J711" s="4">
        <f>IF(OR(INDEX($P$2:$P$1001,MATCH(ROWS($O$2:O711),$O$2:$O$1001,0),1)&gt;=100000,INDEX($V$1005:$AE$1005,1,MATCH(COLUMNS($V$1006:AD1006),$V$1006:$AE$1006,0))&gt;=100000), " ",IF(INDEX($V$2:$AE$1001,MATCH(ROWS($O$2:O711),$O$2:$O$1001,0),MATCH(COLUMNS($V$1006:AD1006),$V$1006:$AE$1006,0)), HYPERLINK("#",""), HYPERLINK(CONCATENATE("#Metadata!", ADDRESS(INDEX($Q$2:$Q$1001,MATCH(ROWS($O$2:O711),$O$2:$O$1001,0),0), INDEX($V$1004:$AE$1004,1,MATCH(COLUMNS($V$1006:AD1006),$V$1006:$AE$1006,0)))),"Fix")))</f>
        <v>0</v>
      </c>
      <c r="K711" s="4">
        <f>IF(OR(INDEX($P$2:$P$1001,MATCH(ROWS($O$2:O711),$O$2:$O$1001,0),1)&gt;=100000,INDEX($V$1005:$AE$1005,1,MATCH(COLUMNS($V$1006:AE1006),$V$1006:$AE$1006,0))&gt;=100000), " ",IF(INDEX($V$2:$AE$1001,MATCH(ROWS($O$2:O711),$O$2:$O$1001,0),MATCH(COLUMNS($V$1006:AE1006),$V$1006:$AE$1006,0)), HYPERLINK("#",""), HYPERLINK(CONCATENATE("#Metadata!", ADDRESS(INDEX($Q$2:$Q$1001,MATCH(ROWS($O$2:O711),$O$2:$O$1001,0),0), INDEX($V$1004:$AE$1004,1,MATCH(COLUMNS($V$1006:AE1006),$V$1006:$AE$1006,0)))),"Fix")))</f>
        <v>0</v>
      </c>
      <c r="O711">
        <v>0</v>
      </c>
      <c r="P711">
        <v>0</v>
      </c>
      <c r="Q711">
        <v>0</v>
      </c>
      <c r="R711">
        <f>IF(S711,TRUE,AND(V711:AE711))</f>
        <v>0</v>
      </c>
      <c r="S711">
        <f>COUNTBLANK(Metadata!B711:K711)=COLUMNS(Metadata!B711:K711)</f>
        <v>0</v>
      </c>
      <c r="T711">
        <v>0</v>
      </c>
      <c r="V711">
        <f>AND(IF(Metadata!B711="",FALSE,TRUE),COUNTIF(Metadata!B:B, Metadata!B711) = 1,NOT(ISERROR(SUMPRODUCT(SEARCH(MID(Metadata!B711,ROW(INDIRECT("1:"&amp;LEN(Metadata!B711))), 1),"0123456789abcdefghijklmnopqrstuvwxyzABCDEFGHIJKLMNOPQRSTUVWXYZ.")))))</f>
        <v>0</v>
      </c>
      <c r="W711">
        <f>AND(IF(Metadata!C711="",FALSE,TRUE),exact(Metadata!C711,"urban biome"))</f>
        <v>0</v>
      </c>
      <c r="X711">
        <f>AND(IF(Metadata!D711="",FALSE,TRUE),exact(Metadata!D711,"animal-associated habitat"))</f>
        <v>0</v>
      </c>
      <c r="Y711">
        <f>OR(AND(IF(Metadata!E711="",FALSE,TRUE),OR(exact(Metadata!E711,"not applicable"),exact(Metadata!E711,"missing: not collected"),exact(Metadata!E711,"missing: not provided"),exact(Metadata!E711,"missing: restricted access"))),AND(IF(Metadata!E711="",FALSE,ISNUMBER(VALUE(Metadata!E711))),Metadata!E711&gt;0))</f>
        <v>0</v>
      </c>
      <c r="Z711">
        <f>AND(IF(Metadata!F711="",FALSE,TRUE),exact(Metadata!F711,"weeks"))</f>
        <v>0</v>
      </c>
      <c r="AA711">
        <f>AND(IF(Metadata!G711="",FALSE,TRUE),exact(Metadata!G711,"mouse"))</f>
        <v>0</v>
      </c>
      <c r="AB711">
        <f>AND(IF(Metadata!H711="",FALSE,TRUE),exact(Metadata!H711,"Mus musculus"))</f>
        <v>0</v>
      </c>
      <c r="AC711">
        <f>AND(IF(Metadata!I711="",FALSE,TRUE),exact(Metadata!I711,"10090"))</f>
        <v>0</v>
      </c>
      <c r="AD711">
        <f>OR(AND(IF(Metadata!J711="",FALSE,TRUE),OR(exact(Metadata!J711,"not applicable"),exact(Metadata!J711,"missing: not collected"),exact(Metadata!J711,"missing: not provided"),exact(Metadata!J711,"missing: restricted access"))),AND(IF(Metadata!J711="",FALSE,ISNUMBER(VALUE(Metadata!J711))),Metadata!J711&gt;0))</f>
        <v>0</v>
      </c>
      <c r="AE711">
        <f>AND(IF(Metadata!K711="",FALSE,TRUE),exact(Metadata!K711,"g"))</f>
        <v>0</v>
      </c>
    </row>
    <row r="712" spans="1:31">
      <c r="A712" s="5">
        <f>IF(B712=" "," ",HYPERLINK(CONCATENATE("#metadata!",ADDRESS(INDEX($Q$2:$Q$1001,MATCH(ROWS($O$2:O712),$O$2:$O$1001,0),0),1)),INDEX($T$2:$T$1001,MATCH(ROWS($O$2:O712),$O$2:$O$1001,0),0)))</f>
        <v>0</v>
      </c>
      <c r="B712" s="4">
        <f>IF(OR(INDEX($P$2:$P$1001,MATCH(ROWS($O$2:O712),$O$2:$O$1001,0),1)&gt;=100000,INDEX($V$1005:$AE$1005,1,MATCH(COLUMNS($V$1006:V1006),$V$1006:$AE$1006,0))&gt;=100000), " ",IF(INDEX($V$2:$AE$1001,MATCH(ROWS($O$2:O712),$O$2:$O$1001,0),MATCH(COLUMNS($V$1006:V1006),$V$1006:$AE$1006,0)), HYPERLINK("#",""), HYPERLINK(CONCATENATE("#Metadata!", ADDRESS(INDEX($Q$2:$Q$1001,MATCH(ROWS($O$2:O712),$O$2:$O$1001,0),0), INDEX($V$1004:$AE$1004,1,MATCH(COLUMNS($V$1006:V1006),$V$1006:$AE$1006,0)))),"Fix")))</f>
        <v>0</v>
      </c>
      <c r="C712" s="4">
        <f>IF(OR(INDEX($P$2:$P$1001,MATCH(ROWS($O$2:O712),$O$2:$O$1001,0),1)&gt;=100000,INDEX($V$1005:$AE$1005,1,MATCH(COLUMNS($V$1006:W1006),$V$1006:$AE$1006,0))&gt;=100000), " ",IF(INDEX($V$2:$AE$1001,MATCH(ROWS($O$2:O712),$O$2:$O$1001,0),MATCH(COLUMNS($V$1006:W1006),$V$1006:$AE$1006,0)), HYPERLINK("#",""), HYPERLINK(CONCATENATE("#Metadata!", ADDRESS(INDEX($Q$2:$Q$1001,MATCH(ROWS($O$2:O712),$O$2:$O$1001,0),0), INDEX($V$1004:$AE$1004,1,MATCH(COLUMNS($V$1006:W1006),$V$1006:$AE$1006,0)))),"Fix")))</f>
        <v>0</v>
      </c>
      <c r="D712" s="4">
        <f>IF(OR(INDEX($P$2:$P$1001,MATCH(ROWS($O$2:O712),$O$2:$O$1001,0),1)&gt;=100000,INDEX($V$1005:$AE$1005,1,MATCH(COLUMNS($V$1006:X1006),$V$1006:$AE$1006,0))&gt;=100000), " ",IF(INDEX($V$2:$AE$1001,MATCH(ROWS($O$2:O712),$O$2:$O$1001,0),MATCH(COLUMNS($V$1006:X1006),$V$1006:$AE$1006,0)), HYPERLINK("#",""), HYPERLINK(CONCATENATE("#Metadata!", ADDRESS(INDEX($Q$2:$Q$1001,MATCH(ROWS($O$2:O712),$O$2:$O$1001,0),0), INDEX($V$1004:$AE$1004,1,MATCH(COLUMNS($V$1006:X1006),$V$1006:$AE$1006,0)))),"Fix")))</f>
        <v>0</v>
      </c>
      <c r="E712" s="4">
        <f>IF(OR(INDEX($P$2:$P$1001,MATCH(ROWS($O$2:O712),$O$2:$O$1001,0),1)&gt;=100000,INDEX($V$1005:$AE$1005,1,MATCH(COLUMNS($V$1006:Y1006),$V$1006:$AE$1006,0))&gt;=100000), " ",IF(INDEX($V$2:$AE$1001,MATCH(ROWS($O$2:O712),$O$2:$O$1001,0),MATCH(COLUMNS($V$1006:Y1006),$V$1006:$AE$1006,0)), HYPERLINK("#",""), HYPERLINK(CONCATENATE("#Metadata!", ADDRESS(INDEX($Q$2:$Q$1001,MATCH(ROWS($O$2:O712),$O$2:$O$1001,0),0), INDEX($V$1004:$AE$1004,1,MATCH(COLUMNS($V$1006:Y1006),$V$1006:$AE$1006,0)))),"Fix")))</f>
        <v>0</v>
      </c>
      <c r="F712" s="4">
        <f>IF(OR(INDEX($P$2:$P$1001,MATCH(ROWS($O$2:O712),$O$2:$O$1001,0),1)&gt;=100000,INDEX($V$1005:$AE$1005,1,MATCH(COLUMNS($V$1006:Z1006),$V$1006:$AE$1006,0))&gt;=100000), " ",IF(INDEX($V$2:$AE$1001,MATCH(ROWS($O$2:O712),$O$2:$O$1001,0),MATCH(COLUMNS($V$1006:Z1006),$V$1006:$AE$1006,0)), HYPERLINK("#",""), HYPERLINK(CONCATENATE("#Metadata!", ADDRESS(INDEX($Q$2:$Q$1001,MATCH(ROWS($O$2:O712),$O$2:$O$1001,0),0), INDEX($V$1004:$AE$1004,1,MATCH(COLUMNS($V$1006:Z1006),$V$1006:$AE$1006,0)))),"Fix")))</f>
        <v>0</v>
      </c>
      <c r="G712" s="4">
        <f>IF(OR(INDEX($P$2:$P$1001,MATCH(ROWS($O$2:O712),$O$2:$O$1001,0),1)&gt;=100000,INDEX($V$1005:$AE$1005,1,MATCH(COLUMNS($V$1006:AA1006),$V$1006:$AE$1006,0))&gt;=100000), " ",IF(INDEX($V$2:$AE$1001,MATCH(ROWS($O$2:O712),$O$2:$O$1001,0),MATCH(COLUMNS($V$1006:AA1006),$V$1006:$AE$1006,0)), HYPERLINK("#",""), HYPERLINK(CONCATENATE("#Metadata!", ADDRESS(INDEX($Q$2:$Q$1001,MATCH(ROWS($O$2:O712),$O$2:$O$1001,0),0), INDEX($V$1004:$AE$1004,1,MATCH(COLUMNS($V$1006:AA1006),$V$1006:$AE$1006,0)))),"Fix")))</f>
        <v>0</v>
      </c>
      <c r="H712" s="4">
        <f>IF(OR(INDEX($P$2:$P$1001,MATCH(ROWS($O$2:O712),$O$2:$O$1001,0),1)&gt;=100000,INDEX($V$1005:$AE$1005,1,MATCH(COLUMNS($V$1006:AB1006),$V$1006:$AE$1006,0))&gt;=100000), " ",IF(INDEX($V$2:$AE$1001,MATCH(ROWS($O$2:O712),$O$2:$O$1001,0),MATCH(COLUMNS($V$1006:AB1006),$V$1006:$AE$1006,0)), HYPERLINK("#",""), HYPERLINK(CONCATENATE("#Metadata!", ADDRESS(INDEX($Q$2:$Q$1001,MATCH(ROWS($O$2:O712),$O$2:$O$1001,0),0), INDEX($V$1004:$AE$1004,1,MATCH(COLUMNS($V$1006:AB1006),$V$1006:$AE$1006,0)))),"Fix")))</f>
        <v>0</v>
      </c>
      <c r="I712" s="4">
        <f>IF(OR(INDEX($P$2:$P$1001,MATCH(ROWS($O$2:O712),$O$2:$O$1001,0),1)&gt;=100000,INDEX($V$1005:$AE$1005,1,MATCH(COLUMNS($V$1006:AC1006),$V$1006:$AE$1006,0))&gt;=100000), " ",IF(INDEX($V$2:$AE$1001,MATCH(ROWS($O$2:O712),$O$2:$O$1001,0),MATCH(COLUMNS($V$1006:AC1006),$V$1006:$AE$1006,0)), HYPERLINK("#",""), HYPERLINK(CONCATENATE("#Metadata!", ADDRESS(INDEX($Q$2:$Q$1001,MATCH(ROWS($O$2:O712),$O$2:$O$1001,0),0), INDEX($V$1004:$AE$1004,1,MATCH(COLUMNS($V$1006:AC1006),$V$1006:$AE$1006,0)))),"Fix")))</f>
        <v>0</v>
      </c>
      <c r="J712" s="4">
        <f>IF(OR(INDEX($P$2:$P$1001,MATCH(ROWS($O$2:O712),$O$2:$O$1001,0),1)&gt;=100000,INDEX($V$1005:$AE$1005,1,MATCH(COLUMNS($V$1006:AD1006),$V$1006:$AE$1006,0))&gt;=100000), " ",IF(INDEX($V$2:$AE$1001,MATCH(ROWS($O$2:O712),$O$2:$O$1001,0),MATCH(COLUMNS($V$1006:AD1006),$V$1006:$AE$1006,0)), HYPERLINK("#",""), HYPERLINK(CONCATENATE("#Metadata!", ADDRESS(INDEX($Q$2:$Q$1001,MATCH(ROWS($O$2:O712),$O$2:$O$1001,0),0), INDEX($V$1004:$AE$1004,1,MATCH(COLUMNS($V$1006:AD1006),$V$1006:$AE$1006,0)))),"Fix")))</f>
        <v>0</v>
      </c>
      <c r="K712" s="4">
        <f>IF(OR(INDEX($P$2:$P$1001,MATCH(ROWS($O$2:O712),$O$2:$O$1001,0),1)&gt;=100000,INDEX($V$1005:$AE$1005,1,MATCH(COLUMNS($V$1006:AE1006),$V$1006:$AE$1006,0))&gt;=100000), " ",IF(INDEX($V$2:$AE$1001,MATCH(ROWS($O$2:O712),$O$2:$O$1001,0),MATCH(COLUMNS($V$1006:AE1006),$V$1006:$AE$1006,0)), HYPERLINK("#",""), HYPERLINK(CONCATENATE("#Metadata!", ADDRESS(INDEX($Q$2:$Q$1001,MATCH(ROWS($O$2:O712),$O$2:$O$1001,0),0), INDEX($V$1004:$AE$1004,1,MATCH(COLUMNS($V$1006:AE1006),$V$1006:$AE$1006,0)))),"Fix")))</f>
        <v>0</v>
      </c>
      <c r="O712">
        <v>0</v>
      </c>
      <c r="P712">
        <v>0</v>
      </c>
      <c r="Q712">
        <v>0</v>
      </c>
      <c r="R712">
        <f>IF(S712,TRUE,AND(V712:AE712))</f>
        <v>0</v>
      </c>
      <c r="S712">
        <f>COUNTBLANK(Metadata!B712:K712)=COLUMNS(Metadata!B712:K712)</f>
        <v>0</v>
      </c>
      <c r="T712">
        <v>0</v>
      </c>
      <c r="V712">
        <f>AND(IF(Metadata!B712="",FALSE,TRUE),COUNTIF(Metadata!B:B, Metadata!B712) = 1,NOT(ISERROR(SUMPRODUCT(SEARCH(MID(Metadata!B712,ROW(INDIRECT("1:"&amp;LEN(Metadata!B712))), 1),"0123456789abcdefghijklmnopqrstuvwxyzABCDEFGHIJKLMNOPQRSTUVWXYZ.")))))</f>
        <v>0</v>
      </c>
      <c r="W712">
        <f>AND(IF(Metadata!C712="",FALSE,TRUE),exact(Metadata!C712,"urban biome"))</f>
        <v>0</v>
      </c>
      <c r="X712">
        <f>AND(IF(Metadata!D712="",FALSE,TRUE),exact(Metadata!D712,"animal-associated habitat"))</f>
        <v>0</v>
      </c>
      <c r="Y712">
        <f>OR(AND(IF(Metadata!E712="",FALSE,TRUE),OR(exact(Metadata!E712,"not applicable"),exact(Metadata!E712,"missing: not collected"),exact(Metadata!E712,"missing: not provided"),exact(Metadata!E712,"missing: restricted access"))),AND(IF(Metadata!E712="",FALSE,ISNUMBER(VALUE(Metadata!E712))),Metadata!E712&gt;0))</f>
        <v>0</v>
      </c>
      <c r="Z712">
        <f>AND(IF(Metadata!F712="",FALSE,TRUE),exact(Metadata!F712,"weeks"))</f>
        <v>0</v>
      </c>
      <c r="AA712">
        <f>AND(IF(Metadata!G712="",FALSE,TRUE),exact(Metadata!G712,"mouse"))</f>
        <v>0</v>
      </c>
      <c r="AB712">
        <f>AND(IF(Metadata!H712="",FALSE,TRUE),exact(Metadata!H712,"Mus musculus"))</f>
        <v>0</v>
      </c>
      <c r="AC712">
        <f>AND(IF(Metadata!I712="",FALSE,TRUE),exact(Metadata!I712,"10090"))</f>
        <v>0</v>
      </c>
      <c r="AD712">
        <f>OR(AND(IF(Metadata!J712="",FALSE,TRUE),OR(exact(Metadata!J712,"not applicable"),exact(Metadata!J712,"missing: not collected"),exact(Metadata!J712,"missing: not provided"),exact(Metadata!J712,"missing: restricted access"))),AND(IF(Metadata!J712="",FALSE,ISNUMBER(VALUE(Metadata!J712))),Metadata!J712&gt;0))</f>
        <v>0</v>
      </c>
      <c r="AE712">
        <f>AND(IF(Metadata!K712="",FALSE,TRUE),exact(Metadata!K712,"g"))</f>
        <v>0</v>
      </c>
    </row>
    <row r="713" spans="1:31">
      <c r="A713" s="5">
        <f>IF(B713=" "," ",HYPERLINK(CONCATENATE("#metadata!",ADDRESS(INDEX($Q$2:$Q$1001,MATCH(ROWS($O$2:O713),$O$2:$O$1001,0),0),1)),INDEX($T$2:$T$1001,MATCH(ROWS($O$2:O713),$O$2:$O$1001,0),0)))</f>
        <v>0</v>
      </c>
      <c r="B713" s="4">
        <f>IF(OR(INDEX($P$2:$P$1001,MATCH(ROWS($O$2:O713),$O$2:$O$1001,0),1)&gt;=100000,INDEX($V$1005:$AE$1005,1,MATCH(COLUMNS($V$1006:V1006),$V$1006:$AE$1006,0))&gt;=100000), " ",IF(INDEX($V$2:$AE$1001,MATCH(ROWS($O$2:O713),$O$2:$O$1001,0),MATCH(COLUMNS($V$1006:V1006),$V$1006:$AE$1006,0)), HYPERLINK("#",""), HYPERLINK(CONCATENATE("#Metadata!", ADDRESS(INDEX($Q$2:$Q$1001,MATCH(ROWS($O$2:O713),$O$2:$O$1001,0),0), INDEX($V$1004:$AE$1004,1,MATCH(COLUMNS($V$1006:V1006),$V$1006:$AE$1006,0)))),"Fix")))</f>
        <v>0</v>
      </c>
      <c r="C713" s="4">
        <f>IF(OR(INDEX($P$2:$P$1001,MATCH(ROWS($O$2:O713),$O$2:$O$1001,0),1)&gt;=100000,INDEX($V$1005:$AE$1005,1,MATCH(COLUMNS($V$1006:W1006),$V$1006:$AE$1006,0))&gt;=100000), " ",IF(INDEX($V$2:$AE$1001,MATCH(ROWS($O$2:O713),$O$2:$O$1001,0),MATCH(COLUMNS($V$1006:W1006),$V$1006:$AE$1006,0)), HYPERLINK("#",""), HYPERLINK(CONCATENATE("#Metadata!", ADDRESS(INDEX($Q$2:$Q$1001,MATCH(ROWS($O$2:O713),$O$2:$O$1001,0),0), INDEX($V$1004:$AE$1004,1,MATCH(COLUMNS($V$1006:W1006),$V$1006:$AE$1006,0)))),"Fix")))</f>
        <v>0</v>
      </c>
      <c r="D713" s="4">
        <f>IF(OR(INDEX($P$2:$P$1001,MATCH(ROWS($O$2:O713),$O$2:$O$1001,0),1)&gt;=100000,INDEX($V$1005:$AE$1005,1,MATCH(COLUMNS($V$1006:X1006),$V$1006:$AE$1006,0))&gt;=100000), " ",IF(INDEX($V$2:$AE$1001,MATCH(ROWS($O$2:O713),$O$2:$O$1001,0),MATCH(COLUMNS($V$1006:X1006),$V$1006:$AE$1006,0)), HYPERLINK("#",""), HYPERLINK(CONCATENATE("#Metadata!", ADDRESS(INDEX($Q$2:$Q$1001,MATCH(ROWS($O$2:O713),$O$2:$O$1001,0),0), INDEX($V$1004:$AE$1004,1,MATCH(COLUMNS($V$1006:X1006),$V$1006:$AE$1006,0)))),"Fix")))</f>
        <v>0</v>
      </c>
      <c r="E713" s="4">
        <f>IF(OR(INDEX($P$2:$P$1001,MATCH(ROWS($O$2:O713),$O$2:$O$1001,0),1)&gt;=100000,INDEX($V$1005:$AE$1005,1,MATCH(COLUMNS($V$1006:Y1006),$V$1006:$AE$1006,0))&gt;=100000), " ",IF(INDEX($V$2:$AE$1001,MATCH(ROWS($O$2:O713),$O$2:$O$1001,0),MATCH(COLUMNS($V$1006:Y1006),$V$1006:$AE$1006,0)), HYPERLINK("#",""), HYPERLINK(CONCATENATE("#Metadata!", ADDRESS(INDEX($Q$2:$Q$1001,MATCH(ROWS($O$2:O713),$O$2:$O$1001,0),0), INDEX($V$1004:$AE$1004,1,MATCH(COLUMNS($V$1006:Y1006),$V$1006:$AE$1006,0)))),"Fix")))</f>
        <v>0</v>
      </c>
      <c r="F713" s="4">
        <f>IF(OR(INDEX($P$2:$P$1001,MATCH(ROWS($O$2:O713),$O$2:$O$1001,0),1)&gt;=100000,INDEX($V$1005:$AE$1005,1,MATCH(COLUMNS($V$1006:Z1006),$V$1006:$AE$1006,0))&gt;=100000), " ",IF(INDEX($V$2:$AE$1001,MATCH(ROWS($O$2:O713),$O$2:$O$1001,0),MATCH(COLUMNS($V$1006:Z1006),$V$1006:$AE$1006,0)), HYPERLINK("#",""), HYPERLINK(CONCATENATE("#Metadata!", ADDRESS(INDEX($Q$2:$Q$1001,MATCH(ROWS($O$2:O713),$O$2:$O$1001,0),0), INDEX($V$1004:$AE$1004,1,MATCH(COLUMNS($V$1006:Z1006),$V$1006:$AE$1006,0)))),"Fix")))</f>
        <v>0</v>
      </c>
      <c r="G713" s="4">
        <f>IF(OR(INDEX($P$2:$P$1001,MATCH(ROWS($O$2:O713),$O$2:$O$1001,0),1)&gt;=100000,INDEX($V$1005:$AE$1005,1,MATCH(COLUMNS($V$1006:AA1006),$V$1006:$AE$1006,0))&gt;=100000), " ",IF(INDEX($V$2:$AE$1001,MATCH(ROWS($O$2:O713),$O$2:$O$1001,0),MATCH(COLUMNS($V$1006:AA1006),$V$1006:$AE$1006,0)), HYPERLINK("#",""), HYPERLINK(CONCATENATE("#Metadata!", ADDRESS(INDEX($Q$2:$Q$1001,MATCH(ROWS($O$2:O713),$O$2:$O$1001,0),0), INDEX($V$1004:$AE$1004,1,MATCH(COLUMNS($V$1006:AA1006),$V$1006:$AE$1006,0)))),"Fix")))</f>
        <v>0</v>
      </c>
      <c r="H713" s="4">
        <f>IF(OR(INDEX($P$2:$P$1001,MATCH(ROWS($O$2:O713),$O$2:$O$1001,0),1)&gt;=100000,INDEX($V$1005:$AE$1005,1,MATCH(COLUMNS($V$1006:AB1006),$V$1006:$AE$1006,0))&gt;=100000), " ",IF(INDEX($V$2:$AE$1001,MATCH(ROWS($O$2:O713),$O$2:$O$1001,0),MATCH(COLUMNS($V$1006:AB1006),$V$1006:$AE$1006,0)), HYPERLINK("#",""), HYPERLINK(CONCATENATE("#Metadata!", ADDRESS(INDEX($Q$2:$Q$1001,MATCH(ROWS($O$2:O713),$O$2:$O$1001,0),0), INDEX($V$1004:$AE$1004,1,MATCH(COLUMNS($V$1006:AB1006),$V$1006:$AE$1006,0)))),"Fix")))</f>
        <v>0</v>
      </c>
      <c r="I713" s="4">
        <f>IF(OR(INDEX($P$2:$P$1001,MATCH(ROWS($O$2:O713),$O$2:$O$1001,0),1)&gt;=100000,INDEX($V$1005:$AE$1005,1,MATCH(COLUMNS($V$1006:AC1006),$V$1006:$AE$1006,0))&gt;=100000), " ",IF(INDEX($V$2:$AE$1001,MATCH(ROWS($O$2:O713),$O$2:$O$1001,0),MATCH(COLUMNS($V$1006:AC1006),$V$1006:$AE$1006,0)), HYPERLINK("#",""), HYPERLINK(CONCATENATE("#Metadata!", ADDRESS(INDEX($Q$2:$Q$1001,MATCH(ROWS($O$2:O713),$O$2:$O$1001,0),0), INDEX($V$1004:$AE$1004,1,MATCH(COLUMNS($V$1006:AC1006),$V$1006:$AE$1006,0)))),"Fix")))</f>
        <v>0</v>
      </c>
      <c r="J713" s="4">
        <f>IF(OR(INDEX($P$2:$P$1001,MATCH(ROWS($O$2:O713),$O$2:$O$1001,0),1)&gt;=100000,INDEX($V$1005:$AE$1005,1,MATCH(COLUMNS($V$1006:AD1006),$V$1006:$AE$1006,0))&gt;=100000), " ",IF(INDEX($V$2:$AE$1001,MATCH(ROWS($O$2:O713),$O$2:$O$1001,0),MATCH(COLUMNS($V$1006:AD1006),$V$1006:$AE$1006,0)), HYPERLINK("#",""), HYPERLINK(CONCATENATE("#Metadata!", ADDRESS(INDEX($Q$2:$Q$1001,MATCH(ROWS($O$2:O713),$O$2:$O$1001,0),0), INDEX($V$1004:$AE$1004,1,MATCH(COLUMNS($V$1006:AD1006),$V$1006:$AE$1006,0)))),"Fix")))</f>
        <v>0</v>
      </c>
      <c r="K713" s="4">
        <f>IF(OR(INDEX($P$2:$P$1001,MATCH(ROWS($O$2:O713),$O$2:$O$1001,0),1)&gt;=100000,INDEX($V$1005:$AE$1005,1,MATCH(COLUMNS($V$1006:AE1006),$V$1006:$AE$1006,0))&gt;=100000), " ",IF(INDEX($V$2:$AE$1001,MATCH(ROWS($O$2:O713),$O$2:$O$1001,0),MATCH(COLUMNS($V$1006:AE1006),$V$1006:$AE$1006,0)), HYPERLINK("#",""), HYPERLINK(CONCATENATE("#Metadata!", ADDRESS(INDEX($Q$2:$Q$1001,MATCH(ROWS($O$2:O713),$O$2:$O$1001,0),0), INDEX($V$1004:$AE$1004,1,MATCH(COLUMNS($V$1006:AE1006),$V$1006:$AE$1006,0)))),"Fix")))</f>
        <v>0</v>
      </c>
      <c r="O713">
        <v>0</v>
      </c>
      <c r="P713">
        <v>0</v>
      </c>
      <c r="Q713">
        <v>0</v>
      </c>
      <c r="R713">
        <f>IF(S713,TRUE,AND(V713:AE713))</f>
        <v>0</v>
      </c>
      <c r="S713">
        <f>COUNTBLANK(Metadata!B713:K713)=COLUMNS(Metadata!B713:K713)</f>
        <v>0</v>
      </c>
      <c r="T713">
        <v>0</v>
      </c>
      <c r="V713">
        <f>AND(IF(Metadata!B713="",FALSE,TRUE),COUNTIF(Metadata!B:B, Metadata!B713) = 1,NOT(ISERROR(SUMPRODUCT(SEARCH(MID(Metadata!B713,ROW(INDIRECT("1:"&amp;LEN(Metadata!B713))), 1),"0123456789abcdefghijklmnopqrstuvwxyzABCDEFGHIJKLMNOPQRSTUVWXYZ.")))))</f>
        <v>0</v>
      </c>
      <c r="W713">
        <f>AND(IF(Metadata!C713="",FALSE,TRUE),exact(Metadata!C713,"urban biome"))</f>
        <v>0</v>
      </c>
      <c r="X713">
        <f>AND(IF(Metadata!D713="",FALSE,TRUE),exact(Metadata!D713,"animal-associated habitat"))</f>
        <v>0</v>
      </c>
      <c r="Y713">
        <f>OR(AND(IF(Metadata!E713="",FALSE,TRUE),OR(exact(Metadata!E713,"not applicable"),exact(Metadata!E713,"missing: not collected"),exact(Metadata!E713,"missing: not provided"),exact(Metadata!E713,"missing: restricted access"))),AND(IF(Metadata!E713="",FALSE,ISNUMBER(VALUE(Metadata!E713))),Metadata!E713&gt;0))</f>
        <v>0</v>
      </c>
      <c r="Z713">
        <f>AND(IF(Metadata!F713="",FALSE,TRUE),exact(Metadata!F713,"weeks"))</f>
        <v>0</v>
      </c>
      <c r="AA713">
        <f>AND(IF(Metadata!G713="",FALSE,TRUE),exact(Metadata!G713,"mouse"))</f>
        <v>0</v>
      </c>
      <c r="AB713">
        <f>AND(IF(Metadata!H713="",FALSE,TRUE),exact(Metadata!H713,"Mus musculus"))</f>
        <v>0</v>
      </c>
      <c r="AC713">
        <f>AND(IF(Metadata!I713="",FALSE,TRUE),exact(Metadata!I713,"10090"))</f>
        <v>0</v>
      </c>
      <c r="AD713">
        <f>OR(AND(IF(Metadata!J713="",FALSE,TRUE),OR(exact(Metadata!J713,"not applicable"),exact(Metadata!J713,"missing: not collected"),exact(Metadata!J713,"missing: not provided"),exact(Metadata!J713,"missing: restricted access"))),AND(IF(Metadata!J713="",FALSE,ISNUMBER(VALUE(Metadata!J713))),Metadata!J713&gt;0))</f>
        <v>0</v>
      </c>
      <c r="AE713">
        <f>AND(IF(Metadata!K713="",FALSE,TRUE),exact(Metadata!K713,"g"))</f>
        <v>0</v>
      </c>
    </row>
    <row r="714" spans="1:31">
      <c r="A714" s="5">
        <f>IF(B714=" "," ",HYPERLINK(CONCATENATE("#metadata!",ADDRESS(INDEX($Q$2:$Q$1001,MATCH(ROWS($O$2:O714),$O$2:$O$1001,0),0),1)),INDEX($T$2:$T$1001,MATCH(ROWS($O$2:O714),$O$2:$O$1001,0),0)))</f>
        <v>0</v>
      </c>
      <c r="B714" s="4">
        <f>IF(OR(INDEX($P$2:$P$1001,MATCH(ROWS($O$2:O714),$O$2:$O$1001,0),1)&gt;=100000,INDEX($V$1005:$AE$1005,1,MATCH(COLUMNS($V$1006:V1006),$V$1006:$AE$1006,0))&gt;=100000), " ",IF(INDEX($V$2:$AE$1001,MATCH(ROWS($O$2:O714),$O$2:$O$1001,0),MATCH(COLUMNS($V$1006:V1006),$V$1006:$AE$1006,0)), HYPERLINK("#",""), HYPERLINK(CONCATENATE("#Metadata!", ADDRESS(INDEX($Q$2:$Q$1001,MATCH(ROWS($O$2:O714),$O$2:$O$1001,0),0), INDEX($V$1004:$AE$1004,1,MATCH(COLUMNS($V$1006:V1006),$V$1006:$AE$1006,0)))),"Fix")))</f>
        <v>0</v>
      </c>
      <c r="C714" s="4">
        <f>IF(OR(INDEX($P$2:$P$1001,MATCH(ROWS($O$2:O714),$O$2:$O$1001,0),1)&gt;=100000,INDEX($V$1005:$AE$1005,1,MATCH(COLUMNS($V$1006:W1006),$V$1006:$AE$1006,0))&gt;=100000), " ",IF(INDEX($V$2:$AE$1001,MATCH(ROWS($O$2:O714),$O$2:$O$1001,0),MATCH(COLUMNS($V$1006:W1006),$V$1006:$AE$1006,0)), HYPERLINK("#",""), HYPERLINK(CONCATENATE("#Metadata!", ADDRESS(INDEX($Q$2:$Q$1001,MATCH(ROWS($O$2:O714),$O$2:$O$1001,0),0), INDEX($V$1004:$AE$1004,1,MATCH(COLUMNS($V$1006:W1006),$V$1006:$AE$1006,0)))),"Fix")))</f>
        <v>0</v>
      </c>
      <c r="D714" s="4">
        <f>IF(OR(INDEX($P$2:$P$1001,MATCH(ROWS($O$2:O714),$O$2:$O$1001,0),1)&gt;=100000,INDEX($V$1005:$AE$1005,1,MATCH(COLUMNS($V$1006:X1006),$V$1006:$AE$1006,0))&gt;=100000), " ",IF(INDEX($V$2:$AE$1001,MATCH(ROWS($O$2:O714),$O$2:$O$1001,0),MATCH(COLUMNS($V$1006:X1006),$V$1006:$AE$1006,0)), HYPERLINK("#",""), HYPERLINK(CONCATENATE("#Metadata!", ADDRESS(INDEX($Q$2:$Q$1001,MATCH(ROWS($O$2:O714),$O$2:$O$1001,0),0), INDEX($V$1004:$AE$1004,1,MATCH(COLUMNS($V$1006:X1006),$V$1006:$AE$1006,0)))),"Fix")))</f>
        <v>0</v>
      </c>
      <c r="E714" s="4">
        <f>IF(OR(INDEX($P$2:$P$1001,MATCH(ROWS($O$2:O714),$O$2:$O$1001,0),1)&gt;=100000,INDEX($V$1005:$AE$1005,1,MATCH(COLUMNS($V$1006:Y1006),$V$1006:$AE$1006,0))&gt;=100000), " ",IF(INDEX($V$2:$AE$1001,MATCH(ROWS($O$2:O714),$O$2:$O$1001,0),MATCH(COLUMNS($V$1006:Y1006),$V$1006:$AE$1006,0)), HYPERLINK("#",""), HYPERLINK(CONCATENATE("#Metadata!", ADDRESS(INDEX($Q$2:$Q$1001,MATCH(ROWS($O$2:O714),$O$2:$O$1001,0),0), INDEX($V$1004:$AE$1004,1,MATCH(COLUMNS($V$1006:Y1006),$V$1006:$AE$1006,0)))),"Fix")))</f>
        <v>0</v>
      </c>
      <c r="F714" s="4">
        <f>IF(OR(INDEX($P$2:$P$1001,MATCH(ROWS($O$2:O714),$O$2:$O$1001,0),1)&gt;=100000,INDEX($V$1005:$AE$1005,1,MATCH(COLUMNS($V$1006:Z1006),$V$1006:$AE$1006,0))&gt;=100000), " ",IF(INDEX($V$2:$AE$1001,MATCH(ROWS($O$2:O714),$O$2:$O$1001,0),MATCH(COLUMNS($V$1006:Z1006),$V$1006:$AE$1006,0)), HYPERLINK("#",""), HYPERLINK(CONCATENATE("#Metadata!", ADDRESS(INDEX($Q$2:$Q$1001,MATCH(ROWS($O$2:O714),$O$2:$O$1001,0),0), INDEX($V$1004:$AE$1004,1,MATCH(COLUMNS($V$1006:Z1006),$V$1006:$AE$1006,0)))),"Fix")))</f>
        <v>0</v>
      </c>
      <c r="G714" s="4">
        <f>IF(OR(INDEX($P$2:$P$1001,MATCH(ROWS($O$2:O714),$O$2:$O$1001,0),1)&gt;=100000,INDEX($V$1005:$AE$1005,1,MATCH(COLUMNS($V$1006:AA1006),$V$1006:$AE$1006,0))&gt;=100000), " ",IF(INDEX($V$2:$AE$1001,MATCH(ROWS($O$2:O714),$O$2:$O$1001,0),MATCH(COLUMNS($V$1006:AA1006),$V$1006:$AE$1006,0)), HYPERLINK("#",""), HYPERLINK(CONCATENATE("#Metadata!", ADDRESS(INDEX($Q$2:$Q$1001,MATCH(ROWS($O$2:O714),$O$2:$O$1001,0),0), INDEX($V$1004:$AE$1004,1,MATCH(COLUMNS($V$1006:AA1006),$V$1006:$AE$1006,0)))),"Fix")))</f>
        <v>0</v>
      </c>
      <c r="H714" s="4">
        <f>IF(OR(INDEX($P$2:$P$1001,MATCH(ROWS($O$2:O714),$O$2:$O$1001,0),1)&gt;=100000,INDEX($V$1005:$AE$1005,1,MATCH(COLUMNS($V$1006:AB1006),$V$1006:$AE$1006,0))&gt;=100000), " ",IF(INDEX($V$2:$AE$1001,MATCH(ROWS($O$2:O714),$O$2:$O$1001,0),MATCH(COLUMNS($V$1006:AB1006),$V$1006:$AE$1006,0)), HYPERLINK("#",""), HYPERLINK(CONCATENATE("#Metadata!", ADDRESS(INDEX($Q$2:$Q$1001,MATCH(ROWS($O$2:O714),$O$2:$O$1001,0),0), INDEX($V$1004:$AE$1004,1,MATCH(COLUMNS($V$1006:AB1006),$V$1006:$AE$1006,0)))),"Fix")))</f>
        <v>0</v>
      </c>
      <c r="I714" s="4">
        <f>IF(OR(INDEX($P$2:$P$1001,MATCH(ROWS($O$2:O714),$O$2:$O$1001,0),1)&gt;=100000,INDEX($V$1005:$AE$1005,1,MATCH(COLUMNS($V$1006:AC1006),$V$1006:$AE$1006,0))&gt;=100000), " ",IF(INDEX($V$2:$AE$1001,MATCH(ROWS($O$2:O714),$O$2:$O$1001,0),MATCH(COLUMNS($V$1006:AC1006),$V$1006:$AE$1006,0)), HYPERLINK("#",""), HYPERLINK(CONCATENATE("#Metadata!", ADDRESS(INDEX($Q$2:$Q$1001,MATCH(ROWS($O$2:O714),$O$2:$O$1001,0),0), INDEX($V$1004:$AE$1004,1,MATCH(COLUMNS($V$1006:AC1006),$V$1006:$AE$1006,0)))),"Fix")))</f>
        <v>0</v>
      </c>
      <c r="J714" s="4">
        <f>IF(OR(INDEX($P$2:$P$1001,MATCH(ROWS($O$2:O714),$O$2:$O$1001,0),1)&gt;=100000,INDEX($V$1005:$AE$1005,1,MATCH(COLUMNS($V$1006:AD1006),$V$1006:$AE$1006,0))&gt;=100000), " ",IF(INDEX($V$2:$AE$1001,MATCH(ROWS($O$2:O714),$O$2:$O$1001,0),MATCH(COLUMNS($V$1006:AD1006),$V$1006:$AE$1006,0)), HYPERLINK("#",""), HYPERLINK(CONCATENATE("#Metadata!", ADDRESS(INDEX($Q$2:$Q$1001,MATCH(ROWS($O$2:O714),$O$2:$O$1001,0),0), INDEX($V$1004:$AE$1004,1,MATCH(COLUMNS($V$1006:AD1006),$V$1006:$AE$1006,0)))),"Fix")))</f>
        <v>0</v>
      </c>
      <c r="K714" s="4">
        <f>IF(OR(INDEX($P$2:$P$1001,MATCH(ROWS($O$2:O714),$O$2:$O$1001,0),1)&gt;=100000,INDEX($V$1005:$AE$1005,1,MATCH(COLUMNS($V$1006:AE1006),$V$1006:$AE$1006,0))&gt;=100000), " ",IF(INDEX($V$2:$AE$1001,MATCH(ROWS($O$2:O714),$O$2:$O$1001,0),MATCH(COLUMNS($V$1006:AE1006),$V$1006:$AE$1006,0)), HYPERLINK("#",""), HYPERLINK(CONCATENATE("#Metadata!", ADDRESS(INDEX($Q$2:$Q$1001,MATCH(ROWS($O$2:O714),$O$2:$O$1001,0),0), INDEX($V$1004:$AE$1004,1,MATCH(COLUMNS($V$1006:AE1006),$V$1006:$AE$1006,0)))),"Fix")))</f>
        <v>0</v>
      </c>
      <c r="O714">
        <v>0</v>
      </c>
      <c r="P714">
        <v>0</v>
      </c>
      <c r="Q714">
        <v>0</v>
      </c>
      <c r="R714">
        <f>IF(S714,TRUE,AND(V714:AE714))</f>
        <v>0</v>
      </c>
      <c r="S714">
        <f>COUNTBLANK(Metadata!B714:K714)=COLUMNS(Metadata!B714:K714)</f>
        <v>0</v>
      </c>
      <c r="T714">
        <v>0</v>
      </c>
      <c r="V714">
        <f>AND(IF(Metadata!B714="",FALSE,TRUE),COUNTIF(Metadata!B:B, Metadata!B714) = 1,NOT(ISERROR(SUMPRODUCT(SEARCH(MID(Metadata!B714,ROW(INDIRECT("1:"&amp;LEN(Metadata!B714))), 1),"0123456789abcdefghijklmnopqrstuvwxyzABCDEFGHIJKLMNOPQRSTUVWXYZ.")))))</f>
        <v>0</v>
      </c>
      <c r="W714">
        <f>AND(IF(Metadata!C714="",FALSE,TRUE),exact(Metadata!C714,"urban biome"))</f>
        <v>0</v>
      </c>
      <c r="X714">
        <f>AND(IF(Metadata!D714="",FALSE,TRUE),exact(Metadata!D714,"animal-associated habitat"))</f>
        <v>0</v>
      </c>
      <c r="Y714">
        <f>OR(AND(IF(Metadata!E714="",FALSE,TRUE),OR(exact(Metadata!E714,"not applicable"),exact(Metadata!E714,"missing: not collected"),exact(Metadata!E714,"missing: not provided"),exact(Metadata!E714,"missing: restricted access"))),AND(IF(Metadata!E714="",FALSE,ISNUMBER(VALUE(Metadata!E714))),Metadata!E714&gt;0))</f>
        <v>0</v>
      </c>
      <c r="Z714">
        <f>AND(IF(Metadata!F714="",FALSE,TRUE),exact(Metadata!F714,"weeks"))</f>
        <v>0</v>
      </c>
      <c r="AA714">
        <f>AND(IF(Metadata!G714="",FALSE,TRUE),exact(Metadata!G714,"mouse"))</f>
        <v>0</v>
      </c>
      <c r="AB714">
        <f>AND(IF(Metadata!H714="",FALSE,TRUE),exact(Metadata!H714,"Mus musculus"))</f>
        <v>0</v>
      </c>
      <c r="AC714">
        <f>AND(IF(Metadata!I714="",FALSE,TRUE),exact(Metadata!I714,"10090"))</f>
        <v>0</v>
      </c>
      <c r="AD714">
        <f>OR(AND(IF(Metadata!J714="",FALSE,TRUE),OR(exact(Metadata!J714,"not applicable"),exact(Metadata!J714,"missing: not collected"),exact(Metadata!J714,"missing: not provided"),exact(Metadata!J714,"missing: restricted access"))),AND(IF(Metadata!J714="",FALSE,ISNUMBER(VALUE(Metadata!J714))),Metadata!J714&gt;0))</f>
        <v>0</v>
      </c>
      <c r="AE714">
        <f>AND(IF(Metadata!K714="",FALSE,TRUE),exact(Metadata!K714,"g"))</f>
        <v>0</v>
      </c>
    </row>
    <row r="715" spans="1:31">
      <c r="A715" s="5">
        <f>IF(B715=" "," ",HYPERLINK(CONCATENATE("#metadata!",ADDRESS(INDEX($Q$2:$Q$1001,MATCH(ROWS($O$2:O715),$O$2:$O$1001,0),0),1)),INDEX($T$2:$T$1001,MATCH(ROWS($O$2:O715),$O$2:$O$1001,0),0)))</f>
        <v>0</v>
      </c>
      <c r="B715" s="4">
        <f>IF(OR(INDEX($P$2:$P$1001,MATCH(ROWS($O$2:O715),$O$2:$O$1001,0),1)&gt;=100000,INDEX($V$1005:$AE$1005,1,MATCH(COLUMNS($V$1006:V1006),$V$1006:$AE$1006,0))&gt;=100000), " ",IF(INDEX($V$2:$AE$1001,MATCH(ROWS($O$2:O715),$O$2:$O$1001,0),MATCH(COLUMNS($V$1006:V1006),$V$1006:$AE$1006,0)), HYPERLINK("#",""), HYPERLINK(CONCATENATE("#Metadata!", ADDRESS(INDEX($Q$2:$Q$1001,MATCH(ROWS($O$2:O715),$O$2:$O$1001,0),0), INDEX($V$1004:$AE$1004,1,MATCH(COLUMNS($V$1006:V1006),$V$1006:$AE$1006,0)))),"Fix")))</f>
        <v>0</v>
      </c>
      <c r="C715" s="4">
        <f>IF(OR(INDEX($P$2:$P$1001,MATCH(ROWS($O$2:O715),$O$2:$O$1001,0),1)&gt;=100000,INDEX($V$1005:$AE$1005,1,MATCH(COLUMNS($V$1006:W1006),$V$1006:$AE$1006,0))&gt;=100000), " ",IF(INDEX($V$2:$AE$1001,MATCH(ROWS($O$2:O715),$O$2:$O$1001,0),MATCH(COLUMNS($V$1006:W1006),$V$1006:$AE$1006,0)), HYPERLINK("#",""), HYPERLINK(CONCATENATE("#Metadata!", ADDRESS(INDEX($Q$2:$Q$1001,MATCH(ROWS($O$2:O715),$O$2:$O$1001,0),0), INDEX($V$1004:$AE$1004,1,MATCH(COLUMNS($V$1006:W1006),$V$1006:$AE$1006,0)))),"Fix")))</f>
        <v>0</v>
      </c>
      <c r="D715" s="4">
        <f>IF(OR(INDEX($P$2:$P$1001,MATCH(ROWS($O$2:O715),$O$2:$O$1001,0),1)&gt;=100000,INDEX($V$1005:$AE$1005,1,MATCH(COLUMNS($V$1006:X1006),$V$1006:$AE$1006,0))&gt;=100000), " ",IF(INDEX($V$2:$AE$1001,MATCH(ROWS($O$2:O715),$O$2:$O$1001,0),MATCH(COLUMNS($V$1006:X1006),$V$1006:$AE$1006,0)), HYPERLINK("#",""), HYPERLINK(CONCATENATE("#Metadata!", ADDRESS(INDEX($Q$2:$Q$1001,MATCH(ROWS($O$2:O715),$O$2:$O$1001,0),0), INDEX($V$1004:$AE$1004,1,MATCH(COLUMNS($V$1006:X1006),$V$1006:$AE$1006,0)))),"Fix")))</f>
        <v>0</v>
      </c>
      <c r="E715" s="4">
        <f>IF(OR(INDEX($P$2:$P$1001,MATCH(ROWS($O$2:O715),$O$2:$O$1001,0),1)&gt;=100000,INDEX($V$1005:$AE$1005,1,MATCH(COLUMNS($V$1006:Y1006),$V$1006:$AE$1006,0))&gt;=100000), " ",IF(INDEX($V$2:$AE$1001,MATCH(ROWS($O$2:O715),$O$2:$O$1001,0),MATCH(COLUMNS($V$1006:Y1006),$V$1006:$AE$1006,0)), HYPERLINK("#",""), HYPERLINK(CONCATENATE("#Metadata!", ADDRESS(INDEX($Q$2:$Q$1001,MATCH(ROWS($O$2:O715),$O$2:$O$1001,0),0), INDEX($V$1004:$AE$1004,1,MATCH(COLUMNS($V$1006:Y1006),$V$1006:$AE$1006,0)))),"Fix")))</f>
        <v>0</v>
      </c>
      <c r="F715" s="4">
        <f>IF(OR(INDEX($P$2:$P$1001,MATCH(ROWS($O$2:O715),$O$2:$O$1001,0),1)&gt;=100000,INDEX($V$1005:$AE$1005,1,MATCH(COLUMNS($V$1006:Z1006),$V$1006:$AE$1006,0))&gt;=100000), " ",IF(INDEX($V$2:$AE$1001,MATCH(ROWS($O$2:O715),$O$2:$O$1001,0),MATCH(COLUMNS($V$1006:Z1006),$V$1006:$AE$1006,0)), HYPERLINK("#",""), HYPERLINK(CONCATENATE("#Metadata!", ADDRESS(INDEX($Q$2:$Q$1001,MATCH(ROWS($O$2:O715),$O$2:$O$1001,0),0), INDEX($V$1004:$AE$1004,1,MATCH(COLUMNS($V$1006:Z1006),$V$1006:$AE$1006,0)))),"Fix")))</f>
        <v>0</v>
      </c>
      <c r="G715" s="4">
        <f>IF(OR(INDEX($P$2:$P$1001,MATCH(ROWS($O$2:O715),$O$2:$O$1001,0),1)&gt;=100000,INDEX($V$1005:$AE$1005,1,MATCH(COLUMNS($V$1006:AA1006),$V$1006:$AE$1006,0))&gt;=100000), " ",IF(INDEX($V$2:$AE$1001,MATCH(ROWS($O$2:O715),$O$2:$O$1001,0),MATCH(COLUMNS($V$1006:AA1006),$V$1006:$AE$1006,0)), HYPERLINK("#",""), HYPERLINK(CONCATENATE("#Metadata!", ADDRESS(INDEX($Q$2:$Q$1001,MATCH(ROWS($O$2:O715),$O$2:$O$1001,0),0), INDEX($V$1004:$AE$1004,1,MATCH(COLUMNS($V$1006:AA1006),$V$1006:$AE$1006,0)))),"Fix")))</f>
        <v>0</v>
      </c>
      <c r="H715" s="4">
        <f>IF(OR(INDEX($P$2:$P$1001,MATCH(ROWS($O$2:O715),$O$2:$O$1001,0),1)&gt;=100000,INDEX($V$1005:$AE$1005,1,MATCH(COLUMNS($V$1006:AB1006),$V$1006:$AE$1006,0))&gt;=100000), " ",IF(INDEX($V$2:$AE$1001,MATCH(ROWS($O$2:O715),$O$2:$O$1001,0),MATCH(COLUMNS($V$1006:AB1006),$V$1006:$AE$1006,0)), HYPERLINK("#",""), HYPERLINK(CONCATENATE("#Metadata!", ADDRESS(INDEX($Q$2:$Q$1001,MATCH(ROWS($O$2:O715),$O$2:$O$1001,0),0), INDEX($V$1004:$AE$1004,1,MATCH(COLUMNS($V$1006:AB1006),$V$1006:$AE$1006,0)))),"Fix")))</f>
        <v>0</v>
      </c>
      <c r="I715" s="4">
        <f>IF(OR(INDEX($P$2:$P$1001,MATCH(ROWS($O$2:O715),$O$2:$O$1001,0),1)&gt;=100000,INDEX($V$1005:$AE$1005,1,MATCH(COLUMNS($V$1006:AC1006),$V$1006:$AE$1006,0))&gt;=100000), " ",IF(INDEX($V$2:$AE$1001,MATCH(ROWS($O$2:O715),$O$2:$O$1001,0),MATCH(COLUMNS($V$1006:AC1006),$V$1006:$AE$1006,0)), HYPERLINK("#",""), HYPERLINK(CONCATENATE("#Metadata!", ADDRESS(INDEX($Q$2:$Q$1001,MATCH(ROWS($O$2:O715),$O$2:$O$1001,0),0), INDEX($V$1004:$AE$1004,1,MATCH(COLUMNS($V$1006:AC1006),$V$1006:$AE$1006,0)))),"Fix")))</f>
        <v>0</v>
      </c>
      <c r="J715" s="4">
        <f>IF(OR(INDEX($P$2:$P$1001,MATCH(ROWS($O$2:O715),$O$2:$O$1001,0),1)&gt;=100000,INDEX($V$1005:$AE$1005,1,MATCH(COLUMNS($V$1006:AD1006),$V$1006:$AE$1006,0))&gt;=100000), " ",IF(INDEX($V$2:$AE$1001,MATCH(ROWS($O$2:O715),$O$2:$O$1001,0),MATCH(COLUMNS($V$1006:AD1006),$V$1006:$AE$1006,0)), HYPERLINK("#",""), HYPERLINK(CONCATENATE("#Metadata!", ADDRESS(INDEX($Q$2:$Q$1001,MATCH(ROWS($O$2:O715),$O$2:$O$1001,0),0), INDEX($V$1004:$AE$1004,1,MATCH(COLUMNS($V$1006:AD1006),$V$1006:$AE$1006,0)))),"Fix")))</f>
        <v>0</v>
      </c>
      <c r="K715" s="4">
        <f>IF(OR(INDEX($P$2:$P$1001,MATCH(ROWS($O$2:O715),$O$2:$O$1001,0),1)&gt;=100000,INDEX($V$1005:$AE$1005,1,MATCH(COLUMNS($V$1006:AE1006),$V$1006:$AE$1006,0))&gt;=100000), " ",IF(INDEX($V$2:$AE$1001,MATCH(ROWS($O$2:O715),$O$2:$O$1001,0),MATCH(COLUMNS($V$1006:AE1006),$V$1006:$AE$1006,0)), HYPERLINK("#",""), HYPERLINK(CONCATENATE("#Metadata!", ADDRESS(INDEX($Q$2:$Q$1001,MATCH(ROWS($O$2:O715),$O$2:$O$1001,0),0), INDEX($V$1004:$AE$1004,1,MATCH(COLUMNS($V$1006:AE1006),$V$1006:$AE$1006,0)))),"Fix")))</f>
        <v>0</v>
      </c>
      <c r="O715">
        <v>0</v>
      </c>
      <c r="P715">
        <v>0</v>
      </c>
      <c r="Q715">
        <v>0</v>
      </c>
      <c r="R715">
        <f>IF(S715,TRUE,AND(V715:AE715))</f>
        <v>0</v>
      </c>
      <c r="S715">
        <f>COUNTBLANK(Metadata!B715:K715)=COLUMNS(Metadata!B715:K715)</f>
        <v>0</v>
      </c>
      <c r="T715">
        <v>0</v>
      </c>
      <c r="V715">
        <f>AND(IF(Metadata!B715="",FALSE,TRUE),COUNTIF(Metadata!B:B, Metadata!B715) = 1,NOT(ISERROR(SUMPRODUCT(SEARCH(MID(Metadata!B715,ROW(INDIRECT("1:"&amp;LEN(Metadata!B715))), 1),"0123456789abcdefghijklmnopqrstuvwxyzABCDEFGHIJKLMNOPQRSTUVWXYZ.")))))</f>
        <v>0</v>
      </c>
      <c r="W715">
        <f>AND(IF(Metadata!C715="",FALSE,TRUE),exact(Metadata!C715,"urban biome"))</f>
        <v>0</v>
      </c>
      <c r="X715">
        <f>AND(IF(Metadata!D715="",FALSE,TRUE),exact(Metadata!D715,"animal-associated habitat"))</f>
        <v>0</v>
      </c>
      <c r="Y715">
        <f>OR(AND(IF(Metadata!E715="",FALSE,TRUE),OR(exact(Metadata!E715,"not applicable"),exact(Metadata!E715,"missing: not collected"),exact(Metadata!E715,"missing: not provided"),exact(Metadata!E715,"missing: restricted access"))),AND(IF(Metadata!E715="",FALSE,ISNUMBER(VALUE(Metadata!E715))),Metadata!E715&gt;0))</f>
        <v>0</v>
      </c>
      <c r="Z715">
        <f>AND(IF(Metadata!F715="",FALSE,TRUE),exact(Metadata!F715,"weeks"))</f>
        <v>0</v>
      </c>
      <c r="AA715">
        <f>AND(IF(Metadata!G715="",FALSE,TRUE),exact(Metadata!G715,"mouse"))</f>
        <v>0</v>
      </c>
      <c r="AB715">
        <f>AND(IF(Metadata!H715="",FALSE,TRUE),exact(Metadata!H715,"Mus musculus"))</f>
        <v>0</v>
      </c>
      <c r="AC715">
        <f>AND(IF(Metadata!I715="",FALSE,TRUE),exact(Metadata!I715,"10090"))</f>
        <v>0</v>
      </c>
      <c r="AD715">
        <f>OR(AND(IF(Metadata!J715="",FALSE,TRUE),OR(exact(Metadata!J715,"not applicable"),exact(Metadata!J715,"missing: not collected"),exact(Metadata!J715,"missing: not provided"),exact(Metadata!J715,"missing: restricted access"))),AND(IF(Metadata!J715="",FALSE,ISNUMBER(VALUE(Metadata!J715))),Metadata!J715&gt;0))</f>
        <v>0</v>
      </c>
      <c r="AE715">
        <f>AND(IF(Metadata!K715="",FALSE,TRUE),exact(Metadata!K715,"g"))</f>
        <v>0</v>
      </c>
    </row>
    <row r="716" spans="1:31">
      <c r="A716" s="5">
        <f>IF(B716=" "," ",HYPERLINK(CONCATENATE("#metadata!",ADDRESS(INDEX($Q$2:$Q$1001,MATCH(ROWS($O$2:O716),$O$2:$O$1001,0),0),1)),INDEX($T$2:$T$1001,MATCH(ROWS($O$2:O716),$O$2:$O$1001,0),0)))</f>
        <v>0</v>
      </c>
      <c r="B716" s="4">
        <f>IF(OR(INDEX($P$2:$P$1001,MATCH(ROWS($O$2:O716),$O$2:$O$1001,0),1)&gt;=100000,INDEX($V$1005:$AE$1005,1,MATCH(COLUMNS($V$1006:V1006),$V$1006:$AE$1006,0))&gt;=100000), " ",IF(INDEX($V$2:$AE$1001,MATCH(ROWS($O$2:O716),$O$2:$O$1001,0),MATCH(COLUMNS($V$1006:V1006),$V$1006:$AE$1006,0)), HYPERLINK("#",""), HYPERLINK(CONCATENATE("#Metadata!", ADDRESS(INDEX($Q$2:$Q$1001,MATCH(ROWS($O$2:O716),$O$2:$O$1001,0),0), INDEX($V$1004:$AE$1004,1,MATCH(COLUMNS($V$1006:V1006),$V$1006:$AE$1006,0)))),"Fix")))</f>
        <v>0</v>
      </c>
      <c r="C716" s="4">
        <f>IF(OR(INDEX($P$2:$P$1001,MATCH(ROWS($O$2:O716),$O$2:$O$1001,0),1)&gt;=100000,INDEX($V$1005:$AE$1005,1,MATCH(COLUMNS($V$1006:W1006),$V$1006:$AE$1006,0))&gt;=100000), " ",IF(INDEX($V$2:$AE$1001,MATCH(ROWS($O$2:O716),$O$2:$O$1001,0),MATCH(COLUMNS($V$1006:W1006),$V$1006:$AE$1006,0)), HYPERLINK("#",""), HYPERLINK(CONCATENATE("#Metadata!", ADDRESS(INDEX($Q$2:$Q$1001,MATCH(ROWS($O$2:O716),$O$2:$O$1001,0),0), INDEX($V$1004:$AE$1004,1,MATCH(COLUMNS($V$1006:W1006),$V$1006:$AE$1006,0)))),"Fix")))</f>
        <v>0</v>
      </c>
      <c r="D716" s="4">
        <f>IF(OR(INDEX($P$2:$P$1001,MATCH(ROWS($O$2:O716),$O$2:$O$1001,0),1)&gt;=100000,INDEX($V$1005:$AE$1005,1,MATCH(COLUMNS($V$1006:X1006),$V$1006:$AE$1006,0))&gt;=100000), " ",IF(INDEX($V$2:$AE$1001,MATCH(ROWS($O$2:O716),$O$2:$O$1001,0),MATCH(COLUMNS($V$1006:X1006),$V$1006:$AE$1006,0)), HYPERLINK("#",""), HYPERLINK(CONCATENATE("#Metadata!", ADDRESS(INDEX($Q$2:$Q$1001,MATCH(ROWS($O$2:O716),$O$2:$O$1001,0),0), INDEX($V$1004:$AE$1004,1,MATCH(COLUMNS($V$1006:X1006),$V$1006:$AE$1006,0)))),"Fix")))</f>
        <v>0</v>
      </c>
      <c r="E716" s="4">
        <f>IF(OR(INDEX($P$2:$P$1001,MATCH(ROWS($O$2:O716),$O$2:$O$1001,0),1)&gt;=100000,INDEX($V$1005:$AE$1005,1,MATCH(COLUMNS($V$1006:Y1006),$V$1006:$AE$1006,0))&gt;=100000), " ",IF(INDEX($V$2:$AE$1001,MATCH(ROWS($O$2:O716),$O$2:$O$1001,0),MATCH(COLUMNS($V$1006:Y1006),$V$1006:$AE$1006,0)), HYPERLINK("#",""), HYPERLINK(CONCATENATE("#Metadata!", ADDRESS(INDEX($Q$2:$Q$1001,MATCH(ROWS($O$2:O716),$O$2:$O$1001,0),0), INDEX($V$1004:$AE$1004,1,MATCH(COLUMNS($V$1006:Y1006),$V$1006:$AE$1006,0)))),"Fix")))</f>
        <v>0</v>
      </c>
      <c r="F716" s="4">
        <f>IF(OR(INDEX($P$2:$P$1001,MATCH(ROWS($O$2:O716),$O$2:$O$1001,0),1)&gt;=100000,INDEX($V$1005:$AE$1005,1,MATCH(COLUMNS($V$1006:Z1006),$V$1006:$AE$1006,0))&gt;=100000), " ",IF(INDEX($V$2:$AE$1001,MATCH(ROWS($O$2:O716),$O$2:$O$1001,0),MATCH(COLUMNS($V$1006:Z1006),$V$1006:$AE$1006,0)), HYPERLINK("#",""), HYPERLINK(CONCATENATE("#Metadata!", ADDRESS(INDEX($Q$2:$Q$1001,MATCH(ROWS($O$2:O716),$O$2:$O$1001,0),0), INDEX($V$1004:$AE$1004,1,MATCH(COLUMNS($V$1006:Z1006),$V$1006:$AE$1006,0)))),"Fix")))</f>
        <v>0</v>
      </c>
      <c r="G716" s="4">
        <f>IF(OR(INDEX($P$2:$P$1001,MATCH(ROWS($O$2:O716),$O$2:$O$1001,0),1)&gt;=100000,INDEX($V$1005:$AE$1005,1,MATCH(COLUMNS($V$1006:AA1006),$V$1006:$AE$1006,0))&gt;=100000), " ",IF(INDEX($V$2:$AE$1001,MATCH(ROWS($O$2:O716),$O$2:$O$1001,0),MATCH(COLUMNS($V$1006:AA1006),$V$1006:$AE$1006,0)), HYPERLINK("#",""), HYPERLINK(CONCATENATE("#Metadata!", ADDRESS(INDEX($Q$2:$Q$1001,MATCH(ROWS($O$2:O716),$O$2:$O$1001,0),0), INDEX($V$1004:$AE$1004,1,MATCH(COLUMNS($V$1006:AA1006),$V$1006:$AE$1006,0)))),"Fix")))</f>
        <v>0</v>
      </c>
      <c r="H716" s="4">
        <f>IF(OR(INDEX($P$2:$P$1001,MATCH(ROWS($O$2:O716),$O$2:$O$1001,0),1)&gt;=100000,INDEX($V$1005:$AE$1005,1,MATCH(COLUMNS($V$1006:AB1006),$V$1006:$AE$1006,0))&gt;=100000), " ",IF(INDEX($V$2:$AE$1001,MATCH(ROWS($O$2:O716),$O$2:$O$1001,0),MATCH(COLUMNS($V$1006:AB1006),$V$1006:$AE$1006,0)), HYPERLINK("#",""), HYPERLINK(CONCATENATE("#Metadata!", ADDRESS(INDEX($Q$2:$Q$1001,MATCH(ROWS($O$2:O716),$O$2:$O$1001,0),0), INDEX($V$1004:$AE$1004,1,MATCH(COLUMNS($V$1006:AB1006),$V$1006:$AE$1006,0)))),"Fix")))</f>
        <v>0</v>
      </c>
      <c r="I716" s="4">
        <f>IF(OR(INDEX($P$2:$P$1001,MATCH(ROWS($O$2:O716),$O$2:$O$1001,0),1)&gt;=100000,INDEX($V$1005:$AE$1005,1,MATCH(COLUMNS($V$1006:AC1006),$V$1006:$AE$1006,0))&gt;=100000), " ",IF(INDEX($V$2:$AE$1001,MATCH(ROWS($O$2:O716),$O$2:$O$1001,0),MATCH(COLUMNS($V$1006:AC1006),$V$1006:$AE$1006,0)), HYPERLINK("#",""), HYPERLINK(CONCATENATE("#Metadata!", ADDRESS(INDEX($Q$2:$Q$1001,MATCH(ROWS($O$2:O716),$O$2:$O$1001,0),0), INDEX($V$1004:$AE$1004,1,MATCH(COLUMNS($V$1006:AC1006),$V$1006:$AE$1006,0)))),"Fix")))</f>
        <v>0</v>
      </c>
      <c r="J716" s="4">
        <f>IF(OR(INDEX($P$2:$P$1001,MATCH(ROWS($O$2:O716),$O$2:$O$1001,0),1)&gt;=100000,INDEX($V$1005:$AE$1005,1,MATCH(COLUMNS($V$1006:AD1006),$V$1006:$AE$1006,0))&gt;=100000), " ",IF(INDEX($V$2:$AE$1001,MATCH(ROWS($O$2:O716),$O$2:$O$1001,0),MATCH(COLUMNS($V$1006:AD1006),$V$1006:$AE$1006,0)), HYPERLINK("#",""), HYPERLINK(CONCATENATE("#Metadata!", ADDRESS(INDEX($Q$2:$Q$1001,MATCH(ROWS($O$2:O716),$O$2:$O$1001,0),0), INDEX($V$1004:$AE$1004,1,MATCH(COLUMNS($V$1006:AD1006),$V$1006:$AE$1006,0)))),"Fix")))</f>
        <v>0</v>
      </c>
      <c r="K716" s="4">
        <f>IF(OR(INDEX($P$2:$P$1001,MATCH(ROWS($O$2:O716),$O$2:$O$1001,0),1)&gt;=100000,INDEX($V$1005:$AE$1005,1,MATCH(COLUMNS($V$1006:AE1006),$V$1006:$AE$1006,0))&gt;=100000), " ",IF(INDEX($V$2:$AE$1001,MATCH(ROWS($O$2:O716),$O$2:$O$1001,0),MATCH(COLUMNS($V$1006:AE1006),$V$1006:$AE$1006,0)), HYPERLINK("#",""), HYPERLINK(CONCATENATE("#Metadata!", ADDRESS(INDEX($Q$2:$Q$1001,MATCH(ROWS($O$2:O716),$O$2:$O$1001,0),0), INDEX($V$1004:$AE$1004,1,MATCH(COLUMNS($V$1006:AE1006),$V$1006:$AE$1006,0)))),"Fix")))</f>
        <v>0</v>
      </c>
      <c r="O716">
        <v>0</v>
      </c>
      <c r="P716">
        <v>0</v>
      </c>
      <c r="Q716">
        <v>0</v>
      </c>
      <c r="R716">
        <f>IF(S716,TRUE,AND(V716:AE716))</f>
        <v>0</v>
      </c>
      <c r="S716">
        <f>COUNTBLANK(Metadata!B716:K716)=COLUMNS(Metadata!B716:K716)</f>
        <v>0</v>
      </c>
      <c r="T716">
        <v>0</v>
      </c>
      <c r="V716">
        <f>AND(IF(Metadata!B716="",FALSE,TRUE),COUNTIF(Metadata!B:B, Metadata!B716) = 1,NOT(ISERROR(SUMPRODUCT(SEARCH(MID(Metadata!B716,ROW(INDIRECT("1:"&amp;LEN(Metadata!B716))), 1),"0123456789abcdefghijklmnopqrstuvwxyzABCDEFGHIJKLMNOPQRSTUVWXYZ.")))))</f>
        <v>0</v>
      </c>
      <c r="W716">
        <f>AND(IF(Metadata!C716="",FALSE,TRUE),exact(Metadata!C716,"urban biome"))</f>
        <v>0</v>
      </c>
      <c r="X716">
        <f>AND(IF(Metadata!D716="",FALSE,TRUE),exact(Metadata!D716,"animal-associated habitat"))</f>
        <v>0</v>
      </c>
      <c r="Y716">
        <f>OR(AND(IF(Metadata!E716="",FALSE,TRUE),OR(exact(Metadata!E716,"not applicable"),exact(Metadata!E716,"missing: not collected"),exact(Metadata!E716,"missing: not provided"),exact(Metadata!E716,"missing: restricted access"))),AND(IF(Metadata!E716="",FALSE,ISNUMBER(VALUE(Metadata!E716))),Metadata!E716&gt;0))</f>
        <v>0</v>
      </c>
      <c r="Z716">
        <f>AND(IF(Metadata!F716="",FALSE,TRUE),exact(Metadata!F716,"weeks"))</f>
        <v>0</v>
      </c>
      <c r="AA716">
        <f>AND(IF(Metadata!G716="",FALSE,TRUE),exact(Metadata!G716,"mouse"))</f>
        <v>0</v>
      </c>
      <c r="AB716">
        <f>AND(IF(Metadata!H716="",FALSE,TRUE),exact(Metadata!H716,"Mus musculus"))</f>
        <v>0</v>
      </c>
      <c r="AC716">
        <f>AND(IF(Metadata!I716="",FALSE,TRUE),exact(Metadata!I716,"10090"))</f>
        <v>0</v>
      </c>
      <c r="AD716">
        <f>OR(AND(IF(Metadata!J716="",FALSE,TRUE),OR(exact(Metadata!J716,"not applicable"),exact(Metadata!J716,"missing: not collected"),exact(Metadata!J716,"missing: not provided"),exact(Metadata!J716,"missing: restricted access"))),AND(IF(Metadata!J716="",FALSE,ISNUMBER(VALUE(Metadata!J716))),Metadata!J716&gt;0))</f>
        <v>0</v>
      </c>
      <c r="AE716">
        <f>AND(IF(Metadata!K716="",FALSE,TRUE),exact(Metadata!K716,"g"))</f>
        <v>0</v>
      </c>
    </row>
    <row r="717" spans="1:31">
      <c r="A717" s="5">
        <f>IF(B717=" "," ",HYPERLINK(CONCATENATE("#metadata!",ADDRESS(INDEX($Q$2:$Q$1001,MATCH(ROWS($O$2:O717),$O$2:$O$1001,0),0),1)),INDEX($T$2:$T$1001,MATCH(ROWS($O$2:O717),$O$2:$O$1001,0),0)))</f>
        <v>0</v>
      </c>
      <c r="B717" s="4">
        <f>IF(OR(INDEX($P$2:$P$1001,MATCH(ROWS($O$2:O717),$O$2:$O$1001,0),1)&gt;=100000,INDEX($V$1005:$AE$1005,1,MATCH(COLUMNS($V$1006:V1006),$V$1006:$AE$1006,0))&gt;=100000), " ",IF(INDEX($V$2:$AE$1001,MATCH(ROWS($O$2:O717),$O$2:$O$1001,0),MATCH(COLUMNS($V$1006:V1006),$V$1006:$AE$1006,0)), HYPERLINK("#",""), HYPERLINK(CONCATENATE("#Metadata!", ADDRESS(INDEX($Q$2:$Q$1001,MATCH(ROWS($O$2:O717),$O$2:$O$1001,0),0), INDEX($V$1004:$AE$1004,1,MATCH(COLUMNS($V$1006:V1006),$V$1006:$AE$1006,0)))),"Fix")))</f>
        <v>0</v>
      </c>
      <c r="C717" s="4">
        <f>IF(OR(INDEX($P$2:$P$1001,MATCH(ROWS($O$2:O717),$O$2:$O$1001,0),1)&gt;=100000,INDEX($V$1005:$AE$1005,1,MATCH(COLUMNS($V$1006:W1006),$V$1006:$AE$1006,0))&gt;=100000), " ",IF(INDEX($V$2:$AE$1001,MATCH(ROWS($O$2:O717),$O$2:$O$1001,0),MATCH(COLUMNS($V$1006:W1006),$V$1006:$AE$1006,0)), HYPERLINK("#",""), HYPERLINK(CONCATENATE("#Metadata!", ADDRESS(INDEX($Q$2:$Q$1001,MATCH(ROWS($O$2:O717),$O$2:$O$1001,0),0), INDEX($V$1004:$AE$1004,1,MATCH(COLUMNS($V$1006:W1006),$V$1006:$AE$1006,0)))),"Fix")))</f>
        <v>0</v>
      </c>
      <c r="D717" s="4">
        <f>IF(OR(INDEX($P$2:$P$1001,MATCH(ROWS($O$2:O717),$O$2:$O$1001,0),1)&gt;=100000,INDEX($V$1005:$AE$1005,1,MATCH(COLUMNS($V$1006:X1006),$V$1006:$AE$1006,0))&gt;=100000), " ",IF(INDEX($V$2:$AE$1001,MATCH(ROWS($O$2:O717),$O$2:$O$1001,0),MATCH(COLUMNS($V$1006:X1006),$V$1006:$AE$1006,0)), HYPERLINK("#",""), HYPERLINK(CONCATENATE("#Metadata!", ADDRESS(INDEX($Q$2:$Q$1001,MATCH(ROWS($O$2:O717),$O$2:$O$1001,0),0), INDEX($V$1004:$AE$1004,1,MATCH(COLUMNS($V$1006:X1006),$V$1006:$AE$1006,0)))),"Fix")))</f>
        <v>0</v>
      </c>
      <c r="E717" s="4">
        <f>IF(OR(INDEX($P$2:$P$1001,MATCH(ROWS($O$2:O717),$O$2:$O$1001,0),1)&gt;=100000,INDEX($V$1005:$AE$1005,1,MATCH(COLUMNS($V$1006:Y1006),$V$1006:$AE$1006,0))&gt;=100000), " ",IF(INDEX($V$2:$AE$1001,MATCH(ROWS($O$2:O717),$O$2:$O$1001,0),MATCH(COLUMNS($V$1006:Y1006),$V$1006:$AE$1006,0)), HYPERLINK("#",""), HYPERLINK(CONCATENATE("#Metadata!", ADDRESS(INDEX($Q$2:$Q$1001,MATCH(ROWS($O$2:O717),$O$2:$O$1001,0),0), INDEX($V$1004:$AE$1004,1,MATCH(COLUMNS($V$1006:Y1006),$V$1006:$AE$1006,0)))),"Fix")))</f>
        <v>0</v>
      </c>
      <c r="F717" s="4">
        <f>IF(OR(INDEX($P$2:$P$1001,MATCH(ROWS($O$2:O717),$O$2:$O$1001,0),1)&gt;=100000,INDEX($V$1005:$AE$1005,1,MATCH(COLUMNS($V$1006:Z1006),$V$1006:$AE$1006,0))&gt;=100000), " ",IF(INDEX($V$2:$AE$1001,MATCH(ROWS($O$2:O717),$O$2:$O$1001,0),MATCH(COLUMNS($V$1006:Z1006),$V$1006:$AE$1006,0)), HYPERLINK("#",""), HYPERLINK(CONCATENATE("#Metadata!", ADDRESS(INDEX($Q$2:$Q$1001,MATCH(ROWS($O$2:O717),$O$2:$O$1001,0),0), INDEX($V$1004:$AE$1004,1,MATCH(COLUMNS($V$1006:Z1006),$V$1006:$AE$1006,0)))),"Fix")))</f>
        <v>0</v>
      </c>
      <c r="G717" s="4">
        <f>IF(OR(INDEX($P$2:$P$1001,MATCH(ROWS($O$2:O717),$O$2:$O$1001,0),1)&gt;=100000,INDEX($V$1005:$AE$1005,1,MATCH(COLUMNS($V$1006:AA1006),$V$1006:$AE$1006,0))&gt;=100000), " ",IF(INDEX($V$2:$AE$1001,MATCH(ROWS($O$2:O717),$O$2:$O$1001,0),MATCH(COLUMNS($V$1006:AA1006),$V$1006:$AE$1006,0)), HYPERLINK("#",""), HYPERLINK(CONCATENATE("#Metadata!", ADDRESS(INDEX($Q$2:$Q$1001,MATCH(ROWS($O$2:O717),$O$2:$O$1001,0),0), INDEX($V$1004:$AE$1004,1,MATCH(COLUMNS($V$1006:AA1006),$V$1006:$AE$1006,0)))),"Fix")))</f>
        <v>0</v>
      </c>
      <c r="H717" s="4">
        <f>IF(OR(INDEX($P$2:$P$1001,MATCH(ROWS($O$2:O717),$O$2:$O$1001,0),1)&gt;=100000,INDEX($V$1005:$AE$1005,1,MATCH(COLUMNS($V$1006:AB1006),$V$1006:$AE$1006,0))&gt;=100000), " ",IF(INDEX($V$2:$AE$1001,MATCH(ROWS($O$2:O717),$O$2:$O$1001,0),MATCH(COLUMNS($V$1006:AB1006),$V$1006:$AE$1006,0)), HYPERLINK("#",""), HYPERLINK(CONCATENATE("#Metadata!", ADDRESS(INDEX($Q$2:$Q$1001,MATCH(ROWS($O$2:O717),$O$2:$O$1001,0),0), INDEX($V$1004:$AE$1004,1,MATCH(COLUMNS($V$1006:AB1006),$V$1006:$AE$1006,0)))),"Fix")))</f>
        <v>0</v>
      </c>
      <c r="I717" s="4">
        <f>IF(OR(INDEX($P$2:$P$1001,MATCH(ROWS($O$2:O717),$O$2:$O$1001,0),1)&gt;=100000,INDEX($V$1005:$AE$1005,1,MATCH(COLUMNS($V$1006:AC1006),$V$1006:$AE$1006,0))&gt;=100000), " ",IF(INDEX($V$2:$AE$1001,MATCH(ROWS($O$2:O717),$O$2:$O$1001,0),MATCH(COLUMNS($V$1006:AC1006),$V$1006:$AE$1006,0)), HYPERLINK("#",""), HYPERLINK(CONCATENATE("#Metadata!", ADDRESS(INDEX($Q$2:$Q$1001,MATCH(ROWS($O$2:O717),$O$2:$O$1001,0),0), INDEX($V$1004:$AE$1004,1,MATCH(COLUMNS($V$1006:AC1006),$V$1006:$AE$1006,0)))),"Fix")))</f>
        <v>0</v>
      </c>
      <c r="J717" s="4">
        <f>IF(OR(INDEX($P$2:$P$1001,MATCH(ROWS($O$2:O717),$O$2:$O$1001,0),1)&gt;=100000,INDEX($V$1005:$AE$1005,1,MATCH(COLUMNS($V$1006:AD1006),$V$1006:$AE$1006,0))&gt;=100000), " ",IF(INDEX($V$2:$AE$1001,MATCH(ROWS($O$2:O717),$O$2:$O$1001,0),MATCH(COLUMNS($V$1006:AD1006),$V$1006:$AE$1006,0)), HYPERLINK("#",""), HYPERLINK(CONCATENATE("#Metadata!", ADDRESS(INDEX($Q$2:$Q$1001,MATCH(ROWS($O$2:O717),$O$2:$O$1001,0),0), INDEX($V$1004:$AE$1004,1,MATCH(COLUMNS($V$1006:AD1006),$V$1006:$AE$1006,0)))),"Fix")))</f>
        <v>0</v>
      </c>
      <c r="K717" s="4">
        <f>IF(OR(INDEX($P$2:$P$1001,MATCH(ROWS($O$2:O717),$O$2:$O$1001,0),1)&gt;=100000,INDEX($V$1005:$AE$1005,1,MATCH(COLUMNS($V$1006:AE1006),$V$1006:$AE$1006,0))&gt;=100000), " ",IF(INDEX($V$2:$AE$1001,MATCH(ROWS($O$2:O717),$O$2:$O$1001,0),MATCH(COLUMNS($V$1006:AE1006),$V$1006:$AE$1006,0)), HYPERLINK("#",""), HYPERLINK(CONCATENATE("#Metadata!", ADDRESS(INDEX($Q$2:$Q$1001,MATCH(ROWS($O$2:O717),$O$2:$O$1001,0),0), INDEX($V$1004:$AE$1004,1,MATCH(COLUMNS($V$1006:AE1006),$V$1006:$AE$1006,0)))),"Fix")))</f>
        <v>0</v>
      </c>
      <c r="O717">
        <v>0</v>
      </c>
      <c r="P717">
        <v>0</v>
      </c>
      <c r="Q717">
        <v>0</v>
      </c>
      <c r="R717">
        <f>IF(S717,TRUE,AND(V717:AE717))</f>
        <v>0</v>
      </c>
      <c r="S717">
        <f>COUNTBLANK(Metadata!B717:K717)=COLUMNS(Metadata!B717:K717)</f>
        <v>0</v>
      </c>
      <c r="T717">
        <v>0</v>
      </c>
      <c r="V717">
        <f>AND(IF(Metadata!B717="",FALSE,TRUE),COUNTIF(Metadata!B:B, Metadata!B717) = 1,NOT(ISERROR(SUMPRODUCT(SEARCH(MID(Metadata!B717,ROW(INDIRECT("1:"&amp;LEN(Metadata!B717))), 1),"0123456789abcdefghijklmnopqrstuvwxyzABCDEFGHIJKLMNOPQRSTUVWXYZ.")))))</f>
        <v>0</v>
      </c>
      <c r="W717">
        <f>AND(IF(Metadata!C717="",FALSE,TRUE),exact(Metadata!C717,"urban biome"))</f>
        <v>0</v>
      </c>
      <c r="X717">
        <f>AND(IF(Metadata!D717="",FALSE,TRUE),exact(Metadata!D717,"animal-associated habitat"))</f>
        <v>0</v>
      </c>
      <c r="Y717">
        <f>OR(AND(IF(Metadata!E717="",FALSE,TRUE),OR(exact(Metadata!E717,"not applicable"),exact(Metadata!E717,"missing: not collected"),exact(Metadata!E717,"missing: not provided"),exact(Metadata!E717,"missing: restricted access"))),AND(IF(Metadata!E717="",FALSE,ISNUMBER(VALUE(Metadata!E717))),Metadata!E717&gt;0))</f>
        <v>0</v>
      </c>
      <c r="Z717">
        <f>AND(IF(Metadata!F717="",FALSE,TRUE),exact(Metadata!F717,"weeks"))</f>
        <v>0</v>
      </c>
      <c r="AA717">
        <f>AND(IF(Metadata!G717="",FALSE,TRUE),exact(Metadata!G717,"mouse"))</f>
        <v>0</v>
      </c>
      <c r="AB717">
        <f>AND(IF(Metadata!H717="",FALSE,TRUE),exact(Metadata!H717,"Mus musculus"))</f>
        <v>0</v>
      </c>
      <c r="AC717">
        <f>AND(IF(Metadata!I717="",FALSE,TRUE),exact(Metadata!I717,"10090"))</f>
        <v>0</v>
      </c>
      <c r="AD717">
        <f>OR(AND(IF(Metadata!J717="",FALSE,TRUE),OR(exact(Metadata!J717,"not applicable"),exact(Metadata!J717,"missing: not collected"),exact(Metadata!J717,"missing: not provided"),exact(Metadata!J717,"missing: restricted access"))),AND(IF(Metadata!J717="",FALSE,ISNUMBER(VALUE(Metadata!J717))),Metadata!J717&gt;0))</f>
        <v>0</v>
      </c>
      <c r="AE717">
        <f>AND(IF(Metadata!K717="",FALSE,TRUE),exact(Metadata!K717,"g"))</f>
        <v>0</v>
      </c>
    </row>
    <row r="718" spans="1:31">
      <c r="A718" s="5">
        <f>IF(B718=" "," ",HYPERLINK(CONCATENATE("#metadata!",ADDRESS(INDEX($Q$2:$Q$1001,MATCH(ROWS($O$2:O718),$O$2:$O$1001,0),0),1)),INDEX($T$2:$T$1001,MATCH(ROWS($O$2:O718),$O$2:$O$1001,0),0)))</f>
        <v>0</v>
      </c>
      <c r="B718" s="4">
        <f>IF(OR(INDEX($P$2:$P$1001,MATCH(ROWS($O$2:O718),$O$2:$O$1001,0),1)&gt;=100000,INDEX($V$1005:$AE$1005,1,MATCH(COLUMNS($V$1006:V1006),$V$1006:$AE$1006,0))&gt;=100000), " ",IF(INDEX($V$2:$AE$1001,MATCH(ROWS($O$2:O718),$O$2:$O$1001,0),MATCH(COLUMNS($V$1006:V1006),$V$1006:$AE$1006,0)), HYPERLINK("#",""), HYPERLINK(CONCATENATE("#Metadata!", ADDRESS(INDEX($Q$2:$Q$1001,MATCH(ROWS($O$2:O718),$O$2:$O$1001,0),0), INDEX($V$1004:$AE$1004,1,MATCH(COLUMNS($V$1006:V1006),$V$1006:$AE$1006,0)))),"Fix")))</f>
        <v>0</v>
      </c>
      <c r="C718" s="4">
        <f>IF(OR(INDEX($P$2:$P$1001,MATCH(ROWS($O$2:O718),$O$2:$O$1001,0),1)&gt;=100000,INDEX($V$1005:$AE$1005,1,MATCH(COLUMNS($V$1006:W1006),$V$1006:$AE$1006,0))&gt;=100000), " ",IF(INDEX($V$2:$AE$1001,MATCH(ROWS($O$2:O718),$O$2:$O$1001,0),MATCH(COLUMNS($V$1006:W1006),$V$1006:$AE$1006,0)), HYPERLINK("#",""), HYPERLINK(CONCATENATE("#Metadata!", ADDRESS(INDEX($Q$2:$Q$1001,MATCH(ROWS($O$2:O718),$O$2:$O$1001,0),0), INDEX($V$1004:$AE$1004,1,MATCH(COLUMNS($V$1006:W1006),$V$1006:$AE$1006,0)))),"Fix")))</f>
        <v>0</v>
      </c>
      <c r="D718" s="4">
        <f>IF(OR(INDEX($P$2:$P$1001,MATCH(ROWS($O$2:O718),$O$2:$O$1001,0),1)&gt;=100000,INDEX($V$1005:$AE$1005,1,MATCH(COLUMNS($V$1006:X1006),$V$1006:$AE$1006,0))&gt;=100000), " ",IF(INDEX($V$2:$AE$1001,MATCH(ROWS($O$2:O718),$O$2:$O$1001,0),MATCH(COLUMNS($V$1006:X1006),$V$1006:$AE$1006,0)), HYPERLINK("#",""), HYPERLINK(CONCATENATE("#Metadata!", ADDRESS(INDEX($Q$2:$Q$1001,MATCH(ROWS($O$2:O718),$O$2:$O$1001,0),0), INDEX($V$1004:$AE$1004,1,MATCH(COLUMNS($V$1006:X1006),$V$1006:$AE$1006,0)))),"Fix")))</f>
        <v>0</v>
      </c>
      <c r="E718" s="4">
        <f>IF(OR(INDEX($P$2:$P$1001,MATCH(ROWS($O$2:O718),$O$2:$O$1001,0),1)&gt;=100000,INDEX($V$1005:$AE$1005,1,MATCH(COLUMNS($V$1006:Y1006),$V$1006:$AE$1006,0))&gt;=100000), " ",IF(INDEX($V$2:$AE$1001,MATCH(ROWS($O$2:O718),$O$2:$O$1001,0),MATCH(COLUMNS($V$1006:Y1006),$V$1006:$AE$1006,0)), HYPERLINK("#",""), HYPERLINK(CONCATENATE("#Metadata!", ADDRESS(INDEX($Q$2:$Q$1001,MATCH(ROWS($O$2:O718),$O$2:$O$1001,0),0), INDEX($V$1004:$AE$1004,1,MATCH(COLUMNS($V$1006:Y1006),$V$1006:$AE$1006,0)))),"Fix")))</f>
        <v>0</v>
      </c>
      <c r="F718" s="4">
        <f>IF(OR(INDEX($P$2:$P$1001,MATCH(ROWS($O$2:O718),$O$2:$O$1001,0),1)&gt;=100000,INDEX($V$1005:$AE$1005,1,MATCH(COLUMNS($V$1006:Z1006),$V$1006:$AE$1006,0))&gt;=100000), " ",IF(INDEX($V$2:$AE$1001,MATCH(ROWS($O$2:O718),$O$2:$O$1001,0),MATCH(COLUMNS($V$1006:Z1006),$V$1006:$AE$1006,0)), HYPERLINK("#",""), HYPERLINK(CONCATENATE("#Metadata!", ADDRESS(INDEX($Q$2:$Q$1001,MATCH(ROWS($O$2:O718),$O$2:$O$1001,0),0), INDEX($V$1004:$AE$1004,1,MATCH(COLUMNS($V$1006:Z1006),$V$1006:$AE$1006,0)))),"Fix")))</f>
        <v>0</v>
      </c>
      <c r="G718" s="4">
        <f>IF(OR(INDEX($P$2:$P$1001,MATCH(ROWS($O$2:O718),$O$2:$O$1001,0),1)&gt;=100000,INDEX($V$1005:$AE$1005,1,MATCH(COLUMNS($V$1006:AA1006),$V$1006:$AE$1006,0))&gt;=100000), " ",IF(INDEX($V$2:$AE$1001,MATCH(ROWS($O$2:O718),$O$2:$O$1001,0),MATCH(COLUMNS($V$1006:AA1006),$V$1006:$AE$1006,0)), HYPERLINK("#",""), HYPERLINK(CONCATENATE("#Metadata!", ADDRESS(INDEX($Q$2:$Q$1001,MATCH(ROWS($O$2:O718),$O$2:$O$1001,0),0), INDEX($V$1004:$AE$1004,1,MATCH(COLUMNS($V$1006:AA1006),$V$1006:$AE$1006,0)))),"Fix")))</f>
        <v>0</v>
      </c>
      <c r="H718" s="4">
        <f>IF(OR(INDEX($P$2:$P$1001,MATCH(ROWS($O$2:O718),$O$2:$O$1001,0),1)&gt;=100000,INDEX($V$1005:$AE$1005,1,MATCH(COLUMNS($V$1006:AB1006),$V$1006:$AE$1006,0))&gt;=100000), " ",IF(INDEX($V$2:$AE$1001,MATCH(ROWS($O$2:O718),$O$2:$O$1001,0),MATCH(COLUMNS($V$1006:AB1006),$V$1006:$AE$1006,0)), HYPERLINK("#",""), HYPERLINK(CONCATENATE("#Metadata!", ADDRESS(INDEX($Q$2:$Q$1001,MATCH(ROWS($O$2:O718),$O$2:$O$1001,0),0), INDEX($V$1004:$AE$1004,1,MATCH(COLUMNS($V$1006:AB1006),$V$1006:$AE$1006,0)))),"Fix")))</f>
        <v>0</v>
      </c>
      <c r="I718" s="4">
        <f>IF(OR(INDEX($P$2:$P$1001,MATCH(ROWS($O$2:O718),$O$2:$O$1001,0),1)&gt;=100000,INDEX($V$1005:$AE$1005,1,MATCH(COLUMNS($V$1006:AC1006),$V$1006:$AE$1006,0))&gt;=100000), " ",IF(INDEX($V$2:$AE$1001,MATCH(ROWS($O$2:O718),$O$2:$O$1001,0),MATCH(COLUMNS($V$1006:AC1006),$V$1006:$AE$1006,0)), HYPERLINK("#",""), HYPERLINK(CONCATENATE("#Metadata!", ADDRESS(INDEX($Q$2:$Q$1001,MATCH(ROWS($O$2:O718),$O$2:$O$1001,0),0), INDEX($V$1004:$AE$1004,1,MATCH(COLUMNS($V$1006:AC1006),$V$1006:$AE$1006,0)))),"Fix")))</f>
        <v>0</v>
      </c>
      <c r="J718" s="4">
        <f>IF(OR(INDEX($P$2:$P$1001,MATCH(ROWS($O$2:O718),$O$2:$O$1001,0),1)&gt;=100000,INDEX($V$1005:$AE$1005,1,MATCH(COLUMNS($V$1006:AD1006),$V$1006:$AE$1006,0))&gt;=100000), " ",IF(INDEX($V$2:$AE$1001,MATCH(ROWS($O$2:O718),$O$2:$O$1001,0),MATCH(COLUMNS($V$1006:AD1006),$V$1006:$AE$1006,0)), HYPERLINK("#",""), HYPERLINK(CONCATENATE("#Metadata!", ADDRESS(INDEX($Q$2:$Q$1001,MATCH(ROWS($O$2:O718),$O$2:$O$1001,0),0), INDEX($V$1004:$AE$1004,1,MATCH(COLUMNS($V$1006:AD1006),$V$1006:$AE$1006,0)))),"Fix")))</f>
        <v>0</v>
      </c>
      <c r="K718" s="4">
        <f>IF(OR(INDEX($P$2:$P$1001,MATCH(ROWS($O$2:O718),$O$2:$O$1001,0),1)&gt;=100000,INDEX($V$1005:$AE$1005,1,MATCH(COLUMNS($V$1006:AE1006),$V$1006:$AE$1006,0))&gt;=100000), " ",IF(INDEX($V$2:$AE$1001,MATCH(ROWS($O$2:O718),$O$2:$O$1001,0),MATCH(COLUMNS($V$1006:AE1006),$V$1006:$AE$1006,0)), HYPERLINK("#",""), HYPERLINK(CONCATENATE("#Metadata!", ADDRESS(INDEX($Q$2:$Q$1001,MATCH(ROWS($O$2:O718),$O$2:$O$1001,0),0), INDEX($V$1004:$AE$1004,1,MATCH(COLUMNS($V$1006:AE1006),$V$1006:$AE$1006,0)))),"Fix")))</f>
        <v>0</v>
      </c>
      <c r="O718">
        <v>0</v>
      </c>
      <c r="P718">
        <v>0</v>
      </c>
      <c r="Q718">
        <v>0</v>
      </c>
      <c r="R718">
        <f>IF(S718,TRUE,AND(V718:AE718))</f>
        <v>0</v>
      </c>
      <c r="S718">
        <f>COUNTBLANK(Metadata!B718:K718)=COLUMNS(Metadata!B718:K718)</f>
        <v>0</v>
      </c>
      <c r="T718">
        <v>0</v>
      </c>
      <c r="V718">
        <f>AND(IF(Metadata!B718="",FALSE,TRUE),COUNTIF(Metadata!B:B, Metadata!B718) = 1,NOT(ISERROR(SUMPRODUCT(SEARCH(MID(Metadata!B718,ROW(INDIRECT("1:"&amp;LEN(Metadata!B718))), 1),"0123456789abcdefghijklmnopqrstuvwxyzABCDEFGHIJKLMNOPQRSTUVWXYZ.")))))</f>
        <v>0</v>
      </c>
      <c r="W718">
        <f>AND(IF(Metadata!C718="",FALSE,TRUE),exact(Metadata!C718,"urban biome"))</f>
        <v>0</v>
      </c>
      <c r="X718">
        <f>AND(IF(Metadata!D718="",FALSE,TRUE),exact(Metadata!D718,"animal-associated habitat"))</f>
        <v>0</v>
      </c>
      <c r="Y718">
        <f>OR(AND(IF(Metadata!E718="",FALSE,TRUE),OR(exact(Metadata!E718,"not applicable"),exact(Metadata!E718,"missing: not collected"),exact(Metadata!E718,"missing: not provided"),exact(Metadata!E718,"missing: restricted access"))),AND(IF(Metadata!E718="",FALSE,ISNUMBER(VALUE(Metadata!E718))),Metadata!E718&gt;0))</f>
        <v>0</v>
      </c>
      <c r="Z718">
        <f>AND(IF(Metadata!F718="",FALSE,TRUE),exact(Metadata!F718,"weeks"))</f>
        <v>0</v>
      </c>
      <c r="AA718">
        <f>AND(IF(Metadata!G718="",FALSE,TRUE),exact(Metadata!G718,"mouse"))</f>
        <v>0</v>
      </c>
      <c r="AB718">
        <f>AND(IF(Metadata!H718="",FALSE,TRUE),exact(Metadata!H718,"Mus musculus"))</f>
        <v>0</v>
      </c>
      <c r="AC718">
        <f>AND(IF(Metadata!I718="",FALSE,TRUE),exact(Metadata!I718,"10090"))</f>
        <v>0</v>
      </c>
      <c r="AD718">
        <f>OR(AND(IF(Metadata!J718="",FALSE,TRUE),OR(exact(Metadata!J718,"not applicable"),exact(Metadata!J718,"missing: not collected"),exact(Metadata!J718,"missing: not provided"),exact(Metadata!J718,"missing: restricted access"))),AND(IF(Metadata!J718="",FALSE,ISNUMBER(VALUE(Metadata!J718))),Metadata!J718&gt;0))</f>
        <v>0</v>
      </c>
      <c r="AE718">
        <f>AND(IF(Metadata!K718="",FALSE,TRUE),exact(Metadata!K718,"g"))</f>
        <v>0</v>
      </c>
    </row>
    <row r="719" spans="1:31">
      <c r="A719" s="5">
        <f>IF(B719=" "," ",HYPERLINK(CONCATENATE("#metadata!",ADDRESS(INDEX($Q$2:$Q$1001,MATCH(ROWS($O$2:O719),$O$2:$O$1001,0),0),1)),INDEX($T$2:$T$1001,MATCH(ROWS($O$2:O719),$O$2:$O$1001,0),0)))</f>
        <v>0</v>
      </c>
      <c r="B719" s="4">
        <f>IF(OR(INDEX($P$2:$P$1001,MATCH(ROWS($O$2:O719),$O$2:$O$1001,0),1)&gt;=100000,INDEX($V$1005:$AE$1005,1,MATCH(COLUMNS($V$1006:V1006),$V$1006:$AE$1006,0))&gt;=100000), " ",IF(INDEX($V$2:$AE$1001,MATCH(ROWS($O$2:O719),$O$2:$O$1001,0),MATCH(COLUMNS($V$1006:V1006),$V$1006:$AE$1006,0)), HYPERLINK("#",""), HYPERLINK(CONCATENATE("#Metadata!", ADDRESS(INDEX($Q$2:$Q$1001,MATCH(ROWS($O$2:O719),$O$2:$O$1001,0),0), INDEX($V$1004:$AE$1004,1,MATCH(COLUMNS($V$1006:V1006),$V$1006:$AE$1006,0)))),"Fix")))</f>
        <v>0</v>
      </c>
      <c r="C719" s="4">
        <f>IF(OR(INDEX($P$2:$P$1001,MATCH(ROWS($O$2:O719),$O$2:$O$1001,0),1)&gt;=100000,INDEX($V$1005:$AE$1005,1,MATCH(COLUMNS($V$1006:W1006),$V$1006:$AE$1006,0))&gt;=100000), " ",IF(INDEX($V$2:$AE$1001,MATCH(ROWS($O$2:O719),$O$2:$O$1001,0),MATCH(COLUMNS($V$1006:W1006),$V$1006:$AE$1006,0)), HYPERLINK("#",""), HYPERLINK(CONCATENATE("#Metadata!", ADDRESS(INDEX($Q$2:$Q$1001,MATCH(ROWS($O$2:O719),$O$2:$O$1001,0),0), INDEX($V$1004:$AE$1004,1,MATCH(COLUMNS($V$1006:W1006),$V$1006:$AE$1006,0)))),"Fix")))</f>
        <v>0</v>
      </c>
      <c r="D719" s="4">
        <f>IF(OR(INDEX($P$2:$P$1001,MATCH(ROWS($O$2:O719),$O$2:$O$1001,0),1)&gt;=100000,INDEX($V$1005:$AE$1005,1,MATCH(COLUMNS($V$1006:X1006),$V$1006:$AE$1006,0))&gt;=100000), " ",IF(INDEX($V$2:$AE$1001,MATCH(ROWS($O$2:O719),$O$2:$O$1001,0),MATCH(COLUMNS($V$1006:X1006),$V$1006:$AE$1006,0)), HYPERLINK("#",""), HYPERLINK(CONCATENATE("#Metadata!", ADDRESS(INDEX($Q$2:$Q$1001,MATCH(ROWS($O$2:O719),$O$2:$O$1001,0),0), INDEX($V$1004:$AE$1004,1,MATCH(COLUMNS($V$1006:X1006),$V$1006:$AE$1006,0)))),"Fix")))</f>
        <v>0</v>
      </c>
      <c r="E719" s="4">
        <f>IF(OR(INDEX($P$2:$P$1001,MATCH(ROWS($O$2:O719),$O$2:$O$1001,0),1)&gt;=100000,INDEX($V$1005:$AE$1005,1,MATCH(COLUMNS($V$1006:Y1006),$V$1006:$AE$1006,0))&gt;=100000), " ",IF(INDEX($V$2:$AE$1001,MATCH(ROWS($O$2:O719),$O$2:$O$1001,0),MATCH(COLUMNS($V$1006:Y1006),$V$1006:$AE$1006,0)), HYPERLINK("#",""), HYPERLINK(CONCATENATE("#Metadata!", ADDRESS(INDEX($Q$2:$Q$1001,MATCH(ROWS($O$2:O719),$O$2:$O$1001,0),0), INDEX($V$1004:$AE$1004,1,MATCH(COLUMNS($V$1006:Y1006),$V$1006:$AE$1006,0)))),"Fix")))</f>
        <v>0</v>
      </c>
      <c r="F719" s="4">
        <f>IF(OR(INDEX($P$2:$P$1001,MATCH(ROWS($O$2:O719),$O$2:$O$1001,0),1)&gt;=100000,INDEX($V$1005:$AE$1005,1,MATCH(COLUMNS($V$1006:Z1006),$V$1006:$AE$1006,0))&gt;=100000), " ",IF(INDEX($V$2:$AE$1001,MATCH(ROWS($O$2:O719),$O$2:$O$1001,0),MATCH(COLUMNS($V$1006:Z1006),$V$1006:$AE$1006,0)), HYPERLINK("#",""), HYPERLINK(CONCATENATE("#Metadata!", ADDRESS(INDEX($Q$2:$Q$1001,MATCH(ROWS($O$2:O719),$O$2:$O$1001,0),0), INDEX($V$1004:$AE$1004,1,MATCH(COLUMNS($V$1006:Z1006),$V$1006:$AE$1006,0)))),"Fix")))</f>
        <v>0</v>
      </c>
      <c r="G719" s="4">
        <f>IF(OR(INDEX($P$2:$P$1001,MATCH(ROWS($O$2:O719),$O$2:$O$1001,0),1)&gt;=100000,INDEX($V$1005:$AE$1005,1,MATCH(COLUMNS($V$1006:AA1006),$V$1006:$AE$1006,0))&gt;=100000), " ",IF(INDEX($V$2:$AE$1001,MATCH(ROWS($O$2:O719),$O$2:$O$1001,0),MATCH(COLUMNS($V$1006:AA1006),$V$1006:$AE$1006,0)), HYPERLINK("#",""), HYPERLINK(CONCATENATE("#Metadata!", ADDRESS(INDEX($Q$2:$Q$1001,MATCH(ROWS($O$2:O719),$O$2:$O$1001,0),0), INDEX($V$1004:$AE$1004,1,MATCH(COLUMNS($V$1006:AA1006),$V$1006:$AE$1006,0)))),"Fix")))</f>
        <v>0</v>
      </c>
      <c r="H719" s="4">
        <f>IF(OR(INDEX($P$2:$P$1001,MATCH(ROWS($O$2:O719),$O$2:$O$1001,0),1)&gt;=100000,INDEX($V$1005:$AE$1005,1,MATCH(COLUMNS($V$1006:AB1006),$V$1006:$AE$1006,0))&gt;=100000), " ",IF(INDEX($V$2:$AE$1001,MATCH(ROWS($O$2:O719),$O$2:$O$1001,0),MATCH(COLUMNS($V$1006:AB1006),$V$1006:$AE$1006,0)), HYPERLINK("#",""), HYPERLINK(CONCATENATE("#Metadata!", ADDRESS(INDEX($Q$2:$Q$1001,MATCH(ROWS($O$2:O719),$O$2:$O$1001,0),0), INDEX($V$1004:$AE$1004,1,MATCH(COLUMNS($V$1006:AB1006),$V$1006:$AE$1006,0)))),"Fix")))</f>
        <v>0</v>
      </c>
      <c r="I719" s="4">
        <f>IF(OR(INDEX($P$2:$P$1001,MATCH(ROWS($O$2:O719),$O$2:$O$1001,0),1)&gt;=100000,INDEX($V$1005:$AE$1005,1,MATCH(COLUMNS($V$1006:AC1006),$V$1006:$AE$1006,0))&gt;=100000), " ",IF(INDEX($V$2:$AE$1001,MATCH(ROWS($O$2:O719),$O$2:$O$1001,0),MATCH(COLUMNS($V$1006:AC1006),$V$1006:$AE$1006,0)), HYPERLINK("#",""), HYPERLINK(CONCATENATE("#Metadata!", ADDRESS(INDEX($Q$2:$Q$1001,MATCH(ROWS($O$2:O719),$O$2:$O$1001,0),0), INDEX($V$1004:$AE$1004,1,MATCH(COLUMNS($V$1006:AC1006),$V$1006:$AE$1006,0)))),"Fix")))</f>
        <v>0</v>
      </c>
      <c r="J719" s="4">
        <f>IF(OR(INDEX($P$2:$P$1001,MATCH(ROWS($O$2:O719),$O$2:$O$1001,0),1)&gt;=100000,INDEX($V$1005:$AE$1005,1,MATCH(COLUMNS($V$1006:AD1006),$V$1006:$AE$1006,0))&gt;=100000), " ",IF(INDEX($V$2:$AE$1001,MATCH(ROWS($O$2:O719),$O$2:$O$1001,0),MATCH(COLUMNS($V$1006:AD1006),$V$1006:$AE$1006,0)), HYPERLINK("#",""), HYPERLINK(CONCATENATE("#Metadata!", ADDRESS(INDEX($Q$2:$Q$1001,MATCH(ROWS($O$2:O719),$O$2:$O$1001,0),0), INDEX($V$1004:$AE$1004,1,MATCH(COLUMNS($V$1006:AD1006),$V$1006:$AE$1006,0)))),"Fix")))</f>
        <v>0</v>
      </c>
      <c r="K719" s="4">
        <f>IF(OR(INDEX($P$2:$P$1001,MATCH(ROWS($O$2:O719),$O$2:$O$1001,0),1)&gt;=100000,INDEX($V$1005:$AE$1005,1,MATCH(COLUMNS($V$1006:AE1006),$V$1006:$AE$1006,0))&gt;=100000), " ",IF(INDEX($V$2:$AE$1001,MATCH(ROWS($O$2:O719),$O$2:$O$1001,0),MATCH(COLUMNS($V$1006:AE1006),$V$1006:$AE$1006,0)), HYPERLINK("#",""), HYPERLINK(CONCATENATE("#Metadata!", ADDRESS(INDEX($Q$2:$Q$1001,MATCH(ROWS($O$2:O719),$O$2:$O$1001,0),0), INDEX($V$1004:$AE$1004,1,MATCH(COLUMNS($V$1006:AE1006),$V$1006:$AE$1006,0)))),"Fix")))</f>
        <v>0</v>
      </c>
      <c r="O719">
        <v>0</v>
      </c>
      <c r="P719">
        <v>0</v>
      </c>
      <c r="Q719">
        <v>0</v>
      </c>
      <c r="R719">
        <f>IF(S719,TRUE,AND(V719:AE719))</f>
        <v>0</v>
      </c>
      <c r="S719">
        <f>COUNTBLANK(Metadata!B719:K719)=COLUMNS(Metadata!B719:K719)</f>
        <v>0</v>
      </c>
      <c r="T719">
        <v>0</v>
      </c>
      <c r="V719">
        <f>AND(IF(Metadata!B719="",FALSE,TRUE),COUNTIF(Metadata!B:B, Metadata!B719) = 1,NOT(ISERROR(SUMPRODUCT(SEARCH(MID(Metadata!B719,ROW(INDIRECT("1:"&amp;LEN(Metadata!B719))), 1),"0123456789abcdefghijklmnopqrstuvwxyzABCDEFGHIJKLMNOPQRSTUVWXYZ.")))))</f>
        <v>0</v>
      </c>
      <c r="W719">
        <f>AND(IF(Metadata!C719="",FALSE,TRUE),exact(Metadata!C719,"urban biome"))</f>
        <v>0</v>
      </c>
      <c r="X719">
        <f>AND(IF(Metadata!D719="",FALSE,TRUE),exact(Metadata!D719,"animal-associated habitat"))</f>
        <v>0</v>
      </c>
      <c r="Y719">
        <f>OR(AND(IF(Metadata!E719="",FALSE,TRUE),OR(exact(Metadata!E719,"not applicable"),exact(Metadata!E719,"missing: not collected"),exact(Metadata!E719,"missing: not provided"),exact(Metadata!E719,"missing: restricted access"))),AND(IF(Metadata!E719="",FALSE,ISNUMBER(VALUE(Metadata!E719))),Metadata!E719&gt;0))</f>
        <v>0</v>
      </c>
      <c r="Z719">
        <f>AND(IF(Metadata!F719="",FALSE,TRUE),exact(Metadata!F719,"weeks"))</f>
        <v>0</v>
      </c>
      <c r="AA719">
        <f>AND(IF(Metadata!G719="",FALSE,TRUE),exact(Metadata!G719,"mouse"))</f>
        <v>0</v>
      </c>
      <c r="AB719">
        <f>AND(IF(Metadata!H719="",FALSE,TRUE),exact(Metadata!H719,"Mus musculus"))</f>
        <v>0</v>
      </c>
      <c r="AC719">
        <f>AND(IF(Metadata!I719="",FALSE,TRUE),exact(Metadata!I719,"10090"))</f>
        <v>0</v>
      </c>
      <c r="AD719">
        <f>OR(AND(IF(Metadata!J719="",FALSE,TRUE),OR(exact(Metadata!J719,"not applicable"),exact(Metadata!J719,"missing: not collected"),exact(Metadata!J719,"missing: not provided"),exact(Metadata!J719,"missing: restricted access"))),AND(IF(Metadata!J719="",FALSE,ISNUMBER(VALUE(Metadata!J719))),Metadata!J719&gt;0))</f>
        <v>0</v>
      </c>
      <c r="AE719">
        <f>AND(IF(Metadata!K719="",FALSE,TRUE),exact(Metadata!K719,"g"))</f>
        <v>0</v>
      </c>
    </row>
    <row r="720" spans="1:31">
      <c r="A720" s="5">
        <f>IF(B720=" "," ",HYPERLINK(CONCATENATE("#metadata!",ADDRESS(INDEX($Q$2:$Q$1001,MATCH(ROWS($O$2:O720),$O$2:$O$1001,0),0),1)),INDEX($T$2:$T$1001,MATCH(ROWS($O$2:O720),$O$2:$O$1001,0),0)))</f>
        <v>0</v>
      </c>
      <c r="B720" s="4">
        <f>IF(OR(INDEX($P$2:$P$1001,MATCH(ROWS($O$2:O720),$O$2:$O$1001,0),1)&gt;=100000,INDEX($V$1005:$AE$1005,1,MATCH(COLUMNS($V$1006:V1006),$V$1006:$AE$1006,0))&gt;=100000), " ",IF(INDEX($V$2:$AE$1001,MATCH(ROWS($O$2:O720),$O$2:$O$1001,0),MATCH(COLUMNS($V$1006:V1006),$V$1006:$AE$1006,0)), HYPERLINK("#",""), HYPERLINK(CONCATENATE("#Metadata!", ADDRESS(INDEX($Q$2:$Q$1001,MATCH(ROWS($O$2:O720),$O$2:$O$1001,0),0), INDEX($V$1004:$AE$1004,1,MATCH(COLUMNS($V$1006:V1006),$V$1006:$AE$1006,0)))),"Fix")))</f>
        <v>0</v>
      </c>
      <c r="C720" s="4">
        <f>IF(OR(INDEX($P$2:$P$1001,MATCH(ROWS($O$2:O720),$O$2:$O$1001,0),1)&gt;=100000,INDEX($V$1005:$AE$1005,1,MATCH(COLUMNS($V$1006:W1006),$V$1006:$AE$1006,0))&gt;=100000), " ",IF(INDEX($V$2:$AE$1001,MATCH(ROWS($O$2:O720),$O$2:$O$1001,0),MATCH(COLUMNS($V$1006:W1006),$V$1006:$AE$1006,0)), HYPERLINK("#",""), HYPERLINK(CONCATENATE("#Metadata!", ADDRESS(INDEX($Q$2:$Q$1001,MATCH(ROWS($O$2:O720),$O$2:$O$1001,0),0), INDEX($V$1004:$AE$1004,1,MATCH(COLUMNS($V$1006:W1006),$V$1006:$AE$1006,0)))),"Fix")))</f>
        <v>0</v>
      </c>
      <c r="D720" s="4">
        <f>IF(OR(INDEX($P$2:$P$1001,MATCH(ROWS($O$2:O720),$O$2:$O$1001,0),1)&gt;=100000,INDEX($V$1005:$AE$1005,1,MATCH(COLUMNS($V$1006:X1006),$V$1006:$AE$1006,0))&gt;=100000), " ",IF(INDEX($V$2:$AE$1001,MATCH(ROWS($O$2:O720),$O$2:$O$1001,0),MATCH(COLUMNS($V$1006:X1006),$V$1006:$AE$1006,0)), HYPERLINK("#",""), HYPERLINK(CONCATENATE("#Metadata!", ADDRESS(INDEX($Q$2:$Q$1001,MATCH(ROWS($O$2:O720),$O$2:$O$1001,0),0), INDEX($V$1004:$AE$1004,1,MATCH(COLUMNS($V$1006:X1006),$V$1006:$AE$1006,0)))),"Fix")))</f>
        <v>0</v>
      </c>
      <c r="E720" s="4">
        <f>IF(OR(INDEX($P$2:$P$1001,MATCH(ROWS($O$2:O720),$O$2:$O$1001,0),1)&gt;=100000,INDEX($V$1005:$AE$1005,1,MATCH(COLUMNS($V$1006:Y1006),$V$1006:$AE$1006,0))&gt;=100000), " ",IF(INDEX($V$2:$AE$1001,MATCH(ROWS($O$2:O720),$O$2:$O$1001,0),MATCH(COLUMNS($V$1006:Y1006),$V$1006:$AE$1006,0)), HYPERLINK("#",""), HYPERLINK(CONCATENATE("#Metadata!", ADDRESS(INDEX($Q$2:$Q$1001,MATCH(ROWS($O$2:O720),$O$2:$O$1001,0),0), INDEX($V$1004:$AE$1004,1,MATCH(COLUMNS($V$1006:Y1006),$V$1006:$AE$1006,0)))),"Fix")))</f>
        <v>0</v>
      </c>
      <c r="F720" s="4">
        <f>IF(OR(INDEX($P$2:$P$1001,MATCH(ROWS($O$2:O720),$O$2:$O$1001,0),1)&gt;=100000,INDEX($V$1005:$AE$1005,1,MATCH(COLUMNS($V$1006:Z1006),$V$1006:$AE$1006,0))&gt;=100000), " ",IF(INDEX($V$2:$AE$1001,MATCH(ROWS($O$2:O720),$O$2:$O$1001,0),MATCH(COLUMNS($V$1006:Z1006),$V$1006:$AE$1006,0)), HYPERLINK("#",""), HYPERLINK(CONCATENATE("#Metadata!", ADDRESS(INDEX($Q$2:$Q$1001,MATCH(ROWS($O$2:O720),$O$2:$O$1001,0),0), INDEX($V$1004:$AE$1004,1,MATCH(COLUMNS($V$1006:Z1006),$V$1006:$AE$1006,0)))),"Fix")))</f>
        <v>0</v>
      </c>
      <c r="G720" s="4">
        <f>IF(OR(INDEX($P$2:$P$1001,MATCH(ROWS($O$2:O720),$O$2:$O$1001,0),1)&gt;=100000,INDEX($V$1005:$AE$1005,1,MATCH(COLUMNS($V$1006:AA1006),$V$1006:$AE$1006,0))&gt;=100000), " ",IF(INDEX($V$2:$AE$1001,MATCH(ROWS($O$2:O720),$O$2:$O$1001,0),MATCH(COLUMNS($V$1006:AA1006),$V$1006:$AE$1006,0)), HYPERLINK("#",""), HYPERLINK(CONCATENATE("#Metadata!", ADDRESS(INDEX($Q$2:$Q$1001,MATCH(ROWS($O$2:O720),$O$2:$O$1001,0),0), INDEX($V$1004:$AE$1004,1,MATCH(COLUMNS($V$1006:AA1006),$V$1006:$AE$1006,0)))),"Fix")))</f>
        <v>0</v>
      </c>
      <c r="H720" s="4">
        <f>IF(OR(INDEX($P$2:$P$1001,MATCH(ROWS($O$2:O720),$O$2:$O$1001,0),1)&gt;=100000,INDEX($V$1005:$AE$1005,1,MATCH(COLUMNS($V$1006:AB1006),$V$1006:$AE$1006,0))&gt;=100000), " ",IF(INDEX($V$2:$AE$1001,MATCH(ROWS($O$2:O720),$O$2:$O$1001,0),MATCH(COLUMNS($V$1006:AB1006),$V$1006:$AE$1006,0)), HYPERLINK("#",""), HYPERLINK(CONCATENATE("#Metadata!", ADDRESS(INDEX($Q$2:$Q$1001,MATCH(ROWS($O$2:O720),$O$2:$O$1001,0),0), INDEX($V$1004:$AE$1004,1,MATCH(COLUMNS($V$1006:AB1006),$V$1006:$AE$1006,0)))),"Fix")))</f>
        <v>0</v>
      </c>
      <c r="I720" s="4">
        <f>IF(OR(INDEX($P$2:$P$1001,MATCH(ROWS($O$2:O720),$O$2:$O$1001,0),1)&gt;=100000,INDEX($V$1005:$AE$1005,1,MATCH(COLUMNS($V$1006:AC1006),$V$1006:$AE$1006,0))&gt;=100000), " ",IF(INDEX($V$2:$AE$1001,MATCH(ROWS($O$2:O720),$O$2:$O$1001,0),MATCH(COLUMNS($V$1006:AC1006),$V$1006:$AE$1006,0)), HYPERLINK("#",""), HYPERLINK(CONCATENATE("#Metadata!", ADDRESS(INDEX($Q$2:$Q$1001,MATCH(ROWS($O$2:O720),$O$2:$O$1001,0),0), INDEX($V$1004:$AE$1004,1,MATCH(COLUMNS($V$1006:AC1006),$V$1006:$AE$1006,0)))),"Fix")))</f>
        <v>0</v>
      </c>
      <c r="J720" s="4">
        <f>IF(OR(INDEX($P$2:$P$1001,MATCH(ROWS($O$2:O720),$O$2:$O$1001,0),1)&gt;=100000,INDEX($V$1005:$AE$1005,1,MATCH(COLUMNS($V$1006:AD1006),$V$1006:$AE$1006,0))&gt;=100000), " ",IF(INDEX($V$2:$AE$1001,MATCH(ROWS($O$2:O720),$O$2:$O$1001,0),MATCH(COLUMNS($V$1006:AD1006),$V$1006:$AE$1006,0)), HYPERLINK("#",""), HYPERLINK(CONCATENATE("#Metadata!", ADDRESS(INDEX($Q$2:$Q$1001,MATCH(ROWS($O$2:O720),$O$2:$O$1001,0),0), INDEX($V$1004:$AE$1004,1,MATCH(COLUMNS($V$1006:AD1006),$V$1006:$AE$1006,0)))),"Fix")))</f>
        <v>0</v>
      </c>
      <c r="K720" s="4">
        <f>IF(OR(INDEX($P$2:$P$1001,MATCH(ROWS($O$2:O720),$O$2:$O$1001,0),1)&gt;=100000,INDEX($V$1005:$AE$1005,1,MATCH(COLUMNS($V$1006:AE1006),$V$1006:$AE$1006,0))&gt;=100000), " ",IF(INDEX($V$2:$AE$1001,MATCH(ROWS($O$2:O720),$O$2:$O$1001,0),MATCH(COLUMNS($V$1006:AE1006),$V$1006:$AE$1006,0)), HYPERLINK("#",""), HYPERLINK(CONCATENATE("#Metadata!", ADDRESS(INDEX($Q$2:$Q$1001,MATCH(ROWS($O$2:O720),$O$2:$O$1001,0),0), INDEX($V$1004:$AE$1004,1,MATCH(COLUMNS($V$1006:AE1006),$V$1006:$AE$1006,0)))),"Fix")))</f>
        <v>0</v>
      </c>
      <c r="O720">
        <v>0</v>
      </c>
      <c r="P720">
        <v>0</v>
      </c>
      <c r="Q720">
        <v>0</v>
      </c>
      <c r="R720">
        <f>IF(S720,TRUE,AND(V720:AE720))</f>
        <v>0</v>
      </c>
      <c r="S720">
        <f>COUNTBLANK(Metadata!B720:K720)=COLUMNS(Metadata!B720:K720)</f>
        <v>0</v>
      </c>
      <c r="T720">
        <v>0</v>
      </c>
      <c r="V720">
        <f>AND(IF(Metadata!B720="",FALSE,TRUE),COUNTIF(Metadata!B:B, Metadata!B720) = 1,NOT(ISERROR(SUMPRODUCT(SEARCH(MID(Metadata!B720,ROW(INDIRECT("1:"&amp;LEN(Metadata!B720))), 1),"0123456789abcdefghijklmnopqrstuvwxyzABCDEFGHIJKLMNOPQRSTUVWXYZ.")))))</f>
        <v>0</v>
      </c>
      <c r="W720">
        <f>AND(IF(Metadata!C720="",FALSE,TRUE),exact(Metadata!C720,"urban biome"))</f>
        <v>0</v>
      </c>
      <c r="X720">
        <f>AND(IF(Metadata!D720="",FALSE,TRUE),exact(Metadata!D720,"animal-associated habitat"))</f>
        <v>0</v>
      </c>
      <c r="Y720">
        <f>OR(AND(IF(Metadata!E720="",FALSE,TRUE),OR(exact(Metadata!E720,"not applicable"),exact(Metadata!E720,"missing: not collected"),exact(Metadata!E720,"missing: not provided"),exact(Metadata!E720,"missing: restricted access"))),AND(IF(Metadata!E720="",FALSE,ISNUMBER(VALUE(Metadata!E720))),Metadata!E720&gt;0))</f>
        <v>0</v>
      </c>
      <c r="Z720">
        <f>AND(IF(Metadata!F720="",FALSE,TRUE),exact(Metadata!F720,"weeks"))</f>
        <v>0</v>
      </c>
      <c r="AA720">
        <f>AND(IF(Metadata!G720="",FALSE,TRUE),exact(Metadata!G720,"mouse"))</f>
        <v>0</v>
      </c>
      <c r="AB720">
        <f>AND(IF(Metadata!H720="",FALSE,TRUE),exact(Metadata!H720,"Mus musculus"))</f>
        <v>0</v>
      </c>
      <c r="AC720">
        <f>AND(IF(Metadata!I720="",FALSE,TRUE),exact(Metadata!I720,"10090"))</f>
        <v>0</v>
      </c>
      <c r="AD720">
        <f>OR(AND(IF(Metadata!J720="",FALSE,TRUE),OR(exact(Metadata!J720,"not applicable"),exact(Metadata!J720,"missing: not collected"),exact(Metadata!J720,"missing: not provided"),exact(Metadata!J720,"missing: restricted access"))),AND(IF(Metadata!J720="",FALSE,ISNUMBER(VALUE(Metadata!J720))),Metadata!J720&gt;0))</f>
        <v>0</v>
      </c>
      <c r="AE720">
        <f>AND(IF(Metadata!K720="",FALSE,TRUE),exact(Metadata!K720,"g"))</f>
        <v>0</v>
      </c>
    </row>
    <row r="721" spans="1:31">
      <c r="A721" s="5">
        <f>IF(B721=" "," ",HYPERLINK(CONCATENATE("#metadata!",ADDRESS(INDEX($Q$2:$Q$1001,MATCH(ROWS($O$2:O721),$O$2:$O$1001,0),0),1)),INDEX($T$2:$T$1001,MATCH(ROWS($O$2:O721),$O$2:$O$1001,0),0)))</f>
        <v>0</v>
      </c>
      <c r="B721" s="4">
        <f>IF(OR(INDEX($P$2:$P$1001,MATCH(ROWS($O$2:O721),$O$2:$O$1001,0),1)&gt;=100000,INDEX($V$1005:$AE$1005,1,MATCH(COLUMNS($V$1006:V1006),$V$1006:$AE$1006,0))&gt;=100000), " ",IF(INDEX($V$2:$AE$1001,MATCH(ROWS($O$2:O721),$O$2:$O$1001,0),MATCH(COLUMNS($V$1006:V1006),$V$1006:$AE$1006,0)), HYPERLINK("#",""), HYPERLINK(CONCATENATE("#Metadata!", ADDRESS(INDEX($Q$2:$Q$1001,MATCH(ROWS($O$2:O721),$O$2:$O$1001,0),0), INDEX($V$1004:$AE$1004,1,MATCH(COLUMNS($V$1006:V1006),$V$1006:$AE$1006,0)))),"Fix")))</f>
        <v>0</v>
      </c>
      <c r="C721" s="4">
        <f>IF(OR(INDEX($P$2:$P$1001,MATCH(ROWS($O$2:O721),$O$2:$O$1001,0),1)&gt;=100000,INDEX($V$1005:$AE$1005,1,MATCH(COLUMNS($V$1006:W1006),$V$1006:$AE$1006,0))&gt;=100000), " ",IF(INDEX($V$2:$AE$1001,MATCH(ROWS($O$2:O721),$O$2:$O$1001,0),MATCH(COLUMNS($V$1006:W1006),$V$1006:$AE$1006,0)), HYPERLINK("#",""), HYPERLINK(CONCATENATE("#Metadata!", ADDRESS(INDEX($Q$2:$Q$1001,MATCH(ROWS($O$2:O721),$O$2:$O$1001,0),0), INDEX($V$1004:$AE$1004,1,MATCH(COLUMNS($V$1006:W1006),$V$1006:$AE$1006,0)))),"Fix")))</f>
        <v>0</v>
      </c>
      <c r="D721" s="4">
        <f>IF(OR(INDEX($P$2:$P$1001,MATCH(ROWS($O$2:O721),$O$2:$O$1001,0),1)&gt;=100000,INDEX($V$1005:$AE$1005,1,MATCH(COLUMNS($V$1006:X1006),$V$1006:$AE$1006,0))&gt;=100000), " ",IF(INDEX($V$2:$AE$1001,MATCH(ROWS($O$2:O721),$O$2:$O$1001,0),MATCH(COLUMNS($V$1006:X1006),$V$1006:$AE$1006,0)), HYPERLINK("#",""), HYPERLINK(CONCATENATE("#Metadata!", ADDRESS(INDEX($Q$2:$Q$1001,MATCH(ROWS($O$2:O721),$O$2:$O$1001,0),0), INDEX($V$1004:$AE$1004,1,MATCH(COLUMNS($V$1006:X1006),$V$1006:$AE$1006,0)))),"Fix")))</f>
        <v>0</v>
      </c>
      <c r="E721" s="4">
        <f>IF(OR(INDEX($P$2:$P$1001,MATCH(ROWS($O$2:O721),$O$2:$O$1001,0),1)&gt;=100000,INDEX($V$1005:$AE$1005,1,MATCH(COLUMNS($V$1006:Y1006),$V$1006:$AE$1006,0))&gt;=100000), " ",IF(INDEX($V$2:$AE$1001,MATCH(ROWS($O$2:O721),$O$2:$O$1001,0),MATCH(COLUMNS($V$1006:Y1006),$V$1006:$AE$1006,0)), HYPERLINK("#",""), HYPERLINK(CONCATENATE("#Metadata!", ADDRESS(INDEX($Q$2:$Q$1001,MATCH(ROWS($O$2:O721),$O$2:$O$1001,0),0), INDEX($V$1004:$AE$1004,1,MATCH(COLUMNS($V$1006:Y1006),$V$1006:$AE$1006,0)))),"Fix")))</f>
        <v>0</v>
      </c>
      <c r="F721" s="4">
        <f>IF(OR(INDEX($P$2:$P$1001,MATCH(ROWS($O$2:O721),$O$2:$O$1001,0),1)&gt;=100000,INDEX($V$1005:$AE$1005,1,MATCH(COLUMNS($V$1006:Z1006),$V$1006:$AE$1006,0))&gt;=100000), " ",IF(INDEX($V$2:$AE$1001,MATCH(ROWS($O$2:O721),$O$2:$O$1001,0),MATCH(COLUMNS($V$1006:Z1006),$V$1006:$AE$1006,0)), HYPERLINK("#",""), HYPERLINK(CONCATENATE("#Metadata!", ADDRESS(INDEX($Q$2:$Q$1001,MATCH(ROWS($O$2:O721),$O$2:$O$1001,0),0), INDEX($V$1004:$AE$1004,1,MATCH(COLUMNS($V$1006:Z1006),$V$1006:$AE$1006,0)))),"Fix")))</f>
        <v>0</v>
      </c>
      <c r="G721" s="4">
        <f>IF(OR(INDEX($P$2:$P$1001,MATCH(ROWS($O$2:O721),$O$2:$O$1001,0),1)&gt;=100000,INDEX($V$1005:$AE$1005,1,MATCH(COLUMNS($V$1006:AA1006),$V$1006:$AE$1006,0))&gt;=100000), " ",IF(INDEX($V$2:$AE$1001,MATCH(ROWS($O$2:O721),$O$2:$O$1001,0),MATCH(COLUMNS($V$1006:AA1006),$V$1006:$AE$1006,0)), HYPERLINK("#",""), HYPERLINK(CONCATENATE("#Metadata!", ADDRESS(INDEX($Q$2:$Q$1001,MATCH(ROWS($O$2:O721),$O$2:$O$1001,0),0), INDEX($V$1004:$AE$1004,1,MATCH(COLUMNS($V$1006:AA1006),$V$1006:$AE$1006,0)))),"Fix")))</f>
        <v>0</v>
      </c>
      <c r="H721" s="4">
        <f>IF(OR(INDEX($P$2:$P$1001,MATCH(ROWS($O$2:O721),$O$2:$O$1001,0),1)&gt;=100000,INDEX($V$1005:$AE$1005,1,MATCH(COLUMNS($V$1006:AB1006),$V$1006:$AE$1006,0))&gt;=100000), " ",IF(INDEX($V$2:$AE$1001,MATCH(ROWS($O$2:O721),$O$2:$O$1001,0),MATCH(COLUMNS($V$1006:AB1006),$V$1006:$AE$1006,0)), HYPERLINK("#",""), HYPERLINK(CONCATENATE("#Metadata!", ADDRESS(INDEX($Q$2:$Q$1001,MATCH(ROWS($O$2:O721),$O$2:$O$1001,0),0), INDEX($V$1004:$AE$1004,1,MATCH(COLUMNS($V$1006:AB1006),$V$1006:$AE$1006,0)))),"Fix")))</f>
        <v>0</v>
      </c>
      <c r="I721" s="4">
        <f>IF(OR(INDEX($P$2:$P$1001,MATCH(ROWS($O$2:O721),$O$2:$O$1001,0),1)&gt;=100000,INDEX($V$1005:$AE$1005,1,MATCH(COLUMNS($V$1006:AC1006),$V$1006:$AE$1006,0))&gt;=100000), " ",IF(INDEX($V$2:$AE$1001,MATCH(ROWS($O$2:O721),$O$2:$O$1001,0),MATCH(COLUMNS($V$1006:AC1006),$V$1006:$AE$1006,0)), HYPERLINK("#",""), HYPERLINK(CONCATENATE("#Metadata!", ADDRESS(INDEX($Q$2:$Q$1001,MATCH(ROWS($O$2:O721),$O$2:$O$1001,0),0), INDEX($V$1004:$AE$1004,1,MATCH(COLUMNS($V$1006:AC1006),$V$1006:$AE$1006,0)))),"Fix")))</f>
        <v>0</v>
      </c>
      <c r="J721" s="4">
        <f>IF(OR(INDEX($P$2:$P$1001,MATCH(ROWS($O$2:O721),$O$2:$O$1001,0),1)&gt;=100000,INDEX($V$1005:$AE$1005,1,MATCH(COLUMNS($V$1006:AD1006),$V$1006:$AE$1006,0))&gt;=100000), " ",IF(INDEX($V$2:$AE$1001,MATCH(ROWS($O$2:O721),$O$2:$O$1001,0),MATCH(COLUMNS($V$1006:AD1006),$V$1006:$AE$1006,0)), HYPERLINK("#",""), HYPERLINK(CONCATENATE("#Metadata!", ADDRESS(INDEX($Q$2:$Q$1001,MATCH(ROWS($O$2:O721),$O$2:$O$1001,0),0), INDEX($V$1004:$AE$1004,1,MATCH(COLUMNS($V$1006:AD1006),$V$1006:$AE$1006,0)))),"Fix")))</f>
        <v>0</v>
      </c>
      <c r="K721" s="4">
        <f>IF(OR(INDEX($P$2:$P$1001,MATCH(ROWS($O$2:O721),$O$2:$O$1001,0),1)&gt;=100000,INDEX($V$1005:$AE$1005,1,MATCH(COLUMNS($V$1006:AE1006),$V$1006:$AE$1006,0))&gt;=100000), " ",IF(INDEX($V$2:$AE$1001,MATCH(ROWS($O$2:O721),$O$2:$O$1001,0),MATCH(COLUMNS($V$1006:AE1006),$V$1006:$AE$1006,0)), HYPERLINK("#",""), HYPERLINK(CONCATENATE("#Metadata!", ADDRESS(INDEX($Q$2:$Q$1001,MATCH(ROWS($O$2:O721),$O$2:$O$1001,0),0), INDEX($V$1004:$AE$1004,1,MATCH(COLUMNS($V$1006:AE1006),$V$1006:$AE$1006,0)))),"Fix")))</f>
        <v>0</v>
      </c>
      <c r="O721">
        <v>0</v>
      </c>
      <c r="P721">
        <v>0</v>
      </c>
      <c r="Q721">
        <v>0</v>
      </c>
      <c r="R721">
        <f>IF(S721,TRUE,AND(V721:AE721))</f>
        <v>0</v>
      </c>
      <c r="S721">
        <f>COUNTBLANK(Metadata!B721:K721)=COLUMNS(Metadata!B721:K721)</f>
        <v>0</v>
      </c>
      <c r="T721">
        <v>0</v>
      </c>
      <c r="V721">
        <f>AND(IF(Metadata!B721="",FALSE,TRUE),COUNTIF(Metadata!B:B, Metadata!B721) = 1,NOT(ISERROR(SUMPRODUCT(SEARCH(MID(Metadata!B721,ROW(INDIRECT("1:"&amp;LEN(Metadata!B721))), 1),"0123456789abcdefghijklmnopqrstuvwxyzABCDEFGHIJKLMNOPQRSTUVWXYZ.")))))</f>
        <v>0</v>
      </c>
      <c r="W721">
        <f>AND(IF(Metadata!C721="",FALSE,TRUE),exact(Metadata!C721,"urban biome"))</f>
        <v>0</v>
      </c>
      <c r="X721">
        <f>AND(IF(Metadata!D721="",FALSE,TRUE),exact(Metadata!D721,"animal-associated habitat"))</f>
        <v>0</v>
      </c>
      <c r="Y721">
        <f>OR(AND(IF(Metadata!E721="",FALSE,TRUE),OR(exact(Metadata!E721,"not applicable"),exact(Metadata!E721,"missing: not collected"),exact(Metadata!E721,"missing: not provided"),exact(Metadata!E721,"missing: restricted access"))),AND(IF(Metadata!E721="",FALSE,ISNUMBER(VALUE(Metadata!E721))),Metadata!E721&gt;0))</f>
        <v>0</v>
      </c>
      <c r="Z721">
        <f>AND(IF(Metadata!F721="",FALSE,TRUE),exact(Metadata!F721,"weeks"))</f>
        <v>0</v>
      </c>
      <c r="AA721">
        <f>AND(IF(Metadata!G721="",FALSE,TRUE),exact(Metadata!G721,"mouse"))</f>
        <v>0</v>
      </c>
      <c r="AB721">
        <f>AND(IF(Metadata!H721="",FALSE,TRUE),exact(Metadata!H721,"Mus musculus"))</f>
        <v>0</v>
      </c>
      <c r="AC721">
        <f>AND(IF(Metadata!I721="",FALSE,TRUE),exact(Metadata!I721,"10090"))</f>
        <v>0</v>
      </c>
      <c r="AD721">
        <f>OR(AND(IF(Metadata!J721="",FALSE,TRUE),OR(exact(Metadata!J721,"not applicable"),exact(Metadata!J721,"missing: not collected"),exact(Metadata!J721,"missing: not provided"),exact(Metadata!J721,"missing: restricted access"))),AND(IF(Metadata!J721="",FALSE,ISNUMBER(VALUE(Metadata!J721))),Metadata!J721&gt;0))</f>
        <v>0</v>
      </c>
      <c r="AE721">
        <f>AND(IF(Metadata!K721="",FALSE,TRUE),exact(Metadata!K721,"g"))</f>
        <v>0</v>
      </c>
    </row>
    <row r="722" spans="1:31">
      <c r="A722" s="5">
        <f>IF(B722=" "," ",HYPERLINK(CONCATENATE("#metadata!",ADDRESS(INDEX($Q$2:$Q$1001,MATCH(ROWS($O$2:O722),$O$2:$O$1001,0),0),1)),INDEX($T$2:$T$1001,MATCH(ROWS($O$2:O722),$O$2:$O$1001,0),0)))</f>
        <v>0</v>
      </c>
      <c r="B722" s="4">
        <f>IF(OR(INDEX($P$2:$P$1001,MATCH(ROWS($O$2:O722),$O$2:$O$1001,0),1)&gt;=100000,INDEX($V$1005:$AE$1005,1,MATCH(COLUMNS($V$1006:V1006),$V$1006:$AE$1006,0))&gt;=100000), " ",IF(INDEX($V$2:$AE$1001,MATCH(ROWS($O$2:O722),$O$2:$O$1001,0),MATCH(COLUMNS($V$1006:V1006),$V$1006:$AE$1006,0)), HYPERLINK("#",""), HYPERLINK(CONCATENATE("#Metadata!", ADDRESS(INDEX($Q$2:$Q$1001,MATCH(ROWS($O$2:O722),$O$2:$O$1001,0),0), INDEX($V$1004:$AE$1004,1,MATCH(COLUMNS($V$1006:V1006),$V$1006:$AE$1006,0)))),"Fix")))</f>
        <v>0</v>
      </c>
      <c r="C722" s="4">
        <f>IF(OR(INDEX($P$2:$P$1001,MATCH(ROWS($O$2:O722),$O$2:$O$1001,0),1)&gt;=100000,INDEX($V$1005:$AE$1005,1,MATCH(COLUMNS($V$1006:W1006),$V$1006:$AE$1006,0))&gt;=100000), " ",IF(INDEX($V$2:$AE$1001,MATCH(ROWS($O$2:O722),$O$2:$O$1001,0),MATCH(COLUMNS($V$1006:W1006),$V$1006:$AE$1006,0)), HYPERLINK("#",""), HYPERLINK(CONCATENATE("#Metadata!", ADDRESS(INDEX($Q$2:$Q$1001,MATCH(ROWS($O$2:O722),$O$2:$O$1001,0),0), INDEX($V$1004:$AE$1004,1,MATCH(COLUMNS($V$1006:W1006),$V$1006:$AE$1006,0)))),"Fix")))</f>
        <v>0</v>
      </c>
      <c r="D722" s="4">
        <f>IF(OR(INDEX($P$2:$P$1001,MATCH(ROWS($O$2:O722),$O$2:$O$1001,0),1)&gt;=100000,INDEX($V$1005:$AE$1005,1,MATCH(COLUMNS($V$1006:X1006),$V$1006:$AE$1006,0))&gt;=100000), " ",IF(INDEX($V$2:$AE$1001,MATCH(ROWS($O$2:O722),$O$2:$O$1001,0),MATCH(COLUMNS($V$1006:X1006),$V$1006:$AE$1006,0)), HYPERLINK("#",""), HYPERLINK(CONCATENATE("#Metadata!", ADDRESS(INDEX($Q$2:$Q$1001,MATCH(ROWS($O$2:O722),$O$2:$O$1001,0),0), INDEX($V$1004:$AE$1004,1,MATCH(COLUMNS($V$1006:X1006),$V$1006:$AE$1006,0)))),"Fix")))</f>
        <v>0</v>
      </c>
      <c r="E722" s="4">
        <f>IF(OR(INDEX($P$2:$P$1001,MATCH(ROWS($O$2:O722),$O$2:$O$1001,0),1)&gt;=100000,INDEX($V$1005:$AE$1005,1,MATCH(COLUMNS($V$1006:Y1006),$V$1006:$AE$1006,0))&gt;=100000), " ",IF(INDEX($V$2:$AE$1001,MATCH(ROWS($O$2:O722),$O$2:$O$1001,0),MATCH(COLUMNS($V$1006:Y1006),$V$1006:$AE$1006,0)), HYPERLINK("#",""), HYPERLINK(CONCATENATE("#Metadata!", ADDRESS(INDEX($Q$2:$Q$1001,MATCH(ROWS($O$2:O722),$O$2:$O$1001,0),0), INDEX($V$1004:$AE$1004,1,MATCH(COLUMNS($V$1006:Y1006),$V$1006:$AE$1006,0)))),"Fix")))</f>
        <v>0</v>
      </c>
      <c r="F722" s="4">
        <f>IF(OR(INDEX($P$2:$P$1001,MATCH(ROWS($O$2:O722),$O$2:$O$1001,0),1)&gt;=100000,INDEX($V$1005:$AE$1005,1,MATCH(COLUMNS($V$1006:Z1006),$V$1006:$AE$1006,0))&gt;=100000), " ",IF(INDEX($V$2:$AE$1001,MATCH(ROWS($O$2:O722),$O$2:$O$1001,0),MATCH(COLUMNS($V$1006:Z1006),$V$1006:$AE$1006,0)), HYPERLINK("#",""), HYPERLINK(CONCATENATE("#Metadata!", ADDRESS(INDEX($Q$2:$Q$1001,MATCH(ROWS($O$2:O722),$O$2:$O$1001,0),0), INDEX($V$1004:$AE$1004,1,MATCH(COLUMNS($V$1006:Z1006),$V$1006:$AE$1006,0)))),"Fix")))</f>
        <v>0</v>
      </c>
      <c r="G722" s="4">
        <f>IF(OR(INDEX($P$2:$P$1001,MATCH(ROWS($O$2:O722),$O$2:$O$1001,0),1)&gt;=100000,INDEX($V$1005:$AE$1005,1,MATCH(COLUMNS($V$1006:AA1006),$V$1006:$AE$1006,0))&gt;=100000), " ",IF(INDEX($V$2:$AE$1001,MATCH(ROWS($O$2:O722),$O$2:$O$1001,0),MATCH(COLUMNS($V$1006:AA1006),$V$1006:$AE$1006,0)), HYPERLINK("#",""), HYPERLINK(CONCATENATE("#Metadata!", ADDRESS(INDEX($Q$2:$Q$1001,MATCH(ROWS($O$2:O722),$O$2:$O$1001,0),0), INDEX($V$1004:$AE$1004,1,MATCH(COLUMNS($V$1006:AA1006),$V$1006:$AE$1006,0)))),"Fix")))</f>
        <v>0</v>
      </c>
      <c r="H722" s="4">
        <f>IF(OR(INDEX($P$2:$P$1001,MATCH(ROWS($O$2:O722),$O$2:$O$1001,0),1)&gt;=100000,INDEX($V$1005:$AE$1005,1,MATCH(COLUMNS($V$1006:AB1006),$V$1006:$AE$1006,0))&gt;=100000), " ",IF(INDEX($V$2:$AE$1001,MATCH(ROWS($O$2:O722),$O$2:$O$1001,0),MATCH(COLUMNS($V$1006:AB1006),$V$1006:$AE$1006,0)), HYPERLINK("#",""), HYPERLINK(CONCATENATE("#Metadata!", ADDRESS(INDEX($Q$2:$Q$1001,MATCH(ROWS($O$2:O722),$O$2:$O$1001,0),0), INDEX($V$1004:$AE$1004,1,MATCH(COLUMNS($V$1006:AB1006),$V$1006:$AE$1006,0)))),"Fix")))</f>
        <v>0</v>
      </c>
      <c r="I722" s="4">
        <f>IF(OR(INDEX($P$2:$P$1001,MATCH(ROWS($O$2:O722),$O$2:$O$1001,0),1)&gt;=100000,INDEX($V$1005:$AE$1005,1,MATCH(COLUMNS($V$1006:AC1006),$V$1006:$AE$1006,0))&gt;=100000), " ",IF(INDEX($V$2:$AE$1001,MATCH(ROWS($O$2:O722),$O$2:$O$1001,0),MATCH(COLUMNS($V$1006:AC1006),$V$1006:$AE$1006,0)), HYPERLINK("#",""), HYPERLINK(CONCATENATE("#Metadata!", ADDRESS(INDEX($Q$2:$Q$1001,MATCH(ROWS($O$2:O722),$O$2:$O$1001,0),0), INDEX($V$1004:$AE$1004,1,MATCH(COLUMNS($V$1006:AC1006),$V$1006:$AE$1006,0)))),"Fix")))</f>
        <v>0</v>
      </c>
      <c r="J722" s="4">
        <f>IF(OR(INDEX($P$2:$P$1001,MATCH(ROWS($O$2:O722),$O$2:$O$1001,0),1)&gt;=100000,INDEX($V$1005:$AE$1005,1,MATCH(COLUMNS($V$1006:AD1006),$V$1006:$AE$1006,0))&gt;=100000), " ",IF(INDEX($V$2:$AE$1001,MATCH(ROWS($O$2:O722),$O$2:$O$1001,0),MATCH(COLUMNS($V$1006:AD1006),$V$1006:$AE$1006,0)), HYPERLINK("#",""), HYPERLINK(CONCATENATE("#Metadata!", ADDRESS(INDEX($Q$2:$Q$1001,MATCH(ROWS($O$2:O722),$O$2:$O$1001,0),0), INDEX($V$1004:$AE$1004,1,MATCH(COLUMNS($V$1006:AD1006),$V$1006:$AE$1006,0)))),"Fix")))</f>
        <v>0</v>
      </c>
      <c r="K722" s="4">
        <f>IF(OR(INDEX($P$2:$P$1001,MATCH(ROWS($O$2:O722),$O$2:$O$1001,0),1)&gt;=100000,INDEX($V$1005:$AE$1005,1,MATCH(COLUMNS($V$1006:AE1006),$V$1006:$AE$1006,0))&gt;=100000), " ",IF(INDEX($V$2:$AE$1001,MATCH(ROWS($O$2:O722),$O$2:$O$1001,0),MATCH(COLUMNS($V$1006:AE1006),$V$1006:$AE$1006,0)), HYPERLINK("#",""), HYPERLINK(CONCATENATE("#Metadata!", ADDRESS(INDEX($Q$2:$Q$1001,MATCH(ROWS($O$2:O722),$O$2:$O$1001,0),0), INDEX($V$1004:$AE$1004,1,MATCH(COLUMNS($V$1006:AE1006),$V$1006:$AE$1006,0)))),"Fix")))</f>
        <v>0</v>
      </c>
      <c r="O722">
        <v>0</v>
      </c>
      <c r="P722">
        <v>0</v>
      </c>
      <c r="Q722">
        <v>0</v>
      </c>
      <c r="R722">
        <f>IF(S722,TRUE,AND(V722:AE722))</f>
        <v>0</v>
      </c>
      <c r="S722">
        <f>COUNTBLANK(Metadata!B722:K722)=COLUMNS(Metadata!B722:K722)</f>
        <v>0</v>
      </c>
      <c r="T722">
        <v>0</v>
      </c>
      <c r="V722">
        <f>AND(IF(Metadata!B722="",FALSE,TRUE),COUNTIF(Metadata!B:B, Metadata!B722) = 1,NOT(ISERROR(SUMPRODUCT(SEARCH(MID(Metadata!B722,ROW(INDIRECT("1:"&amp;LEN(Metadata!B722))), 1),"0123456789abcdefghijklmnopqrstuvwxyzABCDEFGHIJKLMNOPQRSTUVWXYZ.")))))</f>
        <v>0</v>
      </c>
      <c r="W722">
        <f>AND(IF(Metadata!C722="",FALSE,TRUE),exact(Metadata!C722,"urban biome"))</f>
        <v>0</v>
      </c>
      <c r="X722">
        <f>AND(IF(Metadata!D722="",FALSE,TRUE),exact(Metadata!D722,"animal-associated habitat"))</f>
        <v>0</v>
      </c>
      <c r="Y722">
        <f>OR(AND(IF(Metadata!E722="",FALSE,TRUE),OR(exact(Metadata!E722,"not applicable"),exact(Metadata!E722,"missing: not collected"),exact(Metadata!E722,"missing: not provided"),exact(Metadata!E722,"missing: restricted access"))),AND(IF(Metadata!E722="",FALSE,ISNUMBER(VALUE(Metadata!E722))),Metadata!E722&gt;0))</f>
        <v>0</v>
      </c>
      <c r="Z722">
        <f>AND(IF(Metadata!F722="",FALSE,TRUE),exact(Metadata!F722,"weeks"))</f>
        <v>0</v>
      </c>
      <c r="AA722">
        <f>AND(IF(Metadata!G722="",FALSE,TRUE),exact(Metadata!G722,"mouse"))</f>
        <v>0</v>
      </c>
      <c r="AB722">
        <f>AND(IF(Metadata!H722="",FALSE,TRUE),exact(Metadata!H722,"Mus musculus"))</f>
        <v>0</v>
      </c>
      <c r="AC722">
        <f>AND(IF(Metadata!I722="",FALSE,TRUE),exact(Metadata!I722,"10090"))</f>
        <v>0</v>
      </c>
      <c r="AD722">
        <f>OR(AND(IF(Metadata!J722="",FALSE,TRUE),OR(exact(Metadata!J722,"not applicable"),exact(Metadata!J722,"missing: not collected"),exact(Metadata!J722,"missing: not provided"),exact(Metadata!J722,"missing: restricted access"))),AND(IF(Metadata!J722="",FALSE,ISNUMBER(VALUE(Metadata!J722))),Metadata!J722&gt;0))</f>
        <v>0</v>
      </c>
      <c r="AE722">
        <f>AND(IF(Metadata!K722="",FALSE,TRUE),exact(Metadata!K722,"g"))</f>
        <v>0</v>
      </c>
    </row>
    <row r="723" spans="1:31">
      <c r="A723" s="5">
        <f>IF(B723=" "," ",HYPERLINK(CONCATENATE("#metadata!",ADDRESS(INDEX($Q$2:$Q$1001,MATCH(ROWS($O$2:O723),$O$2:$O$1001,0),0),1)),INDEX($T$2:$T$1001,MATCH(ROWS($O$2:O723),$O$2:$O$1001,0),0)))</f>
        <v>0</v>
      </c>
      <c r="B723" s="4">
        <f>IF(OR(INDEX($P$2:$P$1001,MATCH(ROWS($O$2:O723),$O$2:$O$1001,0),1)&gt;=100000,INDEX($V$1005:$AE$1005,1,MATCH(COLUMNS($V$1006:V1006),$V$1006:$AE$1006,0))&gt;=100000), " ",IF(INDEX($V$2:$AE$1001,MATCH(ROWS($O$2:O723),$O$2:$O$1001,0),MATCH(COLUMNS($V$1006:V1006),$V$1006:$AE$1006,0)), HYPERLINK("#",""), HYPERLINK(CONCATENATE("#Metadata!", ADDRESS(INDEX($Q$2:$Q$1001,MATCH(ROWS($O$2:O723),$O$2:$O$1001,0),0), INDEX($V$1004:$AE$1004,1,MATCH(COLUMNS($V$1006:V1006),$V$1006:$AE$1006,0)))),"Fix")))</f>
        <v>0</v>
      </c>
      <c r="C723" s="4">
        <f>IF(OR(INDEX($P$2:$P$1001,MATCH(ROWS($O$2:O723),$O$2:$O$1001,0),1)&gt;=100000,INDEX($V$1005:$AE$1005,1,MATCH(COLUMNS($V$1006:W1006),$V$1006:$AE$1006,0))&gt;=100000), " ",IF(INDEX($V$2:$AE$1001,MATCH(ROWS($O$2:O723),$O$2:$O$1001,0),MATCH(COLUMNS($V$1006:W1006),$V$1006:$AE$1006,0)), HYPERLINK("#",""), HYPERLINK(CONCATENATE("#Metadata!", ADDRESS(INDEX($Q$2:$Q$1001,MATCH(ROWS($O$2:O723),$O$2:$O$1001,0),0), INDEX($V$1004:$AE$1004,1,MATCH(COLUMNS($V$1006:W1006),$V$1006:$AE$1006,0)))),"Fix")))</f>
        <v>0</v>
      </c>
      <c r="D723" s="4">
        <f>IF(OR(INDEX($P$2:$P$1001,MATCH(ROWS($O$2:O723),$O$2:$O$1001,0),1)&gt;=100000,INDEX($V$1005:$AE$1005,1,MATCH(COLUMNS($V$1006:X1006),$V$1006:$AE$1006,0))&gt;=100000), " ",IF(INDEX($V$2:$AE$1001,MATCH(ROWS($O$2:O723),$O$2:$O$1001,0),MATCH(COLUMNS($V$1006:X1006),$V$1006:$AE$1006,0)), HYPERLINK("#",""), HYPERLINK(CONCATENATE("#Metadata!", ADDRESS(INDEX($Q$2:$Q$1001,MATCH(ROWS($O$2:O723),$O$2:$O$1001,0),0), INDEX($V$1004:$AE$1004,1,MATCH(COLUMNS($V$1006:X1006),$V$1006:$AE$1006,0)))),"Fix")))</f>
        <v>0</v>
      </c>
      <c r="E723" s="4">
        <f>IF(OR(INDEX($P$2:$P$1001,MATCH(ROWS($O$2:O723),$O$2:$O$1001,0),1)&gt;=100000,INDEX($V$1005:$AE$1005,1,MATCH(COLUMNS($V$1006:Y1006),$V$1006:$AE$1006,0))&gt;=100000), " ",IF(INDEX($V$2:$AE$1001,MATCH(ROWS($O$2:O723),$O$2:$O$1001,0),MATCH(COLUMNS($V$1006:Y1006),$V$1006:$AE$1006,0)), HYPERLINK("#",""), HYPERLINK(CONCATENATE("#Metadata!", ADDRESS(INDEX($Q$2:$Q$1001,MATCH(ROWS($O$2:O723),$O$2:$O$1001,0),0), INDEX($V$1004:$AE$1004,1,MATCH(COLUMNS($V$1006:Y1006),$V$1006:$AE$1006,0)))),"Fix")))</f>
        <v>0</v>
      </c>
      <c r="F723" s="4">
        <f>IF(OR(INDEX($P$2:$P$1001,MATCH(ROWS($O$2:O723),$O$2:$O$1001,0),1)&gt;=100000,INDEX($V$1005:$AE$1005,1,MATCH(COLUMNS($V$1006:Z1006),$V$1006:$AE$1006,0))&gt;=100000), " ",IF(INDEX($V$2:$AE$1001,MATCH(ROWS($O$2:O723),$O$2:$O$1001,0),MATCH(COLUMNS($V$1006:Z1006),$V$1006:$AE$1006,0)), HYPERLINK("#",""), HYPERLINK(CONCATENATE("#Metadata!", ADDRESS(INDEX($Q$2:$Q$1001,MATCH(ROWS($O$2:O723),$O$2:$O$1001,0),0), INDEX($V$1004:$AE$1004,1,MATCH(COLUMNS($V$1006:Z1006),$V$1006:$AE$1006,0)))),"Fix")))</f>
        <v>0</v>
      </c>
      <c r="G723" s="4">
        <f>IF(OR(INDEX($P$2:$P$1001,MATCH(ROWS($O$2:O723),$O$2:$O$1001,0),1)&gt;=100000,INDEX($V$1005:$AE$1005,1,MATCH(COLUMNS($V$1006:AA1006),$V$1006:$AE$1006,0))&gt;=100000), " ",IF(INDEX($V$2:$AE$1001,MATCH(ROWS($O$2:O723),$O$2:$O$1001,0),MATCH(COLUMNS($V$1006:AA1006),$V$1006:$AE$1006,0)), HYPERLINK("#",""), HYPERLINK(CONCATENATE("#Metadata!", ADDRESS(INDEX($Q$2:$Q$1001,MATCH(ROWS($O$2:O723),$O$2:$O$1001,0),0), INDEX($V$1004:$AE$1004,1,MATCH(COLUMNS($V$1006:AA1006),$V$1006:$AE$1006,0)))),"Fix")))</f>
        <v>0</v>
      </c>
      <c r="H723" s="4">
        <f>IF(OR(INDEX($P$2:$P$1001,MATCH(ROWS($O$2:O723),$O$2:$O$1001,0),1)&gt;=100000,INDEX($V$1005:$AE$1005,1,MATCH(COLUMNS($V$1006:AB1006),$V$1006:$AE$1006,0))&gt;=100000), " ",IF(INDEX($V$2:$AE$1001,MATCH(ROWS($O$2:O723),$O$2:$O$1001,0),MATCH(COLUMNS($V$1006:AB1006),$V$1006:$AE$1006,0)), HYPERLINK("#",""), HYPERLINK(CONCATENATE("#Metadata!", ADDRESS(INDEX($Q$2:$Q$1001,MATCH(ROWS($O$2:O723),$O$2:$O$1001,0),0), INDEX($V$1004:$AE$1004,1,MATCH(COLUMNS($V$1006:AB1006),$V$1006:$AE$1006,0)))),"Fix")))</f>
        <v>0</v>
      </c>
      <c r="I723" s="4">
        <f>IF(OR(INDEX($P$2:$P$1001,MATCH(ROWS($O$2:O723),$O$2:$O$1001,0),1)&gt;=100000,INDEX($V$1005:$AE$1005,1,MATCH(COLUMNS($V$1006:AC1006),$V$1006:$AE$1006,0))&gt;=100000), " ",IF(INDEX($V$2:$AE$1001,MATCH(ROWS($O$2:O723),$O$2:$O$1001,0),MATCH(COLUMNS($V$1006:AC1006),$V$1006:$AE$1006,0)), HYPERLINK("#",""), HYPERLINK(CONCATENATE("#Metadata!", ADDRESS(INDEX($Q$2:$Q$1001,MATCH(ROWS($O$2:O723),$O$2:$O$1001,0),0), INDEX($V$1004:$AE$1004,1,MATCH(COLUMNS($V$1006:AC1006),$V$1006:$AE$1006,0)))),"Fix")))</f>
        <v>0</v>
      </c>
      <c r="J723" s="4">
        <f>IF(OR(INDEX($P$2:$P$1001,MATCH(ROWS($O$2:O723),$O$2:$O$1001,0),1)&gt;=100000,INDEX($V$1005:$AE$1005,1,MATCH(COLUMNS($V$1006:AD1006),$V$1006:$AE$1006,0))&gt;=100000), " ",IF(INDEX($V$2:$AE$1001,MATCH(ROWS($O$2:O723),$O$2:$O$1001,0),MATCH(COLUMNS($V$1006:AD1006),$V$1006:$AE$1006,0)), HYPERLINK("#",""), HYPERLINK(CONCATENATE("#Metadata!", ADDRESS(INDEX($Q$2:$Q$1001,MATCH(ROWS($O$2:O723),$O$2:$O$1001,0),0), INDEX($V$1004:$AE$1004,1,MATCH(COLUMNS($V$1006:AD1006),$V$1006:$AE$1006,0)))),"Fix")))</f>
        <v>0</v>
      </c>
      <c r="K723" s="4">
        <f>IF(OR(INDEX($P$2:$P$1001,MATCH(ROWS($O$2:O723),$O$2:$O$1001,0),1)&gt;=100000,INDEX($V$1005:$AE$1005,1,MATCH(COLUMNS($V$1006:AE1006),$V$1006:$AE$1006,0))&gt;=100000), " ",IF(INDEX($V$2:$AE$1001,MATCH(ROWS($O$2:O723),$O$2:$O$1001,0),MATCH(COLUMNS($V$1006:AE1006),$V$1006:$AE$1006,0)), HYPERLINK("#",""), HYPERLINK(CONCATENATE("#Metadata!", ADDRESS(INDEX($Q$2:$Q$1001,MATCH(ROWS($O$2:O723),$O$2:$O$1001,0),0), INDEX($V$1004:$AE$1004,1,MATCH(COLUMNS($V$1006:AE1006),$V$1006:$AE$1006,0)))),"Fix")))</f>
        <v>0</v>
      </c>
      <c r="O723">
        <v>0</v>
      </c>
      <c r="P723">
        <v>0</v>
      </c>
      <c r="Q723">
        <v>0</v>
      </c>
      <c r="R723">
        <f>IF(S723,TRUE,AND(V723:AE723))</f>
        <v>0</v>
      </c>
      <c r="S723">
        <f>COUNTBLANK(Metadata!B723:K723)=COLUMNS(Metadata!B723:K723)</f>
        <v>0</v>
      </c>
      <c r="T723">
        <v>0</v>
      </c>
      <c r="V723">
        <f>AND(IF(Metadata!B723="",FALSE,TRUE),COUNTIF(Metadata!B:B, Metadata!B723) = 1,NOT(ISERROR(SUMPRODUCT(SEARCH(MID(Metadata!B723,ROW(INDIRECT("1:"&amp;LEN(Metadata!B723))), 1),"0123456789abcdefghijklmnopqrstuvwxyzABCDEFGHIJKLMNOPQRSTUVWXYZ.")))))</f>
        <v>0</v>
      </c>
      <c r="W723">
        <f>AND(IF(Metadata!C723="",FALSE,TRUE),exact(Metadata!C723,"urban biome"))</f>
        <v>0</v>
      </c>
      <c r="X723">
        <f>AND(IF(Metadata!D723="",FALSE,TRUE),exact(Metadata!D723,"animal-associated habitat"))</f>
        <v>0</v>
      </c>
      <c r="Y723">
        <f>OR(AND(IF(Metadata!E723="",FALSE,TRUE),OR(exact(Metadata!E723,"not applicable"),exact(Metadata!E723,"missing: not collected"),exact(Metadata!E723,"missing: not provided"),exact(Metadata!E723,"missing: restricted access"))),AND(IF(Metadata!E723="",FALSE,ISNUMBER(VALUE(Metadata!E723))),Metadata!E723&gt;0))</f>
        <v>0</v>
      </c>
      <c r="Z723">
        <f>AND(IF(Metadata!F723="",FALSE,TRUE),exact(Metadata!F723,"weeks"))</f>
        <v>0</v>
      </c>
      <c r="AA723">
        <f>AND(IF(Metadata!G723="",FALSE,TRUE),exact(Metadata!G723,"mouse"))</f>
        <v>0</v>
      </c>
      <c r="AB723">
        <f>AND(IF(Metadata!H723="",FALSE,TRUE),exact(Metadata!H723,"Mus musculus"))</f>
        <v>0</v>
      </c>
      <c r="AC723">
        <f>AND(IF(Metadata!I723="",FALSE,TRUE),exact(Metadata!I723,"10090"))</f>
        <v>0</v>
      </c>
      <c r="AD723">
        <f>OR(AND(IF(Metadata!J723="",FALSE,TRUE),OR(exact(Metadata!J723,"not applicable"),exact(Metadata!J723,"missing: not collected"),exact(Metadata!J723,"missing: not provided"),exact(Metadata!J723,"missing: restricted access"))),AND(IF(Metadata!J723="",FALSE,ISNUMBER(VALUE(Metadata!J723))),Metadata!J723&gt;0))</f>
        <v>0</v>
      </c>
      <c r="AE723">
        <f>AND(IF(Metadata!K723="",FALSE,TRUE),exact(Metadata!K723,"g"))</f>
        <v>0</v>
      </c>
    </row>
    <row r="724" spans="1:31">
      <c r="A724" s="5">
        <f>IF(B724=" "," ",HYPERLINK(CONCATENATE("#metadata!",ADDRESS(INDEX($Q$2:$Q$1001,MATCH(ROWS($O$2:O724),$O$2:$O$1001,0),0),1)),INDEX($T$2:$T$1001,MATCH(ROWS($O$2:O724),$O$2:$O$1001,0),0)))</f>
        <v>0</v>
      </c>
      <c r="B724" s="4">
        <f>IF(OR(INDEX($P$2:$P$1001,MATCH(ROWS($O$2:O724),$O$2:$O$1001,0),1)&gt;=100000,INDEX($V$1005:$AE$1005,1,MATCH(COLUMNS($V$1006:V1006),$V$1006:$AE$1006,0))&gt;=100000), " ",IF(INDEX($V$2:$AE$1001,MATCH(ROWS($O$2:O724),$O$2:$O$1001,0),MATCH(COLUMNS($V$1006:V1006),$V$1006:$AE$1006,0)), HYPERLINK("#",""), HYPERLINK(CONCATENATE("#Metadata!", ADDRESS(INDEX($Q$2:$Q$1001,MATCH(ROWS($O$2:O724),$O$2:$O$1001,0),0), INDEX($V$1004:$AE$1004,1,MATCH(COLUMNS($V$1006:V1006),$V$1006:$AE$1006,0)))),"Fix")))</f>
        <v>0</v>
      </c>
      <c r="C724" s="4">
        <f>IF(OR(INDEX($P$2:$P$1001,MATCH(ROWS($O$2:O724),$O$2:$O$1001,0),1)&gt;=100000,INDEX($V$1005:$AE$1005,1,MATCH(COLUMNS($V$1006:W1006),$V$1006:$AE$1006,0))&gt;=100000), " ",IF(INDEX($V$2:$AE$1001,MATCH(ROWS($O$2:O724),$O$2:$O$1001,0),MATCH(COLUMNS($V$1006:W1006),$V$1006:$AE$1006,0)), HYPERLINK("#",""), HYPERLINK(CONCATENATE("#Metadata!", ADDRESS(INDEX($Q$2:$Q$1001,MATCH(ROWS($O$2:O724),$O$2:$O$1001,0),0), INDEX($V$1004:$AE$1004,1,MATCH(COLUMNS($V$1006:W1006),$V$1006:$AE$1006,0)))),"Fix")))</f>
        <v>0</v>
      </c>
      <c r="D724" s="4">
        <f>IF(OR(INDEX($P$2:$P$1001,MATCH(ROWS($O$2:O724),$O$2:$O$1001,0),1)&gt;=100000,INDEX($V$1005:$AE$1005,1,MATCH(COLUMNS($V$1006:X1006),$V$1006:$AE$1006,0))&gt;=100000), " ",IF(INDEX($V$2:$AE$1001,MATCH(ROWS($O$2:O724),$O$2:$O$1001,0),MATCH(COLUMNS($V$1006:X1006),$V$1006:$AE$1006,0)), HYPERLINK("#",""), HYPERLINK(CONCATENATE("#Metadata!", ADDRESS(INDEX($Q$2:$Q$1001,MATCH(ROWS($O$2:O724),$O$2:$O$1001,0),0), INDEX($V$1004:$AE$1004,1,MATCH(COLUMNS($V$1006:X1006),$V$1006:$AE$1006,0)))),"Fix")))</f>
        <v>0</v>
      </c>
      <c r="E724" s="4">
        <f>IF(OR(INDEX($P$2:$P$1001,MATCH(ROWS($O$2:O724),$O$2:$O$1001,0),1)&gt;=100000,INDEX($V$1005:$AE$1005,1,MATCH(COLUMNS($V$1006:Y1006),$V$1006:$AE$1006,0))&gt;=100000), " ",IF(INDEX($V$2:$AE$1001,MATCH(ROWS($O$2:O724),$O$2:$O$1001,0),MATCH(COLUMNS($V$1006:Y1006),$V$1006:$AE$1006,0)), HYPERLINK("#",""), HYPERLINK(CONCATENATE("#Metadata!", ADDRESS(INDEX($Q$2:$Q$1001,MATCH(ROWS($O$2:O724),$O$2:$O$1001,0),0), INDEX($V$1004:$AE$1004,1,MATCH(COLUMNS($V$1006:Y1006),$V$1006:$AE$1006,0)))),"Fix")))</f>
        <v>0</v>
      </c>
      <c r="F724" s="4">
        <f>IF(OR(INDEX($P$2:$P$1001,MATCH(ROWS($O$2:O724),$O$2:$O$1001,0),1)&gt;=100000,INDEX($V$1005:$AE$1005,1,MATCH(COLUMNS($V$1006:Z1006),$V$1006:$AE$1006,0))&gt;=100000), " ",IF(INDEX($V$2:$AE$1001,MATCH(ROWS($O$2:O724),$O$2:$O$1001,0),MATCH(COLUMNS($V$1006:Z1006),$V$1006:$AE$1006,0)), HYPERLINK("#",""), HYPERLINK(CONCATENATE("#Metadata!", ADDRESS(INDEX($Q$2:$Q$1001,MATCH(ROWS($O$2:O724),$O$2:$O$1001,0),0), INDEX($V$1004:$AE$1004,1,MATCH(COLUMNS($V$1006:Z1006),$V$1006:$AE$1006,0)))),"Fix")))</f>
        <v>0</v>
      </c>
      <c r="G724" s="4">
        <f>IF(OR(INDEX($P$2:$P$1001,MATCH(ROWS($O$2:O724),$O$2:$O$1001,0),1)&gt;=100000,INDEX($V$1005:$AE$1005,1,MATCH(COLUMNS($V$1006:AA1006),$V$1006:$AE$1006,0))&gt;=100000), " ",IF(INDEX($V$2:$AE$1001,MATCH(ROWS($O$2:O724),$O$2:$O$1001,0),MATCH(COLUMNS($V$1006:AA1006),$V$1006:$AE$1006,0)), HYPERLINK("#",""), HYPERLINK(CONCATENATE("#Metadata!", ADDRESS(INDEX($Q$2:$Q$1001,MATCH(ROWS($O$2:O724),$O$2:$O$1001,0),0), INDEX($V$1004:$AE$1004,1,MATCH(COLUMNS($V$1006:AA1006),$V$1006:$AE$1006,0)))),"Fix")))</f>
        <v>0</v>
      </c>
      <c r="H724" s="4">
        <f>IF(OR(INDEX($P$2:$P$1001,MATCH(ROWS($O$2:O724),$O$2:$O$1001,0),1)&gt;=100000,INDEX($V$1005:$AE$1005,1,MATCH(COLUMNS($V$1006:AB1006),$V$1006:$AE$1006,0))&gt;=100000), " ",IF(INDEX($V$2:$AE$1001,MATCH(ROWS($O$2:O724),$O$2:$O$1001,0),MATCH(COLUMNS($V$1006:AB1006),$V$1006:$AE$1006,0)), HYPERLINK("#",""), HYPERLINK(CONCATENATE("#Metadata!", ADDRESS(INDEX($Q$2:$Q$1001,MATCH(ROWS($O$2:O724),$O$2:$O$1001,0),0), INDEX($V$1004:$AE$1004,1,MATCH(COLUMNS($V$1006:AB1006),$V$1006:$AE$1006,0)))),"Fix")))</f>
        <v>0</v>
      </c>
      <c r="I724" s="4">
        <f>IF(OR(INDEX($P$2:$P$1001,MATCH(ROWS($O$2:O724),$O$2:$O$1001,0),1)&gt;=100000,INDEX($V$1005:$AE$1005,1,MATCH(COLUMNS($V$1006:AC1006),$V$1006:$AE$1006,0))&gt;=100000), " ",IF(INDEX($V$2:$AE$1001,MATCH(ROWS($O$2:O724),$O$2:$O$1001,0),MATCH(COLUMNS($V$1006:AC1006),$V$1006:$AE$1006,0)), HYPERLINK("#",""), HYPERLINK(CONCATENATE("#Metadata!", ADDRESS(INDEX($Q$2:$Q$1001,MATCH(ROWS($O$2:O724),$O$2:$O$1001,0),0), INDEX($V$1004:$AE$1004,1,MATCH(COLUMNS($V$1006:AC1006),$V$1006:$AE$1006,0)))),"Fix")))</f>
        <v>0</v>
      </c>
      <c r="J724" s="4">
        <f>IF(OR(INDEX($P$2:$P$1001,MATCH(ROWS($O$2:O724),$O$2:$O$1001,0),1)&gt;=100000,INDEX($V$1005:$AE$1005,1,MATCH(COLUMNS($V$1006:AD1006),$V$1006:$AE$1006,0))&gt;=100000), " ",IF(INDEX($V$2:$AE$1001,MATCH(ROWS($O$2:O724),$O$2:$O$1001,0),MATCH(COLUMNS($V$1006:AD1006),$V$1006:$AE$1006,0)), HYPERLINK("#",""), HYPERLINK(CONCATENATE("#Metadata!", ADDRESS(INDEX($Q$2:$Q$1001,MATCH(ROWS($O$2:O724),$O$2:$O$1001,0),0), INDEX($V$1004:$AE$1004,1,MATCH(COLUMNS($V$1006:AD1006),$V$1006:$AE$1006,0)))),"Fix")))</f>
        <v>0</v>
      </c>
      <c r="K724" s="4">
        <f>IF(OR(INDEX($P$2:$P$1001,MATCH(ROWS($O$2:O724),$O$2:$O$1001,0),1)&gt;=100000,INDEX($V$1005:$AE$1005,1,MATCH(COLUMNS($V$1006:AE1006),$V$1006:$AE$1006,0))&gt;=100000), " ",IF(INDEX($V$2:$AE$1001,MATCH(ROWS($O$2:O724),$O$2:$O$1001,0),MATCH(COLUMNS($V$1006:AE1006),$V$1006:$AE$1006,0)), HYPERLINK("#",""), HYPERLINK(CONCATENATE("#Metadata!", ADDRESS(INDEX($Q$2:$Q$1001,MATCH(ROWS($O$2:O724),$O$2:$O$1001,0),0), INDEX($V$1004:$AE$1004,1,MATCH(COLUMNS($V$1006:AE1006),$V$1006:$AE$1006,0)))),"Fix")))</f>
        <v>0</v>
      </c>
      <c r="O724">
        <v>0</v>
      </c>
      <c r="P724">
        <v>0</v>
      </c>
      <c r="Q724">
        <v>0</v>
      </c>
      <c r="R724">
        <f>IF(S724,TRUE,AND(V724:AE724))</f>
        <v>0</v>
      </c>
      <c r="S724">
        <f>COUNTBLANK(Metadata!B724:K724)=COLUMNS(Metadata!B724:K724)</f>
        <v>0</v>
      </c>
      <c r="T724">
        <v>0</v>
      </c>
      <c r="V724">
        <f>AND(IF(Metadata!B724="",FALSE,TRUE),COUNTIF(Metadata!B:B, Metadata!B724) = 1,NOT(ISERROR(SUMPRODUCT(SEARCH(MID(Metadata!B724,ROW(INDIRECT("1:"&amp;LEN(Metadata!B724))), 1),"0123456789abcdefghijklmnopqrstuvwxyzABCDEFGHIJKLMNOPQRSTUVWXYZ.")))))</f>
        <v>0</v>
      </c>
      <c r="W724">
        <f>AND(IF(Metadata!C724="",FALSE,TRUE),exact(Metadata!C724,"urban biome"))</f>
        <v>0</v>
      </c>
      <c r="X724">
        <f>AND(IF(Metadata!D724="",FALSE,TRUE),exact(Metadata!D724,"animal-associated habitat"))</f>
        <v>0</v>
      </c>
      <c r="Y724">
        <f>OR(AND(IF(Metadata!E724="",FALSE,TRUE),OR(exact(Metadata!E724,"not applicable"),exact(Metadata!E724,"missing: not collected"),exact(Metadata!E724,"missing: not provided"),exact(Metadata!E724,"missing: restricted access"))),AND(IF(Metadata!E724="",FALSE,ISNUMBER(VALUE(Metadata!E724))),Metadata!E724&gt;0))</f>
        <v>0</v>
      </c>
      <c r="Z724">
        <f>AND(IF(Metadata!F724="",FALSE,TRUE),exact(Metadata!F724,"weeks"))</f>
        <v>0</v>
      </c>
      <c r="AA724">
        <f>AND(IF(Metadata!G724="",FALSE,TRUE),exact(Metadata!G724,"mouse"))</f>
        <v>0</v>
      </c>
      <c r="AB724">
        <f>AND(IF(Metadata!H724="",FALSE,TRUE),exact(Metadata!H724,"Mus musculus"))</f>
        <v>0</v>
      </c>
      <c r="AC724">
        <f>AND(IF(Metadata!I724="",FALSE,TRUE),exact(Metadata!I724,"10090"))</f>
        <v>0</v>
      </c>
      <c r="AD724">
        <f>OR(AND(IF(Metadata!J724="",FALSE,TRUE),OR(exact(Metadata!J724,"not applicable"),exact(Metadata!J724,"missing: not collected"),exact(Metadata!J724,"missing: not provided"),exact(Metadata!J724,"missing: restricted access"))),AND(IF(Metadata!J724="",FALSE,ISNUMBER(VALUE(Metadata!J724))),Metadata!J724&gt;0))</f>
        <v>0</v>
      </c>
      <c r="AE724">
        <f>AND(IF(Metadata!K724="",FALSE,TRUE),exact(Metadata!K724,"g"))</f>
        <v>0</v>
      </c>
    </row>
    <row r="725" spans="1:31">
      <c r="A725" s="5">
        <f>IF(B725=" "," ",HYPERLINK(CONCATENATE("#metadata!",ADDRESS(INDEX($Q$2:$Q$1001,MATCH(ROWS($O$2:O725),$O$2:$O$1001,0),0),1)),INDEX($T$2:$T$1001,MATCH(ROWS($O$2:O725),$O$2:$O$1001,0),0)))</f>
        <v>0</v>
      </c>
      <c r="B725" s="4">
        <f>IF(OR(INDEX($P$2:$P$1001,MATCH(ROWS($O$2:O725),$O$2:$O$1001,0),1)&gt;=100000,INDEX($V$1005:$AE$1005,1,MATCH(COLUMNS($V$1006:V1006),$V$1006:$AE$1006,0))&gt;=100000), " ",IF(INDEX($V$2:$AE$1001,MATCH(ROWS($O$2:O725),$O$2:$O$1001,0),MATCH(COLUMNS($V$1006:V1006),$V$1006:$AE$1006,0)), HYPERLINK("#",""), HYPERLINK(CONCATENATE("#Metadata!", ADDRESS(INDEX($Q$2:$Q$1001,MATCH(ROWS($O$2:O725),$O$2:$O$1001,0),0), INDEX($V$1004:$AE$1004,1,MATCH(COLUMNS($V$1006:V1006),$V$1006:$AE$1006,0)))),"Fix")))</f>
        <v>0</v>
      </c>
      <c r="C725" s="4">
        <f>IF(OR(INDEX($P$2:$P$1001,MATCH(ROWS($O$2:O725),$O$2:$O$1001,0),1)&gt;=100000,INDEX($V$1005:$AE$1005,1,MATCH(COLUMNS($V$1006:W1006),$V$1006:$AE$1006,0))&gt;=100000), " ",IF(INDEX($V$2:$AE$1001,MATCH(ROWS($O$2:O725),$O$2:$O$1001,0),MATCH(COLUMNS($V$1006:W1006),$V$1006:$AE$1006,0)), HYPERLINK("#",""), HYPERLINK(CONCATENATE("#Metadata!", ADDRESS(INDEX($Q$2:$Q$1001,MATCH(ROWS($O$2:O725),$O$2:$O$1001,0),0), INDEX($V$1004:$AE$1004,1,MATCH(COLUMNS($V$1006:W1006),$V$1006:$AE$1006,0)))),"Fix")))</f>
        <v>0</v>
      </c>
      <c r="D725" s="4">
        <f>IF(OR(INDEX($P$2:$P$1001,MATCH(ROWS($O$2:O725),$O$2:$O$1001,0),1)&gt;=100000,INDEX($V$1005:$AE$1005,1,MATCH(COLUMNS($V$1006:X1006),$V$1006:$AE$1006,0))&gt;=100000), " ",IF(INDEX($V$2:$AE$1001,MATCH(ROWS($O$2:O725),$O$2:$O$1001,0),MATCH(COLUMNS($V$1006:X1006),$V$1006:$AE$1006,0)), HYPERLINK("#",""), HYPERLINK(CONCATENATE("#Metadata!", ADDRESS(INDEX($Q$2:$Q$1001,MATCH(ROWS($O$2:O725),$O$2:$O$1001,0),0), INDEX($V$1004:$AE$1004,1,MATCH(COLUMNS($V$1006:X1006),$V$1006:$AE$1006,0)))),"Fix")))</f>
        <v>0</v>
      </c>
      <c r="E725" s="4">
        <f>IF(OR(INDEX($P$2:$P$1001,MATCH(ROWS($O$2:O725),$O$2:$O$1001,0),1)&gt;=100000,INDEX($V$1005:$AE$1005,1,MATCH(COLUMNS($V$1006:Y1006),$V$1006:$AE$1006,0))&gt;=100000), " ",IF(INDEX($V$2:$AE$1001,MATCH(ROWS($O$2:O725),$O$2:$O$1001,0),MATCH(COLUMNS($V$1006:Y1006),$V$1006:$AE$1006,0)), HYPERLINK("#",""), HYPERLINK(CONCATENATE("#Metadata!", ADDRESS(INDEX($Q$2:$Q$1001,MATCH(ROWS($O$2:O725),$O$2:$O$1001,0),0), INDEX($V$1004:$AE$1004,1,MATCH(COLUMNS($V$1006:Y1006),$V$1006:$AE$1006,0)))),"Fix")))</f>
        <v>0</v>
      </c>
      <c r="F725" s="4">
        <f>IF(OR(INDEX($P$2:$P$1001,MATCH(ROWS($O$2:O725),$O$2:$O$1001,0),1)&gt;=100000,INDEX($V$1005:$AE$1005,1,MATCH(COLUMNS($V$1006:Z1006),$V$1006:$AE$1006,0))&gt;=100000), " ",IF(INDEX($V$2:$AE$1001,MATCH(ROWS($O$2:O725),$O$2:$O$1001,0),MATCH(COLUMNS($V$1006:Z1006),$V$1006:$AE$1006,0)), HYPERLINK("#",""), HYPERLINK(CONCATENATE("#Metadata!", ADDRESS(INDEX($Q$2:$Q$1001,MATCH(ROWS($O$2:O725),$O$2:$O$1001,0),0), INDEX($V$1004:$AE$1004,1,MATCH(COLUMNS($V$1006:Z1006),$V$1006:$AE$1006,0)))),"Fix")))</f>
        <v>0</v>
      </c>
      <c r="G725" s="4">
        <f>IF(OR(INDEX($P$2:$P$1001,MATCH(ROWS($O$2:O725),$O$2:$O$1001,0),1)&gt;=100000,INDEX($V$1005:$AE$1005,1,MATCH(COLUMNS($V$1006:AA1006),$V$1006:$AE$1006,0))&gt;=100000), " ",IF(INDEX($V$2:$AE$1001,MATCH(ROWS($O$2:O725),$O$2:$O$1001,0),MATCH(COLUMNS($V$1006:AA1006),$V$1006:$AE$1006,0)), HYPERLINK("#",""), HYPERLINK(CONCATENATE("#Metadata!", ADDRESS(INDEX($Q$2:$Q$1001,MATCH(ROWS($O$2:O725),$O$2:$O$1001,0),0), INDEX($V$1004:$AE$1004,1,MATCH(COLUMNS($V$1006:AA1006),$V$1006:$AE$1006,0)))),"Fix")))</f>
        <v>0</v>
      </c>
      <c r="H725" s="4">
        <f>IF(OR(INDEX($P$2:$P$1001,MATCH(ROWS($O$2:O725),$O$2:$O$1001,0),1)&gt;=100000,INDEX($V$1005:$AE$1005,1,MATCH(COLUMNS($V$1006:AB1006),$V$1006:$AE$1006,0))&gt;=100000), " ",IF(INDEX($V$2:$AE$1001,MATCH(ROWS($O$2:O725),$O$2:$O$1001,0),MATCH(COLUMNS($V$1006:AB1006),$V$1006:$AE$1006,0)), HYPERLINK("#",""), HYPERLINK(CONCATENATE("#Metadata!", ADDRESS(INDEX($Q$2:$Q$1001,MATCH(ROWS($O$2:O725),$O$2:$O$1001,0),0), INDEX($V$1004:$AE$1004,1,MATCH(COLUMNS($V$1006:AB1006),$V$1006:$AE$1006,0)))),"Fix")))</f>
        <v>0</v>
      </c>
      <c r="I725" s="4">
        <f>IF(OR(INDEX($P$2:$P$1001,MATCH(ROWS($O$2:O725),$O$2:$O$1001,0),1)&gt;=100000,INDEX($V$1005:$AE$1005,1,MATCH(COLUMNS($V$1006:AC1006),$V$1006:$AE$1006,0))&gt;=100000), " ",IF(INDEX($V$2:$AE$1001,MATCH(ROWS($O$2:O725),$O$2:$O$1001,0),MATCH(COLUMNS($V$1006:AC1006),$V$1006:$AE$1006,0)), HYPERLINK("#",""), HYPERLINK(CONCATENATE("#Metadata!", ADDRESS(INDEX($Q$2:$Q$1001,MATCH(ROWS($O$2:O725),$O$2:$O$1001,0),0), INDEX($V$1004:$AE$1004,1,MATCH(COLUMNS($V$1006:AC1006),$V$1006:$AE$1006,0)))),"Fix")))</f>
        <v>0</v>
      </c>
      <c r="J725" s="4">
        <f>IF(OR(INDEX($P$2:$P$1001,MATCH(ROWS($O$2:O725),$O$2:$O$1001,0),1)&gt;=100000,INDEX($V$1005:$AE$1005,1,MATCH(COLUMNS($V$1006:AD1006),$V$1006:$AE$1006,0))&gt;=100000), " ",IF(INDEX($V$2:$AE$1001,MATCH(ROWS($O$2:O725),$O$2:$O$1001,0),MATCH(COLUMNS($V$1006:AD1006),$V$1006:$AE$1006,0)), HYPERLINK("#",""), HYPERLINK(CONCATENATE("#Metadata!", ADDRESS(INDEX($Q$2:$Q$1001,MATCH(ROWS($O$2:O725),$O$2:$O$1001,0),0), INDEX($V$1004:$AE$1004,1,MATCH(COLUMNS($V$1006:AD1006),$V$1006:$AE$1006,0)))),"Fix")))</f>
        <v>0</v>
      </c>
      <c r="K725" s="4">
        <f>IF(OR(INDEX($P$2:$P$1001,MATCH(ROWS($O$2:O725),$O$2:$O$1001,0),1)&gt;=100000,INDEX($V$1005:$AE$1005,1,MATCH(COLUMNS($V$1006:AE1006),$V$1006:$AE$1006,0))&gt;=100000), " ",IF(INDEX($V$2:$AE$1001,MATCH(ROWS($O$2:O725),$O$2:$O$1001,0),MATCH(COLUMNS($V$1006:AE1006),$V$1006:$AE$1006,0)), HYPERLINK("#",""), HYPERLINK(CONCATENATE("#Metadata!", ADDRESS(INDEX($Q$2:$Q$1001,MATCH(ROWS($O$2:O725),$O$2:$O$1001,0),0), INDEX($V$1004:$AE$1004,1,MATCH(COLUMNS($V$1006:AE1006),$V$1006:$AE$1006,0)))),"Fix")))</f>
        <v>0</v>
      </c>
      <c r="O725">
        <v>0</v>
      </c>
      <c r="P725">
        <v>0</v>
      </c>
      <c r="Q725">
        <v>0</v>
      </c>
      <c r="R725">
        <f>IF(S725,TRUE,AND(V725:AE725))</f>
        <v>0</v>
      </c>
      <c r="S725">
        <f>COUNTBLANK(Metadata!B725:K725)=COLUMNS(Metadata!B725:K725)</f>
        <v>0</v>
      </c>
      <c r="T725">
        <v>0</v>
      </c>
      <c r="V725">
        <f>AND(IF(Metadata!B725="",FALSE,TRUE),COUNTIF(Metadata!B:B, Metadata!B725) = 1,NOT(ISERROR(SUMPRODUCT(SEARCH(MID(Metadata!B725,ROW(INDIRECT("1:"&amp;LEN(Metadata!B725))), 1),"0123456789abcdefghijklmnopqrstuvwxyzABCDEFGHIJKLMNOPQRSTUVWXYZ.")))))</f>
        <v>0</v>
      </c>
      <c r="W725">
        <f>AND(IF(Metadata!C725="",FALSE,TRUE),exact(Metadata!C725,"urban biome"))</f>
        <v>0</v>
      </c>
      <c r="X725">
        <f>AND(IF(Metadata!D725="",FALSE,TRUE),exact(Metadata!D725,"animal-associated habitat"))</f>
        <v>0</v>
      </c>
      <c r="Y725">
        <f>OR(AND(IF(Metadata!E725="",FALSE,TRUE),OR(exact(Metadata!E725,"not applicable"),exact(Metadata!E725,"missing: not collected"),exact(Metadata!E725,"missing: not provided"),exact(Metadata!E725,"missing: restricted access"))),AND(IF(Metadata!E725="",FALSE,ISNUMBER(VALUE(Metadata!E725))),Metadata!E725&gt;0))</f>
        <v>0</v>
      </c>
      <c r="Z725">
        <f>AND(IF(Metadata!F725="",FALSE,TRUE),exact(Metadata!F725,"weeks"))</f>
        <v>0</v>
      </c>
      <c r="AA725">
        <f>AND(IF(Metadata!G725="",FALSE,TRUE),exact(Metadata!G725,"mouse"))</f>
        <v>0</v>
      </c>
      <c r="AB725">
        <f>AND(IF(Metadata!H725="",FALSE,TRUE),exact(Metadata!H725,"Mus musculus"))</f>
        <v>0</v>
      </c>
      <c r="AC725">
        <f>AND(IF(Metadata!I725="",FALSE,TRUE),exact(Metadata!I725,"10090"))</f>
        <v>0</v>
      </c>
      <c r="AD725">
        <f>OR(AND(IF(Metadata!J725="",FALSE,TRUE),OR(exact(Metadata!J725,"not applicable"),exact(Metadata!J725,"missing: not collected"),exact(Metadata!J725,"missing: not provided"),exact(Metadata!J725,"missing: restricted access"))),AND(IF(Metadata!J725="",FALSE,ISNUMBER(VALUE(Metadata!J725))),Metadata!J725&gt;0))</f>
        <v>0</v>
      </c>
      <c r="AE725">
        <f>AND(IF(Metadata!K725="",FALSE,TRUE),exact(Metadata!K725,"g"))</f>
        <v>0</v>
      </c>
    </row>
    <row r="726" spans="1:31">
      <c r="A726" s="5">
        <f>IF(B726=" "," ",HYPERLINK(CONCATENATE("#metadata!",ADDRESS(INDEX($Q$2:$Q$1001,MATCH(ROWS($O$2:O726),$O$2:$O$1001,0),0),1)),INDEX($T$2:$T$1001,MATCH(ROWS($O$2:O726),$O$2:$O$1001,0),0)))</f>
        <v>0</v>
      </c>
      <c r="B726" s="4">
        <f>IF(OR(INDEX($P$2:$P$1001,MATCH(ROWS($O$2:O726),$O$2:$O$1001,0),1)&gt;=100000,INDEX($V$1005:$AE$1005,1,MATCH(COLUMNS($V$1006:V1006),$V$1006:$AE$1006,0))&gt;=100000), " ",IF(INDEX($V$2:$AE$1001,MATCH(ROWS($O$2:O726),$O$2:$O$1001,0),MATCH(COLUMNS($V$1006:V1006),$V$1006:$AE$1006,0)), HYPERLINK("#",""), HYPERLINK(CONCATENATE("#Metadata!", ADDRESS(INDEX($Q$2:$Q$1001,MATCH(ROWS($O$2:O726),$O$2:$O$1001,0),0), INDEX($V$1004:$AE$1004,1,MATCH(COLUMNS($V$1006:V1006),$V$1006:$AE$1006,0)))),"Fix")))</f>
        <v>0</v>
      </c>
      <c r="C726" s="4">
        <f>IF(OR(INDEX($P$2:$P$1001,MATCH(ROWS($O$2:O726),$O$2:$O$1001,0),1)&gt;=100000,INDEX($V$1005:$AE$1005,1,MATCH(COLUMNS($V$1006:W1006),$V$1006:$AE$1006,0))&gt;=100000), " ",IF(INDEX($V$2:$AE$1001,MATCH(ROWS($O$2:O726),$O$2:$O$1001,0),MATCH(COLUMNS($V$1006:W1006),$V$1006:$AE$1006,0)), HYPERLINK("#",""), HYPERLINK(CONCATENATE("#Metadata!", ADDRESS(INDEX($Q$2:$Q$1001,MATCH(ROWS($O$2:O726),$O$2:$O$1001,0),0), INDEX($V$1004:$AE$1004,1,MATCH(COLUMNS($V$1006:W1006),$V$1006:$AE$1006,0)))),"Fix")))</f>
        <v>0</v>
      </c>
      <c r="D726" s="4">
        <f>IF(OR(INDEX($P$2:$P$1001,MATCH(ROWS($O$2:O726),$O$2:$O$1001,0),1)&gt;=100000,INDEX($V$1005:$AE$1005,1,MATCH(COLUMNS($V$1006:X1006),$V$1006:$AE$1006,0))&gt;=100000), " ",IF(INDEX($V$2:$AE$1001,MATCH(ROWS($O$2:O726),$O$2:$O$1001,0),MATCH(COLUMNS($V$1006:X1006),$V$1006:$AE$1006,0)), HYPERLINK("#",""), HYPERLINK(CONCATENATE("#Metadata!", ADDRESS(INDEX($Q$2:$Q$1001,MATCH(ROWS($O$2:O726),$O$2:$O$1001,0),0), INDEX($V$1004:$AE$1004,1,MATCH(COLUMNS($V$1006:X1006),$V$1006:$AE$1006,0)))),"Fix")))</f>
        <v>0</v>
      </c>
      <c r="E726" s="4">
        <f>IF(OR(INDEX($P$2:$P$1001,MATCH(ROWS($O$2:O726),$O$2:$O$1001,0),1)&gt;=100000,INDEX($V$1005:$AE$1005,1,MATCH(COLUMNS($V$1006:Y1006),$V$1006:$AE$1006,0))&gt;=100000), " ",IF(INDEX($V$2:$AE$1001,MATCH(ROWS($O$2:O726),$O$2:$O$1001,0),MATCH(COLUMNS($V$1006:Y1006),$V$1006:$AE$1006,0)), HYPERLINK("#",""), HYPERLINK(CONCATENATE("#Metadata!", ADDRESS(INDEX($Q$2:$Q$1001,MATCH(ROWS($O$2:O726),$O$2:$O$1001,0),0), INDEX($V$1004:$AE$1004,1,MATCH(COLUMNS($V$1006:Y1006),$V$1006:$AE$1006,0)))),"Fix")))</f>
        <v>0</v>
      </c>
      <c r="F726" s="4">
        <f>IF(OR(INDEX($P$2:$P$1001,MATCH(ROWS($O$2:O726),$O$2:$O$1001,0),1)&gt;=100000,INDEX($V$1005:$AE$1005,1,MATCH(COLUMNS($V$1006:Z1006),$V$1006:$AE$1006,0))&gt;=100000), " ",IF(INDEX($V$2:$AE$1001,MATCH(ROWS($O$2:O726),$O$2:$O$1001,0),MATCH(COLUMNS($V$1006:Z1006),$V$1006:$AE$1006,0)), HYPERLINK("#",""), HYPERLINK(CONCATENATE("#Metadata!", ADDRESS(INDEX($Q$2:$Q$1001,MATCH(ROWS($O$2:O726),$O$2:$O$1001,0),0), INDEX($V$1004:$AE$1004,1,MATCH(COLUMNS($V$1006:Z1006),$V$1006:$AE$1006,0)))),"Fix")))</f>
        <v>0</v>
      </c>
      <c r="G726" s="4">
        <f>IF(OR(INDEX($P$2:$P$1001,MATCH(ROWS($O$2:O726),$O$2:$O$1001,0),1)&gt;=100000,INDEX($V$1005:$AE$1005,1,MATCH(COLUMNS($V$1006:AA1006),$V$1006:$AE$1006,0))&gt;=100000), " ",IF(INDEX($V$2:$AE$1001,MATCH(ROWS($O$2:O726),$O$2:$O$1001,0),MATCH(COLUMNS($V$1006:AA1006),$V$1006:$AE$1006,0)), HYPERLINK("#",""), HYPERLINK(CONCATENATE("#Metadata!", ADDRESS(INDEX($Q$2:$Q$1001,MATCH(ROWS($O$2:O726),$O$2:$O$1001,0),0), INDEX($V$1004:$AE$1004,1,MATCH(COLUMNS($V$1006:AA1006),$V$1006:$AE$1006,0)))),"Fix")))</f>
        <v>0</v>
      </c>
      <c r="H726" s="4">
        <f>IF(OR(INDEX($P$2:$P$1001,MATCH(ROWS($O$2:O726),$O$2:$O$1001,0),1)&gt;=100000,INDEX($V$1005:$AE$1005,1,MATCH(COLUMNS($V$1006:AB1006),$V$1006:$AE$1006,0))&gt;=100000), " ",IF(INDEX($V$2:$AE$1001,MATCH(ROWS($O$2:O726),$O$2:$O$1001,0),MATCH(COLUMNS($V$1006:AB1006),$V$1006:$AE$1006,0)), HYPERLINK("#",""), HYPERLINK(CONCATENATE("#Metadata!", ADDRESS(INDEX($Q$2:$Q$1001,MATCH(ROWS($O$2:O726),$O$2:$O$1001,0),0), INDEX($V$1004:$AE$1004,1,MATCH(COLUMNS($V$1006:AB1006),$V$1006:$AE$1006,0)))),"Fix")))</f>
        <v>0</v>
      </c>
      <c r="I726" s="4">
        <f>IF(OR(INDEX($P$2:$P$1001,MATCH(ROWS($O$2:O726),$O$2:$O$1001,0),1)&gt;=100000,INDEX($V$1005:$AE$1005,1,MATCH(COLUMNS($V$1006:AC1006),$V$1006:$AE$1006,0))&gt;=100000), " ",IF(INDEX($V$2:$AE$1001,MATCH(ROWS($O$2:O726),$O$2:$O$1001,0),MATCH(COLUMNS($V$1006:AC1006),$V$1006:$AE$1006,0)), HYPERLINK("#",""), HYPERLINK(CONCATENATE("#Metadata!", ADDRESS(INDEX($Q$2:$Q$1001,MATCH(ROWS($O$2:O726),$O$2:$O$1001,0),0), INDEX($V$1004:$AE$1004,1,MATCH(COLUMNS($V$1006:AC1006),$V$1006:$AE$1006,0)))),"Fix")))</f>
        <v>0</v>
      </c>
      <c r="J726" s="4">
        <f>IF(OR(INDEX($P$2:$P$1001,MATCH(ROWS($O$2:O726),$O$2:$O$1001,0),1)&gt;=100000,INDEX($V$1005:$AE$1005,1,MATCH(COLUMNS($V$1006:AD1006),$V$1006:$AE$1006,0))&gt;=100000), " ",IF(INDEX($V$2:$AE$1001,MATCH(ROWS($O$2:O726),$O$2:$O$1001,0),MATCH(COLUMNS($V$1006:AD1006),$V$1006:$AE$1006,0)), HYPERLINK("#",""), HYPERLINK(CONCATENATE("#Metadata!", ADDRESS(INDEX($Q$2:$Q$1001,MATCH(ROWS($O$2:O726),$O$2:$O$1001,0),0), INDEX($V$1004:$AE$1004,1,MATCH(COLUMNS($V$1006:AD1006),$V$1006:$AE$1006,0)))),"Fix")))</f>
        <v>0</v>
      </c>
      <c r="K726" s="4">
        <f>IF(OR(INDEX($P$2:$P$1001,MATCH(ROWS($O$2:O726),$O$2:$O$1001,0),1)&gt;=100000,INDEX($V$1005:$AE$1005,1,MATCH(COLUMNS($V$1006:AE1006),$V$1006:$AE$1006,0))&gt;=100000), " ",IF(INDEX($V$2:$AE$1001,MATCH(ROWS($O$2:O726),$O$2:$O$1001,0),MATCH(COLUMNS($V$1006:AE1006),$V$1006:$AE$1006,0)), HYPERLINK("#",""), HYPERLINK(CONCATENATE("#Metadata!", ADDRESS(INDEX($Q$2:$Q$1001,MATCH(ROWS($O$2:O726),$O$2:$O$1001,0),0), INDEX($V$1004:$AE$1004,1,MATCH(COLUMNS($V$1006:AE1006),$V$1006:$AE$1006,0)))),"Fix")))</f>
        <v>0</v>
      </c>
      <c r="O726">
        <v>0</v>
      </c>
      <c r="P726">
        <v>0</v>
      </c>
      <c r="Q726">
        <v>0</v>
      </c>
      <c r="R726">
        <f>IF(S726,TRUE,AND(V726:AE726))</f>
        <v>0</v>
      </c>
      <c r="S726">
        <f>COUNTBLANK(Metadata!B726:K726)=COLUMNS(Metadata!B726:K726)</f>
        <v>0</v>
      </c>
      <c r="T726">
        <v>0</v>
      </c>
      <c r="V726">
        <f>AND(IF(Metadata!B726="",FALSE,TRUE),COUNTIF(Metadata!B:B, Metadata!B726) = 1,NOT(ISERROR(SUMPRODUCT(SEARCH(MID(Metadata!B726,ROW(INDIRECT("1:"&amp;LEN(Metadata!B726))), 1),"0123456789abcdefghijklmnopqrstuvwxyzABCDEFGHIJKLMNOPQRSTUVWXYZ.")))))</f>
        <v>0</v>
      </c>
      <c r="W726">
        <f>AND(IF(Metadata!C726="",FALSE,TRUE),exact(Metadata!C726,"urban biome"))</f>
        <v>0</v>
      </c>
      <c r="X726">
        <f>AND(IF(Metadata!D726="",FALSE,TRUE),exact(Metadata!D726,"animal-associated habitat"))</f>
        <v>0</v>
      </c>
      <c r="Y726">
        <f>OR(AND(IF(Metadata!E726="",FALSE,TRUE),OR(exact(Metadata!E726,"not applicable"),exact(Metadata!E726,"missing: not collected"),exact(Metadata!E726,"missing: not provided"),exact(Metadata!E726,"missing: restricted access"))),AND(IF(Metadata!E726="",FALSE,ISNUMBER(VALUE(Metadata!E726))),Metadata!E726&gt;0))</f>
        <v>0</v>
      </c>
      <c r="Z726">
        <f>AND(IF(Metadata!F726="",FALSE,TRUE),exact(Metadata!F726,"weeks"))</f>
        <v>0</v>
      </c>
      <c r="AA726">
        <f>AND(IF(Metadata!G726="",FALSE,TRUE),exact(Metadata!G726,"mouse"))</f>
        <v>0</v>
      </c>
      <c r="AB726">
        <f>AND(IF(Metadata!H726="",FALSE,TRUE),exact(Metadata!H726,"Mus musculus"))</f>
        <v>0</v>
      </c>
      <c r="AC726">
        <f>AND(IF(Metadata!I726="",FALSE,TRUE),exact(Metadata!I726,"10090"))</f>
        <v>0</v>
      </c>
      <c r="AD726">
        <f>OR(AND(IF(Metadata!J726="",FALSE,TRUE),OR(exact(Metadata!J726,"not applicable"),exact(Metadata!J726,"missing: not collected"),exact(Metadata!J726,"missing: not provided"),exact(Metadata!J726,"missing: restricted access"))),AND(IF(Metadata!J726="",FALSE,ISNUMBER(VALUE(Metadata!J726))),Metadata!J726&gt;0))</f>
        <v>0</v>
      </c>
      <c r="AE726">
        <f>AND(IF(Metadata!K726="",FALSE,TRUE),exact(Metadata!K726,"g"))</f>
        <v>0</v>
      </c>
    </row>
    <row r="727" spans="1:31">
      <c r="A727" s="5">
        <f>IF(B727=" "," ",HYPERLINK(CONCATENATE("#metadata!",ADDRESS(INDEX($Q$2:$Q$1001,MATCH(ROWS($O$2:O727),$O$2:$O$1001,0),0),1)),INDEX($T$2:$T$1001,MATCH(ROWS($O$2:O727),$O$2:$O$1001,0),0)))</f>
        <v>0</v>
      </c>
      <c r="B727" s="4">
        <f>IF(OR(INDEX($P$2:$P$1001,MATCH(ROWS($O$2:O727),$O$2:$O$1001,0),1)&gt;=100000,INDEX($V$1005:$AE$1005,1,MATCH(COLUMNS($V$1006:V1006),$V$1006:$AE$1006,0))&gt;=100000), " ",IF(INDEX($V$2:$AE$1001,MATCH(ROWS($O$2:O727),$O$2:$O$1001,0),MATCH(COLUMNS($V$1006:V1006),$V$1006:$AE$1006,0)), HYPERLINK("#",""), HYPERLINK(CONCATENATE("#Metadata!", ADDRESS(INDEX($Q$2:$Q$1001,MATCH(ROWS($O$2:O727),$O$2:$O$1001,0),0), INDEX($V$1004:$AE$1004,1,MATCH(COLUMNS($V$1006:V1006),$V$1006:$AE$1006,0)))),"Fix")))</f>
        <v>0</v>
      </c>
      <c r="C727" s="4">
        <f>IF(OR(INDEX($P$2:$P$1001,MATCH(ROWS($O$2:O727),$O$2:$O$1001,0),1)&gt;=100000,INDEX($V$1005:$AE$1005,1,MATCH(COLUMNS($V$1006:W1006),$V$1006:$AE$1006,0))&gt;=100000), " ",IF(INDEX($V$2:$AE$1001,MATCH(ROWS($O$2:O727),$O$2:$O$1001,0),MATCH(COLUMNS($V$1006:W1006),$V$1006:$AE$1006,0)), HYPERLINK("#",""), HYPERLINK(CONCATENATE("#Metadata!", ADDRESS(INDEX($Q$2:$Q$1001,MATCH(ROWS($O$2:O727),$O$2:$O$1001,0),0), INDEX($V$1004:$AE$1004,1,MATCH(COLUMNS($V$1006:W1006),$V$1006:$AE$1006,0)))),"Fix")))</f>
        <v>0</v>
      </c>
      <c r="D727" s="4">
        <f>IF(OR(INDEX($P$2:$P$1001,MATCH(ROWS($O$2:O727),$O$2:$O$1001,0),1)&gt;=100000,INDEX($V$1005:$AE$1005,1,MATCH(COLUMNS($V$1006:X1006),$V$1006:$AE$1006,0))&gt;=100000), " ",IF(INDEX($V$2:$AE$1001,MATCH(ROWS($O$2:O727),$O$2:$O$1001,0),MATCH(COLUMNS($V$1006:X1006),$V$1006:$AE$1006,0)), HYPERLINK("#",""), HYPERLINK(CONCATENATE("#Metadata!", ADDRESS(INDEX($Q$2:$Q$1001,MATCH(ROWS($O$2:O727),$O$2:$O$1001,0),0), INDEX($V$1004:$AE$1004,1,MATCH(COLUMNS($V$1006:X1006),$V$1006:$AE$1006,0)))),"Fix")))</f>
        <v>0</v>
      </c>
      <c r="E727" s="4">
        <f>IF(OR(INDEX($P$2:$P$1001,MATCH(ROWS($O$2:O727),$O$2:$O$1001,0),1)&gt;=100000,INDEX($V$1005:$AE$1005,1,MATCH(COLUMNS($V$1006:Y1006),$V$1006:$AE$1006,0))&gt;=100000), " ",IF(INDEX($V$2:$AE$1001,MATCH(ROWS($O$2:O727),$O$2:$O$1001,0),MATCH(COLUMNS($V$1006:Y1006),$V$1006:$AE$1006,0)), HYPERLINK("#",""), HYPERLINK(CONCATENATE("#Metadata!", ADDRESS(INDEX($Q$2:$Q$1001,MATCH(ROWS($O$2:O727),$O$2:$O$1001,0),0), INDEX($V$1004:$AE$1004,1,MATCH(COLUMNS($V$1006:Y1006),$V$1006:$AE$1006,0)))),"Fix")))</f>
        <v>0</v>
      </c>
      <c r="F727" s="4">
        <f>IF(OR(INDEX($P$2:$P$1001,MATCH(ROWS($O$2:O727),$O$2:$O$1001,0),1)&gt;=100000,INDEX($V$1005:$AE$1005,1,MATCH(COLUMNS($V$1006:Z1006),$V$1006:$AE$1006,0))&gt;=100000), " ",IF(INDEX($V$2:$AE$1001,MATCH(ROWS($O$2:O727),$O$2:$O$1001,0),MATCH(COLUMNS($V$1006:Z1006),$V$1006:$AE$1006,0)), HYPERLINK("#",""), HYPERLINK(CONCATENATE("#Metadata!", ADDRESS(INDEX($Q$2:$Q$1001,MATCH(ROWS($O$2:O727),$O$2:$O$1001,0),0), INDEX($V$1004:$AE$1004,1,MATCH(COLUMNS($V$1006:Z1006),$V$1006:$AE$1006,0)))),"Fix")))</f>
        <v>0</v>
      </c>
      <c r="G727" s="4">
        <f>IF(OR(INDEX($P$2:$P$1001,MATCH(ROWS($O$2:O727),$O$2:$O$1001,0),1)&gt;=100000,INDEX($V$1005:$AE$1005,1,MATCH(COLUMNS($V$1006:AA1006),$V$1006:$AE$1006,0))&gt;=100000), " ",IF(INDEX($V$2:$AE$1001,MATCH(ROWS($O$2:O727),$O$2:$O$1001,0),MATCH(COLUMNS($V$1006:AA1006),$V$1006:$AE$1006,0)), HYPERLINK("#",""), HYPERLINK(CONCATENATE("#Metadata!", ADDRESS(INDEX($Q$2:$Q$1001,MATCH(ROWS($O$2:O727),$O$2:$O$1001,0),0), INDEX($V$1004:$AE$1004,1,MATCH(COLUMNS($V$1006:AA1006),$V$1006:$AE$1006,0)))),"Fix")))</f>
        <v>0</v>
      </c>
      <c r="H727" s="4">
        <f>IF(OR(INDEX($P$2:$P$1001,MATCH(ROWS($O$2:O727),$O$2:$O$1001,0),1)&gt;=100000,INDEX($V$1005:$AE$1005,1,MATCH(COLUMNS($V$1006:AB1006),$V$1006:$AE$1006,0))&gt;=100000), " ",IF(INDEX($V$2:$AE$1001,MATCH(ROWS($O$2:O727),$O$2:$O$1001,0),MATCH(COLUMNS($V$1006:AB1006),$V$1006:$AE$1006,0)), HYPERLINK("#",""), HYPERLINK(CONCATENATE("#Metadata!", ADDRESS(INDEX($Q$2:$Q$1001,MATCH(ROWS($O$2:O727),$O$2:$O$1001,0),0), INDEX($V$1004:$AE$1004,1,MATCH(COLUMNS($V$1006:AB1006),$V$1006:$AE$1006,0)))),"Fix")))</f>
        <v>0</v>
      </c>
      <c r="I727" s="4">
        <f>IF(OR(INDEX($P$2:$P$1001,MATCH(ROWS($O$2:O727),$O$2:$O$1001,0),1)&gt;=100000,INDEX($V$1005:$AE$1005,1,MATCH(COLUMNS($V$1006:AC1006),$V$1006:$AE$1006,0))&gt;=100000), " ",IF(INDEX($V$2:$AE$1001,MATCH(ROWS($O$2:O727),$O$2:$O$1001,0),MATCH(COLUMNS($V$1006:AC1006),$V$1006:$AE$1006,0)), HYPERLINK("#",""), HYPERLINK(CONCATENATE("#Metadata!", ADDRESS(INDEX($Q$2:$Q$1001,MATCH(ROWS($O$2:O727),$O$2:$O$1001,0),0), INDEX($V$1004:$AE$1004,1,MATCH(COLUMNS($V$1006:AC1006),$V$1006:$AE$1006,0)))),"Fix")))</f>
        <v>0</v>
      </c>
      <c r="J727" s="4">
        <f>IF(OR(INDEX($P$2:$P$1001,MATCH(ROWS($O$2:O727),$O$2:$O$1001,0),1)&gt;=100000,INDEX($V$1005:$AE$1005,1,MATCH(COLUMNS($V$1006:AD1006),$V$1006:$AE$1006,0))&gt;=100000), " ",IF(INDEX($V$2:$AE$1001,MATCH(ROWS($O$2:O727),$O$2:$O$1001,0),MATCH(COLUMNS($V$1006:AD1006),$V$1006:$AE$1006,0)), HYPERLINK("#",""), HYPERLINK(CONCATENATE("#Metadata!", ADDRESS(INDEX($Q$2:$Q$1001,MATCH(ROWS($O$2:O727),$O$2:$O$1001,0),0), INDEX($V$1004:$AE$1004,1,MATCH(COLUMNS($V$1006:AD1006),$V$1006:$AE$1006,0)))),"Fix")))</f>
        <v>0</v>
      </c>
      <c r="K727" s="4">
        <f>IF(OR(INDEX($P$2:$P$1001,MATCH(ROWS($O$2:O727),$O$2:$O$1001,0),1)&gt;=100000,INDEX($V$1005:$AE$1005,1,MATCH(COLUMNS($V$1006:AE1006),$V$1006:$AE$1006,0))&gt;=100000), " ",IF(INDEX($V$2:$AE$1001,MATCH(ROWS($O$2:O727),$O$2:$O$1001,0),MATCH(COLUMNS($V$1006:AE1006),$V$1006:$AE$1006,0)), HYPERLINK("#",""), HYPERLINK(CONCATENATE("#Metadata!", ADDRESS(INDEX($Q$2:$Q$1001,MATCH(ROWS($O$2:O727),$O$2:$O$1001,0),0), INDEX($V$1004:$AE$1004,1,MATCH(COLUMNS($V$1006:AE1006),$V$1006:$AE$1006,0)))),"Fix")))</f>
        <v>0</v>
      </c>
      <c r="O727">
        <v>0</v>
      </c>
      <c r="P727">
        <v>0</v>
      </c>
      <c r="Q727">
        <v>0</v>
      </c>
      <c r="R727">
        <f>IF(S727,TRUE,AND(V727:AE727))</f>
        <v>0</v>
      </c>
      <c r="S727">
        <f>COUNTBLANK(Metadata!B727:K727)=COLUMNS(Metadata!B727:K727)</f>
        <v>0</v>
      </c>
      <c r="T727">
        <v>0</v>
      </c>
      <c r="V727">
        <f>AND(IF(Metadata!B727="",FALSE,TRUE),COUNTIF(Metadata!B:B, Metadata!B727) = 1,NOT(ISERROR(SUMPRODUCT(SEARCH(MID(Metadata!B727,ROW(INDIRECT("1:"&amp;LEN(Metadata!B727))), 1),"0123456789abcdefghijklmnopqrstuvwxyzABCDEFGHIJKLMNOPQRSTUVWXYZ.")))))</f>
        <v>0</v>
      </c>
      <c r="W727">
        <f>AND(IF(Metadata!C727="",FALSE,TRUE),exact(Metadata!C727,"urban biome"))</f>
        <v>0</v>
      </c>
      <c r="X727">
        <f>AND(IF(Metadata!D727="",FALSE,TRUE),exact(Metadata!D727,"animal-associated habitat"))</f>
        <v>0</v>
      </c>
      <c r="Y727">
        <f>OR(AND(IF(Metadata!E727="",FALSE,TRUE),OR(exact(Metadata!E727,"not applicable"),exact(Metadata!E727,"missing: not collected"),exact(Metadata!E727,"missing: not provided"),exact(Metadata!E727,"missing: restricted access"))),AND(IF(Metadata!E727="",FALSE,ISNUMBER(VALUE(Metadata!E727))),Metadata!E727&gt;0))</f>
        <v>0</v>
      </c>
      <c r="Z727">
        <f>AND(IF(Metadata!F727="",FALSE,TRUE),exact(Metadata!F727,"weeks"))</f>
        <v>0</v>
      </c>
      <c r="AA727">
        <f>AND(IF(Metadata!G727="",FALSE,TRUE),exact(Metadata!G727,"mouse"))</f>
        <v>0</v>
      </c>
      <c r="AB727">
        <f>AND(IF(Metadata!H727="",FALSE,TRUE),exact(Metadata!H727,"Mus musculus"))</f>
        <v>0</v>
      </c>
      <c r="AC727">
        <f>AND(IF(Metadata!I727="",FALSE,TRUE),exact(Metadata!I727,"10090"))</f>
        <v>0</v>
      </c>
      <c r="AD727">
        <f>OR(AND(IF(Metadata!J727="",FALSE,TRUE),OR(exact(Metadata!J727,"not applicable"),exact(Metadata!J727,"missing: not collected"),exact(Metadata!J727,"missing: not provided"),exact(Metadata!J727,"missing: restricted access"))),AND(IF(Metadata!J727="",FALSE,ISNUMBER(VALUE(Metadata!J727))),Metadata!J727&gt;0))</f>
        <v>0</v>
      </c>
      <c r="AE727">
        <f>AND(IF(Metadata!K727="",FALSE,TRUE),exact(Metadata!K727,"g"))</f>
        <v>0</v>
      </c>
    </row>
    <row r="728" spans="1:31">
      <c r="A728" s="5">
        <f>IF(B728=" "," ",HYPERLINK(CONCATENATE("#metadata!",ADDRESS(INDEX($Q$2:$Q$1001,MATCH(ROWS($O$2:O728),$O$2:$O$1001,0),0),1)),INDEX($T$2:$T$1001,MATCH(ROWS($O$2:O728),$O$2:$O$1001,0),0)))</f>
        <v>0</v>
      </c>
      <c r="B728" s="4">
        <f>IF(OR(INDEX($P$2:$P$1001,MATCH(ROWS($O$2:O728),$O$2:$O$1001,0),1)&gt;=100000,INDEX($V$1005:$AE$1005,1,MATCH(COLUMNS($V$1006:V1006),$V$1006:$AE$1006,0))&gt;=100000), " ",IF(INDEX($V$2:$AE$1001,MATCH(ROWS($O$2:O728),$O$2:$O$1001,0),MATCH(COLUMNS($V$1006:V1006),$V$1006:$AE$1006,0)), HYPERLINK("#",""), HYPERLINK(CONCATENATE("#Metadata!", ADDRESS(INDEX($Q$2:$Q$1001,MATCH(ROWS($O$2:O728),$O$2:$O$1001,0),0), INDEX($V$1004:$AE$1004,1,MATCH(COLUMNS($V$1006:V1006),$V$1006:$AE$1006,0)))),"Fix")))</f>
        <v>0</v>
      </c>
      <c r="C728" s="4">
        <f>IF(OR(INDEX($P$2:$P$1001,MATCH(ROWS($O$2:O728),$O$2:$O$1001,0),1)&gt;=100000,INDEX($V$1005:$AE$1005,1,MATCH(COLUMNS($V$1006:W1006),$V$1006:$AE$1006,0))&gt;=100000), " ",IF(INDEX($V$2:$AE$1001,MATCH(ROWS($O$2:O728),$O$2:$O$1001,0),MATCH(COLUMNS($V$1006:W1006),$V$1006:$AE$1006,0)), HYPERLINK("#",""), HYPERLINK(CONCATENATE("#Metadata!", ADDRESS(INDEX($Q$2:$Q$1001,MATCH(ROWS($O$2:O728),$O$2:$O$1001,0),0), INDEX($V$1004:$AE$1004,1,MATCH(COLUMNS($V$1006:W1006),$V$1006:$AE$1006,0)))),"Fix")))</f>
        <v>0</v>
      </c>
      <c r="D728" s="4">
        <f>IF(OR(INDEX($P$2:$P$1001,MATCH(ROWS($O$2:O728),$O$2:$O$1001,0),1)&gt;=100000,INDEX($V$1005:$AE$1005,1,MATCH(COLUMNS($V$1006:X1006),$V$1006:$AE$1006,0))&gt;=100000), " ",IF(INDEX($V$2:$AE$1001,MATCH(ROWS($O$2:O728),$O$2:$O$1001,0),MATCH(COLUMNS($V$1006:X1006),$V$1006:$AE$1006,0)), HYPERLINK("#",""), HYPERLINK(CONCATENATE("#Metadata!", ADDRESS(INDEX($Q$2:$Q$1001,MATCH(ROWS($O$2:O728),$O$2:$O$1001,0),0), INDEX($V$1004:$AE$1004,1,MATCH(COLUMNS($V$1006:X1006),$V$1006:$AE$1006,0)))),"Fix")))</f>
        <v>0</v>
      </c>
      <c r="E728" s="4">
        <f>IF(OR(INDEX($P$2:$P$1001,MATCH(ROWS($O$2:O728),$O$2:$O$1001,0),1)&gt;=100000,INDEX($V$1005:$AE$1005,1,MATCH(COLUMNS($V$1006:Y1006),$V$1006:$AE$1006,0))&gt;=100000), " ",IF(INDEX($V$2:$AE$1001,MATCH(ROWS($O$2:O728),$O$2:$O$1001,0),MATCH(COLUMNS($V$1006:Y1006),$V$1006:$AE$1006,0)), HYPERLINK("#",""), HYPERLINK(CONCATENATE("#Metadata!", ADDRESS(INDEX($Q$2:$Q$1001,MATCH(ROWS($O$2:O728),$O$2:$O$1001,0),0), INDEX($V$1004:$AE$1004,1,MATCH(COLUMNS($V$1006:Y1006),$V$1006:$AE$1006,0)))),"Fix")))</f>
        <v>0</v>
      </c>
      <c r="F728" s="4">
        <f>IF(OR(INDEX($P$2:$P$1001,MATCH(ROWS($O$2:O728),$O$2:$O$1001,0),1)&gt;=100000,INDEX($V$1005:$AE$1005,1,MATCH(COLUMNS($V$1006:Z1006),$V$1006:$AE$1006,0))&gt;=100000), " ",IF(INDEX($V$2:$AE$1001,MATCH(ROWS($O$2:O728),$O$2:$O$1001,0),MATCH(COLUMNS($V$1006:Z1006),$V$1006:$AE$1006,0)), HYPERLINK("#",""), HYPERLINK(CONCATENATE("#Metadata!", ADDRESS(INDEX($Q$2:$Q$1001,MATCH(ROWS($O$2:O728),$O$2:$O$1001,0),0), INDEX($V$1004:$AE$1004,1,MATCH(COLUMNS($V$1006:Z1006),$V$1006:$AE$1006,0)))),"Fix")))</f>
        <v>0</v>
      </c>
      <c r="G728" s="4">
        <f>IF(OR(INDEX($P$2:$P$1001,MATCH(ROWS($O$2:O728),$O$2:$O$1001,0),1)&gt;=100000,INDEX($V$1005:$AE$1005,1,MATCH(COLUMNS($V$1006:AA1006),$V$1006:$AE$1006,0))&gt;=100000), " ",IF(INDEX($V$2:$AE$1001,MATCH(ROWS($O$2:O728),$O$2:$O$1001,0),MATCH(COLUMNS($V$1006:AA1006),$V$1006:$AE$1006,0)), HYPERLINK("#",""), HYPERLINK(CONCATENATE("#Metadata!", ADDRESS(INDEX($Q$2:$Q$1001,MATCH(ROWS($O$2:O728),$O$2:$O$1001,0),0), INDEX($V$1004:$AE$1004,1,MATCH(COLUMNS($V$1006:AA1006),$V$1006:$AE$1006,0)))),"Fix")))</f>
        <v>0</v>
      </c>
      <c r="H728" s="4">
        <f>IF(OR(INDEX($P$2:$P$1001,MATCH(ROWS($O$2:O728),$O$2:$O$1001,0),1)&gt;=100000,INDEX($V$1005:$AE$1005,1,MATCH(COLUMNS($V$1006:AB1006),$V$1006:$AE$1006,0))&gt;=100000), " ",IF(INDEX($V$2:$AE$1001,MATCH(ROWS($O$2:O728),$O$2:$O$1001,0),MATCH(COLUMNS($V$1006:AB1006),$V$1006:$AE$1006,0)), HYPERLINK("#",""), HYPERLINK(CONCATENATE("#Metadata!", ADDRESS(INDEX($Q$2:$Q$1001,MATCH(ROWS($O$2:O728),$O$2:$O$1001,0),0), INDEX($V$1004:$AE$1004,1,MATCH(COLUMNS($V$1006:AB1006),$V$1006:$AE$1006,0)))),"Fix")))</f>
        <v>0</v>
      </c>
      <c r="I728" s="4">
        <f>IF(OR(INDEX($P$2:$P$1001,MATCH(ROWS($O$2:O728),$O$2:$O$1001,0),1)&gt;=100000,INDEX($V$1005:$AE$1005,1,MATCH(COLUMNS($V$1006:AC1006),$V$1006:$AE$1006,0))&gt;=100000), " ",IF(INDEX($V$2:$AE$1001,MATCH(ROWS($O$2:O728),$O$2:$O$1001,0),MATCH(COLUMNS($V$1006:AC1006),$V$1006:$AE$1006,0)), HYPERLINK("#",""), HYPERLINK(CONCATENATE("#Metadata!", ADDRESS(INDEX($Q$2:$Q$1001,MATCH(ROWS($O$2:O728),$O$2:$O$1001,0),0), INDEX($V$1004:$AE$1004,1,MATCH(COLUMNS($V$1006:AC1006),$V$1006:$AE$1006,0)))),"Fix")))</f>
        <v>0</v>
      </c>
      <c r="J728" s="4">
        <f>IF(OR(INDEX($P$2:$P$1001,MATCH(ROWS($O$2:O728),$O$2:$O$1001,0),1)&gt;=100000,INDEX($V$1005:$AE$1005,1,MATCH(COLUMNS($V$1006:AD1006),$V$1006:$AE$1006,0))&gt;=100000), " ",IF(INDEX($V$2:$AE$1001,MATCH(ROWS($O$2:O728),$O$2:$O$1001,0),MATCH(COLUMNS($V$1006:AD1006),$V$1006:$AE$1006,0)), HYPERLINK("#",""), HYPERLINK(CONCATENATE("#Metadata!", ADDRESS(INDEX($Q$2:$Q$1001,MATCH(ROWS($O$2:O728),$O$2:$O$1001,0),0), INDEX($V$1004:$AE$1004,1,MATCH(COLUMNS($V$1006:AD1006),$V$1006:$AE$1006,0)))),"Fix")))</f>
        <v>0</v>
      </c>
      <c r="K728" s="4">
        <f>IF(OR(INDEX($P$2:$P$1001,MATCH(ROWS($O$2:O728),$O$2:$O$1001,0),1)&gt;=100000,INDEX($V$1005:$AE$1005,1,MATCH(COLUMNS($V$1006:AE1006),$V$1006:$AE$1006,0))&gt;=100000), " ",IF(INDEX($V$2:$AE$1001,MATCH(ROWS($O$2:O728),$O$2:$O$1001,0),MATCH(COLUMNS($V$1006:AE1006),$V$1006:$AE$1006,0)), HYPERLINK("#",""), HYPERLINK(CONCATENATE("#Metadata!", ADDRESS(INDEX($Q$2:$Q$1001,MATCH(ROWS($O$2:O728),$O$2:$O$1001,0),0), INDEX($V$1004:$AE$1004,1,MATCH(COLUMNS($V$1006:AE1006),$V$1006:$AE$1006,0)))),"Fix")))</f>
        <v>0</v>
      </c>
      <c r="O728">
        <v>0</v>
      </c>
      <c r="P728">
        <v>0</v>
      </c>
      <c r="Q728">
        <v>0</v>
      </c>
      <c r="R728">
        <f>IF(S728,TRUE,AND(V728:AE728))</f>
        <v>0</v>
      </c>
      <c r="S728">
        <f>COUNTBLANK(Metadata!B728:K728)=COLUMNS(Metadata!B728:K728)</f>
        <v>0</v>
      </c>
      <c r="T728">
        <v>0</v>
      </c>
      <c r="V728">
        <f>AND(IF(Metadata!B728="",FALSE,TRUE),COUNTIF(Metadata!B:B, Metadata!B728) = 1,NOT(ISERROR(SUMPRODUCT(SEARCH(MID(Metadata!B728,ROW(INDIRECT("1:"&amp;LEN(Metadata!B728))), 1),"0123456789abcdefghijklmnopqrstuvwxyzABCDEFGHIJKLMNOPQRSTUVWXYZ.")))))</f>
        <v>0</v>
      </c>
      <c r="W728">
        <f>AND(IF(Metadata!C728="",FALSE,TRUE),exact(Metadata!C728,"urban biome"))</f>
        <v>0</v>
      </c>
      <c r="X728">
        <f>AND(IF(Metadata!D728="",FALSE,TRUE),exact(Metadata!D728,"animal-associated habitat"))</f>
        <v>0</v>
      </c>
      <c r="Y728">
        <f>OR(AND(IF(Metadata!E728="",FALSE,TRUE),OR(exact(Metadata!E728,"not applicable"),exact(Metadata!E728,"missing: not collected"),exact(Metadata!E728,"missing: not provided"),exact(Metadata!E728,"missing: restricted access"))),AND(IF(Metadata!E728="",FALSE,ISNUMBER(VALUE(Metadata!E728))),Metadata!E728&gt;0))</f>
        <v>0</v>
      </c>
      <c r="Z728">
        <f>AND(IF(Metadata!F728="",FALSE,TRUE),exact(Metadata!F728,"weeks"))</f>
        <v>0</v>
      </c>
      <c r="AA728">
        <f>AND(IF(Metadata!G728="",FALSE,TRUE),exact(Metadata!G728,"mouse"))</f>
        <v>0</v>
      </c>
      <c r="AB728">
        <f>AND(IF(Metadata!H728="",FALSE,TRUE),exact(Metadata!H728,"Mus musculus"))</f>
        <v>0</v>
      </c>
      <c r="AC728">
        <f>AND(IF(Metadata!I728="",FALSE,TRUE),exact(Metadata!I728,"10090"))</f>
        <v>0</v>
      </c>
      <c r="AD728">
        <f>OR(AND(IF(Metadata!J728="",FALSE,TRUE),OR(exact(Metadata!J728,"not applicable"),exact(Metadata!J728,"missing: not collected"),exact(Metadata!J728,"missing: not provided"),exact(Metadata!J728,"missing: restricted access"))),AND(IF(Metadata!J728="",FALSE,ISNUMBER(VALUE(Metadata!J728))),Metadata!J728&gt;0))</f>
        <v>0</v>
      </c>
      <c r="AE728">
        <f>AND(IF(Metadata!K728="",FALSE,TRUE),exact(Metadata!K728,"g"))</f>
        <v>0</v>
      </c>
    </row>
    <row r="729" spans="1:31">
      <c r="A729" s="5">
        <f>IF(B729=" "," ",HYPERLINK(CONCATENATE("#metadata!",ADDRESS(INDEX($Q$2:$Q$1001,MATCH(ROWS($O$2:O729),$O$2:$O$1001,0),0),1)),INDEX($T$2:$T$1001,MATCH(ROWS($O$2:O729),$O$2:$O$1001,0),0)))</f>
        <v>0</v>
      </c>
      <c r="B729" s="4">
        <f>IF(OR(INDEX($P$2:$P$1001,MATCH(ROWS($O$2:O729),$O$2:$O$1001,0),1)&gt;=100000,INDEX($V$1005:$AE$1005,1,MATCH(COLUMNS($V$1006:V1006),$V$1006:$AE$1006,0))&gt;=100000), " ",IF(INDEX($V$2:$AE$1001,MATCH(ROWS($O$2:O729),$O$2:$O$1001,0),MATCH(COLUMNS($V$1006:V1006),$V$1006:$AE$1006,0)), HYPERLINK("#",""), HYPERLINK(CONCATENATE("#Metadata!", ADDRESS(INDEX($Q$2:$Q$1001,MATCH(ROWS($O$2:O729),$O$2:$O$1001,0),0), INDEX($V$1004:$AE$1004,1,MATCH(COLUMNS($V$1006:V1006),$V$1006:$AE$1006,0)))),"Fix")))</f>
        <v>0</v>
      </c>
      <c r="C729" s="4">
        <f>IF(OR(INDEX($P$2:$P$1001,MATCH(ROWS($O$2:O729),$O$2:$O$1001,0),1)&gt;=100000,INDEX($V$1005:$AE$1005,1,MATCH(COLUMNS($V$1006:W1006),$V$1006:$AE$1006,0))&gt;=100000), " ",IF(INDEX($V$2:$AE$1001,MATCH(ROWS($O$2:O729),$O$2:$O$1001,0),MATCH(COLUMNS($V$1006:W1006),$V$1006:$AE$1006,0)), HYPERLINK("#",""), HYPERLINK(CONCATENATE("#Metadata!", ADDRESS(INDEX($Q$2:$Q$1001,MATCH(ROWS($O$2:O729),$O$2:$O$1001,0),0), INDEX($V$1004:$AE$1004,1,MATCH(COLUMNS($V$1006:W1006),$V$1006:$AE$1006,0)))),"Fix")))</f>
        <v>0</v>
      </c>
      <c r="D729" s="4">
        <f>IF(OR(INDEX($P$2:$P$1001,MATCH(ROWS($O$2:O729),$O$2:$O$1001,0),1)&gt;=100000,INDEX($V$1005:$AE$1005,1,MATCH(COLUMNS($V$1006:X1006),$V$1006:$AE$1006,0))&gt;=100000), " ",IF(INDEX($V$2:$AE$1001,MATCH(ROWS($O$2:O729),$O$2:$O$1001,0),MATCH(COLUMNS($V$1006:X1006),$V$1006:$AE$1006,0)), HYPERLINK("#",""), HYPERLINK(CONCATENATE("#Metadata!", ADDRESS(INDEX($Q$2:$Q$1001,MATCH(ROWS($O$2:O729),$O$2:$O$1001,0),0), INDEX($V$1004:$AE$1004,1,MATCH(COLUMNS($V$1006:X1006),$V$1006:$AE$1006,0)))),"Fix")))</f>
        <v>0</v>
      </c>
      <c r="E729" s="4">
        <f>IF(OR(INDEX($P$2:$P$1001,MATCH(ROWS($O$2:O729),$O$2:$O$1001,0),1)&gt;=100000,INDEX($V$1005:$AE$1005,1,MATCH(COLUMNS($V$1006:Y1006),$V$1006:$AE$1006,0))&gt;=100000), " ",IF(INDEX($V$2:$AE$1001,MATCH(ROWS($O$2:O729),$O$2:$O$1001,0),MATCH(COLUMNS($V$1006:Y1006),$V$1006:$AE$1006,0)), HYPERLINK("#",""), HYPERLINK(CONCATENATE("#Metadata!", ADDRESS(INDEX($Q$2:$Q$1001,MATCH(ROWS($O$2:O729),$O$2:$O$1001,0),0), INDEX($V$1004:$AE$1004,1,MATCH(COLUMNS($V$1006:Y1006),$V$1006:$AE$1006,0)))),"Fix")))</f>
        <v>0</v>
      </c>
      <c r="F729" s="4">
        <f>IF(OR(INDEX($P$2:$P$1001,MATCH(ROWS($O$2:O729),$O$2:$O$1001,0),1)&gt;=100000,INDEX($V$1005:$AE$1005,1,MATCH(COLUMNS($V$1006:Z1006),$V$1006:$AE$1006,0))&gt;=100000), " ",IF(INDEX($V$2:$AE$1001,MATCH(ROWS($O$2:O729),$O$2:$O$1001,0),MATCH(COLUMNS($V$1006:Z1006),$V$1006:$AE$1006,0)), HYPERLINK("#",""), HYPERLINK(CONCATENATE("#Metadata!", ADDRESS(INDEX($Q$2:$Q$1001,MATCH(ROWS($O$2:O729),$O$2:$O$1001,0),0), INDEX($V$1004:$AE$1004,1,MATCH(COLUMNS($V$1006:Z1006),$V$1006:$AE$1006,0)))),"Fix")))</f>
        <v>0</v>
      </c>
      <c r="G729" s="4">
        <f>IF(OR(INDEX($P$2:$P$1001,MATCH(ROWS($O$2:O729),$O$2:$O$1001,0),1)&gt;=100000,INDEX($V$1005:$AE$1005,1,MATCH(COLUMNS($V$1006:AA1006),$V$1006:$AE$1006,0))&gt;=100000), " ",IF(INDEX($V$2:$AE$1001,MATCH(ROWS($O$2:O729),$O$2:$O$1001,0),MATCH(COLUMNS($V$1006:AA1006),$V$1006:$AE$1006,0)), HYPERLINK("#",""), HYPERLINK(CONCATENATE("#Metadata!", ADDRESS(INDEX($Q$2:$Q$1001,MATCH(ROWS($O$2:O729),$O$2:$O$1001,0),0), INDEX($V$1004:$AE$1004,1,MATCH(COLUMNS($V$1006:AA1006),$V$1006:$AE$1006,0)))),"Fix")))</f>
        <v>0</v>
      </c>
      <c r="H729" s="4">
        <f>IF(OR(INDEX($P$2:$P$1001,MATCH(ROWS($O$2:O729),$O$2:$O$1001,0),1)&gt;=100000,INDEX($V$1005:$AE$1005,1,MATCH(COLUMNS($V$1006:AB1006),$V$1006:$AE$1006,0))&gt;=100000), " ",IF(INDEX($V$2:$AE$1001,MATCH(ROWS($O$2:O729),$O$2:$O$1001,0),MATCH(COLUMNS($V$1006:AB1006),$V$1006:$AE$1006,0)), HYPERLINK("#",""), HYPERLINK(CONCATENATE("#Metadata!", ADDRESS(INDEX($Q$2:$Q$1001,MATCH(ROWS($O$2:O729),$O$2:$O$1001,0),0), INDEX($V$1004:$AE$1004,1,MATCH(COLUMNS($V$1006:AB1006),$V$1006:$AE$1006,0)))),"Fix")))</f>
        <v>0</v>
      </c>
      <c r="I729" s="4">
        <f>IF(OR(INDEX($P$2:$P$1001,MATCH(ROWS($O$2:O729),$O$2:$O$1001,0),1)&gt;=100000,INDEX($V$1005:$AE$1005,1,MATCH(COLUMNS($V$1006:AC1006),$V$1006:$AE$1006,0))&gt;=100000), " ",IF(INDEX($V$2:$AE$1001,MATCH(ROWS($O$2:O729),$O$2:$O$1001,0),MATCH(COLUMNS($V$1006:AC1006),$V$1006:$AE$1006,0)), HYPERLINK("#",""), HYPERLINK(CONCATENATE("#Metadata!", ADDRESS(INDEX($Q$2:$Q$1001,MATCH(ROWS($O$2:O729),$O$2:$O$1001,0),0), INDEX($V$1004:$AE$1004,1,MATCH(COLUMNS($V$1006:AC1006),$V$1006:$AE$1006,0)))),"Fix")))</f>
        <v>0</v>
      </c>
      <c r="J729" s="4">
        <f>IF(OR(INDEX($P$2:$P$1001,MATCH(ROWS($O$2:O729),$O$2:$O$1001,0),1)&gt;=100000,INDEX($V$1005:$AE$1005,1,MATCH(COLUMNS($V$1006:AD1006),$V$1006:$AE$1006,0))&gt;=100000), " ",IF(INDEX($V$2:$AE$1001,MATCH(ROWS($O$2:O729),$O$2:$O$1001,0),MATCH(COLUMNS($V$1006:AD1006),$V$1006:$AE$1006,0)), HYPERLINK("#",""), HYPERLINK(CONCATENATE("#Metadata!", ADDRESS(INDEX($Q$2:$Q$1001,MATCH(ROWS($O$2:O729),$O$2:$O$1001,0),0), INDEX($V$1004:$AE$1004,1,MATCH(COLUMNS($V$1006:AD1006),$V$1006:$AE$1006,0)))),"Fix")))</f>
        <v>0</v>
      </c>
      <c r="K729" s="4">
        <f>IF(OR(INDEX($P$2:$P$1001,MATCH(ROWS($O$2:O729),$O$2:$O$1001,0),1)&gt;=100000,INDEX($V$1005:$AE$1005,1,MATCH(COLUMNS($V$1006:AE1006),$V$1006:$AE$1006,0))&gt;=100000), " ",IF(INDEX($V$2:$AE$1001,MATCH(ROWS($O$2:O729),$O$2:$O$1001,0),MATCH(COLUMNS($V$1006:AE1006),$V$1006:$AE$1006,0)), HYPERLINK("#",""), HYPERLINK(CONCATENATE("#Metadata!", ADDRESS(INDEX($Q$2:$Q$1001,MATCH(ROWS($O$2:O729),$O$2:$O$1001,0),0), INDEX($V$1004:$AE$1004,1,MATCH(COLUMNS($V$1006:AE1006),$V$1006:$AE$1006,0)))),"Fix")))</f>
        <v>0</v>
      </c>
      <c r="O729">
        <v>0</v>
      </c>
      <c r="P729">
        <v>0</v>
      </c>
      <c r="Q729">
        <v>0</v>
      </c>
      <c r="R729">
        <f>IF(S729,TRUE,AND(V729:AE729))</f>
        <v>0</v>
      </c>
      <c r="S729">
        <f>COUNTBLANK(Metadata!B729:K729)=COLUMNS(Metadata!B729:K729)</f>
        <v>0</v>
      </c>
      <c r="T729">
        <v>0</v>
      </c>
      <c r="V729">
        <f>AND(IF(Metadata!B729="",FALSE,TRUE),COUNTIF(Metadata!B:B, Metadata!B729) = 1,NOT(ISERROR(SUMPRODUCT(SEARCH(MID(Metadata!B729,ROW(INDIRECT("1:"&amp;LEN(Metadata!B729))), 1),"0123456789abcdefghijklmnopqrstuvwxyzABCDEFGHIJKLMNOPQRSTUVWXYZ.")))))</f>
        <v>0</v>
      </c>
      <c r="W729">
        <f>AND(IF(Metadata!C729="",FALSE,TRUE),exact(Metadata!C729,"urban biome"))</f>
        <v>0</v>
      </c>
      <c r="X729">
        <f>AND(IF(Metadata!D729="",FALSE,TRUE),exact(Metadata!D729,"animal-associated habitat"))</f>
        <v>0</v>
      </c>
      <c r="Y729">
        <f>OR(AND(IF(Metadata!E729="",FALSE,TRUE),OR(exact(Metadata!E729,"not applicable"),exact(Metadata!E729,"missing: not collected"),exact(Metadata!E729,"missing: not provided"),exact(Metadata!E729,"missing: restricted access"))),AND(IF(Metadata!E729="",FALSE,ISNUMBER(VALUE(Metadata!E729))),Metadata!E729&gt;0))</f>
        <v>0</v>
      </c>
      <c r="Z729">
        <f>AND(IF(Metadata!F729="",FALSE,TRUE),exact(Metadata!F729,"weeks"))</f>
        <v>0</v>
      </c>
      <c r="AA729">
        <f>AND(IF(Metadata!G729="",FALSE,TRUE),exact(Metadata!G729,"mouse"))</f>
        <v>0</v>
      </c>
      <c r="AB729">
        <f>AND(IF(Metadata!H729="",FALSE,TRUE),exact(Metadata!H729,"Mus musculus"))</f>
        <v>0</v>
      </c>
      <c r="AC729">
        <f>AND(IF(Metadata!I729="",FALSE,TRUE),exact(Metadata!I729,"10090"))</f>
        <v>0</v>
      </c>
      <c r="AD729">
        <f>OR(AND(IF(Metadata!J729="",FALSE,TRUE),OR(exact(Metadata!J729,"not applicable"),exact(Metadata!J729,"missing: not collected"),exact(Metadata!J729,"missing: not provided"),exact(Metadata!J729,"missing: restricted access"))),AND(IF(Metadata!J729="",FALSE,ISNUMBER(VALUE(Metadata!J729))),Metadata!J729&gt;0))</f>
        <v>0</v>
      </c>
      <c r="AE729">
        <f>AND(IF(Metadata!K729="",FALSE,TRUE),exact(Metadata!K729,"g"))</f>
        <v>0</v>
      </c>
    </row>
    <row r="730" spans="1:31">
      <c r="A730" s="5">
        <f>IF(B730=" "," ",HYPERLINK(CONCATENATE("#metadata!",ADDRESS(INDEX($Q$2:$Q$1001,MATCH(ROWS($O$2:O730),$O$2:$O$1001,0),0),1)),INDEX($T$2:$T$1001,MATCH(ROWS($O$2:O730),$O$2:$O$1001,0),0)))</f>
        <v>0</v>
      </c>
      <c r="B730" s="4">
        <f>IF(OR(INDEX($P$2:$P$1001,MATCH(ROWS($O$2:O730),$O$2:$O$1001,0),1)&gt;=100000,INDEX($V$1005:$AE$1005,1,MATCH(COLUMNS($V$1006:V1006),$V$1006:$AE$1006,0))&gt;=100000), " ",IF(INDEX($V$2:$AE$1001,MATCH(ROWS($O$2:O730),$O$2:$O$1001,0),MATCH(COLUMNS($V$1006:V1006),$V$1006:$AE$1006,0)), HYPERLINK("#",""), HYPERLINK(CONCATENATE("#Metadata!", ADDRESS(INDEX($Q$2:$Q$1001,MATCH(ROWS($O$2:O730),$O$2:$O$1001,0),0), INDEX($V$1004:$AE$1004,1,MATCH(COLUMNS($V$1006:V1006),$V$1006:$AE$1006,0)))),"Fix")))</f>
        <v>0</v>
      </c>
      <c r="C730" s="4">
        <f>IF(OR(INDEX($P$2:$P$1001,MATCH(ROWS($O$2:O730),$O$2:$O$1001,0),1)&gt;=100000,INDEX($V$1005:$AE$1005,1,MATCH(COLUMNS($V$1006:W1006),$V$1006:$AE$1006,0))&gt;=100000), " ",IF(INDEX($V$2:$AE$1001,MATCH(ROWS($O$2:O730),$O$2:$O$1001,0),MATCH(COLUMNS($V$1006:W1006),$V$1006:$AE$1006,0)), HYPERLINK("#",""), HYPERLINK(CONCATENATE("#Metadata!", ADDRESS(INDEX($Q$2:$Q$1001,MATCH(ROWS($O$2:O730),$O$2:$O$1001,0),0), INDEX($V$1004:$AE$1004,1,MATCH(COLUMNS($V$1006:W1006),$V$1006:$AE$1006,0)))),"Fix")))</f>
        <v>0</v>
      </c>
      <c r="D730" s="4">
        <f>IF(OR(INDEX($P$2:$P$1001,MATCH(ROWS($O$2:O730),$O$2:$O$1001,0),1)&gt;=100000,INDEX($V$1005:$AE$1005,1,MATCH(COLUMNS($V$1006:X1006),$V$1006:$AE$1006,0))&gt;=100000), " ",IF(INDEX($V$2:$AE$1001,MATCH(ROWS($O$2:O730),$O$2:$O$1001,0),MATCH(COLUMNS($V$1006:X1006),$V$1006:$AE$1006,0)), HYPERLINK("#",""), HYPERLINK(CONCATENATE("#Metadata!", ADDRESS(INDEX($Q$2:$Q$1001,MATCH(ROWS($O$2:O730),$O$2:$O$1001,0),0), INDEX($V$1004:$AE$1004,1,MATCH(COLUMNS($V$1006:X1006),$V$1006:$AE$1006,0)))),"Fix")))</f>
        <v>0</v>
      </c>
      <c r="E730" s="4">
        <f>IF(OR(INDEX($P$2:$P$1001,MATCH(ROWS($O$2:O730),$O$2:$O$1001,0),1)&gt;=100000,INDEX($V$1005:$AE$1005,1,MATCH(COLUMNS($V$1006:Y1006),$V$1006:$AE$1006,0))&gt;=100000), " ",IF(INDEX($V$2:$AE$1001,MATCH(ROWS($O$2:O730),$O$2:$O$1001,0),MATCH(COLUMNS($V$1006:Y1006),$V$1006:$AE$1006,0)), HYPERLINK("#",""), HYPERLINK(CONCATENATE("#Metadata!", ADDRESS(INDEX($Q$2:$Q$1001,MATCH(ROWS($O$2:O730),$O$2:$O$1001,0),0), INDEX($V$1004:$AE$1004,1,MATCH(COLUMNS($V$1006:Y1006),$V$1006:$AE$1006,0)))),"Fix")))</f>
        <v>0</v>
      </c>
      <c r="F730" s="4">
        <f>IF(OR(INDEX($P$2:$P$1001,MATCH(ROWS($O$2:O730),$O$2:$O$1001,0),1)&gt;=100000,INDEX($V$1005:$AE$1005,1,MATCH(COLUMNS($V$1006:Z1006),$V$1006:$AE$1006,0))&gt;=100000), " ",IF(INDEX($V$2:$AE$1001,MATCH(ROWS($O$2:O730),$O$2:$O$1001,0),MATCH(COLUMNS($V$1006:Z1006),$V$1006:$AE$1006,0)), HYPERLINK("#",""), HYPERLINK(CONCATENATE("#Metadata!", ADDRESS(INDEX($Q$2:$Q$1001,MATCH(ROWS($O$2:O730),$O$2:$O$1001,0),0), INDEX($V$1004:$AE$1004,1,MATCH(COLUMNS($V$1006:Z1006),$V$1006:$AE$1006,0)))),"Fix")))</f>
        <v>0</v>
      </c>
      <c r="G730" s="4">
        <f>IF(OR(INDEX($P$2:$P$1001,MATCH(ROWS($O$2:O730),$O$2:$O$1001,0),1)&gt;=100000,INDEX($V$1005:$AE$1005,1,MATCH(COLUMNS($V$1006:AA1006),$V$1006:$AE$1006,0))&gt;=100000), " ",IF(INDEX($V$2:$AE$1001,MATCH(ROWS($O$2:O730),$O$2:$O$1001,0),MATCH(COLUMNS($V$1006:AA1006),$V$1006:$AE$1006,0)), HYPERLINK("#",""), HYPERLINK(CONCATENATE("#Metadata!", ADDRESS(INDEX($Q$2:$Q$1001,MATCH(ROWS($O$2:O730),$O$2:$O$1001,0),0), INDEX($V$1004:$AE$1004,1,MATCH(COLUMNS($V$1006:AA1006),$V$1006:$AE$1006,0)))),"Fix")))</f>
        <v>0</v>
      </c>
      <c r="H730" s="4">
        <f>IF(OR(INDEX($P$2:$P$1001,MATCH(ROWS($O$2:O730),$O$2:$O$1001,0),1)&gt;=100000,INDEX($V$1005:$AE$1005,1,MATCH(COLUMNS($V$1006:AB1006),$V$1006:$AE$1006,0))&gt;=100000), " ",IF(INDEX($V$2:$AE$1001,MATCH(ROWS($O$2:O730),$O$2:$O$1001,0),MATCH(COLUMNS($V$1006:AB1006),$V$1006:$AE$1006,0)), HYPERLINK("#",""), HYPERLINK(CONCATENATE("#Metadata!", ADDRESS(INDEX($Q$2:$Q$1001,MATCH(ROWS($O$2:O730),$O$2:$O$1001,0),0), INDEX($V$1004:$AE$1004,1,MATCH(COLUMNS($V$1006:AB1006),$V$1006:$AE$1006,0)))),"Fix")))</f>
        <v>0</v>
      </c>
      <c r="I730" s="4">
        <f>IF(OR(INDEX($P$2:$P$1001,MATCH(ROWS($O$2:O730),$O$2:$O$1001,0),1)&gt;=100000,INDEX($V$1005:$AE$1005,1,MATCH(COLUMNS($V$1006:AC1006),$V$1006:$AE$1006,0))&gt;=100000), " ",IF(INDEX($V$2:$AE$1001,MATCH(ROWS($O$2:O730),$O$2:$O$1001,0),MATCH(COLUMNS($V$1006:AC1006),$V$1006:$AE$1006,0)), HYPERLINK("#",""), HYPERLINK(CONCATENATE("#Metadata!", ADDRESS(INDEX($Q$2:$Q$1001,MATCH(ROWS($O$2:O730),$O$2:$O$1001,0),0), INDEX($V$1004:$AE$1004,1,MATCH(COLUMNS($V$1006:AC1006),$V$1006:$AE$1006,0)))),"Fix")))</f>
        <v>0</v>
      </c>
      <c r="J730" s="4">
        <f>IF(OR(INDEX($P$2:$P$1001,MATCH(ROWS($O$2:O730),$O$2:$O$1001,0),1)&gt;=100000,INDEX($V$1005:$AE$1005,1,MATCH(COLUMNS($V$1006:AD1006),$V$1006:$AE$1006,0))&gt;=100000), " ",IF(INDEX($V$2:$AE$1001,MATCH(ROWS($O$2:O730),$O$2:$O$1001,0),MATCH(COLUMNS($V$1006:AD1006),$V$1006:$AE$1006,0)), HYPERLINK("#",""), HYPERLINK(CONCATENATE("#Metadata!", ADDRESS(INDEX($Q$2:$Q$1001,MATCH(ROWS($O$2:O730),$O$2:$O$1001,0),0), INDEX($V$1004:$AE$1004,1,MATCH(COLUMNS($V$1006:AD1006),$V$1006:$AE$1006,0)))),"Fix")))</f>
        <v>0</v>
      </c>
      <c r="K730" s="4">
        <f>IF(OR(INDEX($P$2:$P$1001,MATCH(ROWS($O$2:O730),$O$2:$O$1001,0),1)&gt;=100000,INDEX($V$1005:$AE$1005,1,MATCH(COLUMNS($V$1006:AE1006),$V$1006:$AE$1006,0))&gt;=100000), " ",IF(INDEX($V$2:$AE$1001,MATCH(ROWS($O$2:O730),$O$2:$O$1001,0),MATCH(COLUMNS($V$1006:AE1006),$V$1006:$AE$1006,0)), HYPERLINK("#",""), HYPERLINK(CONCATENATE("#Metadata!", ADDRESS(INDEX($Q$2:$Q$1001,MATCH(ROWS($O$2:O730),$O$2:$O$1001,0),0), INDEX($V$1004:$AE$1004,1,MATCH(COLUMNS($V$1006:AE1006),$V$1006:$AE$1006,0)))),"Fix")))</f>
        <v>0</v>
      </c>
      <c r="O730">
        <v>0</v>
      </c>
      <c r="P730">
        <v>0</v>
      </c>
      <c r="Q730">
        <v>0</v>
      </c>
      <c r="R730">
        <f>IF(S730,TRUE,AND(V730:AE730))</f>
        <v>0</v>
      </c>
      <c r="S730">
        <f>COUNTBLANK(Metadata!B730:K730)=COLUMNS(Metadata!B730:K730)</f>
        <v>0</v>
      </c>
      <c r="T730">
        <v>0</v>
      </c>
      <c r="V730">
        <f>AND(IF(Metadata!B730="",FALSE,TRUE),COUNTIF(Metadata!B:B, Metadata!B730) = 1,NOT(ISERROR(SUMPRODUCT(SEARCH(MID(Metadata!B730,ROW(INDIRECT("1:"&amp;LEN(Metadata!B730))), 1),"0123456789abcdefghijklmnopqrstuvwxyzABCDEFGHIJKLMNOPQRSTUVWXYZ.")))))</f>
        <v>0</v>
      </c>
      <c r="W730">
        <f>AND(IF(Metadata!C730="",FALSE,TRUE),exact(Metadata!C730,"urban biome"))</f>
        <v>0</v>
      </c>
      <c r="X730">
        <f>AND(IF(Metadata!D730="",FALSE,TRUE),exact(Metadata!D730,"animal-associated habitat"))</f>
        <v>0</v>
      </c>
      <c r="Y730">
        <f>OR(AND(IF(Metadata!E730="",FALSE,TRUE),OR(exact(Metadata!E730,"not applicable"),exact(Metadata!E730,"missing: not collected"),exact(Metadata!E730,"missing: not provided"),exact(Metadata!E730,"missing: restricted access"))),AND(IF(Metadata!E730="",FALSE,ISNUMBER(VALUE(Metadata!E730))),Metadata!E730&gt;0))</f>
        <v>0</v>
      </c>
      <c r="Z730">
        <f>AND(IF(Metadata!F730="",FALSE,TRUE),exact(Metadata!F730,"weeks"))</f>
        <v>0</v>
      </c>
      <c r="AA730">
        <f>AND(IF(Metadata!G730="",FALSE,TRUE),exact(Metadata!G730,"mouse"))</f>
        <v>0</v>
      </c>
      <c r="AB730">
        <f>AND(IF(Metadata!H730="",FALSE,TRUE),exact(Metadata!H730,"Mus musculus"))</f>
        <v>0</v>
      </c>
      <c r="AC730">
        <f>AND(IF(Metadata!I730="",FALSE,TRUE),exact(Metadata!I730,"10090"))</f>
        <v>0</v>
      </c>
      <c r="AD730">
        <f>OR(AND(IF(Metadata!J730="",FALSE,TRUE),OR(exact(Metadata!J730,"not applicable"),exact(Metadata!J730,"missing: not collected"),exact(Metadata!J730,"missing: not provided"),exact(Metadata!J730,"missing: restricted access"))),AND(IF(Metadata!J730="",FALSE,ISNUMBER(VALUE(Metadata!J730))),Metadata!J730&gt;0))</f>
        <v>0</v>
      </c>
      <c r="AE730">
        <f>AND(IF(Metadata!K730="",FALSE,TRUE),exact(Metadata!K730,"g"))</f>
        <v>0</v>
      </c>
    </row>
    <row r="731" spans="1:31">
      <c r="A731" s="5">
        <f>IF(B731=" "," ",HYPERLINK(CONCATENATE("#metadata!",ADDRESS(INDEX($Q$2:$Q$1001,MATCH(ROWS($O$2:O731),$O$2:$O$1001,0),0),1)),INDEX($T$2:$T$1001,MATCH(ROWS($O$2:O731),$O$2:$O$1001,0),0)))</f>
        <v>0</v>
      </c>
      <c r="B731" s="4">
        <f>IF(OR(INDEX($P$2:$P$1001,MATCH(ROWS($O$2:O731),$O$2:$O$1001,0),1)&gt;=100000,INDEX($V$1005:$AE$1005,1,MATCH(COLUMNS($V$1006:V1006),$V$1006:$AE$1006,0))&gt;=100000), " ",IF(INDEX($V$2:$AE$1001,MATCH(ROWS($O$2:O731),$O$2:$O$1001,0),MATCH(COLUMNS($V$1006:V1006),$V$1006:$AE$1006,0)), HYPERLINK("#",""), HYPERLINK(CONCATENATE("#Metadata!", ADDRESS(INDEX($Q$2:$Q$1001,MATCH(ROWS($O$2:O731),$O$2:$O$1001,0),0), INDEX($V$1004:$AE$1004,1,MATCH(COLUMNS($V$1006:V1006),$V$1006:$AE$1006,0)))),"Fix")))</f>
        <v>0</v>
      </c>
      <c r="C731" s="4">
        <f>IF(OR(INDEX($P$2:$P$1001,MATCH(ROWS($O$2:O731),$O$2:$O$1001,0),1)&gt;=100000,INDEX($V$1005:$AE$1005,1,MATCH(COLUMNS($V$1006:W1006),$V$1006:$AE$1006,0))&gt;=100000), " ",IF(INDEX($V$2:$AE$1001,MATCH(ROWS($O$2:O731),$O$2:$O$1001,0),MATCH(COLUMNS($V$1006:W1006),$V$1006:$AE$1006,0)), HYPERLINK("#",""), HYPERLINK(CONCATENATE("#Metadata!", ADDRESS(INDEX($Q$2:$Q$1001,MATCH(ROWS($O$2:O731),$O$2:$O$1001,0),0), INDEX($V$1004:$AE$1004,1,MATCH(COLUMNS($V$1006:W1006),$V$1006:$AE$1006,0)))),"Fix")))</f>
        <v>0</v>
      </c>
      <c r="D731" s="4">
        <f>IF(OR(INDEX($P$2:$P$1001,MATCH(ROWS($O$2:O731),$O$2:$O$1001,0),1)&gt;=100000,INDEX($V$1005:$AE$1005,1,MATCH(COLUMNS($V$1006:X1006),$V$1006:$AE$1006,0))&gt;=100000), " ",IF(INDEX($V$2:$AE$1001,MATCH(ROWS($O$2:O731),$O$2:$O$1001,0),MATCH(COLUMNS($V$1006:X1006),$V$1006:$AE$1006,0)), HYPERLINK("#",""), HYPERLINK(CONCATENATE("#Metadata!", ADDRESS(INDEX($Q$2:$Q$1001,MATCH(ROWS($O$2:O731),$O$2:$O$1001,0),0), INDEX($V$1004:$AE$1004,1,MATCH(COLUMNS($V$1006:X1006),$V$1006:$AE$1006,0)))),"Fix")))</f>
        <v>0</v>
      </c>
      <c r="E731" s="4">
        <f>IF(OR(INDEX($P$2:$P$1001,MATCH(ROWS($O$2:O731),$O$2:$O$1001,0),1)&gt;=100000,INDEX($V$1005:$AE$1005,1,MATCH(COLUMNS($V$1006:Y1006),$V$1006:$AE$1006,0))&gt;=100000), " ",IF(INDEX($V$2:$AE$1001,MATCH(ROWS($O$2:O731),$O$2:$O$1001,0),MATCH(COLUMNS($V$1006:Y1006),$V$1006:$AE$1006,0)), HYPERLINK("#",""), HYPERLINK(CONCATENATE("#Metadata!", ADDRESS(INDEX($Q$2:$Q$1001,MATCH(ROWS($O$2:O731),$O$2:$O$1001,0),0), INDEX($V$1004:$AE$1004,1,MATCH(COLUMNS($V$1006:Y1006),$V$1006:$AE$1006,0)))),"Fix")))</f>
        <v>0</v>
      </c>
      <c r="F731" s="4">
        <f>IF(OR(INDEX($P$2:$P$1001,MATCH(ROWS($O$2:O731),$O$2:$O$1001,0),1)&gt;=100000,INDEX($V$1005:$AE$1005,1,MATCH(COLUMNS($V$1006:Z1006),$V$1006:$AE$1006,0))&gt;=100000), " ",IF(INDEX($V$2:$AE$1001,MATCH(ROWS($O$2:O731),$O$2:$O$1001,0),MATCH(COLUMNS($V$1006:Z1006),$V$1006:$AE$1006,0)), HYPERLINK("#",""), HYPERLINK(CONCATENATE("#Metadata!", ADDRESS(INDEX($Q$2:$Q$1001,MATCH(ROWS($O$2:O731),$O$2:$O$1001,0),0), INDEX($V$1004:$AE$1004,1,MATCH(COLUMNS($V$1006:Z1006),$V$1006:$AE$1006,0)))),"Fix")))</f>
        <v>0</v>
      </c>
      <c r="G731" s="4">
        <f>IF(OR(INDEX($P$2:$P$1001,MATCH(ROWS($O$2:O731),$O$2:$O$1001,0),1)&gt;=100000,INDEX($V$1005:$AE$1005,1,MATCH(COLUMNS($V$1006:AA1006),$V$1006:$AE$1006,0))&gt;=100000), " ",IF(INDEX($V$2:$AE$1001,MATCH(ROWS($O$2:O731),$O$2:$O$1001,0),MATCH(COLUMNS($V$1006:AA1006),$V$1006:$AE$1006,0)), HYPERLINK("#",""), HYPERLINK(CONCATENATE("#Metadata!", ADDRESS(INDEX($Q$2:$Q$1001,MATCH(ROWS($O$2:O731),$O$2:$O$1001,0),0), INDEX($V$1004:$AE$1004,1,MATCH(COLUMNS($V$1006:AA1006),$V$1006:$AE$1006,0)))),"Fix")))</f>
        <v>0</v>
      </c>
      <c r="H731" s="4">
        <f>IF(OR(INDEX($P$2:$P$1001,MATCH(ROWS($O$2:O731),$O$2:$O$1001,0),1)&gt;=100000,INDEX($V$1005:$AE$1005,1,MATCH(COLUMNS($V$1006:AB1006),$V$1006:$AE$1006,0))&gt;=100000), " ",IF(INDEX($V$2:$AE$1001,MATCH(ROWS($O$2:O731),$O$2:$O$1001,0),MATCH(COLUMNS($V$1006:AB1006),$V$1006:$AE$1006,0)), HYPERLINK("#",""), HYPERLINK(CONCATENATE("#Metadata!", ADDRESS(INDEX($Q$2:$Q$1001,MATCH(ROWS($O$2:O731),$O$2:$O$1001,0),0), INDEX($V$1004:$AE$1004,1,MATCH(COLUMNS($V$1006:AB1006),$V$1006:$AE$1006,0)))),"Fix")))</f>
        <v>0</v>
      </c>
      <c r="I731" s="4">
        <f>IF(OR(INDEX($P$2:$P$1001,MATCH(ROWS($O$2:O731),$O$2:$O$1001,0),1)&gt;=100000,INDEX($V$1005:$AE$1005,1,MATCH(COLUMNS($V$1006:AC1006),$V$1006:$AE$1006,0))&gt;=100000), " ",IF(INDEX($V$2:$AE$1001,MATCH(ROWS($O$2:O731),$O$2:$O$1001,0),MATCH(COLUMNS($V$1006:AC1006),$V$1006:$AE$1006,0)), HYPERLINK("#",""), HYPERLINK(CONCATENATE("#Metadata!", ADDRESS(INDEX($Q$2:$Q$1001,MATCH(ROWS($O$2:O731),$O$2:$O$1001,0),0), INDEX($V$1004:$AE$1004,1,MATCH(COLUMNS($V$1006:AC1006),$V$1006:$AE$1006,0)))),"Fix")))</f>
        <v>0</v>
      </c>
      <c r="J731" s="4">
        <f>IF(OR(INDEX($P$2:$P$1001,MATCH(ROWS($O$2:O731),$O$2:$O$1001,0),1)&gt;=100000,INDEX($V$1005:$AE$1005,1,MATCH(COLUMNS($V$1006:AD1006),$V$1006:$AE$1006,0))&gt;=100000), " ",IF(INDEX($V$2:$AE$1001,MATCH(ROWS($O$2:O731),$O$2:$O$1001,0),MATCH(COLUMNS($V$1006:AD1006),$V$1006:$AE$1006,0)), HYPERLINK("#",""), HYPERLINK(CONCATENATE("#Metadata!", ADDRESS(INDEX($Q$2:$Q$1001,MATCH(ROWS($O$2:O731),$O$2:$O$1001,0),0), INDEX($V$1004:$AE$1004,1,MATCH(COLUMNS($V$1006:AD1006),$V$1006:$AE$1006,0)))),"Fix")))</f>
        <v>0</v>
      </c>
      <c r="K731" s="4">
        <f>IF(OR(INDEX($P$2:$P$1001,MATCH(ROWS($O$2:O731),$O$2:$O$1001,0),1)&gt;=100000,INDEX($V$1005:$AE$1005,1,MATCH(COLUMNS($V$1006:AE1006),$V$1006:$AE$1006,0))&gt;=100000), " ",IF(INDEX($V$2:$AE$1001,MATCH(ROWS($O$2:O731),$O$2:$O$1001,0),MATCH(COLUMNS($V$1006:AE1006),$V$1006:$AE$1006,0)), HYPERLINK("#",""), HYPERLINK(CONCATENATE("#Metadata!", ADDRESS(INDEX($Q$2:$Q$1001,MATCH(ROWS($O$2:O731),$O$2:$O$1001,0),0), INDEX($V$1004:$AE$1004,1,MATCH(COLUMNS($V$1006:AE1006),$V$1006:$AE$1006,0)))),"Fix")))</f>
        <v>0</v>
      </c>
      <c r="O731">
        <v>0</v>
      </c>
      <c r="P731">
        <v>0</v>
      </c>
      <c r="Q731">
        <v>0</v>
      </c>
      <c r="R731">
        <f>IF(S731,TRUE,AND(V731:AE731))</f>
        <v>0</v>
      </c>
      <c r="S731">
        <f>COUNTBLANK(Metadata!B731:K731)=COLUMNS(Metadata!B731:K731)</f>
        <v>0</v>
      </c>
      <c r="T731">
        <v>0</v>
      </c>
      <c r="V731">
        <f>AND(IF(Metadata!B731="",FALSE,TRUE),COUNTIF(Metadata!B:B, Metadata!B731) = 1,NOT(ISERROR(SUMPRODUCT(SEARCH(MID(Metadata!B731,ROW(INDIRECT("1:"&amp;LEN(Metadata!B731))), 1),"0123456789abcdefghijklmnopqrstuvwxyzABCDEFGHIJKLMNOPQRSTUVWXYZ.")))))</f>
        <v>0</v>
      </c>
      <c r="W731">
        <f>AND(IF(Metadata!C731="",FALSE,TRUE),exact(Metadata!C731,"urban biome"))</f>
        <v>0</v>
      </c>
      <c r="X731">
        <f>AND(IF(Metadata!D731="",FALSE,TRUE),exact(Metadata!D731,"animal-associated habitat"))</f>
        <v>0</v>
      </c>
      <c r="Y731">
        <f>OR(AND(IF(Metadata!E731="",FALSE,TRUE),OR(exact(Metadata!E731,"not applicable"),exact(Metadata!E731,"missing: not collected"),exact(Metadata!E731,"missing: not provided"),exact(Metadata!E731,"missing: restricted access"))),AND(IF(Metadata!E731="",FALSE,ISNUMBER(VALUE(Metadata!E731))),Metadata!E731&gt;0))</f>
        <v>0</v>
      </c>
      <c r="Z731">
        <f>AND(IF(Metadata!F731="",FALSE,TRUE),exact(Metadata!F731,"weeks"))</f>
        <v>0</v>
      </c>
      <c r="AA731">
        <f>AND(IF(Metadata!G731="",FALSE,TRUE),exact(Metadata!G731,"mouse"))</f>
        <v>0</v>
      </c>
      <c r="AB731">
        <f>AND(IF(Metadata!H731="",FALSE,TRUE),exact(Metadata!H731,"Mus musculus"))</f>
        <v>0</v>
      </c>
      <c r="AC731">
        <f>AND(IF(Metadata!I731="",FALSE,TRUE),exact(Metadata!I731,"10090"))</f>
        <v>0</v>
      </c>
      <c r="AD731">
        <f>OR(AND(IF(Metadata!J731="",FALSE,TRUE),OR(exact(Metadata!J731,"not applicable"),exact(Metadata!J731,"missing: not collected"),exact(Metadata!J731,"missing: not provided"),exact(Metadata!J731,"missing: restricted access"))),AND(IF(Metadata!J731="",FALSE,ISNUMBER(VALUE(Metadata!J731))),Metadata!J731&gt;0))</f>
        <v>0</v>
      </c>
      <c r="AE731">
        <f>AND(IF(Metadata!K731="",FALSE,TRUE),exact(Metadata!K731,"g"))</f>
        <v>0</v>
      </c>
    </row>
    <row r="732" spans="1:31">
      <c r="A732" s="5">
        <f>IF(B732=" "," ",HYPERLINK(CONCATENATE("#metadata!",ADDRESS(INDEX($Q$2:$Q$1001,MATCH(ROWS($O$2:O732),$O$2:$O$1001,0),0),1)),INDEX($T$2:$T$1001,MATCH(ROWS($O$2:O732),$O$2:$O$1001,0),0)))</f>
        <v>0</v>
      </c>
      <c r="B732" s="4">
        <f>IF(OR(INDEX($P$2:$P$1001,MATCH(ROWS($O$2:O732),$O$2:$O$1001,0),1)&gt;=100000,INDEX($V$1005:$AE$1005,1,MATCH(COLUMNS($V$1006:V1006),$V$1006:$AE$1006,0))&gt;=100000), " ",IF(INDEX($V$2:$AE$1001,MATCH(ROWS($O$2:O732),$O$2:$O$1001,0),MATCH(COLUMNS($V$1006:V1006),$V$1006:$AE$1006,0)), HYPERLINK("#",""), HYPERLINK(CONCATENATE("#Metadata!", ADDRESS(INDEX($Q$2:$Q$1001,MATCH(ROWS($O$2:O732),$O$2:$O$1001,0),0), INDEX($V$1004:$AE$1004,1,MATCH(COLUMNS($V$1006:V1006),$V$1006:$AE$1006,0)))),"Fix")))</f>
        <v>0</v>
      </c>
      <c r="C732" s="4">
        <f>IF(OR(INDEX($P$2:$P$1001,MATCH(ROWS($O$2:O732),$O$2:$O$1001,0),1)&gt;=100000,INDEX($V$1005:$AE$1005,1,MATCH(COLUMNS($V$1006:W1006),$V$1006:$AE$1006,0))&gt;=100000), " ",IF(INDEX($V$2:$AE$1001,MATCH(ROWS($O$2:O732),$O$2:$O$1001,0),MATCH(COLUMNS($V$1006:W1006),$V$1006:$AE$1006,0)), HYPERLINK("#",""), HYPERLINK(CONCATENATE("#Metadata!", ADDRESS(INDEX($Q$2:$Q$1001,MATCH(ROWS($O$2:O732),$O$2:$O$1001,0),0), INDEX($V$1004:$AE$1004,1,MATCH(COLUMNS($V$1006:W1006),$V$1006:$AE$1006,0)))),"Fix")))</f>
        <v>0</v>
      </c>
      <c r="D732" s="4">
        <f>IF(OR(INDEX($P$2:$P$1001,MATCH(ROWS($O$2:O732),$O$2:$O$1001,0),1)&gt;=100000,INDEX($V$1005:$AE$1005,1,MATCH(COLUMNS($V$1006:X1006),$V$1006:$AE$1006,0))&gt;=100000), " ",IF(INDEX($V$2:$AE$1001,MATCH(ROWS($O$2:O732),$O$2:$O$1001,0),MATCH(COLUMNS($V$1006:X1006),$V$1006:$AE$1006,0)), HYPERLINK("#",""), HYPERLINK(CONCATENATE("#Metadata!", ADDRESS(INDEX($Q$2:$Q$1001,MATCH(ROWS($O$2:O732),$O$2:$O$1001,0),0), INDEX($V$1004:$AE$1004,1,MATCH(COLUMNS($V$1006:X1006),$V$1006:$AE$1006,0)))),"Fix")))</f>
        <v>0</v>
      </c>
      <c r="E732" s="4">
        <f>IF(OR(INDEX($P$2:$P$1001,MATCH(ROWS($O$2:O732),$O$2:$O$1001,0),1)&gt;=100000,INDEX($V$1005:$AE$1005,1,MATCH(COLUMNS($V$1006:Y1006),$V$1006:$AE$1006,0))&gt;=100000), " ",IF(INDEX($V$2:$AE$1001,MATCH(ROWS($O$2:O732),$O$2:$O$1001,0),MATCH(COLUMNS($V$1006:Y1006),$V$1006:$AE$1006,0)), HYPERLINK("#",""), HYPERLINK(CONCATENATE("#Metadata!", ADDRESS(INDEX($Q$2:$Q$1001,MATCH(ROWS($O$2:O732),$O$2:$O$1001,0),0), INDEX($V$1004:$AE$1004,1,MATCH(COLUMNS($V$1006:Y1006),$V$1006:$AE$1006,0)))),"Fix")))</f>
        <v>0</v>
      </c>
      <c r="F732" s="4">
        <f>IF(OR(INDEX($P$2:$P$1001,MATCH(ROWS($O$2:O732),$O$2:$O$1001,0),1)&gt;=100000,INDEX($V$1005:$AE$1005,1,MATCH(COLUMNS($V$1006:Z1006),$V$1006:$AE$1006,0))&gt;=100000), " ",IF(INDEX($V$2:$AE$1001,MATCH(ROWS($O$2:O732),$O$2:$O$1001,0),MATCH(COLUMNS($V$1006:Z1006),$V$1006:$AE$1006,0)), HYPERLINK("#",""), HYPERLINK(CONCATENATE("#Metadata!", ADDRESS(INDEX($Q$2:$Q$1001,MATCH(ROWS($O$2:O732),$O$2:$O$1001,0),0), INDEX($V$1004:$AE$1004,1,MATCH(COLUMNS($V$1006:Z1006),$V$1006:$AE$1006,0)))),"Fix")))</f>
        <v>0</v>
      </c>
      <c r="G732" s="4">
        <f>IF(OR(INDEX($P$2:$P$1001,MATCH(ROWS($O$2:O732),$O$2:$O$1001,0),1)&gt;=100000,INDEX($V$1005:$AE$1005,1,MATCH(COLUMNS($V$1006:AA1006),$V$1006:$AE$1006,0))&gt;=100000), " ",IF(INDEX($V$2:$AE$1001,MATCH(ROWS($O$2:O732),$O$2:$O$1001,0),MATCH(COLUMNS($V$1006:AA1006),$V$1006:$AE$1006,0)), HYPERLINK("#",""), HYPERLINK(CONCATENATE("#Metadata!", ADDRESS(INDEX($Q$2:$Q$1001,MATCH(ROWS($O$2:O732),$O$2:$O$1001,0),0), INDEX($V$1004:$AE$1004,1,MATCH(COLUMNS($V$1006:AA1006),$V$1006:$AE$1006,0)))),"Fix")))</f>
        <v>0</v>
      </c>
      <c r="H732" s="4">
        <f>IF(OR(INDEX($P$2:$P$1001,MATCH(ROWS($O$2:O732),$O$2:$O$1001,0),1)&gt;=100000,INDEX($V$1005:$AE$1005,1,MATCH(COLUMNS($V$1006:AB1006),$V$1006:$AE$1006,0))&gt;=100000), " ",IF(INDEX($V$2:$AE$1001,MATCH(ROWS($O$2:O732),$O$2:$O$1001,0),MATCH(COLUMNS($V$1006:AB1006),$V$1006:$AE$1006,0)), HYPERLINK("#",""), HYPERLINK(CONCATENATE("#Metadata!", ADDRESS(INDEX($Q$2:$Q$1001,MATCH(ROWS($O$2:O732),$O$2:$O$1001,0),0), INDEX($V$1004:$AE$1004,1,MATCH(COLUMNS($V$1006:AB1006),$V$1006:$AE$1006,0)))),"Fix")))</f>
        <v>0</v>
      </c>
      <c r="I732" s="4">
        <f>IF(OR(INDEX($P$2:$P$1001,MATCH(ROWS($O$2:O732),$O$2:$O$1001,0),1)&gt;=100000,INDEX($V$1005:$AE$1005,1,MATCH(COLUMNS($V$1006:AC1006),$V$1006:$AE$1006,0))&gt;=100000), " ",IF(INDEX($V$2:$AE$1001,MATCH(ROWS($O$2:O732),$O$2:$O$1001,0),MATCH(COLUMNS($V$1006:AC1006),$V$1006:$AE$1006,0)), HYPERLINK("#",""), HYPERLINK(CONCATENATE("#Metadata!", ADDRESS(INDEX($Q$2:$Q$1001,MATCH(ROWS($O$2:O732),$O$2:$O$1001,0),0), INDEX($V$1004:$AE$1004,1,MATCH(COLUMNS($V$1006:AC1006),$V$1006:$AE$1006,0)))),"Fix")))</f>
        <v>0</v>
      </c>
      <c r="J732" s="4">
        <f>IF(OR(INDEX($P$2:$P$1001,MATCH(ROWS($O$2:O732),$O$2:$O$1001,0),1)&gt;=100000,INDEX($V$1005:$AE$1005,1,MATCH(COLUMNS($V$1006:AD1006),$V$1006:$AE$1006,0))&gt;=100000), " ",IF(INDEX($V$2:$AE$1001,MATCH(ROWS($O$2:O732),$O$2:$O$1001,0),MATCH(COLUMNS($V$1006:AD1006),$V$1006:$AE$1006,0)), HYPERLINK("#",""), HYPERLINK(CONCATENATE("#Metadata!", ADDRESS(INDEX($Q$2:$Q$1001,MATCH(ROWS($O$2:O732),$O$2:$O$1001,0),0), INDEX($V$1004:$AE$1004,1,MATCH(COLUMNS($V$1006:AD1006),$V$1006:$AE$1006,0)))),"Fix")))</f>
        <v>0</v>
      </c>
      <c r="K732" s="4">
        <f>IF(OR(INDEX($P$2:$P$1001,MATCH(ROWS($O$2:O732),$O$2:$O$1001,0),1)&gt;=100000,INDEX($V$1005:$AE$1005,1,MATCH(COLUMNS($V$1006:AE1006),$V$1006:$AE$1006,0))&gt;=100000), " ",IF(INDEX($V$2:$AE$1001,MATCH(ROWS($O$2:O732),$O$2:$O$1001,0),MATCH(COLUMNS($V$1006:AE1006),$V$1006:$AE$1006,0)), HYPERLINK("#",""), HYPERLINK(CONCATENATE("#Metadata!", ADDRESS(INDEX($Q$2:$Q$1001,MATCH(ROWS($O$2:O732),$O$2:$O$1001,0),0), INDEX($V$1004:$AE$1004,1,MATCH(COLUMNS($V$1006:AE1006),$V$1006:$AE$1006,0)))),"Fix")))</f>
        <v>0</v>
      </c>
      <c r="O732">
        <v>0</v>
      </c>
      <c r="P732">
        <v>0</v>
      </c>
      <c r="Q732">
        <v>0</v>
      </c>
      <c r="R732">
        <f>IF(S732,TRUE,AND(V732:AE732))</f>
        <v>0</v>
      </c>
      <c r="S732">
        <f>COUNTBLANK(Metadata!B732:K732)=COLUMNS(Metadata!B732:K732)</f>
        <v>0</v>
      </c>
      <c r="T732">
        <v>0</v>
      </c>
      <c r="V732">
        <f>AND(IF(Metadata!B732="",FALSE,TRUE),COUNTIF(Metadata!B:B, Metadata!B732) = 1,NOT(ISERROR(SUMPRODUCT(SEARCH(MID(Metadata!B732,ROW(INDIRECT("1:"&amp;LEN(Metadata!B732))), 1),"0123456789abcdefghijklmnopqrstuvwxyzABCDEFGHIJKLMNOPQRSTUVWXYZ.")))))</f>
        <v>0</v>
      </c>
      <c r="W732">
        <f>AND(IF(Metadata!C732="",FALSE,TRUE),exact(Metadata!C732,"urban biome"))</f>
        <v>0</v>
      </c>
      <c r="X732">
        <f>AND(IF(Metadata!D732="",FALSE,TRUE),exact(Metadata!D732,"animal-associated habitat"))</f>
        <v>0</v>
      </c>
      <c r="Y732">
        <f>OR(AND(IF(Metadata!E732="",FALSE,TRUE),OR(exact(Metadata!E732,"not applicable"),exact(Metadata!E732,"missing: not collected"),exact(Metadata!E732,"missing: not provided"),exact(Metadata!E732,"missing: restricted access"))),AND(IF(Metadata!E732="",FALSE,ISNUMBER(VALUE(Metadata!E732))),Metadata!E732&gt;0))</f>
        <v>0</v>
      </c>
      <c r="Z732">
        <f>AND(IF(Metadata!F732="",FALSE,TRUE),exact(Metadata!F732,"weeks"))</f>
        <v>0</v>
      </c>
      <c r="AA732">
        <f>AND(IF(Metadata!G732="",FALSE,TRUE),exact(Metadata!G732,"mouse"))</f>
        <v>0</v>
      </c>
      <c r="AB732">
        <f>AND(IF(Metadata!H732="",FALSE,TRUE),exact(Metadata!H732,"Mus musculus"))</f>
        <v>0</v>
      </c>
      <c r="AC732">
        <f>AND(IF(Metadata!I732="",FALSE,TRUE),exact(Metadata!I732,"10090"))</f>
        <v>0</v>
      </c>
      <c r="AD732">
        <f>OR(AND(IF(Metadata!J732="",FALSE,TRUE),OR(exact(Metadata!J732,"not applicable"),exact(Metadata!J732,"missing: not collected"),exact(Metadata!J732,"missing: not provided"),exact(Metadata!J732,"missing: restricted access"))),AND(IF(Metadata!J732="",FALSE,ISNUMBER(VALUE(Metadata!J732))),Metadata!J732&gt;0))</f>
        <v>0</v>
      </c>
      <c r="AE732">
        <f>AND(IF(Metadata!K732="",FALSE,TRUE),exact(Metadata!K732,"g"))</f>
        <v>0</v>
      </c>
    </row>
    <row r="733" spans="1:31">
      <c r="A733" s="5">
        <f>IF(B733=" "," ",HYPERLINK(CONCATENATE("#metadata!",ADDRESS(INDEX($Q$2:$Q$1001,MATCH(ROWS($O$2:O733),$O$2:$O$1001,0),0),1)),INDEX($T$2:$T$1001,MATCH(ROWS($O$2:O733),$O$2:$O$1001,0),0)))</f>
        <v>0</v>
      </c>
      <c r="B733" s="4">
        <f>IF(OR(INDEX($P$2:$P$1001,MATCH(ROWS($O$2:O733),$O$2:$O$1001,0),1)&gt;=100000,INDEX($V$1005:$AE$1005,1,MATCH(COLUMNS($V$1006:V1006),$V$1006:$AE$1006,0))&gt;=100000), " ",IF(INDEX($V$2:$AE$1001,MATCH(ROWS($O$2:O733),$O$2:$O$1001,0),MATCH(COLUMNS($V$1006:V1006),$V$1006:$AE$1006,0)), HYPERLINK("#",""), HYPERLINK(CONCATENATE("#Metadata!", ADDRESS(INDEX($Q$2:$Q$1001,MATCH(ROWS($O$2:O733),$O$2:$O$1001,0),0), INDEX($V$1004:$AE$1004,1,MATCH(COLUMNS($V$1006:V1006),$V$1006:$AE$1006,0)))),"Fix")))</f>
        <v>0</v>
      </c>
      <c r="C733" s="4">
        <f>IF(OR(INDEX($P$2:$P$1001,MATCH(ROWS($O$2:O733),$O$2:$O$1001,0),1)&gt;=100000,INDEX($V$1005:$AE$1005,1,MATCH(COLUMNS($V$1006:W1006),$V$1006:$AE$1006,0))&gt;=100000), " ",IF(INDEX($V$2:$AE$1001,MATCH(ROWS($O$2:O733),$O$2:$O$1001,0),MATCH(COLUMNS($V$1006:W1006),$V$1006:$AE$1006,0)), HYPERLINK("#",""), HYPERLINK(CONCATENATE("#Metadata!", ADDRESS(INDEX($Q$2:$Q$1001,MATCH(ROWS($O$2:O733),$O$2:$O$1001,0),0), INDEX($V$1004:$AE$1004,1,MATCH(COLUMNS($V$1006:W1006),$V$1006:$AE$1006,0)))),"Fix")))</f>
        <v>0</v>
      </c>
      <c r="D733" s="4">
        <f>IF(OR(INDEX($P$2:$P$1001,MATCH(ROWS($O$2:O733),$O$2:$O$1001,0),1)&gt;=100000,INDEX($V$1005:$AE$1005,1,MATCH(COLUMNS($V$1006:X1006),$V$1006:$AE$1006,0))&gt;=100000), " ",IF(INDEX($V$2:$AE$1001,MATCH(ROWS($O$2:O733),$O$2:$O$1001,0),MATCH(COLUMNS($V$1006:X1006),$V$1006:$AE$1006,0)), HYPERLINK("#",""), HYPERLINK(CONCATENATE("#Metadata!", ADDRESS(INDEX($Q$2:$Q$1001,MATCH(ROWS($O$2:O733),$O$2:$O$1001,0),0), INDEX($V$1004:$AE$1004,1,MATCH(COLUMNS($V$1006:X1006),$V$1006:$AE$1006,0)))),"Fix")))</f>
        <v>0</v>
      </c>
      <c r="E733" s="4">
        <f>IF(OR(INDEX($P$2:$P$1001,MATCH(ROWS($O$2:O733),$O$2:$O$1001,0),1)&gt;=100000,INDEX($V$1005:$AE$1005,1,MATCH(COLUMNS($V$1006:Y1006),$V$1006:$AE$1006,0))&gt;=100000), " ",IF(INDEX($V$2:$AE$1001,MATCH(ROWS($O$2:O733),$O$2:$O$1001,0),MATCH(COLUMNS($V$1006:Y1006),$V$1006:$AE$1006,0)), HYPERLINK("#",""), HYPERLINK(CONCATENATE("#Metadata!", ADDRESS(INDEX($Q$2:$Q$1001,MATCH(ROWS($O$2:O733),$O$2:$O$1001,0),0), INDEX($V$1004:$AE$1004,1,MATCH(COLUMNS($V$1006:Y1006),$V$1006:$AE$1006,0)))),"Fix")))</f>
        <v>0</v>
      </c>
      <c r="F733" s="4">
        <f>IF(OR(INDEX($P$2:$P$1001,MATCH(ROWS($O$2:O733),$O$2:$O$1001,0),1)&gt;=100000,INDEX($V$1005:$AE$1005,1,MATCH(COLUMNS($V$1006:Z1006),$V$1006:$AE$1006,0))&gt;=100000), " ",IF(INDEX($V$2:$AE$1001,MATCH(ROWS($O$2:O733),$O$2:$O$1001,0),MATCH(COLUMNS($V$1006:Z1006),$V$1006:$AE$1006,0)), HYPERLINK("#",""), HYPERLINK(CONCATENATE("#Metadata!", ADDRESS(INDEX($Q$2:$Q$1001,MATCH(ROWS($O$2:O733),$O$2:$O$1001,0),0), INDEX($V$1004:$AE$1004,1,MATCH(COLUMNS($V$1006:Z1006),$V$1006:$AE$1006,0)))),"Fix")))</f>
        <v>0</v>
      </c>
      <c r="G733" s="4">
        <f>IF(OR(INDEX($P$2:$P$1001,MATCH(ROWS($O$2:O733),$O$2:$O$1001,0),1)&gt;=100000,INDEX($V$1005:$AE$1005,1,MATCH(COLUMNS($V$1006:AA1006),$V$1006:$AE$1006,0))&gt;=100000), " ",IF(INDEX($V$2:$AE$1001,MATCH(ROWS($O$2:O733),$O$2:$O$1001,0),MATCH(COLUMNS($V$1006:AA1006),$V$1006:$AE$1006,0)), HYPERLINK("#",""), HYPERLINK(CONCATENATE("#Metadata!", ADDRESS(INDEX($Q$2:$Q$1001,MATCH(ROWS($O$2:O733),$O$2:$O$1001,0),0), INDEX($V$1004:$AE$1004,1,MATCH(COLUMNS($V$1006:AA1006),$V$1006:$AE$1006,0)))),"Fix")))</f>
        <v>0</v>
      </c>
      <c r="H733" s="4">
        <f>IF(OR(INDEX($P$2:$P$1001,MATCH(ROWS($O$2:O733),$O$2:$O$1001,0),1)&gt;=100000,INDEX($V$1005:$AE$1005,1,MATCH(COLUMNS($V$1006:AB1006),$V$1006:$AE$1006,0))&gt;=100000), " ",IF(INDEX($V$2:$AE$1001,MATCH(ROWS($O$2:O733),$O$2:$O$1001,0),MATCH(COLUMNS($V$1006:AB1006),$V$1006:$AE$1006,0)), HYPERLINK("#",""), HYPERLINK(CONCATENATE("#Metadata!", ADDRESS(INDEX($Q$2:$Q$1001,MATCH(ROWS($O$2:O733),$O$2:$O$1001,0),0), INDEX($V$1004:$AE$1004,1,MATCH(COLUMNS($V$1006:AB1006),$V$1006:$AE$1006,0)))),"Fix")))</f>
        <v>0</v>
      </c>
      <c r="I733" s="4">
        <f>IF(OR(INDEX($P$2:$P$1001,MATCH(ROWS($O$2:O733),$O$2:$O$1001,0),1)&gt;=100000,INDEX($V$1005:$AE$1005,1,MATCH(COLUMNS($V$1006:AC1006),$V$1006:$AE$1006,0))&gt;=100000), " ",IF(INDEX($V$2:$AE$1001,MATCH(ROWS($O$2:O733),$O$2:$O$1001,0),MATCH(COLUMNS($V$1006:AC1006),$V$1006:$AE$1006,0)), HYPERLINK("#",""), HYPERLINK(CONCATENATE("#Metadata!", ADDRESS(INDEX($Q$2:$Q$1001,MATCH(ROWS($O$2:O733),$O$2:$O$1001,0),0), INDEX($V$1004:$AE$1004,1,MATCH(COLUMNS($V$1006:AC1006),$V$1006:$AE$1006,0)))),"Fix")))</f>
        <v>0</v>
      </c>
      <c r="J733" s="4">
        <f>IF(OR(INDEX($P$2:$P$1001,MATCH(ROWS($O$2:O733),$O$2:$O$1001,0),1)&gt;=100000,INDEX($V$1005:$AE$1005,1,MATCH(COLUMNS($V$1006:AD1006),$V$1006:$AE$1006,0))&gt;=100000), " ",IF(INDEX($V$2:$AE$1001,MATCH(ROWS($O$2:O733),$O$2:$O$1001,0),MATCH(COLUMNS($V$1006:AD1006),$V$1006:$AE$1006,0)), HYPERLINK("#",""), HYPERLINK(CONCATENATE("#Metadata!", ADDRESS(INDEX($Q$2:$Q$1001,MATCH(ROWS($O$2:O733),$O$2:$O$1001,0),0), INDEX($V$1004:$AE$1004,1,MATCH(COLUMNS($V$1006:AD1006),$V$1006:$AE$1006,0)))),"Fix")))</f>
        <v>0</v>
      </c>
      <c r="K733" s="4">
        <f>IF(OR(INDEX($P$2:$P$1001,MATCH(ROWS($O$2:O733),$O$2:$O$1001,0),1)&gt;=100000,INDEX($V$1005:$AE$1005,1,MATCH(COLUMNS($V$1006:AE1006),$V$1006:$AE$1006,0))&gt;=100000), " ",IF(INDEX($V$2:$AE$1001,MATCH(ROWS($O$2:O733),$O$2:$O$1001,0),MATCH(COLUMNS($V$1006:AE1006),$V$1006:$AE$1006,0)), HYPERLINK("#",""), HYPERLINK(CONCATENATE("#Metadata!", ADDRESS(INDEX($Q$2:$Q$1001,MATCH(ROWS($O$2:O733),$O$2:$O$1001,0),0), INDEX($V$1004:$AE$1004,1,MATCH(COLUMNS($V$1006:AE1006),$V$1006:$AE$1006,0)))),"Fix")))</f>
        <v>0</v>
      </c>
      <c r="O733">
        <v>0</v>
      </c>
      <c r="P733">
        <v>0</v>
      </c>
      <c r="Q733">
        <v>0</v>
      </c>
      <c r="R733">
        <f>IF(S733,TRUE,AND(V733:AE733))</f>
        <v>0</v>
      </c>
      <c r="S733">
        <f>COUNTBLANK(Metadata!B733:K733)=COLUMNS(Metadata!B733:K733)</f>
        <v>0</v>
      </c>
      <c r="T733">
        <v>0</v>
      </c>
      <c r="V733">
        <f>AND(IF(Metadata!B733="",FALSE,TRUE),COUNTIF(Metadata!B:B, Metadata!B733) = 1,NOT(ISERROR(SUMPRODUCT(SEARCH(MID(Metadata!B733,ROW(INDIRECT("1:"&amp;LEN(Metadata!B733))), 1),"0123456789abcdefghijklmnopqrstuvwxyzABCDEFGHIJKLMNOPQRSTUVWXYZ.")))))</f>
        <v>0</v>
      </c>
      <c r="W733">
        <f>AND(IF(Metadata!C733="",FALSE,TRUE),exact(Metadata!C733,"urban biome"))</f>
        <v>0</v>
      </c>
      <c r="X733">
        <f>AND(IF(Metadata!D733="",FALSE,TRUE),exact(Metadata!D733,"animal-associated habitat"))</f>
        <v>0</v>
      </c>
      <c r="Y733">
        <f>OR(AND(IF(Metadata!E733="",FALSE,TRUE),OR(exact(Metadata!E733,"not applicable"),exact(Metadata!E733,"missing: not collected"),exact(Metadata!E733,"missing: not provided"),exact(Metadata!E733,"missing: restricted access"))),AND(IF(Metadata!E733="",FALSE,ISNUMBER(VALUE(Metadata!E733))),Metadata!E733&gt;0))</f>
        <v>0</v>
      </c>
      <c r="Z733">
        <f>AND(IF(Metadata!F733="",FALSE,TRUE),exact(Metadata!F733,"weeks"))</f>
        <v>0</v>
      </c>
      <c r="AA733">
        <f>AND(IF(Metadata!G733="",FALSE,TRUE),exact(Metadata!G733,"mouse"))</f>
        <v>0</v>
      </c>
      <c r="AB733">
        <f>AND(IF(Metadata!H733="",FALSE,TRUE),exact(Metadata!H733,"Mus musculus"))</f>
        <v>0</v>
      </c>
      <c r="AC733">
        <f>AND(IF(Metadata!I733="",FALSE,TRUE),exact(Metadata!I733,"10090"))</f>
        <v>0</v>
      </c>
      <c r="AD733">
        <f>OR(AND(IF(Metadata!J733="",FALSE,TRUE),OR(exact(Metadata!J733,"not applicable"),exact(Metadata!J733,"missing: not collected"),exact(Metadata!J733,"missing: not provided"),exact(Metadata!J733,"missing: restricted access"))),AND(IF(Metadata!J733="",FALSE,ISNUMBER(VALUE(Metadata!J733))),Metadata!J733&gt;0))</f>
        <v>0</v>
      </c>
      <c r="AE733">
        <f>AND(IF(Metadata!K733="",FALSE,TRUE),exact(Metadata!K733,"g"))</f>
        <v>0</v>
      </c>
    </row>
    <row r="734" spans="1:31">
      <c r="A734" s="5">
        <f>IF(B734=" "," ",HYPERLINK(CONCATENATE("#metadata!",ADDRESS(INDEX($Q$2:$Q$1001,MATCH(ROWS($O$2:O734),$O$2:$O$1001,0),0),1)),INDEX($T$2:$T$1001,MATCH(ROWS($O$2:O734),$O$2:$O$1001,0),0)))</f>
        <v>0</v>
      </c>
      <c r="B734" s="4">
        <f>IF(OR(INDEX($P$2:$P$1001,MATCH(ROWS($O$2:O734),$O$2:$O$1001,0),1)&gt;=100000,INDEX($V$1005:$AE$1005,1,MATCH(COLUMNS($V$1006:V1006),$V$1006:$AE$1006,0))&gt;=100000), " ",IF(INDEX($V$2:$AE$1001,MATCH(ROWS($O$2:O734),$O$2:$O$1001,0),MATCH(COLUMNS($V$1006:V1006),$V$1006:$AE$1006,0)), HYPERLINK("#",""), HYPERLINK(CONCATENATE("#Metadata!", ADDRESS(INDEX($Q$2:$Q$1001,MATCH(ROWS($O$2:O734),$O$2:$O$1001,0),0), INDEX($V$1004:$AE$1004,1,MATCH(COLUMNS($V$1006:V1006),$V$1006:$AE$1006,0)))),"Fix")))</f>
        <v>0</v>
      </c>
      <c r="C734" s="4">
        <f>IF(OR(INDEX($P$2:$P$1001,MATCH(ROWS($O$2:O734),$O$2:$O$1001,0),1)&gt;=100000,INDEX($V$1005:$AE$1005,1,MATCH(COLUMNS($V$1006:W1006),$V$1006:$AE$1006,0))&gt;=100000), " ",IF(INDEX($V$2:$AE$1001,MATCH(ROWS($O$2:O734),$O$2:$O$1001,0),MATCH(COLUMNS($V$1006:W1006),$V$1006:$AE$1006,0)), HYPERLINK("#",""), HYPERLINK(CONCATENATE("#Metadata!", ADDRESS(INDEX($Q$2:$Q$1001,MATCH(ROWS($O$2:O734),$O$2:$O$1001,0),0), INDEX($V$1004:$AE$1004,1,MATCH(COLUMNS($V$1006:W1006),$V$1006:$AE$1006,0)))),"Fix")))</f>
        <v>0</v>
      </c>
      <c r="D734" s="4">
        <f>IF(OR(INDEX($P$2:$P$1001,MATCH(ROWS($O$2:O734),$O$2:$O$1001,0),1)&gt;=100000,INDEX($V$1005:$AE$1005,1,MATCH(COLUMNS($V$1006:X1006),$V$1006:$AE$1006,0))&gt;=100000), " ",IF(INDEX($V$2:$AE$1001,MATCH(ROWS($O$2:O734),$O$2:$O$1001,0),MATCH(COLUMNS($V$1006:X1006),$V$1006:$AE$1006,0)), HYPERLINK("#",""), HYPERLINK(CONCATENATE("#Metadata!", ADDRESS(INDEX($Q$2:$Q$1001,MATCH(ROWS($O$2:O734),$O$2:$O$1001,0),0), INDEX($V$1004:$AE$1004,1,MATCH(COLUMNS($V$1006:X1006),$V$1006:$AE$1006,0)))),"Fix")))</f>
        <v>0</v>
      </c>
      <c r="E734" s="4">
        <f>IF(OR(INDEX($P$2:$P$1001,MATCH(ROWS($O$2:O734),$O$2:$O$1001,0),1)&gt;=100000,INDEX($V$1005:$AE$1005,1,MATCH(COLUMNS($V$1006:Y1006),$V$1006:$AE$1006,0))&gt;=100000), " ",IF(INDEX($V$2:$AE$1001,MATCH(ROWS($O$2:O734),$O$2:$O$1001,0),MATCH(COLUMNS($V$1006:Y1006),$V$1006:$AE$1006,0)), HYPERLINK("#",""), HYPERLINK(CONCATENATE("#Metadata!", ADDRESS(INDEX($Q$2:$Q$1001,MATCH(ROWS($O$2:O734),$O$2:$O$1001,0),0), INDEX($V$1004:$AE$1004,1,MATCH(COLUMNS($V$1006:Y1006),$V$1006:$AE$1006,0)))),"Fix")))</f>
        <v>0</v>
      </c>
      <c r="F734" s="4">
        <f>IF(OR(INDEX($P$2:$P$1001,MATCH(ROWS($O$2:O734),$O$2:$O$1001,0),1)&gt;=100000,INDEX($V$1005:$AE$1005,1,MATCH(COLUMNS($V$1006:Z1006),$V$1006:$AE$1006,0))&gt;=100000), " ",IF(INDEX($V$2:$AE$1001,MATCH(ROWS($O$2:O734),$O$2:$O$1001,0),MATCH(COLUMNS($V$1006:Z1006),$V$1006:$AE$1006,0)), HYPERLINK("#",""), HYPERLINK(CONCATENATE("#Metadata!", ADDRESS(INDEX($Q$2:$Q$1001,MATCH(ROWS($O$2:O734),$O$2:$O$1001,0),0), INDEX($V$1004:$AE$1004,1,MATCH(COLUMNS($V$1006:Z1006),$V$1006:$AE$1006,0)))),"Fix")))</f>
        <v>0</v>
      </c>
      <c r="G734" s="4">
        <f>IF(OR(INDEX($P$2:$P$1001,MATCH(ROWS($O$2:O734),$O$2:$O$1001,0),1)&gt;=100000,INDEX($V$1005:$AE$1005,1,MATCH(COLUMNS($V$1006:AA1006),$V$1006:$AE$1006,0))&gt;=100000), " ",IF(INDEX($V$2:$AE$1001,MATCH(ROWS($O$2:O734),$O$2:$O$1001,0),MATCH(COLUMNS($V$1006:AA1006),$V$1006:$AE$1006,0)), HYPERLINK("#",""), HYPERLINK(CONCATENATE("#Metadata!", ADDRESS(INDEX($Q$2:$Q$1001,MATCH(ROWS($O$2:O734),$O$2:$O$1001,0),0), INDEX($V$1004:$AE$1004,1,MATCH(COLUMNS($V$1006:AA1006),$V$1006:$AE$1006,0)))),"Fix")))</f>
        <v>0</v>
      </c>
      <c r="H734" s="4">
        <f>IF(OR(INDEX($P$2:$P$1001,MATCH(ROWS($O$2:O734),$O$2:$O$1001,0),1)&gt;=100000,INDEX($V$1005:$AE$1005,1,MATCH(COLUMNS($V$1006:AB1006),$V$1006:$AE$1006,0))&gt;=100000), " ",IF(INDEX($V$2:$AE$1001,MATCH(ROWS($O$2:O734),$O$2:$O$1001,0),MATCH(COLUMNS($V$1006:AB1006),$V$1006:$AE$1006,0)), HYPERLINK("#",""), HYPERLINK(CONCATENATE("#Metadata!", ADDRESS(INDEX($Q$2:$Q$1001,MATCH(ROWS($O$2:O734),$O$2:$O$1001,0),0), INDEX($V$1004:$AE$1004,1,MATCH(COLUMNS($V$1006:AB1006),$V$1006:$AE$1006,0)))),"Fix")))</f>
        <v>0</v>
      </c>
      <c r="I734" s="4">
        <f>IF(OR(INDEX($P$2:$P$1001,MATCH(ROWS($O$2:O734),$O$2:$O$1001,0),1)&gt;=100000,INDEX($V$1005:$AE$1005,1,MATCH(COLUMNS($V$1006:AC1006),$V$1006:$AE$1006,0))&gt;=100000), " ",IF(INDEX($V$2:$AE$1001,MATCH(ROWS($O$2:O734),$O$2:$O$1001,0),MATCH(COLUMNS($V$1006:AC1006),$V$1006:$AE$1006,0)), HYPERLINK("#",""), HYPERLINK(CONCATENATE("#Metadata!", ADDRESS(INDEX($Q$2:$Q$1001,MATCH(ROWS($O$2:O734),$O$2:$O$1001,0),0), INDEX($V$1004:$AE$1004,1,MATCH(COLUMNS($V$1006:AC1006),$V$1006:$AE$1006,0)))),"Fix")))</f>
        <v>0</v>
      </c>
      <c r="J734" s="4">
        <f>IF(OR(INDEX($P$2:$P$1001,MATCH(ROWS($O$2:O734),$O$2:$O$1001,0),1)&gt;=100000,INDEX($V$1005:$AE$1005,1,MATCH(COLUMNS($V$1006:AD1006),$V$1006:$AE$1006,0))&gt;=100000), " ",IF(INDEX($V$2:$AE$1001,MATCH(ROWS($O$2:O734),$O$2:$O$1001,0),MATCH(COLUMNS($V$1006:AD1006),$V$1006:$AE$1006,0)), HYPERLINK("#",""), HYPERLINK(CONCATENATE("#Metadata!", ADDRESS(INDEX($Q$2:$Q$1001,MATCH(ROWS($O$2:O734),$O$2:$O$1001,0),0), INDEX($V$1004:$AE$1004,1,MATCH(COLUMNS($V$1006:AD1006),$V$1006:$AE$1006,0)))),"Fix")))</f>
        <v>0</v>
      </c>
      <c r="K734" s="4">
        <f>IF(OR(INDEX($P$2:$P$1001,MATCH(ROWS($O$2:O734),$O$2:$O$1001,0),1)&gt;=100000,INDEX($V$1005:$AE$1005,1,MATCH(COLUMNS($V$1006:AE1006),$V$1006:$AE$1006,0))&gt;=100000), " ",IF(INDEX($V$2:$AE$1001,MATCH(ROWS($O$2:O734),$O$2:$O$1001,0),MATCH(COLUMNS($V$1006:AE1006),$V$1006:$AE$1006,0)), HYPERLINK("#",""), HYPERLINK(CONCATENATE("#Metadata!", ADDRESS(INDEX($Q$2:$Q$1001,MATCH(ROWS($O$2:O734),$O$2:$O$1001,0),0), INDEX($V$1004:$AE$1004,1,MATCH(COLUMNS($V$1006:AE1006),$V$1006:$AE$1006,0)))),"Fix")))</f>
        <v>0</v>
      </c>
      <c r="O734">
        <v>0</v>
      </c>
      <c r="P734">
        <v>0</v>
      </c>
      <c r="Q734">
        <v>0</v>
      </c>
      <c r="R734">
        <f>IF(S734,TRUE,AND(V734:AE734))</f>
        <v>0</v>
      </c>
      <c r="S734">
        <f>COUNTBLANK(Metadata!B734:K734)=COLUMNS(Metadata!B734:K734)</f>
        <v>0</v>
      </c>
      <c r="T734">
        <v>0</v>
      </c>
      <c r="V734">
        <f>AND(IF(Metadata!B734="",FALSE,TRUE),COUNTIF(Metadata!B:B, Metadata!B734) = 1,NOT(ISERROR(SUMPRODUCT(SEARCH(MID(Metadata!B734,ROW(INDIRECT("1:"&amp;LEN(Metadata!B734))), 1),"0123456789abcdefghijklmnopqrstuvwxyzABCDEFGHIJKLMNOPQRSTUVWXYZ.")))))</f>
        <v>0</v>
      </c>
      <c r="W734">
        <f>AND(IF(Metadata!C734="",FALSE,TRUE),exact(Metadata!C734,"urban biome"))</f>
        <v>0</v>
      </c>
      <c r="X734">
        <f>AND(IF(Metadata!D734="",FALSE,TRUE),exact(Metadata!D734,"animal-associated habitat"))</f>
        <v>0</v>
      </c>
      <c r="Y734">
        <f>OR(AND(IF(Metadata!E734="",FALSE,TRUE),OR(exact(Metadata!E734,"not applicable"),exact(Metadata!E734,"missing: not collected"),exact(Metadata!E734,"missing: not provided"),exact(Metadata!E734,"missing: restricted access"))),AND(IF(Metadata!E734="",FALSE,ISNUMBER(VALUE(Metadata!E734))),Metadata!E734&gt;0))</f>
        <v>0</v>
      </c>
      <c r="Z734">
        <f>AND(IF(Metadata!F734="",FALSE,TRUE),exact(Metadata!F734,"weeks"))</f>
        <v>0</v>
      </c>
      <c r="AA734">
        <f>AND(IF(Metadata!G734="",FALSE,TRUE),exact(Metadata!G734,"mouse"))</f>
        <v>0</v>
      </c>
      <c r="AB734">
        <f>AND(IF(Metadata!H734="",FALSE,TRUE),exact(Metadata!H734,"Mus musculus"))</f>
        <v>0</v>
      </c>
      <c r="AC734">
        <f>AND(IF(Metadata!I734="",FALSE,TRUE),exact(Metadata!I734,"10090"))</f>
        <v>0</v>
      </c>
      <c r="AD734">
        <f>OR(AND(IF(Metadata!J734="",FALSE,TRUE),OR(exact(Metadata!J734,"not applicable"),exact(Metadata!J734,"missing: not collected"),exact(Metadata!J734,"missing: not provided"),exact(Metadata!J734,"missing: restricted access"))),AND(IF(Metadata!J734="",FALSE,ISNUMBER(VALUE(Metadata!J734))),Metadata!J734&gt;0))</f>
        <v>0</v>
      </c>
      <c r="AE734">
        <f>AND(IF(Metadata!K734="",FALSE,TRUE),exact(Metadata!K734,"g"))</f>
        <v>0</v>
      </c>
    </row>
    <row r="735" spans="1:31">
      <c r="A735" s="5">
        <f>IF(B735=" "," ",HYPERLINK(CONCATENATE("#metadata!",ADDRESS(INDEX($Q$2:$Q$1001,MATCH(ROWS($O$2:O735),$O$2:$O$1001,0),0),1)),INDEX($T$2:$T$1001,MATCH(ROWS($O$2:O735),$O$2:$O$1001,0),0)))</f>
        <v>0</v>
      </c>
      <c r="B735" s="4">
        <f>IF(OR(INDEX($P$2:$P$1001,MATCH(ROWS($O$2:O735),$O$2:$O$1001,0),1)&gt;=100000,INDEX($V$1005:$AE$1005,1,MATCH(COLUMNS($V$1006:V1006),$V$1006:$AE$1006,0))&gt;=100000), " ",IF(INDEX($V$2:$AE$1001,MATCH(ROWS($O$2:O735),$O$2:$O$1001,0),MATCH(COLUMNS($V$1006:V1006),$V$1006:$AE$1006,0)), HYPERLINK("#",""), HYPERLINK(CONCATENATE("#Metadata!", ADDRESS(INDEX($Q$2:$Q$1001,MATCH(ROWS($O$2:O735),$O$2:$O$1001,0),0), INDEX($V$1004:$AE$1004,1,MATCH(COLUMNS($V$1006:V1006),$V$1006:$AE$1006,0)))),"Fix")))</f>
        <v>0</v>
      </c>
      <c r="C735" s="4">
        <f>IF(OR(INDEX($P$2:$P$1001,MATCH(ROWS($O$2:O735),$O$2:$O$1001,0),1)&gt;=100000,INDEX($V$1005:$AE$1005,1,MATCH(COLUMNS($V$1006:W1006),$V$1006:$AE$1006,0))&gt;=100000), " ",IF(INDEX($V$2:$AE$1001,MATCH(ROWS($O$2:O735),$O$2:$O$1001,0),MATCH(COLUMNS($V$1006:W1006),$V$1006:$AE$1006,0)), HYPERLINK("#",""), HYPERLINK(CONCATENATE("#Metadata!", ADDRESS(INDEX($Q$2:$Q$1001,MATCH(ROWS($O$2:O735),$O$2:$O$1001,0),0), INDEX($V$1004:$AE$1004,1,MATCH(COLUMNS($V$1006:W1006),$V$1006:$AE$1006,0)))),"Fix")))</f>
        <v>0</v>
      </c>
      <c r="D735" s="4">
        <f>IF(OR(INDEX($P$2:$P$1001,MATCH(ROWS($O$2:O735),$O$2:$O$1001,0),1)&gt;=100000,INDEX($V$1005:$AE$1005,1,MATCH(COLUMNS($V$1006:X1006),$V$1006:$AE$1006,0))&gt;=100000), " ",IF(INDEX($V$2:$AE$1001,MATCH(ROWS($O$2:O735),$O$2:$O$1001,0),MATCH(COLUMNS($V$1006:X1006),$V$1006:$AE$1006,0)), HYPERLINK("#",""), HYPERLINK(CONCATENATE("#Metadata!", ADDRESS(INDEX($Q$2:$Q$1001,MATCH(ROWS($O$2:O735),$O$2:$O$1001,0),0), INDEX($V$1004:$AE$1004,1,MATCH(COLUMNS($V$1006:X1006),$V$1006:$AE$1006,0)))),"Fix")))</f>
        <v>0</v>
      </c>
      <c r="E735" s="4">
        <f>IF(OR(INDEX($P$2:$P$1001,MATCH(ROWS($O$2:O735),$O$2:$O$1001,0),1)&gt;=100000,INDEX($V$1005:$AE$1005,1,MATCH(COLUMNS($V$1006:Y1006),$V$1006:$AE$1006,0))&gt;=100000), " ",IF(INDEX($V$2:$AE$1001,MATCH(ROWS($O$2:O735),$O$2:$O$1001,0),MATCH(COLUMNS($V$1006:Y1006),$V$1006:$AE$1006,0)), HYPERLINK("#",""), HYPERLINK(CONCATENATE("#Metadata!", ADDRESS(INDEX($Q$2:$Q$1001,MATCH(ROWS($O$2:O735),$O$2:$O$1001,0),0), INDEX($V$1004:$AE$1004,1,MATCH(COLUMNS($V$1006:Y1006),$V$1006:$AE$1006,0)))),"Fix")))</f>
        <v>0</v>
      </c>
      <c r="F735" s="4">
        <f>IF(OR(INDEX($P$2:$P$1001,MATCH(ROWS($O$2:O735),$O$2:$O$1001,0),1)&gt;=100000,INDEX($V$1005:$AE$1005,1,MATCH(COLUMNS($V$1006:Z1006),$V$1006:$AE$1006,0))&gt;=100000), " ",IF(INDEX($V$2:$AE$1001,MATCH(ROWS($O$2:O735),$O$2:$O$1001,0),MATCH(COLUMNS($V$1006:Z1006),$V$1006:$AE$1006,0)), HYPERLINK("#",""), HYPERLINK(CONCATENATE("#Metadata!", ADDRESS(INDEX($Q$2:$Q$1001,MATCH(ROWS($O$2:O735),$O$2:$O$1001,0),0), INDEX($V$1004:$AE$1004,1,MATCH(COLUMNS($V$1006:Z1006),$V$1006:$AE$1006,0)))),"Fix")))</f>
        <v>0</v>
      </c>
      <c r="G735" s="4">
        <f>IF(OR(INDEX($P$2:$P$1001,MATCH(ROWS($O$2:O735),$O$2:$O$1001,0),1)&gt;=100000,INDEX($V$1005:$AE$1005,1,MATCH(COLUMNS($V$1006:AA1006),$V$1006:$AE$1006,0))&gt;=100000), " ",IF(INDEX($V$2:$AE$1001,MATCH(ROWS($O$2:O735),$O$2:$O$1001,0),MATCH(COLUMNS($V$1006:AA1006),$V$1006:$AE$1006,0)), HYPERLINK("#",""), HYPERLINK(CONCATENATE("#Metadata!", ADDRESS(INDEX($Q$2:$Q$1001,MATCH(ROWS($O$2:O735),$O$2:$O$1001,0),0), INDEX($V$1004:$AE$1004,1,MATCH(COLUMNS($V$1006:AA1006),$V$1006:$AE$1006,0)))),"Fix")))</f>
        <v>0</v>
      </c>
      <c r="H735" s="4">
        <f>IF(OR(INDEX($P$2:$P$1001,MATCH(ROWS($O$2:O735),$O$2:$O$1001,0),1)&gt;=100000,INDEX($V$1005:$AE$1005,1,MATCH(COLUMNS($V$1006:AB1006),$V$1006:$AE$1006,0))&gt;=100000), " ",IF(INDEX($V$2:$AE$1001,MATCH(ROWS($O$2:O735),$O$2:$O$1001,0),MATCH(COLUMNS($V$1006:AB1006),$V$1006:$AE$1006,0)), HYPERLINK("#",""), HYPERLINK(CONCATENATE("#Metadata!", ADDRESS(INDEX($Q$2:$Q$1001,MATCH(ROWS($O$2:O735),$O$2:$O$1001,0),0), INDEX($V$1004:$AE$1004,1,MATCH(COLUMNS($V$1006:AB1006),$V$1006:$AE$1006,0)))),"Fix")))</f>
        <v>0</v>
      </c>
      <c r="I735" s="4">
        <f>IF(OR(INDEX($P$2:$P$1001,MATCH(ROWS($O$2:O735),$O$2:$O$1001,0),1)&gt;=100000,INDEX($V$1005:$AE$1005,1,MATCH(COLUMNS($V$1006:AC1006),$V$1006:$AE$1006,0))&gt;=100000), " ",IF(INDEX($V$2:$AE$1001,MATCH(ROWS($O$2:O735),$O$2:$O$1001,0),MATCH(COLUMNS($V$1006:AC1006),$V$1006:$AE$1006,0)), HYPERLINK("#",""), HYPERLINK(CONCATENATE("#Metadata!", ADDRESS(INDEX($Q$2:$Q$1001,MATCH(ROWS($O$2:O735),$O$2:$O$1001,0),0), INDEX($V$1004:$AE$1004,1,MATCH(COLUMNS($V$1006:AC1006),$V$1006:$AE$1006,0)))),"Fix")))</f>
        <v>0</v>
      </c>
      <c r="J735" s="4">
        <f>IF(OR(INDEX($P$2:$P$1001,MATCH(ROWS($O$2:O735),$O$2:$O$1001,0),1)&gt;=100000,INDEX($V$1005:$AE$1005,1,MATCH(COLUMNS($V$1006:AD1006),$V$1006:$AE$1006,0))&gt;=100000), " ",IF(INDEX($V$2:$AE$1001,MATCH(ROWS($O$2:O735),$O$2:$O$1001,0),MATCH(COLUMNS($V$1006:AD1006),$V$1006:$AE$1006,0)), HYPERLINK("#",""), HYPERLINK(CONCATENATE("#Metadata!", ADDRESS(INDEX($Q$2:$Q$1001,MATCH(ROWS($O$2:O735),$O$2:$O$1001,0),0), INDEX($V$1004:$AE$1004,1,MATCH(COLUMNS($V$1006:AD1006),$V$1006:$AE$1006,0)))),"Fix")))</f>
        <v>0</v>
      </c>
      <c r="K735" s="4">
        <f>IF(OR(INDEX($P$2:$P$1001,MATCH(ROWS($O$2:O735),$O$2:$O$1001,0),1)&gt;=100000,INDEX($V$1005:$AE$1005,1,MATCH(COLUMNS($V$1006:AE1006),$V$1006:$AE$1006,0))&gt;=100000), " ",IF(INDEX($V$2:$AE$1001,MATCH(ROWS($O$2:O735),$O$2:$O$1001,0),MATCH(COLUMNS($V$1006:AE1006),$V$1006:$AE$1006,0)), HYPERLINK("#",""), HYPERLINK(CONCATENATE("#Metadata!", ADDRESS(INDEX($Q$2:$Q$1001,MATCH(ROWS($O$2:O735),$O$2:$O$1001,0),0), INDEX($V$1004:$AE$1004,1,MATCH(COLUMNS($V$1006:AE1006),$V$1006:$AE$1006,0)))),"Fix")))</f>
        <v>0</v>
      </c>
      <c r="O735">
        <v>0</v>
      </c>
      <c r="P735">
        <v>0</v>
      </c>
      <c r="Q735">
        <v>0</v>
      </c>
      <c r="R735">
        <f>IF(S735,TRUE,AND(V735:AE735))</f>
        <v>0</v>
      </c>
      <c r="S735">
        <f>COUNTBLANK(Metadata!B735:K735)=COLUMNS(Metadata!B735:K735)</f>
        <v>0</v>
      </c>
      <c r="T735">
        <v>0</v>
      </c>
      <c r="V735">
        <f>AND(IF(Metadata!B735="",FALSE,TRUE),COUNTIF(Metadata!B:B, Metadata!B735) = 1,NOT(ISERROR(SUMPRODUCT(SEARCH(MID(Metadata!B735,ROW(INDIRECT("1:"&amp;LEN(Metadata!B735))), 1),"0123456789abcdefghijklmnopqrstuvwxyzABCDEFGHIJKLMNOPQRSTUVWXYZ.")))))</f>
        <v>0</v>
      </c>
      <c r="W735">
        <f>AND(IF(Metadata!C735="",FALSE,TRUE),exact(Metadata!C735,"urban biome"))</f>
        <v>0</v>
      </c>
      <c r="X735">
        <f>AND(IF(Metadata!D735="",FALSE,TRUE),exact(Metadata!D735,"animal-associated habitat"))</f>
        <v>0</v>
      </c>
      <c r="Y735">
        <f>OR(AND(IF(Metadata!E735="",FALSE,TRUE),OR(exact(Metadata!E735,"not applicable"),exact(Metadata!E735,"missing: not collected"),exact(Metadata!E735,"missing: not provided"),exact(Metadata!E735,"missing: restricted access"))),AND(IF(Metadata!E735="",FALSE,ISNUMBER(VALUE(Metadata!E735))),Metadata!E735&gt;0))</f>
        <v>0</v>
      </c>
      <c r="Z735">
        <f>AND(IF(Metadata!F735="",FALSE,TRUE),exact(Metadata!F735,"weeks"))</f>
        <v>0</v>
      </c>
      <c r="AA735">
        <f>AND(IF(Metadata!G735="",FALSE,TRUE),exact(Metadata!G735,"mouse"))</f>
        <v>0</v>
      </c>
      <c r="AB735">
        <f>AND(IF(Metadata!H735="",FALSE,TRUE),exact(Metadata!H735,"Mus musculus"))</f>
        <v>0</v>
      </c>
      <c r="AC735">
        <f>AND(IF(Metadata!I735="",FALSE,TRUE),exact(Metadata!I735,"10090"))</f>
        <v>0</v>
      </c>
      <c r="AD735">
        <f>OR(AND(IF(Metadata!J735="",FALSE,TRUE),OR(exact(Metadata!J735,"not applicable"),exact(Metadata!J735,"missing: not collected"),exact(Metadata!J735,"missing: not provided"),exact(Metadata!J735,"missing: restricted access"))),AND(IF(Metadata!J735="",FALSE,ISNUMBER(VALUE(Metadata!J735))),Metadata!J735&gt;0))</f>
        <v>0</v>
      </c>
      <c r="AE735">
        <f>AND(IF(Metadata!K735="",FALSE,TRUE),exact(Metadata!K735,"g"))</f>
        <v>0</v>
      </c>
    </row>
    <row r="736" spans="1:31">
      <c r="A736" s="5">
        <f>IF(B736=" "," ",HYPERLINK(CONCATENATE("#metadata!",ADDRESS(INDEX($Q$2:$Q$1001,MATCH(ROWS($O$2:O736),$O$2:$O$1001,0),0),1)),INDEX($T$2:$T$1001,MATCH(ROWS($O$2:O736),$O$2:$O$1001,0),0)))</f>
        <v>0</v>
      </c>
      <c r="B736" s="4">
        <f>IF(OR(INDEX($P$2:$P$1001,MATCH(ROWS($O$2:O736),$O$2:$O$1001,0),1)&gt;=100000,INDEX($V$1005:$AE$1005,1,MATCH(COLUMNS($V$1006:V1006),$V$1006:$AE$1006,0))&gt;=100000), " ",IF(INDEX($V$2:$AE$1001,MATCH(ROWS($O$2:O736),$O$2:$O$1001,0),MATCH(COLUMNS($V$1006:V1006),$V$1006:$AE$1006,0)), HYPERLINK("#",""), HYPERLINK(CONCATENATE("#Metadata!", ADDRESS(INDEX($Q$2:$Q$1001,MATCH(ROWS($O$2:O736),$O$2:$O$1001,0),0), INDEX($V$1004:$AE$1004,1,MATCH(COLUMNS($V$1006:V1006),$V$1006:$AE$1006,0)))),"Fix")))</f>
        <v>0</v>
      </c>
      <c r="C736" s="4">
        <f>IF(OR(INDEX($P$2:$P$1001,MATCH(ROWS($O$2:O736),$O$2:$O$1001,0),1)&gt;=100000,INDEX($V$1005:$AE$1005,1,MATCH(COLUMNS($V$1006:W1006),$V$1006:$AE$1006,0))&gt;=100000), " ",IF(INDEX($V$2:$AE$1001,MATCH(ROWS($O$2:O736),$O$2:$O$1001,0),MATCH(COLUMNS($V$1006:W1006),$V$1006:$AE$1006,0)), HYPERLINK("#",""), HYPERLINK(CONCATENATE("#Metadata!", ADDRESS(INDEX($Q$2:$Q$1001,MATCH(ROWS($O$2:O736),$O$2:$O$1001,0),0), INDEX($V$1004:$AE$1004,1,MATCH(COLUMNS($V$1006:W1006),$V$1006:$AE$1006,0)))),"Fix")))</f>
        <v>0</v>
      </c>
      <c r="D736" s="4">
        <f>IF(OR(INDEX($P$2:$P$1001,MATCH(ROWS($O$2:O736),$O$2:$O$1001,0),1)&gt;=100000,INDEX($V$1005:$AE$1005,1,MATCH(COLUMNS($V$1006:X1006),$V$1006:$AE$1006,0))&gt;=100000), " ",IF(INDEX($V$2:$AE$1001,MATCH(ROWS($O$2:O736),$O$2:$O$1001,0),MATCH(COLUMNS($V$1006:X1006),$V$1006:$AE$1006,0)), HYPERLINK("#",""), HYPERLINK(CONCATENATE("#Metadata!", ADDRESS(INDEX($Q$2:$Q$1001,MATCH(ROWS($O$2:O736),$O$2:$O$1001,0),0), INDEX($V$1004:$AE$1004,1,MATCH(COLUMNS($V$1006:X1006),$V$1006:$AE$1006,0)))),"Fix")))</f>
        <v>0</v>
      </c>
      <c r="E736" s="4">
        <f>IF(OR(INDEX($P$2:$P$1001,MATCH(ROWS($O$2:O736),$O$2:$O$1001,0),1)&gt;=100000,INDEX($V$1005:$AE$1005,1,MATCH(COLUMNS($V$1006:Y1006),$V$1006:$AE$1006,0))&gt;=100000), " ",IF(INDEX($V$2:$AE$1001,MATCH(ROWS($O$2:O736),$O$2:$O$1001,0),MATCH(COLUMNS($V$1006:Y1006),$V$1006:$AE$1006,0)), HYPERLINK("#",""), HYPERLINK(CONCATENATE("#Metadata!", ADDRESS(INDEX($Q$2:$Q$1001,MATCH(ROWS($O$2:O736),$O$2:$O$1001,0),0), INDEX($V$1004:$AE$1004,1,MATCH(COLUMNS($V$1006:Y1006),$V$1006:$AE$1006,0)))),"Fix")))</f>
        <v>0</v>
      </c>
      <c r="F736" s="4">
        <f>IF(OR(INDEX($P$2:$P$1001,MATCH(ROWS($O$2:O736),$O$2:$O$1001,0),1)&gt;=100000,INDEX($V$1005:$AE$1005,1,MATCH(COLUMNS($V$1006:Z1006),$V$1006:$AE$1006,0))&gt;=100000), " ",IF(INDEX($V$2:$AE$1001,MATCH(ROWS($O$2:O736),$O$2:$O$1001,0),MATCH(COLUMNS($V$1006:Z1006),$V$1006:$AE$1006,0)), HYPERLINK("#",""), HYPERLINK(CONCATENATE("#Metadata!", ADDRESS(INDEX($Q$2:$Q$1001,MATCH(ROWS($O$2:O736),$O$2:$O$1001,0),0), INDEX($V$1004:$AE$1004,1,MATCH(COLUMNS($V$1006:Z1006),$V$1006:$AE$1006,0)))),"Fix")))</f>
        <v>0</v>
      </c>
      <c r="G736" s="4">
        <f>IF(OR(INDEX($P$2:$P$1001,MATCH(ROWS($O$2:O736),$O$2:$O$1001,0),1)&gt;=100000,INDEX($V$1005:$AE$1005,1,MATCH(COLUMNS($V$1006:AA1006),$V$1006:$AE$1006,0))&gt;=100000), " ",IF(INDEX($V$2:$AE$1001,MATCH(ROWS($O$2:O736),$O$2:$O$1001,0),MATCH(COLUMNS($V$1006:AA1006),$V$1006:$AE$1006,0)), HYPERLINK("#",""), HYPERLINK(CONCATENATE("#Metadata!", ADDRESS(INDEX($Q$2:$Q$1001,MATCH(ROWS($O$2:O736),$O$2:$O$1001,0),0), INDEX($V$1004:$AE$1004,1,MATCH(COLUMNS($V$1006:AA1006),$V$1006:$AE$1006,0)))),"Fix")))</f>
        <v>0</v>
      </c>
      <c r="H736" s="4">
        <f>IF(OR(INDEX($P$2:$P$1001,MATCH(ROWS($O$2:O736),$O$2:$O$1001,0),1)&gt;=100000,INDEX($V$1005:$AE$1005,1,MATCH(COLUMNS($V$1006:AB1006),$V$1006:$AE$1006,0))&gt;=100000), " ",IF(INDEX($V$2:$AE$1001,MATCH(ROWS($O$2:O736),$O$2:$O$1001,0),MATCH(COLUMNS($V$1006:AB1006),$V$1006:$AE$1006,0)), HYPERLINK("#",""), HYPERLINK(CONCATENATE("#Metadata!", ADDRESS(INDEX($Q$2:$Q$1001,MATCH(ROWS($O$2:O736),$O$2:$O$1001,0),0), INDEX($V$1004:$AE$1004,1,MATCH(COLUMNS($V$1006:AB1006),$V$1006:$AE$1006,0)))),"Fix")))</f>
        <v>0</v>
      </c>
      <c r="I736" s="4">
        <f>IF(OR(INDEX($P$2:$P$1001,MATCH(ROWS($O$2:O736),$O$2:$O$1001,0),1)&gt;=100000,INDEX($V$1005:$AE$1005,1,MATCH(COLUMNS($V$1006:AC1006),$V$1006:$AE$1006,0))&gt;=100000), " ",IF(INDEX($V$2:$AE$1001,MATCH(ROWS($O$2:O736),$O$2:$O$1001,0),MATCH(COLUMNS($V$1006:AC1006),$V$1006:$AE$1006,0)), HYPERLINK("#",""), HYPERLINK(CONCATENATE("#Metadata!", ADDRESS(INDEX($Q$2:$Q$1001,MATCH(ROWS($O$2:O736),$O$2:$O$1001,0),0), INDEX($V$1004:$AE$1004,1,MATCH(COLUMNS($V$1006:AC1006),$V$1006:$AE$1006,0)))),"Fix")))</f>
        <v>0</v>
      </c>
      <c r="J736" s="4">
        <f>IF(OR(INDEX($P$2:$P$1001,MATCH(ROWS($O$2:O736),$O$2:$O$1001,0),1)&gt;=100000,INDEX($V$1005:$AE$1005,1,MATCH(COLUMNS($V$1006:AD1006),$V$1006:$AE$1006,0))&gt;=100000), " ",IF(INDEX($V$2:$AE$1001,MATCH(ROWS($O$2:O736),$O$2:$O$1001,0),MATCH(COLUMNS($V$1006:AD1006),$V$1006:$AE$1006,0)), HYPERLINK("#",""), HYPERLINK(CONCATENATE("#Metadata!", ADDRESS(INDEX($Q$2:$Q$1001,MATCH(ROWS($O$2:O736),$O$2:$O$1001,0),0), INDEX($V$1004:$AE$1004,1,MATCH(COLUMNS($V$1006:AD1006),$V$1006:$AE$1006,0)))),"Fix")))</f>
        <v>0</v>
      </c>
      <c r="K736" s="4">
        <f>IF(OR(INDEX($P$2:$P$1001,MATCH(ROWS($O$2:O736),$O$2:$O$1001,0),1)&gt;=100000,INDEX($V$1005:$AE$1005,1,MATCH(COLUMNS($V$1006:AE1006),$V$1006:$AE$1006,0))&gt;=100000), " ",IF(INDEX($V$2:$AE$1001,MATCH(ROWS($O$2:O736),$O$2:$O$1001,0),MATCH(COLUMNS($V$1006:AE1006),$V$1006:$AE$1006,0)), HYPERLINK("#",""), HYPERLINK(CONCATENATE("#Metadata!", ADDRESS(INDEX($Q$2:$Q$1001,MATCH(ROWS($O$2:O736),$O$2:$O$1001,0),0), INDEX($V$1004:$AE$1004,1,MATCH(COLUMNS($V$1006:AE1006),$V$1006:$AE$1006,0)))),"Fix")))</f>
        <v>0</v>
      </c>
      <c r="O736">
        <v>0</v>
      </c>
      <c r="P736">
        <v>0</v>
      </c>
      <c r="Q736">
        <v>0</v>
      </c>
      <c r="R736">
        <f>IF(S736,TRUE,AND(V736:AE736))</f>
        <v>0</v>
      </c>
      <c r="S736">
        <f>COUNTBLANK(Metadata!B736:K736)=COLUMNS(Metadata!B736:K736)</f>
        <v>0</v>
      </c>
      <c r="T736">
        <v>0</v>
      </c>
      <c r="V736">
        <f>AND(IF(Metadata!B736="",FALSE,TRUE),COUNTIF(Metadata!B:B, Metadata!B736) = 1,NOT(ISERROR(SUMPRODUCT(SEARCH(MID(Metadata!B736,ROW(INDIRECT("1:"&amp;LEN(Metadata!B736))), 1),"0123456789abcdefghijklmnopqrstuvwxyzABCDEFGHIJKLMNOPQRSTUVWXYZ.")))))</f>
        <v>0</v>
      </c>
      <c r="W736">
        <f>AND(IF(Metadata!C736="",FALSE,TRUE),exact(Metadata!C736,"urban biome"))</f>
        <v>0</v>
      </c>
      <c r="X736">
        <f>AND(IF(Metadata!D736="",FALSE,TRUE),exact(Metadata!D736,"animal-associated habitat"))</f>
        <v>0</v>
      </c>
      <c r="Y736">
        <f>OR(AND(IF(Metadata!E736="",FALSE,TRUE),OR(exact(Metadata!E736,"not applicable"),exact(Metadata!E736,"missing: not collected"),exact(Metadata!E736,"missing: not provided"),exact(Metadata!E736,"missing: restricted access"))),AND(IF(Metadata!E736="",FALSE,ISNUMBER(VALUE(Metadata!E736))),Metadata!E736&gt;0))</f>
        <v>0</v>
      </c>
      <c r="Z736">
        <f>AND(IF(Metadata!F736="",FALSE,TRUE),exact(Metadata!F736,"weeks"))</f>
        <v>0</v>
      </c>
      <c r="AA736">
        <f>AND(IF(Metadata!G736="",FALSE,TRUE),exact(Metadata!G736,"mouse"))</f>
        <v>0</v>
      </c>
      <c r="AB736">
        <f>AND(IF(Metadata!H736="",FALSE,TRUE),exact(Metadata!H736,"Mus musculus"))</f>
        <v>0</v>
      </c>
      <c r="AC736">
        <f>AND(IF(Metadata!I736="",FALSE,TRUE),exact(Metadata!I736,"10090"))</f>
        <v>0</v>
      </c>
      <c r="AD736">
        <f>OR(AND(IF(Metadata!J736="",FALSE,TRUE),OR(exact(Metadata!J736,"not applicable"),exact(Metadata!J736,"missing: not collected"),exact(Metadata!J736,"missing: not provided"),exact(Metadata!J736,"missing: restricted access"))),AND(IF(Metadata!J736="",FALSE,ISNUMBER(VALUE(Metadata!J736))),Metadata!J736&gt;0))</f>
        <v>0</v>
      </c>
      <c r="AE736">
        <f>AND(IF(Metadata!K736="",FALSE,TRUE),exact(Metadata!K736,"g"))</f>
        <v>0</v>
      </c>
    </row>
    <row r="737" spans="1:31">
      <c r="A737" s="5">
        <f>IF(B737=" "," ",HYPERLINK(CONCATENATE("#metadata!",ADDRESS(INDEX($Q$2:$Q$1001,MATCH(ROWS($O$2:O737),$O$2:$O$1001,0),0),1)),INDEX($T$2:$T$1001,MATCH(ROWS($O$2:O737),$O$2:$O$1001,0),0)))</f>
        <v>0</v>
      </c>
      <c r="B737" s="4">
        <f>IF(OR(INDEX($P$2:$P$1001,MATCH(ROWS($O$2:O737),$O$2:$O$1001,0),1)&gt;=100000,INDEX($V$1005:$AE$1005,1,MATCH(COLUMNS($V$1006:V1006),$V$1006:$AE$1006,0))&gt;=100000), " ",IF(INDEX($V$2:$AE$1001,MATCH(ROWS($O$2:O737),$O$2:$O$1001,0),MATCH(COLUMNS($V$1006:V1006),$V$1006:$AE$1006,0)), HYPERLINK("#",""), HYPERLINK(CONCATENATE("#Metadata!", ADDRESS(INDEX($Q$2:$Q$1001,MATCH(ROWS($O$2:O737),$O$2:$O$1001,0),0), INDEX($V$1004:$AE$1004,1,MATCH(COLUMNS($V$1006:V1006),$V$1006:$AE$1006,0)))),"Fix")))</f>
        <v>0</v>
      </c>
      <c r="C737" s="4">
        <f>IF(OR(INDEX($P$2:$P$1001,MATCH(ROWS($O$2:O737),$O$2:$O$1001,0),1)&gt;=100000,INDEX($V$1005:$AE$1005,1,MATCH(COLUMNS($V$1006:W1006),$V$1006:$AE$1006,0))&gt;=100000), " ",IF(INDEX($V$2:$AE$1001,MATCH(ROWS($O$2:O737),$O$2:$O$1001,0),MATCH(COLUMNS($V$1006:W1006),$V$1006:$AE$1006,0)), HYPERLINK("#",""), HYPERLINK(CONCATENATE("#Metadata!", ADDRESS(INDEX($Q$2:$Q$1001,MATCH(ROWS($O$2:O737),$O$2:$O$1001,0),0), INDEX($V$1004:$AE$1004,1,MATCH(COLUMNS($V$1006:W1006),$V$1006:$AE$1006,0)))),"Fix")))</f>
        <v>0</v>
      </c>
      <c r="D737" s="4">
        <f>IF(OR(INDEX($P$2:$P$1001,MATCH(ROWS($O$2:O737),$O$2:$O$1001,0),1)&gt;=100000,INDEX($V$1005:$AE$1005,1,MATCH(COLUMNS($V$1006:X1006),$V$1006:$AE$1006,0))&gt;=100000), " ",IF(INDEX($V$2:$AE$1001,MATCH(ROWS($O$2:O737),$O$2:$O$1001,0),MATCH(COLUMNS($V$1006:X1006),$V$1006:$AE$1006,0)), HYPERLINK("#",""), HYPERLINK(CONCATENATE("#Metadata!", ADDRESS(INDEX($Q$2:$Q$1001,MATCH(ROWS($O$2:O737),$O$2:$O$1001,0),0), INDEX($V$1004:$AE$1004,1,MATCH(COLUMNS($V$1006:X1006),$V$1006:$AE$1006,0)))),"Fix")))</f>
        <v>0</v>
      </c>
      <c r="E737" s="4">
        <f>IF(OR(INDEX($P$2:$P$1001,MATCH(ROWS($O$2:O737),$O$2:$O$1001,0),1)&gt;=100000,INDEX($V$1005:$AE$1005,1,MATCH(COLUMNS($V$1006:Y1006),$V$1006:$AE$1006,0))&gt;=100000), " ",IF(INDEX($V$2:$AE$1001,MATCH(ROWS($O$2:O737),$O$2:$O$1001,0),MATCH(COLUMNS($V$1006:Y1006),$V$1006:$AE$1006,0)), HYPERLINK("#",""), HYPERLINK(CONCATENATE("#Metadata!", ADDRESS(INDEX($Q$2:$Q$1001,MATCH(ROWS($O$2:O737),$O$2:$O$1001,0),0), INDEX($V$1004:$AE$1004,1,MATCH(COLUMNS($V$1006:Y1006),$V$1006:$AE$1006,0)))),"Fix")))</f>
        <v>0</v>
      </c>
      <c r="F737" s="4">
        <f>IF(OR(INDEX($P$2:$P$1001,MATCH(ROWS($O$2:O737),$O$2:$O$1001,0),1)&gt;=100000,INDEX($V$1005:$AE$1005,1,MATCH(COLUMNS($V$1006:Z1006),$V$1006:$AE$1006,0))&gt;=100000), " ",IF(INDEX($V$2:$AE$1001,MATCH(ROWS($O$2:O737),$O$2:$O$1001,0),MATCH(COLUMNS($V$1006:Z1006),$V$1006:$AE$1006,0)), HYPERLINK("#",""), HYPERLINK(CONCATENATE("#Metadata!", ADDRESS(INDEX($Q$2:$Q$1001,MATCH(ROWS($O$2:O737),$O$2:$O$1001,0),0), INDEX($V$1004:$AE$1004,1,MATCH(COLUMNS($V$1006:Z1006),$V$1006:$AE$1006,0)))),"Fix")))</f>
        <v>0</v>
      </c>
      <c r="G737" s="4">
        <f>IF(OR(INDEX($P$2:$P$1001,MATCH(ROWS($O$2:O737),$O$2:$O$1001,0),1)&gt;=100000,INDEX($V$1005:$AE$1005,1,MATCH(COLUMNS($V$1006:AA1006),$V$1006:$AE$1006,0))&gt;=100000), " ",IF(INDEX($V$2:$AE$1001,MATCH(ROWS($O$2:O737),$O$2:$O$1001,0),MATCH(COLUMNS($V$1006:AA1006),$V$1006:$AE$1006,0)), HYPERLINK("#",""), HYPERLINK(CONCATENATE("#Metadata!", ADDRESS(INDEX($Q$2:$Q$1001,MATCH(ROWS($O$2:O737),$O$2:$O$1001,0),0), INDEX($V$1004:$AE$1004,1,MATCH(COLUMNS($V$1006:AA1006),$V$1006:$AE$1006,0)))),"Fix")))</f>
        <v>0</v>
      </c>
      <c r="H737" s="4">
        <f>IF(OR(INDEX($P$2:$P$1001,MATCH(ROWS($O$2:O737),$O$2:$O$1001,0),1)&gt;=100000,INDEX($V$1005:$AE$1005,1,MATCH(COLUMNS($V$1006:AB1006),$V$1006:$AE$1006,0))&gt;=100000), " ",IF(INDEX($V$2:$AE$1001,MATCH(ROWS($O$2:O737),$O$2:$O$1001,0),MATCH(COLUMNS($V$1006:AB1006),$V$1006:$AE$1006,0)), HYPERLINK("#",""), HYPERLINK(CONCATENATE("#Metadata!", ADDRESS(INDEX($Q$2:$Q$1001,MATCH(ROWS($O$2:O737),$O$2:$O$1001,0),0), INDEX($V$1004:$AE$1004,1,MATCH(COLUMNS($V$1006:AB1006),$V$1006:$AE$1006,0)))),"Fix")))</f>
        <v>0</v>
      </c>
      <c r="I737" s="4">
        <f>IF(OR(INDEX($P$2:$P$1001,MATCH(ROWS($O$2:O737),$O$2:$O$1001,0),1)&gt;=100000,INDEX($V$1005:$AE$1005,1,MATCH(COLUMNS($V$1006:AC1006),$V$1006:$AE$1006,0))&gt;=100000), " ",IF(INDEX($V$2:$AE$1001,MATCH(ROWS($O$2:O737),$O$2:$O$1001,0),MATCH(COLUMNS($V$1006:AC1006),$V$1006:$AE$1006,0)), HYPERLINK("#",""), HYPERLINK(CONCATENATE("#Metadata!", ADDRESS(INDEX($Q$2:$Q$1001,MATCH(ROWS($O$2:O737),$O$2:$O$1001,0),0), INDEX($V$1004:$AE$1004,1,MATCH(COLUMNS($V$1006:AC1006),$V$1006:$AE$1006,0)))),"Fix")))</f>
        <v>0</v>
      </c>
      <c r="J737" s="4">
        <f>IF(OR(INDEX($P$2:$P$1001,MATCH(ROWS($O$2:O737),$O$2:$O$1001,0),1)&gt;=100000,INDEX($V$1005:$AE$1005,1,MATCH(COLUMNS($V$1006:AD1006),$V$1006:$AE$1006,0))&gt;=100000), " ",IF(INDEX($V$2:$AE$1001,MATCH(ROWS($O$2:O737),$O$2:$O$1001,0),MATCH(COLUMNS($V$1006:AD1006),$V$1006:$AE$1006,0)), HYPERLINK("#",""), HYPERLINK(CONCATENATE("#Metadata!", ADDRESS(INDEX($Q$2:$Q$1001,MATCH(ROWS($O$2:O737),$O$2:$O$1001,0),0), INDEX($V$1004:$AE$1004,1,MATCH(COLUMNS($V$1006:AD1006),$V$1006:$AE$1006,0)))),"Fix")))</f>
        <v>0</v>
      </c>
      <c r="K737" s="4">
        <f>IF(OR(INDEX($P$2:$P$1001,MATCH(ROWS($O$2:O737),$O$2:$O$1001,0),1)&gt;=100000,INDEX($V$1005:$AE$1005,1,MATCH(COLUMNS($V$1006:AE1006),$V$1006:$AE$1006,0))&gt;=100000), " ",IF(INDEX($V$2:$AE$1001,MATCH(ROWS($O$2:O737),$O$2:$O$1001,0),MATCH(COLUMNS($V$1006:AE1006),$V$1006:$AE$1006,0)), HYPERLINK("#",""), HYPERLINK(CONCATENATE("#Metadata!", ADDRESS(INDEX($Q$2:$Q$1001,MATCH(ROWS($O$2:O737),$O$2:$O$1001,0),0), INDEX($V$1004:$AE$1004,1,MATCH(COLUMNS($V$1006:AE1006),$V$1006:$AE$1006,0)))),"Fix")))</f>
        <v>0</v>
      </c>
      <c r="O737">
        <v>0</v>
      </c>
      <c r="P737">
        <v>0</v>
      </c>
      <c r="Q737">
        <v>0</v>
      </c>
      <c r="R737">
        <f>IF(S737,TRUE,AND(V737:AE737))</f>
        <v>0</v>
      </c>
      <c r="S737">
        <f>COUNTBLANK(Metadata!B737:K737)=COLUMNS(Metadata!B737:K737)</f>
        <v>0</v>
      </c>
      <c r="T737">
        <v>0</v>
      </c>
      <c r="V737">
        <f>AND(IF(Metadata!B737="",FALSE,TRUE),COUNTIF(Metadata!B:B, Metadata!B737) = 1,NOT(ISERROR(SUMPRODUCT(SEARCH(MID(Metadata!B737,ROW(INDIRECT("1:"&amp;LEN(Metadata!B737))), 1),"0123456789abcdefghijklmnopqrstuvwxyzABCDEFGHIJKLMNOPQRSTUVWXYZ.")))))</f>
        <v>0</v>
      </c>
      <c r="W737">
        <f>AND(IF(Metadata!C737="",FALSE,TRUE),exact(Metadata!C737,"urban biome"))</f>
        <v>0</v>
      </c>
      <c r="X737">
        <f>AND(IF(Metadata!D737="",FALSE,TRUE),exact(Metadata!D737,"animal-associated habitat"))</f>
        <v>0</v>
      </c>
      <c r="Y737">
        <f>OR(AND(IF(Metadata!E737="",FALSE,TRUE),OR(exact(Metadata!E737,"not applicable"),exact(Metadata!E737,"missing: not collected"),exact(Metadata!E737,"missing: not provided"),exact(Metadata!E737,"missing: restricted access"))),AND(IF(Metadata!E737="",FALSE,ISNUMBER(VALUE(Metadata!E737))),Metadata!E737&gt;0))</f>
        <v>0</v>
      </c>
      <c r="Z737">
        <f>AND(IF(Metadata!F737="",FALSE,TRUE),exact(Metadata!F737,"weeks"))</f>
        <v>0</v>
      </c>
      <c r="AA737">
        <f>AND(IF(Metadata!G737="",FALSE,TRUE),exact(Metadata!G737,"mouse"))</f>
        <v>0</v>
      </c>
      <c r="AB737">
        <f>AND(IF(Metadata!H737="",FALSE,TRUE),exact(Metadata!H737,"Mus musculus"))</f>
        <v>0</v>
      </c>
      <c r="AC737">
        <f>AND(IF(Metadata!I737="",FALSE,TRUE),exact(Metadata!I737,"10090"))</f>
        <v>0</v>
      </c>
      <c r="AD737">
        <f>OR(AND(IF(Metadata!J737="",FALSE,TRUE),OR(exact(Metadata!J737,"not applicable"),exact(Metadata!J737,"missing: not collected"),exact(Metadata!J737,"missing: not provided"),exact(Metadata!J737,"missing: restricted access"))),AND(IF(Metadata!J737="",FALSE,ISNUMBER(VALUE(Metadata!J737))),Metadata!J737&gt;0))</f>
        <v>0</v>
      </c>
      <c r="AE737">
        <f>AND(IF(Metadata!K737="",FALSE,TRUE),exact(Metadata!K737,"g"))</f>
        <v>0</v>
      </c>
    </row>
    <row r="738" spans="1:31">
      <c r="A738" s="5">
        <f>IF(B738=" "," ",HYPERLINK(CONCATENATE("#metadata!",ADDRESS(INDEX($Q$2:$Q$1001,MATCH(ROWS($O$2:O738),$O$2:$O$1001,0),0),1)),INDEX($T$2:$T$1001,MATCH(ROWS($O$2:O738),$O$2:$O$1001,0),0)))</f>
        <v>0</v>
      </c>
      <c r="B738" s="4">
        <f>IF(OR(INDEX($P$2:$P$1001,MATCH(ROWS($O$2:O738),$O$2:$O$1001,0),1)&gt;=100000,INDEX($V$1005:$AE$1005,1,MATCH(COLUMNS($V$1006:V1006),$V$1006:$AE$1006,0))&gt;=100000), " ",IF(INDEX($V$2:$AE$1001,MATCH(ROWS($O$2:O738),$O$2:$O$1001,0),MATCH(COLUMNS($V$1006:V1006),$V$1006:$AE$1006,0)), HYPERLINK("#",""), HYPERLINK(CONCATENATE("#Metadata!", ADDRESS(INDEX($Q$2:$Q$1001,MATCH(ROWS($O$2:O738),$O$2:$O$1001,0),0), INDEX($V$1004:$AE$1004,1,MATCH(COLUMNS($V$1006:V1006),$V$1006:$AE$1006,0)))),"Fix")))</f>
        <v>0</v>
      </c>
      <c r="C738" s="4">
        <f>IF(OR(INDEX($P$2:$P$1001,MATCH(ROWS($O$2:O738),$O$2:$O$1001,0),1)&gt;=100000,INDEX($V$1005:$AE$1005,1,MATCH(COLUMNS($V$1006:W1006),$V$1006:$AE$1006,0))&gt;=100000), " ",IF(INDEX($V$2:$AE$1001,MATCH(ROWS($O$2:O738),$O$2:$O$1001,0),MATCH(COLUMNS($V$1006:W1006),$V$1006:$AE$1006,0)), HYPERLINK("#",""), HYPERLINK(CONCATENATE("#Metadata!", ADDRESS(INDEX($Q$2:$Q$1001,MATCH(ROWS($O$2:O738),$O$2:$O$1001,0),0), INDEX($V$1004:$AE$1004,1,MATCH(COLUMNS($V$1006:W1006),$V$1006:$AE$1006,0)))),"Fix")))</f>
        <v>0</v>
      </c>
      <c r="D738" s="4">
        <f>IF(OR(INDEX($P$2:$P$1001,MATCH(ROWS($O$2:O738),$O$2:$O$1001,0),1)&gt;=100000,INDEX($V$1005:$AE$1005,1,MATCH(COLUMNS($V$1006:X1006),$V$1006:$AE$1006,0))&gt;=100000), " ",IF(INDEX($V$2:$AE$1001,MATCH(ROWS($O$2:O738),$O$2:$O$1001,0),MATCH(COLUMNS($V$1006:X1006),$V$1006:$AE$1006,0)), HYPERLINK("#",""), HYPERLINK(CONCATENATE("#Metadata!", ADDRESS(INDEX($Q$2:$Q$1001,MATCH(ROWS($O$2:O738),$O$2:$O$1001,0),0), INDEX($V$1004:$AE$1004,1,MATCH(COLUMNS($V$1006:X1006),$V$1006:$AE$1006,0)))),"Fix")))</f>
        <v>0</v>
      </c>
      <c r="E738" s="4">
        <f>IF(OR(INDEX($P$2:$P$1001,MATCH(ROWS($O$2:O738),$O$2:$O$1001,0),1)&gt;=100000,INDEX($V$1005:$AE$1005,1,MATCH(COLUMNS($V$1006:Y1006),$V$1006:$AE$1006,0))&gt;=100000), " ",IF(INDEX($V$2:$AE$1001,MATCH(ROWS($O$2:O738),$O$2:$O$1001,0),MATCH(COLUMNS($V$1006:Y1006),$V$1006:$AE$1006,0)), HYPERLINK("#",""), HYPERLINK(CONCATENATE("#Metadata!", ADDRESS(INDEX($Q$2:$Q$1001,MATCH(ROWS($O$2:O738),$O$2:$O$1001,0),0), INDEX($V$1004:$AE$1004,1,MATCH(COLUMNS($V$1006:Y1006),$V$1006:$AE$1006,0)))),"Fix")))</f>
        <v>0</v>
      </c>
      <c r="F738" s="4">
        <f>IF(OR(INDEX($P$2:$P$1001,MATCH(ROWS($O$2:O738),$O$2:$O$1001,0),1)&gt;=100000,INDEX($V$1005:$AE$1005,1,MATCH(COLUMNS($V$1006:Z1006),$V$1006:$AE$1006,0))&gt;=100000), " ",IF(INDEX($V$2:$AE$1001,MATCH(ROWS($O$2:O738),$O$2:$O$1001,0),MATCH(COLUMNS($V$1006:Z1006),$V$1006:$AE$1006,0)), HYPERLINK("#",""), HYPERLINK(CONCATENATE("#Metadata!", ADDRESS(INDEX($Q$2:$Q$1001,MATCH(ROWS($O$2:O738),$O$2:$O$1001,0),0), INDEX($V$1004:$AE$1004,1,MATCH(COLUMNS($V$1006:Z1006),$V$1006:$AE$1006,0)))),"Fix")))</f>
        <v>0</v>
      </c>
      <c r="G738" s="4">
        <f>IF(OR(INDEX($P$2:$P$1001,MATCH(ROWS($O$2:O738),$O$2:$O$1001,0),1)&gt;=100000,INDEX($V$1005:$AE$1005,1,MATCH(COLUMNS($V$1006:AA1006),$V$1006:$AE$1006,0))&gt;=100000), " ",IF(INDEX($V$2:$AE$1001,MATCH(ROWS($O$2:O738),$O$2:$O$1001,0),MATCH(COLUMNS($V$1006:AA1006),$V$1006:$AE$1006,0)), HYPERLINK("#",""), HYPERLINK(CONCATENATE("#Metadata!", ADDRESS(INDEX($Q$2:$Q$1001,MATCH(ROWS($O$2:O738),$O$2:$O$1001,0),0), INDEX($V$1004:$AE$1004,1,MATCH(COLUMNS($V$1006:AA1006),$V$1006:$AE$1006,0)))),"Fix")))</f>
        <v>0</v>
      </c>
      <c r="H738" s="4">
        <f>IF(OR(INDEX($P$2:$P$1001,MATCH(ROWS($O$2:O738),$O$2:$O$1001,0),1)&gt;=100000,INDEX($V$1005:$AE$1005,1,MATCH(COLUMNS($V$1006:AB1006),$V$1006:$AE$1006,0))&gt;=100000), " ",IF(INDEX($V$2:$AE$1001,MATCH(ROWS($O$2:O738),$O$2:$O$1001,0),MATCH(COLUMNS($V$1006:AB1006),$V$1006:$AE$1006,0)), HYPERLINK("#",""), HYPERLINK(CONCATENATE("#Metadata!", ADDRESS(INDEX($Q$2:$Q$1001,MATCH(ROWS($O$2:O738),$O$2:$O$1001,0),0), INDEX($V$1004:$AE$1004,1,MATCH(COLUMNS($V$1006:AB1006),$V$1006:$AE$1006,0)))),"Fix")))</f>
        <v>0</v>
      </c>
      <c r="I738" s="4">
        <f>IF(OR(INDEX($P$2:$P$1001,MATCH(ROWS($O$2:O738),$O$2:$O$1001,0),1)&gt;=100000,INDEX($V$1005:$AE$1005,1,MATCH(COLUMNS($V$1006:AC1006),$V$1006:$AE$1006,0))&gt;=100000), " ",IF(INDEX($V$2:$AE$1001,MATCH(ROWS($O$2:O738),$O$2:$O$1001,0),MATCH(COLUMNS($V$1006:AC1006),$V$1006:$AE$1006,0)), HYPERLINK("#",""), HYPERLINK(CONCATENATE("#Metadata!", ADDRESS(INDEX($Q$2:$Q$1001,MATCH(ROWS($O$2:O738),$O$2:$O$1001,0),0), INDEX($V$1004:$AE$1004,1,MATCH(COLUMNS($V$1006:AC1006),$V$1006:$AE$1006,0)))),"Fix")))</f>
        <v>0</v>
      </c>
      <c r="J738" s="4">
        <f>IF(OR(INDEX($P$2:$P$1001,MATCH(ROWS($O$2:O738),$O$2:$O$1001,0),1)&gt;=100000,INDEX($V$1005:$AE$1005,1,MATCH(COLUMNS($V$1006:AD1006),$V$1006:$AE$1006,0))&gt;=100000), " ",IF(INDEX($V$2:$AE$1001,MATCH(ROWS($O$2:O738),$O$2:$O$1001,0),MATCH(COLUMNS($V$1006:AD1006),$V$1006:$AE$1006,0)), HYPERLINK("#",""), HYPERLINK(CONCATENATE("#Metadata!", ADDRESS(INDEX($Q$2:$Q$1001,MATCH(ROWS($O$2:O738),$O$2:$O$1001,0),0), INDEX($V$1004:$AE$1004,1,MATCH(COLUMNS($V$1006:AD1006),$V$1006:$AE$1006,0)))),"Fix")))</f>
        <v>0</v>
      </c>
      <c r="K738" s="4">
        <f>IF(OR(INDEX($P$2:$P$1001,MATCH(ROWS($O$2:O738),$O$2:$O$1001,0),1)&gt;=100000,INDEX($V$1005:$AE$1005,1,MATCH(COLUMNS($V$1006:AE1006),$V$1006:$AE$1006,0))&gt;=100000), " ",IF(INDEX($V$2:$AE$1001,MATCH(ROWS($O$2:O738),$O$2:$O$1001,0),MATCH(COLUMNS($V$1006:AE1006),$V$1006:$AE$1006,0)), HYPERLINK("#",""), HYPERLINK(CONCATENATE("#Metadata!", ADDRESS(INDEX($Q$2:$Q$1001,MATCH(ROWS($O$2:O738),$O$2:$O$1001,0),0), INDEX($V$1004:$AE$1004,1,MATCH(COLUMNS($V$1006:AE1006),$V$1006:$AE$1006,0)))),"Fix")))</f>
        <v>0</v>
      </c>
      <c r="O738">
        <v>0</v>
      </c>
      <c r="P738">
        <v>0</v>
      </c>
      <c r="Q738">
        <v>0</v>
      </c>
      <c r="R738">
        <f>IF(S738,TRUE,AND(V738:AE738))</f>
        <v>0</v>
      </c>
      <c r="S738">
        <f>COUNTBLANK(Metadata!B738:K738)=COLUMNS(Metadata!B738:K738)</f>
        <v>0</v>
      </c>
      <c r="T738">
        <v>0</v>
      </c>
      <c r="V738">
        <f>AND(IF(Metadata!B738="",FALSE,TRUE),COUNTIF(Metadata!B:B, Metadata!B738) = 1,NOT(ISERROR(SUMPRODUCT(SEARCH(MID(Metadata!B738,ROW(INDIRECT("1:"&amp;LEN(Metadata!B738))), 1),"0123456789abcdefghijklmnopqrstuvwxyzABCDEFGHIJKLMNOPQRSTUVWXYZ.")))))</f>
        <v>0</v>
      </c>
      <c r="W738">
        <f>AND(IF(Metadata!C738="",FALSE,TRUE),exact(Metadata!C738,"urban biome"))</f>
        <v>0</v>
      </c>
      <c r="X738">
        <f>AND(IF(Metadata!D738="",FALSE,TRUE),exact(Metadata!D738,"animal-associated habitat"))</f>
        <v>0</v>
      </c>
      <c r="Y738">
        <f>OR(AND(IF(Metadata!E738="",FALSE,TRUE),OR(exact(Metadata!E738,"not applicable"),exact(Metadata!E738,"missing: not collected"),exact(Metadata!E738,"missing: not provided"),exact(Metadata!E738,"missing: restricted access"))),AND(IF(Metadata!E738="",FALSE,ISNUMBER(VALUE(Metadata!E738))),Metadata!E738&gt;0))</f>
        <v>0</v>
      </c>
      <c r="Z738">
        <f>AND(IF(Metadata!F738="",FALSE,TRUE),exact(Metadata!F738,"weeks"))</f>
        <v>0</v>
      </c>
      <c r="AA738">
        <f>AND(IF(Metadata!G738="",FALSE,TRUE),exact(Metadata!G738,"mouse"))</f>
        <v>0</v>
      </c>
      <c r="AB738">
        <f>AND(IF(Metadata!H738="",FALSE,TRUE),exact(Metadata!H738,"Mus musculus"))</f>
        <v>0</v>
      </c>
      <c r="AC738">
        <f>AND(IF(Metadata!I738="",FALSE,TRUE),exact(Metadata!I738,"10090"))</f>
        <v>0</v>
      </c>
      <c r="AD738">
        <f>OR(AND(IF(Metadata!J738="",FALSE,TRUE),OR(exact(Metadata!J738,"not applicable"),exact(Metadata!J738,"missing: not collected"),exact(Metadata!J738,"missing: not provided"),exact(Metadata!J738,"missing: restricted access"))),AND(IF(Metadata!J738="",FALSE,ISNUMBER(VALUE(Metadata!J738))),Metadata!J738&gt;0))</f>
        <v>0</v>
      </c>
      <c r="AE738">
        <f>AND(IF(Metadata!K738="",FALSE,TRUE),exact(Metadata!K738,"g"))</f>
        <v>0</v>
      </c>
    </row>
    <row r="739" spans="1:31">
      <c r="A739" s="5">
        <f>IF(B739=" "," ",HYPERLINK(CONCATENATE("#metadata!",ADDRESS(INDEX($Q$2:$Q$1001,MATCH(ROWS($O$2:O739),$O$2:$O$1001,0),0),1)),INDEX($T$2:$T$1001,MATCH(ROWS($O$2:O739),$O$2:$O$1001,0),0)))</f>
        <v>0</v>
      </c>
      <c r="B739" s="4">
        <f>IF(OR(INDEX($P$2:$P$1001,MATCH(ROWS($O$2:O739),$O$2:$O$1001,0),1)&gt;=100000,INDEX($V$1005:$AE$1005,1,MATCH(COLUMNS($V$1006:V1006),$V$1006:$AE$1006,0))&gt;=100000), " ",IF(INDEX($V$2:$AE$1001,MATCH(ROWS($O$2:O739),$O$2:$O$1001,0),MATCH(COLUMNS($V$1006:V1006),$V$1006:$AE$1006,0)), HYPERLINK("#",""), HYPERLINK(CONCATENATE("#Metadata!", ADDRESS(INDEX($Q$2:$Q$1001,MATCH(ROWS($O$2:O739),$O$2:$O$1001,0),0), INDEX($V$1004:$AE$1004,1,MATCH(COLUMNS($V$1006:V1006),$V$1006:$AE$1006,0)))),"Fix")))</f>
        <v>0</v>
      </c>
      <c r="C739" s="4">
        <f>IF(OR(INDEX($P$2:$P$1001,MATCH(ROWS($O$2:O739),$O$2:$O$1001,0),1)&gt;=100000,INDEX($V$1005:$AE$1005,1,MATCH(COLUMNS($V$1006:W1006),$V$1006:$AE$1006,0))&gt;=100000), " ",IF(INDEX($V$2:$AE$1001,MATCH(ROWS($O$2:O739),$O$2:$O$1001,0),MATCH(COLUMNS($V$1006:W1006),$V$1006:$AE$1006,0)), HYPERLINK("#",""), HYPERLINK(CONCATENATE("#Metadata!", ADDRESS(INDEX($Q$2:$Q$1001,MATCH(ROWS($O$2:O739),$O$2:$O$1001,0),0), INDEX($V$1004:$AE$1004,1,MATCH(COLUMNS($V$1006:W1006),$V$1006:$AE$1006,0)))),"Fix")))</f>
        <v>0</v>
      </c>
      <c r="D739" s="4">
        <f>IF(OR(INDEX($P$2:$P$1001,MATCH(ROWS($O$2:O739),$O$2:$O$1001,0),1)&gt;=100000,INDEX($V$1005:$AE$1005,1,MATCH(COLUMNS($V$1006:X1006),$V$1006:$AE$1006,0))&gt;=100000), " ",IF(INDEX($V$2:$AE$1001,MATCH(ROWS($O$2:O739),$O$2:$O$1001,0),MATCH(COLUMNS($V$1006:X1006),$V$1006:$AE$1006,0)), HYPERLINK("#",""), HYPERLINK(CONCATENATE("#Metadata!", ADDRESS(INDEX($Q$2:$Q$1001,MATCH(ROWS($O$2:O739),$O$2:$O$1001,0),0), INDEX($V$1004:$AE$1004,1,MATCH(COLUMNS($V$1006:X1006),$V$1006:$AE$1006,0)))),"Fix")))</f>
        <v>0</v>
      </c>
      <c r="E739" s="4">
        <f>IF(OR(INDEX($P$2:$P$1001,MATCH(ROWS($O$2:O739),$O$2:$O$1001,0),1)&gt;=100000,INDEX($V$1005:$AE$1005,1,MATCH(COLUMNS($V$1006:Y1006),$V$1006:$AE$1006,0))&gt;=100000), " ",IF(INDEX($V$2:$AE$1001,MATCH(ROWS($O$2:O739),$O$2:$O$1001,0),MATCH(COLUMNS($V$1006:Y1006),$V$1006:$AE$1006,0)), HYPERLINK("#",""), HYPERLINK(CONCATENATE("#Metadata!", ADDRESS(INDEX($Q$2:$Q$1001,MATCH(ROWS($O$2:O739),$O$2:$O$1001,0),0), INDEX($V$1004:$AE$1004,1,MATCH(COLUMNS($V$1006:Y1006),$V$1006:$AE$1006,0)))),"Fix")))</f>
        <v>0</v>
      </c>
      <c r="F739" s="4">
        <f>IF(OR(INDEX($P$2:$P$1001,MATCH(ROWS($O$2:O739),$O$2:$O$1001,0),1)&gt;=100000,INDEX($V$1005:$AE$1005,1,MATCH(COLUMNS($V$1006:Z1006),$V$1006:$AE$1006,0))&gt;=100000), " ",IF(INDEX($V$2:$AE$1001,MATCH(ROWS($O$2:O739),$O$2:$O$1001,0),MATCH(COLUMNS($V$1006:Z1006),$V$1006:$AE$1006,0)), HYPERLINK("#",""), HYPERLINK(CONCATENATE("#Metadata!", ADDRESS(INDEX($Q$2:$Q$1001,MATCH(ROWS($O$2:O739),$O$2:$O$1001,0),0), INDEX($V$1004:$AE$1004,1,MATCH(COLUMNS($V$1006:Z1006),$V$1006:$AE$1006,0)))),"Fix")))</f>
        <v>0</v>
      </c>
      <c r="G739" s="4">
        <f>IF(OR(INDEX($P$2:$P$1001,MATCH(ROWS($O$2:O739),$O$2:$O$1001,0),1)&gt;=100000,INDEX($V$1005:$AE$1005,1,MATCH(COLUMNS($V$1006:AA1006),$V$1006:$AE$1006,0))&gt;=100000), " ",IF(INDEX($V$2:$AE$1001,MATCH(ROWS($O$2:O739),$O$2:$O$1001,0),MATCH(COLUMNS($V$1006:AA1006),$V$1006:$AE$1006,0)), HYPERLINK("#",""), HYPERLINK(CONCATENATE("#Metadata!", ADDRESS(INDEX($Q$2:$Q$1001,MATCH(ROWS($O$2:O739),$O$2:$O$1001,0),0), INDEX($V$1004:$AE$1004,1,MATCH(COLUMNS($V$1006:AA1006),$V$1006:$AE$1006,0)))),"Fix")))</f>
        <v>0</v>
      </c>
      <c r="H739" s="4">
        <f>IF(OR(INDEX($P$2:$P$1001,MATCH(ROWS($O$2:O739),$O$2:$O$1001,0),1)&gt;=100000,INDEX($V$1005:$AE$1005,1,MATCH(COLUMNS($V$1006:AB1006),$V$1006:$AE$1006,0))&gt;=100000), " ",IF(INDEX($V$2:$AE$1001,MATCH(ROWS($O$2:O739),$O$2:$O$1001,0),MATCH(COLUMNS($V$1006:AB1006),$V$1006:$AE$1006,0)), HYPERLINK("#",""), HYPERLINK(CONCATENATE("#Metadata!", ADDRESS(INDEX($Q$2:$Q$1001,MATCH(ROWS($O$2:O739),$O$2:$O$1001,0),0), INDEX($V$1004:$AE$1004,1,MATCH(COLUMNS($V$1006:AB1006),$V$1006:$AE$1006,0)))),"Fix")))</f>
        <v>0</v>
      </c>
      <c r="I739" s="4">
        <f>IF(OR(INDEX($P$2:$P$1001,MATCH(ROWS($O$2:O739),$O$2:$O$1001,0),1)&gt;=100000,INDEX($V$1005:$AE$1005,1,MATCH(COLUMNS($V$1006:AC1006),$V$1006:$AE$1006,0))&gt;=100000), " ",IF(INDEX($V$2:$AE$1001,MATCH(ROWS($O$2:O739),$O$2:$O$1001,0),MATCH(COLUMNS($V$1006:AC1006),$V$1006:$AE$1006,0)), HYPERLINK("#",""), HYPERLINK(CONCATENATE("#Metadata!", ADDRESS(INDEX($Q$2:$Q$1001,MATCH(ROWS($O$2:O739),$O$2:$O$1001,0),0), INDEX($V$1004:$AE$1004,1,MATCH(COLUMNS($V$1006:AC1006),$V$1006:$AE$1006,0)))),"Fix")))</f>
        <v>0</v>
      </c>
      <c r="J739" s="4">
        <f>IF(OR(INDEX($P$2:$P$1001,MATCH(ROWS($O$2:O739),$O$2:$O$1001,0),1)&gt;=100000,INDEX($V$1005:$AE$1005,1,MATCH(COLUMNS($V$1006:AD1006),$V$1006:$AE$1006,0))&gt;=100000), " ",IF(INDEX($V$2:$AE$1001,MATCH(ROWS($O$2:O739),$O$2:$O$1001,0),MATCH(COLUMNS($V$1006:AD1006),$V$1006:$AE$1006,0)), HYPERLINK("#",""), HYPERLINK(CONCATENATE("#Metadata!", ADDRESS(INDEX($Q$2:$Q$1001,MATCH(ROWS($O$2:O739),$O$2:$O$1001,0),0), INDEX($V$1004:$AE$1004,1,MATCH(COLUMNS($V$1006:AD1006),$V$1006:$AE$1006,0)))),"Fix")))</f>
        <v>0</v>
      </c>
      <c r="K739" s="4">
        <f>IF(OR(INDEX($P$2:$P$1001,MATCH(ROWS($O$2:O739),$O$2:$O$1001,0),1)&gt;=100000,INDEX($V$1005:$AE$1005,1,MATCH(COLUMNS($V$1006:AE1006),$V$1006:$AE$1006,0))&gt;=100000), " ",IF(INDEX($V$2:$AE$1001,MATCH(ROWS($O$2:O739),$O$2:$O$1001,0),MATCH(COLUMNS($V$1006:AE1006),$V$1006:$AE$1006,0)), HYPERLINK("#",""), HYPERLINK(CONCATENATE("#Metadata!", ADDRESS(INDEX($Q$2:$Q$1001,MATCH(ROWS($O$2:O739),$O$2:$O$1001,0),0), INDEX($V$1004:$AE$1004,1,MATCH(COLUMNS($V$1006:AE1006),$V$1006:$AE$1006,0)))),"Fix")))</f>
        <v>0</v>
      </c>
      <c r="O739">
        <v>0</v>
      </c>
      <c r="P739">
        <v>0</v>
      </c>
      <c r="Q739">
        <v>0</v>
      </c>
      <c r="R739">
        <f>IF(S739,TRUE,AND(V739:AE739))</f>
        <v>0</v>
      </c>
      <c r="S739">
        <f>COUNTBLANK(Metadata!B739:K739)=COLUMNS(Metadata!B739:K739)</f>
        <v>0</v>
      </c>
      <c r="T739">
        <v>0</v>
      </c>
      <c r="V739">
        <f>AND(IF(Metadata!B739="",FALSE,TRUE),COUNTIF(Metadata!B:B, Metadata!B739) = 1,NOT(ISERROR(SUMPRODUCT(SEARCH(MID(Metadata!B739,ROW(INDIRECT("1:"&amp;LEN(Metadata!B739))), 1),"0123456789abcdefghijklmnopqrstuvwxyzABCDEFGHIJKLMNOPQRSTUVWXYZ.")))))</f>
        <v>0</v>
      </c>
      <c r="W739">
        <f>AND(IF(Metadata!C739="",FALSE,TRUE),exact(Metadata!C739,"urban biome"))</f>
        <v>0</v>
      </c>
      <c r="X739">
        <f>AND(IF(Metadata!D739="",FALSE,TRUE),exact(Metadata!D739,"animal-associated habitat"))</f>
        <v>0</v>
      </c>
      <c r="Y739">
        <f>OR(AND(IF(Metadata!E739="",FALSE,TRUE),OR(exact(Metadata!E739,"not applicable"),exact(Metadata!E739,"missing: not collected"),exact(Metadata!E739,"missing: not provided"),exact(Metadata!E739,"missing: restricted access"))),AND(IF(Metadata!E739="",FALSE,ISNUMBER(VALUE(Metadata!E739))),Metadata!E739&gt;0))</f>
        <v>0</v>
      </c>
      <c r="Z739">
        <f>AND(IF(Metadata!F739="",FALSE,TRUE),exact(Metadata!F739,"weeks"))</f>
        <v>0</v>
      </c>
      <c r="AA739">
        <f>AND(IF(Metadata!G739="",FALSE,TRUE),exact(Metadata!G739,"mouse"))</f>
        <v>0</v>
      </c>
      <c r="AB739">
        <f>AND(IF(Metadata!H739="",FALSE,TRUE),exact(Metadata!H739,"Mus musculus"))</f>
        <v>0</v>
      </c>
      <c r="AC739">
        <f>AND(IF(Metadata!I739="",FALSE,TRUE),exact(Metadata!I739,"10090"))</f>
        <v>0</v>
      </c>
      <c r="AD739">
        <f>OR(AND(IF(Metadata!J739="",FALSE,TRUE),OR(exact(Metadata!J739,"not applicable"),exact(Metadata!J739,"missing: not collected"),exact(Metadata!J739,"missing: not provided"),exact(Metadata!J739,"missing: restricted access"))),AND(IF(Metadata!J739="",FALSE,ISNUMBER(VALUE(Metadata!J739))),Metadata!J739&gt;0))</f>
        <v>0</v>
      </c>
      <c r="AE739">
        <f>AND(IF(Metadata!K739="",FALSE,TRUE),exact(Metadata!K739,"g"))</f>
        <v>0</v>
      </c>
    </row>
    <row r="740" spans="1:31">
      <c r="A740" s="5">
        <f>IF(B740=" "," ",HYPERLINK(CONCATENATE("#metadata!",ADDRESS(INDEX($Q$2:$Q$1001,MATCH(ROWS($O$2:O740),$O$2:$O$1001,0),0),1)),INDEX($T$2:$T$1001,MATCH(ROWS($O$2:O740),$O$2:$O$1001,0),0)))</f>
        <v>0</v>
      </c>
      <c r="B740" s="4">
        <f>IF(OR(INDEX($P$2:$P$1001,MATCH(ROWS($O$2:O740),$O$2:$O$1001,0),1)&gt;=100000,INDEX($V$1005:$AE$1005,1,MATCH(COLUMNS($V$1006:V1006),$V$1006:$AE$1006,0))&gt;=100000), " ",IF(INDEX($V$2:$AE$1001,MATCH(ROWS($O$2:O740),$O$2:$O$1001,0),MATCH(COLUMNS($V$1006:V1006),$V$1006:$AE$1006,0)), HYPERLINK("#",""), HYPERLINK(CONCATENATE("#Metadata!", ADDRESS(INDEX($Q$2:$Q$1001,MATCH(ROWS($O$2:O740),$O$2:$O$1001,0),0), INDEX($V$1004:$AE$1004,1,MATCH(COLUMNS($V$1006:V1006),$V$1006:$AE$1006,0)))),"Fix")))</f>
        <v>0</v>
      </c>
      <c r="C740" s="4">
        <f>IF(OR(INDEX($P$2:$P$1001,MATCH(ROWS($O$2:O740),$O$2:$O$1001,0),1)&gt;=100000,INDEX($V$1005:$AE$1005,1,MATCH(COLUMNS($V$1006:W1006),$V$1006:$AE$1006,0))&gt;=100000), " ",IF(INDEX($V$2:$AE$1001,MATCH(ROWS($O$2:O740),$O$2:$O$1001,0),MATCH(COLUMNS($V$1006:W1006),$V$1006:$AE$1006,0)), HYPERLINK("#",""), HYPERLINK(CONCATENATE("#Metadata!", ADDRESS(INDEX($Q$2:$Q$1001,MATCH(ROWS($O$2:O740),$O$2:$O$1001,0),0), INDEX($V$1004:$AE$1004,1,MATCH(COLUMNS($V$1006:W1006),$V$1006:$AE$1006,0)))),"Fix")))</f>
        <v>0</v>
      </c>
      <c r="D740" s="4">
        <f>IF(OR(INDEX($P$2:$P$1001,MATCH(ROWS($O$2:O740),$O$2:$O$1001,0),1)&gt;=100000,INDEX($V$1005:$AE$1005,1,MATCH(COLUMNS($V$1006:X1006),$V$1006:$AE$1006,0))&gt;=100000), " ",IF(INDEX($V$2:$AE$1001,MATCH(ROWS($O$2:O740),$O$2:$O$1001,0),MATCH(COLUMNS($V$1006:X1006),$V$1006:$AE$1006,0)), HYPERLINK("#",""), HYPERLINK(CONCATENATE("#Metadata!", ADDRESS(INDEX($Q$2:$Q$1001,MATCH(ROWS($O$2:O740),$O$2:$O$1001,0),0), INDEX($V$1004:$AE$1004,1,MATCH(COLUMNS($V$1006:X1006),$V$1006:$AE$1006,0)))),"Fix")))</f>
        <v>0</v>
      </c>
      <c r="E740" s="4">
        <f>IF(OR(INDEX($P$2:$P$1001,MATCH(ROWS($O$2:O740),$O$2:$O$1001,0),1)&gt;=100000,INDEX($V$1005:$AE$1005,1,MATCH(COLUMNS($V$1006:Y1006),$V$1006:$AE$1006,0))&gt;=100000), " ",IF(INDEX($V$2:$AE$1001,MATCH(ROWS($O$2:O740),$O$2:$O$1001,0),MATCH(COLUMNS($V$1006:Y1006),$V$1006:$AE$1006,0)), HYPERLINK("#",""), HYPERLINK(CONCATENATE("#Metadata!", ADDRESS(INDEX($Q$2:$Q$1001,MATCH(ROWS($O$2:O740),$O$2:$O$1001,0),0), INDEX($V$1004:$AE$1004,1,MATCH(COLUMNS($V$1006:Y1006),$V$1006:$AE$1006,0)))),"Fix")))</f>
        <v>0</v>
      </c>
      <c r="F740" s="4">
        <f>IF(OR(INDEX($P$2:$P$1001,MATCH(ROWS($O$2:O740),$O$2:$O$1001,0),1)&gt;=100000,INDEX($V$1005:$AE$1005,1,MATCH(COLUMNS($V$1006:Z1006),$V$1006:$AE$1006,0))&gt;=100000), " ",IF(INDEX($V$2:$AE$1001,MATCH(ROWS($O$2:O740),$O$2:$O$1001,0),MATCH(COLUMNS($V$1006:Z1006),$V$1006:$AE$1006,0)), HYPERLINK("#",""), HYPERLINK(CONCATENATE("#Metadata!", ADDRESS(INDEX($Q$2:$Q$1001,MATCH(ROWS($O$2:O740),$O$2:$O$1001,0),0), INDEX($V$1004:$AE$1004,1,MATCH(COLUMNS($V$1006:Z1006),$V$1006:$AE$1006,0)))),"Fix")))</f>
        <v>0</v>
      </c>
      <c r="G740" s="4">
        <f>IF(OR(INDEX($P$2:$P$1001,MATCH(ROWS($O$2:O740),$O$2:$O$1001,0),1)&gt;=100000,INDEX($V$1005:$AE$1005,1,MATCH(COLUMNS($V$1006:AA1006),$V$1006:$AE$1006,0))&gt;=100000), " ",IF(INDEX($V$2:$AE$1001,MATCH(ROWS($O$2:O740),$O$2:$O$1001,0),MATCH(COLUMNS($V$1006:AA1006),$V$1006:$AE$1006,0)), HYPERLINK("#",""), HYPERLINK(CONCATENATE("#Metadata!", ADDRESS(INDEX($Q$2:$Q$1001,MATCH(ROWS($O$2:O740),$O$2:$O$1001,0),0), INDEX($V$1004:$AE$1004,1,MATCH(COLUMNS($V$1006:AA1006),$V$1006:$AE$1006,0)))),"Fix")))</f>
        <v>0</v>
      </c>
      <c r="H740" s="4">
        <f>IF(OR(INDEX($P$2:$P$1001,MATCH(ROWS($O$2:O740),$O$2:$O$1001,0),1)&gt;=100000,INDEX($V$1005:$AE$1005,1,MATCH(COLUMNS($V$1006:AB1006),$V$1006:$AE$1006,0))&gt;=100000), " ",IF(INDEX($V$2:$AE$1001,MATCH(ROWS($O$2:O740),$O$2:$O$1001,0),MATCH(COLUMNS($V$1006:AB1006),$V$1006:$AE$1006,0)), HYPERLINK("#",""), HYPERLINK(CONCATENATE("#Metadata!", ADDRESS(INDEX($Q$2:$Q$1001,MATCH(ROWS($O$2:O740),$O$2:$O$1001,0),0), INDEX($V$1004:$AE$1004,1,MATCH(COLUMNS($V$1006:AB1006),$V$1006:$AE$1006,0)))),"Fix")))</f>
        <v>0</v>
      </c>
      <c r="I740" s="4">
        <f>IF(OR(INDEX($P$2:$P$1001,MATCH(ROWS($O$2:O740),$O$2:$O$1001,0),1)&gt;=100000,INDEX($V$1005:$AE$1005,1,MATCH(COLUMNS($V$1006:AC1006),$V$1006:$AE$1006,0))&gt;=100000), " ",IF(INDEX($V$2:$AE$1001,MATCH(ROWS($O$2:O740),$O$2:$O$1001,0),MATCH(COLUMNS($V$1006:AC1006),$V$1006:$AE$1006,0)), HYPERLINK("#",""), HYPERLINK(CONCATENATE("#Metadata!", ADDRESS(INDEX($Q$2:$Q$1001,MATCH(ROWS($O$2:O740),$O$2:$O$1001,0),0), INDEX($V$1004:$AE$1004,1,MATCH(COLUMNS($V$1006:AC1006),$V$1006:$AE$1006,0)))),"Fix")))</f>
        <v>0</v>
      </c>
      <c r="J740" s="4">
        <f>IF(OR(INDEX($P$2:$P$1001,MATCH(ROWS($O$2:O740),$O$2:$O$1001,0),1)&gt;=100000,INDEX($V$1005:$AE$1005,1,MATCH(COLUMNS($V$1006:AD1006),$V$1006:$AE$1006,0))&gt;=100000), " ",IF(INDEX($V$2:$AE$1001,MATCH(ROWS($O$2:O740),$O$2:$O$1001,0),MATCH(COLUMNS($V$1006:AD1006),$V$1006:$AE$1006,0)), HYPERLINK("#",""), HYPERLINK(CONCATENATE("#Metadata!", ADDRESS(INDEX($Q$2:$Q$1001,MATCH(ROWS($O$2:O740),$O$2:$O$1001,0),0), INDEX($V$1004:$AE$1004,1,MATCH(COLUMNS($V$1006:AD1006),$V$1006:$AE$1006,0)))),"Fix")))</f>
        <v>0</v>
      </c>
      <c r="K740" s="4">
        <f>IF(OR(INDEX($P$2:$P$1001,MATCH(ROWS($O$2:O740),$O$2:$O$1001,0),1)&gt;=100000,INDEX($V$1005:$AE$1005,1,MATCH(COLUMNS($V$1006:AE1006),$V$1006:$AE$1006,0))&gt;=100000), " ",IF(INDEX($V$2:$AE$1001,MATCH(ROWS($O$2:O740),$O$2:$O$1001,0),MATCH(COLUMNS($V$1006:AE1006),$V$1006:$AE$1006,0)), HYPERLINK("#",""), HYPERLINK(CONCATENATE("#Metadata!", ADDRESS(INDEX($Q$2:$Q$1001,MATCH(ROWS($O$2:O740),$O$2:$O$1001,0),0), INDEX($V$1004:$AE$1004,1,MATCH(COLUMNS($V$1006:AE1006),$V$1006:$AE$1006,0)))),"Fix")))</f>
        <v>0</v>
      </c>
      <c r="O740">
        <v>0</v>
      </c>
      <c r="P740">
        <v>0</v>
      </c>
      <c r="Q740">
        <v>0</v>
      </c>
      <c r="R740">
        <f>IF(S740,TRUE,AND(V740:AE740))</f>
        <v>0</v>
      </c>
      <c r="S740">
        <f>COUNTBLANK(Metadata!B740:K740)=COLUMNS(Metadata!B740:K740)</f>
        <v>0</v>
      </c>
      <c r="T740">
        <v>0</v>
      </c>
      <c r="V740">
        <f>AND(IF(Metadata!B740="",FALSE,TRUE),COUNTIF(Metadata!B:B, Metadata!B740) = 1,NOT(ISERROR(SUMPRODUCT(SEARCH(MID(Metadata!B740,ROW(INDIRECT("1:"&amp;LEN(Metadata!B740))), 1),"0123456789abcdefghijklmnopqrstuvwxyzABCDEFGHIJKLMNOPQRSTUVWXYZ.")))))</f>
        <v>0</v>
      </c>
      <c r="W740">
        <f>AND(IF(Metadata!C740="",FALSE,TRUE),exact(Metadata!C740,"urban biome"))</f>
        <v>0</v>
      </c>
      <c r="X740">
        <f>AND(IF(Metadata!D740="",FALSE,TRUE),exact(Metadata!D740,"animal-associated habitat"))</f>
        <v>0</v>
      </c>
      <c r="Y740">
        <f>OR(AND(IF(Metadata!E740="",FALSE,TRUE),OR(exact(Metadata!E740,"not applicable"),exact(Metadata!E740,"missing: not collected"),exact(Metadata!E740,"missing: not provided"),exact(Metadata!E740,"missing: restricted access"))),AND(IF(Metadata!E740="",FALSE,ISNUMBER(VALUE(Metadata!E740))),Metadata!E740&gt;0))</f>
        <v>0</v>
      </c>
      <c r="Z740">
        <f>AND(IF(Metadata!F740="",FALSE,TRUE),exact(Metadata!F740,"weeks"))</f>
        <v>0</v>
      </c>
      <c r="AA740">
        <f>AND(IF(Metadata!G740="",FALSE,TRUE),exact(Metadata!G740,"mouse"))</f>
        <v>0</v>
      </c>
      <c r="AB740">
        <f>AND(IF(Metadata!H740="",FALSE,TRUE),exact(Metadata!H740,"Mus musculus"))</f>
        <v>0</v>
      </c>
      <c r="AC740">
        <f>AND(IF(Metadata!I740="",FALSE,TRUE),exact(Metadata!I740,"10090"))</f>
        <v>0</v>
      </c>
      <c r="AD740">
        <f>OR(AND(IF(Metadata!J740="",FALSE,TRUE),OR(exact(Metadata!J740,"not applicable"),exact(Metadata!J740,"missing: not collected"),exact(Metadata!J740,"missing: not provided"),exact(Metadata!J740,"missing: restricted access"))),AND(IF(Metadata!J740="",FALSE,ISNUMBER(VALUE(Metadata!J740))),Metadata!J740&gt;0))</f>
        <v>0</v>
      </c>
      <c r="AE740">
        <f>AND(IF(Metadata!K740="",FALSE,TRUE),exact(Metadata!K740,"g"))</f>
        <v>0</v>
      </c>
    </row>
    <row r="741" spans="1:31">
      <c r="A741" s="5">
        <f>IF(B741=" "," ",HYPERLINK(CONCATENATE("#metadata!",ADDRESS(INDEX($Q$2:$Q$1001,MATCH(ROWS($O$2:O741),$O$2:$O$1001,0),0),1)),INDEX($T$2:$T$1001,MATCH(ROWS($O$2:O741),$O$2:$O$1001,0),0)))</f>
        <v>0</v>
      </c>
      <c r="B741" s="4">
        <f>IF(OR(INDEX($P$2:$P$1001,MATCH(ROWS($O$2:O741),$O$2:$O$1001,0),1)&gt;=100000,INDEX($V$1005:$AE$1005,1,MATCH(COLUMNS($V$1006:V1006),$V$1006:$AE$1006,0))&gt;=100000), " ",IF(INDEX($V$2:$AE$1001,MATCH(ROWS($O$2:O741),$O$2:$O$1001,0),MATCH(COLUMNS($V$1006:V1006),$V$1006:$AE$1006,0)), HYPERLINK("#",""), HYPERLINK(CONCATENATE("#Metadata!", ADDRESS(INDEX($Q$2:$Q$1001,MATCH(ROWS($O$2:O741),$O$2:$O$1001,0),0), INDEX($V$1004:$AE$1004,1,MATCH(COLUMNS($V$1006:V1006),$V$1006:$AE$1006,0)))),"Fix")))</f>
        <v>0</v>
      </c>
      <c r="C741" s="4">
        <f>IF(OR(INDEX($P$2:$P$1001,MATCH(ROWS($O$2:O741),$O$2:$O$1001,0),1)&gt;=100000,INDEX($V$1005:$AE$1005,1,MATCH(COLUMNS($V$1006:W1006),$V$1006:$AE$1006,0))&gt;=100000), " ",IF(INDEX($V$2:$AE$1001,MATCH(ROWS($O$2:O741),$O$2:$O$1001,0),MATCH(COLUMNS($V$1006:W1006),$V$1006:$AE$1006,0)), HYPERLINK("#",""), HYPERLINK(CONCATENATE("#Metadata!", ADDRESS(INDEX($Q$2:$Q$1001,MATCH(ROWS($O$2:O741),$O$2:$O$1001,0),0), INDEX($V$1004:$AE$1004,1,MATCH(COLUMNS($V$1006:W1006),$V$1006:$AE$1006,0)))),"Fix")))</f>
        <v>0</v>
      </c>
      <c r="D741" s="4">
        <f>IF(OR(INDEX($P$2:$P$1001,MATCH(ROWS($O$2:O741),$O$2:$O$1001,0),1)&gt;=100000,INDEX($V$1005:$AE$1005,1,MATCH(COLUMNS($V$1006:X1006),$V$1006:$AE$1006,0))&gt;=100000), " ",IF(INDEX($V$2:$AE$1001,MATCH(ROWS($O$2:O741),$O$2:$O$1001,0),MATCH(COLUMNS($V$1006:X1006),$V$1006:$AE$1006,0)), HYPERLINK("#",""), HYPERLINK(CONCATENATE("#Metadata!", ADDRESS(INDEX($Q$2:$Q$1001,MATCH(ROWS($O$2:O741),$O$2:$O$1001,0),0), INDEX($V$1004:$AE$1004,1,MATCH(COLUMNS($V$1006:X1006),$V$1006:$AE$1006,0)))),"Fix")))</f>
        <v>0</v>
      </c>
      <c r="E741" s="4">
        <f>IF(OR(INDEX($P$2:$P$1001,MATCH(ROWS($O$2:O741),$O$2:$O$1001,0),1)&gt;=100000,INDEX($V$1005:$AE$1005,1,MATCH(COLUMNS($V$1006:Y1006),$V$1006:$AE$1006,0))&gt;=100000), " ",IF(INDEX($V$2:$AE$1001,MATCH(ROWS($O$2:O741),$O$2:$O$1001,0),MATCH(COLUMNS($V$1006:Y1006),$V$1006:$AE$1006,0)), HYPERLINK("#",""), HYPERLINK(CONCATENATE("#Metadata!", ADDRESS(INDEX($Q$2:$Q$1001,MATCH(ROWS($O$2:O741),$O$2:$O$1001,0),0), INDEX($V$1004:$AE$1004,1,MATCH(COLUMNS($V$1006:Y1006),$V$1006:$AE$1006,0)))),"Fix")))</f>
        <v>0</v>
      </c>
      <c r="F741" s="4">
        <f>IF(OR(INDEX($P$2:$P$1001,MATCH(ROWS($O$2:O741),$O$2:$O$1001,0),1)&gt;=100000,INDEX($V$1005:$AE$1005,1,MATCH(COLUMNS($V$1006:Z1006),$V$1006:$AE$1006,0))&gt;=100000), " ",IF(INDEX($V$2:$AE$1001,MATCH(ROWS($O$2:O741),$O$2:$O$1001,0),MATCH(COLUMNS($V$1006:Z1006),$V$1006:$AE$1006,0)), HYPERLINK("#",""), HYPERLINK(CONCATENATE("#Metadata!", ADDRESS(INDEX($Q$2:$Q$1001,MATCH(ROWS($O$2:O741),$O$2:$O$1001,0),0), INDEX($V$1004:$AE$1004,1,MATCH(COLUMNS($V$1006:Z1006),$V$1006:$AE$1006,0)))),"Fix")))</f>
        <v>0</v>
      </c>
      <c r="G741" s="4">
        <f>IF(OR(INDEX($P$2:$P$1001,MATCH(ROWS($O$2:O741),$O$2:$O$1001,0),1)&gt;=100000,INDEX($V$1005:$AE$1005,1,MATCH(COLUMNS($V$1006:AA1006),$V$1006:$AE$1006,0))&gt;=100000), " ",IF(INDEX($V$2:$AE$1001,MATCH(ROWS($O$2:O741),$O$2:$O$1001,0),MATCH(COLUMNS($V$1006:AA1006),$V$1006:$AE$1006,0)), HYPERLINK("#",""), HYPERLINK(CONCATENATE("#Metadata!", ADDRESS(INDEX($Q$2:$Q$1001,MATCH(ROWS($O$2:O741),$O$2:$O$1001,0),0), INDEX($V$1004:$AE$1004,1,MATCH(COLUMNS($V$1006:AA1006),$V$1006:$AE$1006,0)))),"Fix")))</f>
        <v>0</v>
      </c>
      <c r="H741" s="4">
        <f>IF(OR(INDEX($P$2:$P$1001,MATCH(ROWS($O$2:O741),$O$2:$O$1001,0),1)&gt;=100000,INDEX($V$1005:$AE$1005,1,MATCH(COLUMNS($V$1006:AB1006),$V$1006:$AE$1006,0))&gt;=100000), " ",IF(INDEX($V$2:$AE$1001,MATCH(ROWS($O$2:O741),$O$2:$O$1001,0),MATCH(COLUMNS($V$1006:AB1006),$V$1006:$AE$1006,0)), HYPERLINK("#",""), HYPERLINK(CONCATENATE("#Metadata!", ADDRESS(INDEX($Q$2:$Q$1001,MATCH(ROWS($O$2:O741),$O$2:$O$1001,0),0), INDEX($V$1004:$AE$1004,1,MATCH(COLUMNS($V$1006:AB1006),$V$1006:$AE$1006,0)))),"Fix")))</f>
        <v>0</v>
      </c>
      <c r="I741" s="4">
        <f>IF(OR(INDEX($P$2:$P$1001,MATCH(ROWS($O$2:O741),$O$2:$O$1001,0),1)&gt;=100000,INDEX($V$1005:$AE$1005,1,MATCH(COLUMNS($V$1006:AC1006),$V$1006:$AE$1006,0))&gt;=100000), " ",IF(INDEX($V$2:$AE$1001,MATCH(ROWS($O$2:O741),$O$2:$O$1001,0),MATCH(COLUMNS($V$1006:AC1006),$V$1006:$AE$1006,0)), HYPERLINK("#",""), HYPERLINK(CONCATENATE("#Metadata!", ADDRESS(INDEX($Q$2:$Q$1001,MATCH(ROWS($O$2:O741),$O$2:$O$1001,0),0), INDEX($V$1004:$AE$1004,1,MATCH(COLUMNS($V$1006:AC1006),$V$1006:$AE$1006,0)))),"Fix")))</f>
        <v>0</v>
      </c>
      <c r="J741" s="4">
        <f>IF(OR(INDEX($P$2:$P$1001,MATCH(ROWS($O$2:O741),$O$2:$O$1001,0),1)&gt;=100000,INDEX($V$1005:$AE$1005,1,MATCH(COLUMNS($V$1006:AD1006),$V$1006:$AE$1006,0))&gt;=100000), " ",IF(INDEX($V$2:$AE$1001,MATCH(ROWS($O$2:O741),$O$2:$O$1001,0),MATCH(COLUMNS($V$1006:AD1006),$V$1006:$AE$1006,0)), HYPERLINK("#",""), HYPERLINK(CONCATENATE("#Metadata!", ADDRESS(INDEX($Q$2:$Q$1001,MATCH(ROWS($O$2:O741),$O$2:$O$1001,0),0), INDEX($V$1004:$AE$1004,1,MATCH(COLUMNS($V$1006:AD1006),$V$1006:$AE$1006,0)))),"Fix")))</f>
        <v>0</v>
      </c>
      <c r="K741" s="4">
        <f>IF(OR(INDEX($P$2:$P$1001,MATCH(ROWS($O$2:O741),$O$2:$O$1001,0),1)&gt;=100000,INDEX($V$1005:$AE$1005,1,MATCH(COLUMNS($V$1006:AE1006),$V$1006:$AE$1006,0))&gt;=100000), " ",IF(INDEX($V$2:$AE$1001,MATCH(ROWS($O$2:O741),$O$2:$O$1001,0),MATCH(COLUMNS($V$1006:AE1006),$V$1006:$AE$1006,0)), HYPERLINK("#",""), HYPERLINK(CONCATENATE("#Metadata!", ADDRESS(INDEX($Q$2:$Q$1001,MATCH(ROWS($O$2:O741),$O$2:$O$1001,0),0), INDEX($V$1004:$AE$1004,1,MATCH(COLUMNS($V$1006:AE1006),$V$1006:$AE$1006,0)))),"Fix")))</f>
        <v>0</v>
      </c>
      <c r="O741">
        <v>0</v>
      </c>
      <c r="P741">
        <v>0</v>
      </c>
      <c r="Q741">
        <v>0</v>
      </c>
      <c r="R741">
        <f>IF(S741,TRUE,AND(V741:AE741))</f>
        <v>0</v>
      </c>
      <c r="S741">
        <f>COUNTBLANK(Metadata!B741:K741)=COLUMNS(Metadata!B741:K741)</f>
        <v>0</v>
      </c>
      <c r="T741">
        <v>0</v>
      </c>
      <c r="V741">
        <f>AND(IF(Metadata!B741="",FALSE,TRUE),COUNTIF(Metadata!B:B, Metadata!B741) = 1,NOT(ISERROR(SUMPRODUCT(SEARCH(MID(Metadata!B741,ROW(INDIRECT("1:"&amp;LEN(Metadata!B741))), 1),"0123456789abcdefghijklmnopqrstuvwxyzABCDEFGHIJKLMNOPQRSTUVWXYZ.")))))</f>
        <v>0</v>
      </c>
      <c r="W741">
        <f>AND(IF(Metadata!C741="",FALSE,TRUE),exact(Metadata!C741,"urban biome"))</f>
        <v>0</v>
      </c>
      <c r="X741">
        <f>AND(IF(Metadata!D741="",FALSE,TRUE),exact(Metadata!D741,"animal-associated habitat"))</f>
        <v>0</v>
      </c>
      <c r="Y741">
        <f>OR(AND(IF(Metadata!E741="",FALSE,TRUE),OR(exact(Metadata!E741,"not applicable"),exact(Metadata!E741,"missing: not collected"),exact(Metadata!E741,"missing: not provided"),exact(Metadata!E741,"missing: restricted access"))),AND(IF(Metadata!E741="",FALSE,ISNUMBER(VALUE(Metadata!E741))),Metadata!E741&gt;0))</f>
        <v>0</v>
      </c>
      <c r="Z741">
        <f>AND(IF(Metadata!F741="",FALSE,TRUE),exact(Metadata!F741,"weeks"))</f>
        <v>0</v>
      </c>
      <c r="AA741">
        <f>AND(IF(Metadata!G741="",FALSE,TRUE),exact(Metadata!G741,"mouse"))</f>
        <v>0</v>
      </c>
      <c r="AB741">
        <f>AND(IF(Metadata!H741="",FALSE,TRUE),exact(Metadata!H741,"Mus musculus"))</f>
        <v>0</v>
      </c>
      <c r="AC741">
        <f>AND(IF(Metadata!I741="",FALSE,TRUE),exact(Metadata!I741,"10090"))</f>
        <v>0</v>
      </c>
      <c r="AD741">
        <f>OR(AND(IF(Metadata!J741="",FALSE,TRUE),OR(exact(Metadata!J741,"not applicable"),exact(Metadata!J741,"missing: not collected"),exact(Metadata!J741,"missing: not provided"),exact(Metadata!J741,"missing: restricted access"))),AND(IF(Metadata!J741="",FALSE,ISNUMBER(VALUE(Metadata!J741))),Metadata!J741&gt;0))</f>
        <v>0</v>
      </c>
      <c r="AE741">
        <f>AND(IF(Metadata!K741="",FALSE,TRUE),exact(Metadata!K741,"g"))</f>
        <v>0</v>
      </c>
    </row>
    <row r="742" spans="1:31">
      <c r="A742" s="5">
        <f>IF(B742=" "," ",HYPERLINK(CONCATENATE("#metadata!",ADDRESS(INDEX($Q$2:$Q$1001,MATCH(ROWS($O$2:O742),$O$2:$O$1001,0),0),1)),INDEX($T$2:$T$1001,MATCH(ROWS($O$2:O742),$O$2:$O$1001,0),0)))</f>
        <v>0</v>
      </c>
      <c r="B742" s="4">
        <f>IF(OR(INDEX($P$2:$P$1001,MATCH(ROWS($O$2:O742),$O$2:$O$1001,0),1)&gt;=100000,INDEX($V$1005:$AE$1005,1,MATCH(COLUMNS($V$1006:V1006),$V$1006:$AE$1006,0))&gt;=100000), " ",IF(INDEX($V$2:$AE$1001,MATCH(ROWS($O$2:O742),$O$2:$O$1001,0),MATCH(COLUMNS($V$1006:V1006),$V$1006:$AE$1006,0)), HYPERLINK("#",""), HYPERLINK(CONCATENATE("#Metadata!", ADDRESS(INDEX($Q$2:$Q$1001,MATCH(ROWS($O$2:O742),$O$2:$O$1001,0),0), INDEX($V$1004:$AE$1004,1,MATCH(COLUMNS($V$1006:V1006),$V$1006:$AE$1006,0)))),"Fix")))</f>
        <v>0</v>
      </c>
      <c r="C742" s="4">
        <f>IF(OR(INDEX($P$2:$P$1001,MATCH(ROWS($O$2:O742),$O$2:$O$1001,0),1)&gt;=100000,INDEX($V$1005:$AE$1005,1,MATCH(COLUMNS($V$1006:W1006),$V$1006:$AE$1006,0))&gt;=100000), " ",IF(INDEX($V$2:$AE$1001,MATCH(ROWS($O$2:O742),$O$2:$O$1001,0),MATCH(COLUMNS($V$1006:W1006),$V$1006:$AE$1006,0)), HYPERLINK("#",""), HYPERLINK(CONCATENATE("#Metadata!", ADDRESS(INDEX($Q$2:$Q$1001,MATCH(ROWS($O$2:O742),$O$2:$O$1001,0),0), INDEX($V$1004:$AE$1004,1,MATCH(COLUMNS($V$1006:W1006),$V$1006:$AE$1006,0)))),"Fix")))</f>
        <v>0</v>
      </c>
      <c r="D742" s="4">
        <f>IF(OR(INDEX($P$2:$P$1001,MATCH(ROWS($O$2:O742),$O$2:$O$1001,0),1)&gt;=100000,INDEX($V$1005:$AE$1005,1,MATCH(COLUMNS($V$1006:X1006),$V$1006:$AE$1006,0))&gt;=100000), " ",IF(INDEX($V$2:$AE$1001,MATCH(ROWS($O$2:O742),$O$2:$O$1001,0),MATCH(COLUMNS($V$1006:X1006),$V$1006:$AE$1006,0)), HYPERLINK("#",""), HYPERLINK(CONCATENATE("#Metadata!", ADDRESS(INDEX($Q$2:$Q$1001,MATCH(ROWS($O$2:O742),$O$2:$O$1001,0),0), INDEX($V$1004:$AE$1004,1,MATCH(COLUMNS($V$1006:X1006),$V$1006:$AE$1006,0)))),"Fix")))</f>
        <v>0</v>
      </c>
      <c r="E742" s="4">
        <f>IF(OR(INDEX($P$2:$P$1001,MATCH(ROWS($O$2:O742),$O$2:$O$1001,0),1)&gt;=100000,INDEX($V$1005:$AE$1005,1,MATCH(COLUMNS($V$1006:Y1006),$V$1006:$AE$1006,0))&gt;=100000), " ",IF(INDEX($V$2:$AE$1001,MATCH(ROWS($O$2:O742),$O$2:$O$1001,0),MATCH(COLUMNS($V$1006:Y1006),$V$1006:$AE$1006,0)), HYPERLINK("#",""), HYPERLINK(CONCATENATE("#Metadata!", ADDRESS(INDEX($Q$2:$Q$1001,MATCH(ROWS($O$2:O742),$O$2:$O$1001,0),0), INDEX($V$1004:$AE$1004,1,MATCH(COLUMNS($V$1006:Y1006),$V$1006:$AE$1006,0)))),"Fix")))</f>
        <v>0</v>
      </c>
      <c r="F742" s="4">
        <f>IF(OR(INDEX($P$2:$P$1001,MATCH(ROWS($O$2:O742),$O$2:$O$1001,0),1)&gt;=100000,INDEX($V$1005:$AE$1005,1,MATCH(COLUMNS($V$1006:Z1006),$V$1006:$AE$1006,0))&gt;=100000), " ",IF(INDEX($V$2:$AE$1001,MATCH(ROWS($O$2:O742),$O$2:$O$1001,0),MATCH(COLUMNS($V$1006:Z1006),$V$1006:$AE$1006,0)), HYPERLINK("#",""), HYPERLINK(CONCATENATE("#Metadata!", ADDRESS(INDEX($Q$2:$Q$1001,MATCH(ROWS($O$2:O742),$O$2:$O$1001,0),0), INDEX($V$1004:$AE$1004,1,MATCH(COLUMNS($V$1006:Z1006),$V$1006:$AE$1006,0)))),"Fix")))</f>
        <v>0</v>
      </c>
      <c r="G742" s="4">
        <f>IF(OR(INDEX($P$2:$P$1001,MATCH(ROWS($O$2:O742),$O$2:$O$1001,0),1)&gt;=100000,INDEX($V$1005:$AE$1005,1,MATCH(COLUMNS($V$1006:AA1006),$V$1006:$AE$1006,0))&gt;=100000), " ",IF(INDEX($V$2:$AE$1001,MATCH(ROWS($O$2:O742),$O$2:$O$1001,0),MATCH(COLUMNS($V$1006:AA1006),$V$1006:$AE$1006,0)), HYPERLINK("#",""), HYPERLINK(CONCATENATE("#Metadata!", ADDRESS(INDEX($Q$2:$Q$1001,MATCH(ROWS($O$2:O742),$O$2:$O$1001,0),0), INDEX($V$1004:$AE$1004,1,MATCH(COLUMNS($V$1006:AA1006),$V$1006:$AE$1006,0)))),"Fix")))</f>
        <v>0</v>
      </c>
      <c r="H742" s="4">
        <f>IF(OR(INDEX($P$2:$P$1001,MATCH(ROWS($O$2:O742),$O$2:$O$1001,0),1)&gt;=100000,INDEX($V$1005:$AE$1005,1,MATCH(COLUMNS($V$1006:AB1006),$V$1006:$AE$1006,0))&gt;=100000), " ",IF(INDEX($V$2:$AE$1001,MATCH(ROWS($O$2:O742),$O$2:$O$1001,0),MATCH(COLUMNS($V$1006:AB1006),$V$1006:$AE$1006,0)), HYPERLINK("#",""), HYPERLINK(CONCATENATE("#Metadata!", ADDRESS(INDEX($Q$2:$Q$1001,MATCH(ROWS($O$2:O742),$O$2:$O$1001,0),0), INDEX($V$1004:$AE$1004,1,MATCH(COLUMNS($V$1006:AB1006),$V$1006:$AE$1006,0)))),"Fix")))</f>
        <v>0</v>
      </c>
      <c r="I742" s="4">
        <f>IF(OR(INDEX($P$2:$P$1001,MATCH(ROWS($O$2:O742),$O$2:$O$1001,0),1)&gt;=100000,INDEX($V$1005:$AE$1005,1,MATCH(COLUMNS($V$1006:AC1006),$V$1006:$AE$1006,0))&gt;=100000), " ",IF(INDEX($V$2:$AE$1001,MATCH(ROWS($O$2:O742),$O$2:$O$1001,0),MATCH(COLUMNS($V$1006:AC1006),$V$1006:$AE$1006,0)), HYPERLINK("#",""), HYPERLINK(CONCATENATE("#Metadata!", ADDRESS(INDEX($Q$2:$Q$1001,MATCH(ROWS($O$2:O742),$O$2:$O$1001,0),0), INDEX($V$1004:$AE$1004,1,MATCH(COLUMNS($V$1006:AC1006),$V$1006:$AE$1006,0)))),"Fix")))</f>
        <v>0</v>
      </c>
      <c r="J742" s="4">
        <f>IF(OR(INDEX($P$2:$P$1001,MATCH(ROWS($O$2:O742),$O$2:$O$1001,0),1)&gt;=100000,INDEX($V$1005:$AE$1005,1,MATCH(COLUMNS($V$1006:AD1006),$V$1006:$AE$1006,0))&gt;=100000), " ",IF(INDEX($V$2:$AE$1001,MATCH(ROWS($O$2:O742),$O$2:$O$1001,0),MATCH(COLUMNS($V$1006:AD1006),$V$1006:$AE$1006,0)), HYPERLINK("#",""), HYPERLINK(CONCATENATE("#Metadata!", ADDRESS(INDEX($Q$2:$Q$1001,MATCH(ROWS($O$2:O742),$O$2:$O$1001,0),0), INDEX($V$1004:$AE$1004,1,MATCH(COLUMNS($V$1006:AD1006),$V$1006:$AE$1006,0)))),"Fix")))</f>
        <v>0</v>
      </c>
      <c r="K742" s="4">
        <f>IF(OR(INDEX($P$2:$P$1001,MATCH(ROWS($O$2:O742),$O$2:$O$1001,0),1)&gt;=100000,INDEX($V$1005:$AE$1005,1,MATCH(COLUMNS($V$1006:AE1006),$V$1006:$AE$1006,0))&gt;=100000), " ",IF(INDEX($V$2:$AE$1001,MATCH(ROWS($O$2:O742),$O$2:$O$1001,0),MATCH(COLUMNS($V$1006:AE1006),$V$1006:$AE$1006,0)), HYPERLINK("#",""), HYPERLINK(CONCATENATE("#Metadata!", ADDRESS(INDEX($Q$2:$Q$1001,MATCH(ROWS($O$2:O742),$O$2:$O$1001,0),0), INDEX($V$1004:$AE$1004,1,MATCH(COLUMNS($V$1006:AE1006),$V$1006:$AE$1006,0)))),"Fix")))</f>
        <v>0</v>
      </c>
      <c r="O742">
        <v>0</v>
      </c>
      <c r="P742">
        <v>0</v>
      </c>
      <c r="Q742">
        <v>0</v>
      </c>
      <c r="R742">
        <f>IF(S742,TRUE,AND(V742:AE742))</f>
        <v>0</v>
      </c>
      <c r="S742">
        <f>COUNTBLANK(Metadata!B742:K742)=COLUMNS(Metadata!B742:K742)</f>
        <v>0</v>
      </c>
      <c r="T742">
        <v>0</v>
      </c>
      <c r="V742">
        <f>AND(IF(Metadata!B742="",FALSE,TRUE),COUNTIF(Metadata!B:B, Metadata!B742) = 1,NOT(ISERROR(SUMPRODUCT(SEARCH(MID(Metadata!B742,ROW(INDIRECT("1:"&amp;LEN(Metadata!B742))), 1),"0123456789abcdefghijklmnopqrstuvwxyzABCDEFGHIJKLMNOPQRSTUVWXYZ.")))))</f>
        <v>0</v>
      </c>
      <c r="W742">
        <f>AND(IF(Metadata!C742="",FALSE,TRUE),exact(Metadata!C742,"urban biome"))</f>
        <v>0</v>
      </c>
      <c r="X742">
        <f>AND(IF(Metadata!D742="",FALSE,TRUE),exact(Metadata!D742,"animal-associated habitat"))</f>
        <v>0</v>
      </c>
      <c r="Y742">
        <f>OR(AND(IF(Metadata!E742="",FALSE,TRUE),OR(exact(Metadata!E742,"not applicable"),exact(Metadata!E742,"missing: not collected"),exact(Metadata!E742,"missing: not provided"),exact(Metadata!E742,"missing: restricted access"))),AND(IF(Metadata!E742="",FALSE,ISNUMBER(VALUE(Metadata!E742))),Metadata!E742&gt;0))</f>
        <v>0</v>
      </c>
      <c r="Z742">
        <f>AND(IF(Metadata!F742="",FALSE,TRUE),exact(Metadata!F742,"weeks"))</f>
        <v>0</v>
      </c>
      <c r="AA742">
        <f>AND(IF(Metadata!G742="",FALSE,TRUE),exact(Metadata!G742,"mouse"))</f>
        <v>0</v>
      </c>
      <c r="AB742">
        <f>AND(IF(Metadata!H742="",FALSE,TRUE),exact(Metadata!H742,"Mus musculus"))</f>
        <v>0</v>
      </c>
      <c r="AC742">
        <f>AND(IF(Metadata!I742="",FALSE,TRUE),exact(Metadata!I742,"10090"))</f>
        <v>0</v>
      </c>
      <c r="AD742">
        <f>OR(AND(IF(Metadata!J742="",FALSE,TRUE),OR(exact(Metadata!J742,"not applicable"),exact(Metadata!J742,"missing: not collected"),exact(Metadata!J742,"missing: not provided"),exact(Metadata!J742,"missing: restricted access"))),AND(IF(Metadata!J742="",FALSE,ISNUMBER(VALUE(Metadata!J742))),Metadata!J742&gt;0))</f>
        <v>0</v>
      </c>
      <c r="AE742">
        <f>AND(IF(Metadata!K742="",FALSE,TRUE),exact(Metadata!K742,"g"))</f>
        <v>0</v>
      </c>
    </row>
    <row r="743" spans="1:31">
      <c r="A743" s="5">
        <f>IF(B743=" "," ",HYPERLINK(CONCATENATE("#metadata!",ADDRESS(INDEX($Q$2:$Q$1001,MATCH(ROWS($O$2:O743),$O$2:$O$1001,0),0),1)),INDEX($T$2:$T$1001,MATCH(ROWS($O$2:O743),$O$2:$O$1001,0),0)))</f>
        <v>0</v>
      </c>
      <c r="B743" s="4">
        <f>IF(OR(INDEX($P$2:$P$1001,MATCH(ROWS($O$2:O743),$O$2:$O$1001,0),1)&gt;=100000,INDEX($V$1005:$AE$1005,1,MATCH(COLUMNS($V$1006:V1006),$V$1006:$AE$1006,0))&gt;=100000), " ",IF(INDEX($V$2:$AE$1001,MATCH(ROWS($O$2:O743),$O$2:$O$1001,0),MATCH(COLUMNS($V$1006:V1006),$V$1006:$AE$1006,0)), HYPERLINK("#",""), HYPERLINK(CONCATENATE("#Metadata!", ADDRESS(INDEX($Q$2:$Q$1001,MATCH(ROWS($O$2:O743),$O$2:$O$1001,0),0), INDEX($V$1004:$AE$1004,1,MATCH(COLUMNS($V$1006:V1006),$V$1006:$AE$1006,0)))),"Fix")))</f>
        <v>0</v>
      </c>
      <c r="C743" s="4">
        <f>IF(OR(INDEX($P$2:$P$1001,MATCH(ROWS($O$2:O743),$O$2:$O$1001,0),1)&gt;=100000,INDEX($V$1005:$AE$1005,1,MATCH(COLUMNS($V$1006:W1006),$V$1006:$AE$1006,0))&gt;=100000), " ",IF(INDEX($V$2:$AE$1001,MATCH(ROWS($O$2:O743),$O$2:$O$1001,0),MATCH(COLUMNS($V$1006:W1006),$V$1006:$AE$1006,0)), HYPERLINK("#",""), HYPERLINK(CONCATENATE("#Metadata!", ADDRESS(INDEX($Q$2:$Q$1001,MATCH(ROWS($O$2:O743),$O$2:$O$1001,0),0), INDEX($V$1004:$AE$1004,1,MATCH(COLUMNS($V$1006:W1006),$V$1006:$AE$1006,0)))),"Fix")))</f>
        <v>0</v>
      </c>
      <c r="D743" s="4">
        <f>IF(OR(INDEX($P$2:$P$1001,MATCH(ROWS($O$2:O743),$O$2:$O$1001,0),1)&gt;=100000,INDEX($V$1005:$AE$1005,1,MATCH(COLUMNS($V$1006:X1006),$V$1006:$AE$1006,0))&gt;=100000), " ",IF(INDEX($V$2:$AE$1001,MATCH(ROWS($O$2:O743),$O$2:$O$1001,0),MATCH(COLUMNS($V$1006:X1006),$V$1006:$AE$1006,0)), HYPERLINK("#",""), HYPERLINK(CONCATENATE("#Metadata!", ADDRESS(INDEX($Q$2:$Q$1001,MATCH(ROWS($O$2:O743),$O$2:$O$1001,0),0), INDEX($V$1004:$AE$1004,1,MATCH(COLUMNS($V$1006:X1006),$V$1006:$AE$1006,0)))),"Fix")))</f>
        <v>0</v>
      </c>
      <c r="E743" s="4">
        <f>IF(OR(INDEX($P$2:$P$1001,MATCH(ROWS($O$2:O743),$O$2:$O$1001,0),1)&gt;=100000,INDEX($V$1005:$AE$1005,1,MATCH(COLUMNS($V$1006:Y1006),$V$1006:$AE$1006,0))&gt;=100000), " ",IF(INDEX($V$2:$AE$1001,MATCH(ROWS($O$2:O743),$O$2:$O$1001,0),MATCH(COLUMNS($V$1006:Y1006),$V$1006:$AE$1006,0)), HYPERLINK("#",""), HYPERLINK(CONCATENATE("#Metadata!", ADDRESS(INDEX($Q$2:$Q$1001,MATCH(ROWS($O$2:O743),$O$2:$O$1001,0),0), INDEX($V$1004:$AE$1004,1,MATCH(COLUMNS($V$1006:Y1006),$V$1006:$AE$1006,0)))),"Fix")))</f>
        <v>0</v>
      </c>
      <c r="F743" s="4">
        <f>IF(OR(INDEX($P$2:$P$1001,MATCH(ROWS($O$2:O743),$O$2:$O$1001,0),1)&gt;=100000,INDEX($V$1005:$AE$1005,1,MATCH(COLUMNS($V$1006:Z1006),$V$1006:$AE$1006,0))&gt;=100000), " ",IF(INDEX($V$2:$AE$1001,MATCH(ROWS($O$2:O743),$O$2:$O$1001,0),MATCH(COLUMNS($V$1006:Z1006),$V$1006:$AE$1006,0)), HYPERLINK("#",""), HYPERLINK(CONCATENATE("#Metadata!", ADDRESS(INDEX($Q$2:$Q$1001,MATCH(ROWS($O$2:O743),$O$2:$O$1001,0),0), INDEX($V$1004:$AE$1004,1,MATCH(COLUMNS($V$1006:Z1006),$V$1006:$AE$1006,0)))),"Fix")))</f>
        <v>0</v>
      </c>
      <c r="G743" s="4">
        <f>IF(OR(INDEX($P$2:$P$1001,MATCH(ROWS($O$2:O743),$O$2:$O$1001,0),1)&gt;=100000,INDEX($V$1005:$AE$1005,1,MATCH(COLUMNS($V$1006:AA1006),$V$1006:$AE$1006,0))&gt;=100000), " ",IF(INDEX($V$2:$AE$1001,MATCH(ROWS($O$2:O743),$O$2:$O$1001,0),MATCH(COLUMNS($V$1006:AA1006),$V$1006:$AE$1006,0)), HYPERLINK("#",""), HYPERLINK(CONCATENATE("#Metadata!", ADDRESS(INDEX($Q$2:$Q$1001,MATCH(ROWS($O$2:O743),$O$2:$O$1001,0),0), INDEX($V$1004:$AE$1004,1,MATCH(COLUMNS($V$1006:AA1006),$V$1006:$AE$1006,0)))),"Fix")))</f>
        <v>0</v>
      </c>
      <c r="H743" s="4">
        <f>IF(OR(INDEX($P$2:$P$1001,MATCH(ROWS($O$2:O743),$O$2:$O$1001,0),1)&gt;=100000,INDEX($V$1005:$AE$1005,1,MATCH(COLUMNS($V$1006:AB1006),$V$1006:$AE$1006,0))&gt;=100000), " ",IF(INDEX($V$2:$AE$1001,MATCH(ROWS($O$2:O743),$O$2:$O$1001,0),MATCH(COLUMNS($V$1006:AB1006),$V$1006:$AE$1006,0)), HYPERLINK("#",""), HYPERLINK(CONCATENATE("#Metadata!", ADDRESS(INDEX($Q$2:$Q$1001,MATCH(ROWS($O$2:O743),$O$2:$O$1001,0),0), INDEX($V$1004:$AE$1004,1,MATCH(COLUMNS($V$1006:AB1006),$V$1006:$AE$1006,0)))),"Fix")))</f>
        <v>0</v>
      </c>
      <c r="I743" s="4">
        <f>IF(OR(INDEX($P$2:$P$1001,MATCH(ROWS($O$2:O743),$O$2:$O$1001,0),1)&gt;=100000,INDEX($V$1005:$AE$1005,1,MATCH(COLUMNS($V$1006:AC1006),$V$1006:$AE$1006,0))&gt;=100000), " ",IF(INDEX($V$2:$AE$1001,MATCH(ROWS($O$2:O743),$O$2:$O$1001,0),MATCH(COLUMNS($V$1006:AC1006),$V$1006:$AE$1006,0)), HYPERLINK("#",""), HYPERLINK(CONCATENATE("#Metadata!", ADDRESS(INDEX($Q$2:$Q$1001,MATCH(ROWS($O$2:O743),$O$2:$O$1001,0),0), INDEX($V$1004:$AE$1004,1,MATCH(COLUMNS($V$1006:AC1006),$V$1006:$AE$1006,0)))),"Fix")))</f>
        <v>0</v>
      </c>
      <c r="J743" s="4">
        <f>IF(OR(INDEX($P$2:$P$1001,MATCH(ROWS($O$2:O743),$O$2:$O$1001,0),1)&gt;=100000,INDEX($V$1005:$AE$1005,1,MATCH(COLUMNS($V$1006:AD1006),$V$1006:$AE$1006,0))&gt;=100000), " ",IF(INDEX($V$2:$AE$1001,MATCH(ROWS($O$2:O743),$O$2:$O$1001,0),MATCH(COLUMNS($V$1006:AD1006),$V$1006:$AE$1006,0)), HYPERLINK("#",""), HYPERLINK(CONCATENATE("#Metadata!", ADDRESS(INDEX($Q$2:$Q$1001,MATCH(ROWS($O$2:O743),$O$2:$O$1001,0),0), INDEX($V$1004:$AE$1004,1,MATCH(COLUMNS($V$1006:AD1006),$V$1006:$AE$1006,0)))),"Fix")))</f>
        <v>0</v>
      </c>
      <c r="K743" s="4">
        <f>IF(OR(INDEX($P$2:$P$1001,MATCH(ROWS($O$2:O743),$O$2:$O$1001,0),1)&gt;=100000,INDEX($V$1005:$AE$1005,1,MATCH(COLUMNS($V$1006:AE1006),$V$1006:$AE$1006,0))&gt;=100000), " ",IF(INDEX($V$2:$AE$1001,MATCH(ROWS($O$2:O743),$O$2:$O$1001,0),MATCH(COLUMNS($V$1006:AE1006),$V$1006:$AE$1006,0)), HYPERLINK("#",""), HYPERLINK(CONCATENATE("#Metadata!", ADDRESS(INDEX($Q$2:$Q$1001,MATCH(ROWS($O$2:O743),$O$2:$O$1001,0),0), INDEX($V$1004:$AE$1004,1,MATCH(COLUMNS($V$1006:AE1006),$V$1006:$AE$1006,0)))),"Fix")))</f>
        <v>0</v>
      </c>
      <c r="O743">
        <v>0</v>
      </c>
      <c r="P743">
        <v>0</v>
      </c>
      <c r="Q743">
        <v>0</v>
      </c>
      <c r="R743">
        <f>IF(S743,TRUE,AND(V743:AE743))</f>
        <v>0</v>
      </c>
      <c r="S743">
        <f>COUNTBLANK(Metadata!B743:K743)=COLUMNS(Metadata!B743:K743)</f>
        <v>0</v>
      </c>
      <c r="T743">
        <v>0</v>
      </c>
      <c r="V743">
        <f>AND(IF(Metadata!B743="",FALSE,TRUE),COUNTIF(Metadata!B:B, Metadata!B743) = 1,NOT(ISERROR(SUMPRODUCT(SEARCH(MID(Metadata!B743,ROW(INDIRECT("1:"&amp;LEN(Metadata!B743))), 1),"0123456789abcdefghijklmnopqrstuvwxyzABCDEFGHIJKLMNOPQRSTUVWXYZ.")))))</f>
        <v>0</v>
      </c>
      <c r="W743">
        <f>AND(IF(Metadata!C743="",FALSE,TRUE),exact(Metadata!C743,"urban biome"))</f>
        <v>0</v>
      </c>
      <c r="X743">
        <f>AND(IF(Metadata!D743="",FALSE,TRUE),exact(Metadata!D743,"animal-associated habitat"))</f>
        <v>0</v>
      </c>
      <c r="Y743">
        <f>OR(AND(IF(Metadata!E743="",FALSE,TRUE),OR(exact(Metadata!E743,"not applicable"),exact(Metadata!E743,"missing: not collected"),exact(Metadata!E743,"missing: not provided"),exact(Metadata!E743,"missing: restricted access"))),AND(IF(Metadata!E743="",FALSE,ISNUMBER(VALUE(Metadata!E743))),Metadata!E743&gt;0))</f>
        <v>0</v>
      </c>
      <c r="Z743">
        <f>AND(IF(Metadata!F743="",FALSE,TRUE),exact(Metadata!F743,"weeks"))</f>
        <v>0</v>
      </c>
      <c r="AA743">
        <f>AND(IF(Metadata!G743="",FALSE,TRUE),exact(Metadata!G743,"mouse"))</f>
        <v>0</v>
      </c>
      <c r="AB743">
        <f>AND(IF(Metadata!H743="",FALSE,TRUE),exact(Metadata!H743,"Mus musculus"))</f>
        <v>0</v>
      </c>
      <c r="AC743">
        <f>AND(IF(Metadata!I743="",FALSE,TRUE),exact(Metadata!I743,"10090"))</f>
        <v>0</v>
      </c>
      <c r="AD743">
        <f>OR(AND(IF(Metadata!J743="",FALSE,TRUE),OR(exact(Metadata!J743,"not applicable"),exact(Metadata!J743,"missing: not collected"),exact(Metadata!J743,"missing: not provided"),exact(Metadata!J743,"missing: restricted access"))),AND(IF(Metadata!J743="",FALSE,ISNUMBER(VALUE(Metadata!J743))),Metadata!J743&gt;0))</f>
        <v>0</v>
      </c>
      <c r="AE743">
        <f>AND(IF(Metadata!K743="",FALSE,TRUE),exact(Metadata!K743,"g"))</f>
        <v>0</v>
      </c>
    </row>
    <row r="744" spans="1:31">
      <c r="A744" s="5">
        <f>IF(B744=" "," ",HYPERLINK(CONCATENATE("#metadata!",ADDRESS(INDEX($Q$2:$Q$1001,MATCH(ROWS($O$2:O744),$O$2:$O$1001,0),0),1)),INDEX($T$2:$T$1001,MATCH(ROWS($O$2:O744),$O$2:$O$1001,0),0)))</f>
        <v>0</v>
      </c>
      <c r="B744" s="4">
        <f>IF(OR(INDEX($P$2:$P$1001,MATCH(ROWS($O$2:O744),$O$2:$O$1001,0),1)&gt;=100000,INDEX($V$1005:$AE$1005,1,MATCH(COLUMNS($V$1006:V1006),$V$1006:$AE$1006,0))&gt;=100000), " ",IF(INDEX($V$2:$AE$1001,MATCH(ROWS($O$2:O744),$O$2:$O$1001,0),MATCH(COLUMNS($V$1006:V1006),$V$1006:$AE$1006,0)), HYPERLINK("#",""), HYPERLINK(CONCATENATE("#Metadata!", ADDRESS(INDEX($Q$2:$Q$1001,MATCH(ROWS($O$2:O744),$O$2:$O$1001,0),0), INDEX($V$1004:$AE$1004,1,MATCH(COLUMNS($V$1006:V1006),$V$1006:$AE$1006,0)))),"Fix")))</f>
        <v>0</v>
      </c>
      <c r="C744" s="4">
        <f>IF(OR(INDEX($P$2:$P$1001,MATCH(ROWS($O$2:O744),$O$2:$O$1001,0),1)&gt;=100000,INDEX($V$1005:$AE$1005,1,MATCH(COLUMNS($V$1006:W1006),$V$1006:$AE$1006,0))&gt;=100000), " ",IF(INDEX($V$2:$AE$1001,MATCH(ROWS($O$2:O744),$O$2:$O$1001,0),MATCH(COLUMNS($V$1006:W1006),$V$1006:$AE$1006,0)), HYPERLINK("#",""), HYPERLINK(CONCATENATE("#Metadata!", ADDRESS(INDEX($Q$2:$Q$1001,MATCH(ROWS($O$2:O744),$O$2:$O$1001,0),0), INDEX($V$1004:$AE$1004,1,MATCH(COLUMNS($V$1006:W1006),$V$1006:$AE$1006,0)))),"Fix")))</f>
        <v>0</v>
      </c>
      <c r="D744" s="4">
        <f>IF(OR(INDEX($P$2:$P$1001,MATCH(ROWS($O$2:O744),$O$2:$O$1001,0),1)&gt;=100000,INDEX($V$1005:$AE$1005,1,MATCH(COLUMNS($V$1006:X1006),$V$1006:$AE$1006,0))&gt;=100000), " ",IF(INDEX($V$2:$AE$1001,MATCH(ROWS($O$2:O744),$O$2:$O$1001,0),MATCH(COLUMNS($V$1006:X1006),$V$1006:$AE$1006,0)), HYPERLINK("#",""), HYPERLINK(CONCATENATE("#Metadata!", ADDRESS(INDEX($Q$2:$Q$1001,MATCH(ROWS($O$2:O744),$O$2:$O$1001,0),0), INDEX($V$1004:$AE$1004,1,MATCH(COLUMNS($V$1006:X1006),$V$1006:$AE$1006,0)))),"Fix")))</f>
        <v>0</v>
      </c>
      <c r="E744" s="4">
        <f>IF(OR(INDEX($P$2:$P$1001,MATCH(ROWS($O$2:O744),$O$2:$O$1001,0),1)&gt;=100000,INDEX($V$1005:$AE$1005,1,MATCH(COLUMNS($V$1006:Y1006),$V$1006:$AE$1006,0))&gt;=100000), " ",IF(INDEX($V$2:$AE$1001,MATCH(ROWS($O$2:O744),$O$2:$O$1001,0),MATCH(COLUMNS($V$1006:Y1006),$V$1006:$AE$1006,0)), HYPERLINK("#",""), HYPERLINK(CONCATENATE("#Metadata!", ADDRESS(INDEX($Q$2:$Q$1001,MATCH(ROWS($O$2:O744),$O$2:$O$1001,0),0), INDEX($V$1004:$AE$1004,1,MATCH(COLUMNS($V$1006:Y1006),$V$1006:$AE$1006,0)))),"Fix")))</f>
        <v>0</v>
      </c>
      <c r="F744" s="4">
        <f>IF(OR(INDEX($P$2:$P$1001,MATCH(ROWS($O$2:O744),$O$2:$O$1001,0),1)&gt;=100000,INDEX($V$1005:$AE$1005,1,MATCH(COLUMNS($V$1006:Z1006),$V$1006:$AE$1006,0))&gt;=100000), " ",IF(INDEX($V$2:$AE$1001,MATCH(ROWS($O$2:O744),$O$2:$O$1001,0),MATCH(COLUMNS($V$1006:Z1006),$V$1006:$AE$1006,0)), HYPERLINK("#",""), HYPERLINK(CONCATENATE("#Metadata!", ADDRESS(INDEX($Q$2:$Q$1001,MATCH(ROWS($O$2:O744),$O$2:$O$1001,0),0), INDEX($V$1004:$AE$1004,1,MATCH(COLUMNS($V$1006:Z1006),$V$1006:$AE$1006,0)))),"Fix")))</f>
        <v>0</v>
      </c>
      <c r="G744" s="4">
        <f>IF(OR(INDEX($P$2:$P$1001,MATCH(ROWS($O$2:O744),$O$2:$O$1001,0),1)&gt;=100000,INDEX($V$1005:$AE$1005,1,MATCH(COLUMNS($V$1006:AA1006),$V$1006:$AE$1006,0))&gt;=100000), " ",IF(INDEX($V$2:$AE$1001,MATCH(ROWS($O$2:O744),$O$2:$O$1001,0),MATCH(COLUMNS($V$1006:AA1006),$V$1006:$AE$1006,0)), HYPERLINK("#",""), HYPERLINK(CONCATENATE("#Metadata!", ADDRESS(INDEX($Q$2:$Q$1001,MATCH(ROWS($O$2:O744),$O$2:$O$1001,0),0), INDEX($V$1004:$AE$1004,1,MATCH(COLUMNS($V$1006:AA1006),$V$1006:$AE$1006,0)))),"Fix")))</f>
        <v>0</v>
      </c>
      <c r="H744" s="4">
        <f>IF(OR(INDEX($P$2:$P$1001,MATCH(ROWS($O$2:O744),$O$2:$O$1001,0),1)&gt;=100000,INDEX($V$1005:$AE$1005,1,MATCH(COLUMNS($V$1006:AB1006),$V$1006:$AE$1006,0))&gt;=100000), " ",IF(INDEX($V$2:$AE$1001,MATCH(ROWS($O$2:O744),$O$2:$O$1001,0),MATCH(COLUMNS($V$1006:AB1006),$V$1006:$AE$1006,0)), HYPERLINK("#",""), HYPERLINK(CONCATENATE("#Metadata!", ADDRESS(INDEX($Q$2:$Q$1001,MATCH(ROWS($O$2:O744),$O$2:$O$1001,0),0), INDEX($V$1004:$AE$1004,1,MATCH(COLUMNS($V$1006:AB1006),$V$1006:$AE$1006,0)))),"Fix")))</f>
        <v>0</v>
      </c>
      <c r="I744" s="4">
        <f>IF(OR(INDEX($P$2:$P$1001,MATCH(ROWS($O$2:O744),$O$2:$O$1001,0),1)&gt;=100000,INDEX($V$1005:$AE$1005,1,MATCH(COLUMNS($V$1006:AC1006),$V$1006:$AE$1006,0))&gt;=100000), " ",IF(INDEX($V$2:$AE$1001,MATCH(ROWS($O$2:O744),$O$2:$O$1001,0),MATCH(COLUMNS($V$1006:AC1006),$V$1006:$AE$1006,0)), HYPERLINK("#",""), HYPERLINK(CONCATENATE("#Metadata!", ADDRESS(INDEX($Q$2:$Q$1001,MATCH(ROWS($O$2:O744),$O$2:$O$1001,0),0), INDEX($V$1004:$AE$1004,1,MATCH(COLUMNS($V$1006:AC1006),$V$1006:$AE$1006,0)))),"Fix")))</f>
        <v>0</v>
      </c>
      <c r="J744" s="4">
        <f>IF(OR(INDEX($P$2:$P$1001,MATCH(ROWS($O$2:O744),$O$2:$O$1001,0),1)&gt;=100000,INDEX($V$1005:$AE$1005,1,MATCH(COLUMNS($V$1006:AD1006),$V$1006:$AE$1006,0))&gt;=100000), " ",IF(INDEX($V$2:$AE$1001,MATCH(ROWS($O$2:O744),$O$2:$O$1001,0),MATCH(COLUMNS($V$1006:AD1006),$V$1006:$AE$1006,0)), HYPERLINK("#",""), HYPERLINK(CONCATENATE("#Metadata!", ADDRESS(INDEX($Q$2:$Q$1001,MATCH(ROWS($O$2:O744),$O$2:$O$1001,0),0), INDEX($V$1004:$AE$1004,1,MATCH(COLUMNS($V$1006:AD1006),$V$1006:$AE$1006,0)))),"Fix")))</f>
        <v>0</v>
      </c>
      <c r="K744" s="4">
        <f>IF(OR(INDEX($P$2:$P$1001,MATCH(ROWS($O$2:O744),$O$2:$O$1001,0),1)&gt;=100000,INDEX($V$1005:$AE$1005,1,MATCH(COLUMNS($V$1006:AE1006),$V$1006:$AE$1006,0))&gt;=100000), " ",IF(INDEX($V$2:$AE$1001,MATCH(ROWS($O$2:O744),$O$2:$O$1001,0),MATCH(COLUMNS($V$1006:AE1006),$V$1006:$AE$1006,0)), HYPERLINK("#",""), HYPERLINK(CONCATENATE("#Metadata!", ADDRESS(INDEX($Q$2:$Q$1001,MATCH(ROWS($O$2:O744),$O$2:$O$1001,0),0), INDEX($V$1004:$AE$1004,1,MATCH(COLUMNS($V$1006:AE1006),$V$1006:$AE$1006,0)))),"Fix")))</f>
        <v>0</v>
      </c>
      <c r="O744">
        <v>0</v>
      </c>
      <c r="P744">
        <v>0</v>
      </c>
      <c r="Q744">
        <v>0</v>
      </c>
      <c r="R744">
        <f>IF(S744,TRUE,AND(V744:AE744))</f>
        <v>0</v>
      </c>
      <c r="S744">
        <f>COUNTBLANK(Metadata!B744:K744)=COLUMNS(Metadata!B744:K744)</f>
        <v>0</v>
      </c>
      <c r="T744">
        <v>0</v>
      </c>
      <c r="V744">
        <f>AND(IF(Metadata!B744="",FALSE,TRUE),COUNTIF(Metadata!B:B, Metadata!B744) = 1,NOT(ISERROR(SUMPRODUCT(SEARCH(MID(Metadata!B744,ROW(INDIRECT("1:"&amp;LEN(Metadata!B744))), 1),"0123456789abcdefghijklmnopqrstuvwxyzABCDEFGHIJKLMNOPQRSTUVWXYZ.")))))</f>
        <v>0</v>
      </c>
      <c r="W744">
        <f>AND(IF(Metadata!C744="",FALSE,TRUE),exact(Metadata!C744,"urban biome"))</f>
        <v>0</v>
      </c>
      <c r="X744">
        <f>AND(IF(Metadata!D744="",FALSE,TRUE),exact(Metadata!D744,"animal-associated habitat"))</f>
        <v>0</v>
      </c>
      <c r="Y744">
        <f>OR(AND(IF(Metadata!E744="",FALSE,TRUE),OR(exact(Metadata!E744,"not applicable"),exact(Metadata!E744,"missing: not collected"),exact(Metadata!E744,"missing: not provided"),exact(Metadata!E744,"missing: restricted access"))),AND(IF(Metadata!E744="",FALSE,ISNUMBER(VALUE(Metadata!E744))),Metadata!E744&gt;0))</f>
        <v>0</v>
      </c>
      <c r="Z744">
        <f>AND(IF(Metadata!F744="",FALSE,TRUE),exact(Metadata!F744,"weeks"))</f>
        <v>0</v>
      </c>
      <c r="AA744">
        <f>AND(IF(Metadata!G744="",FALSE,TRUE),exact(Metadata!G744,"mouse"))</f>
        <v>0</v>
      </c>
      <c r="AB744">
        <f>AND(IF(Metadata!H744="",FALSE,TRUE),exact(Metadata!H744,"Mus musculus"))</f>
        <v>0</v>
      </c>
      <c r="AC744">
        <f>AND(IF(Metadata!I744="",FALSE,TRUE),exact(Metadata!I744,"10090"))</f>
        <v>0</v>
      </c>
      <c r="AD744">
        <f>OR(AND(IF(Metadata!J744="",FALSE,TRUE),OR(exact(Metadata!J744,"not applicable"),exact(Metadata!J744,"missing: not collected"),exact(Metadata!J744,"missing: not provided"),exact(Metadata!J744,"missing: restricted access"))),AND(IF(Metadata!J744="",FALSE,ISNUMBER(VALUE(Metadata!J744))),Metadata!J744&gt;0))</f>
        <v>0</v>
      </c>
      <c r="AE744">
        <f>AND(IF(Metadata!K744="",FALSE,TRUE),exact(Metadata!K744,"g"))</f>
        <v>0</v>
      </c>
    </row>
    <row r="745" spans="1:31">
      <c r="A745" s="5">
        <f>IF(B745=" "," ",HYPERLINK(CONCATENATE("#metadata!",ADDRESS(INDEX($Q$2:$Q$1001,MATCH(ROWS($O$2:O745),$O$2:$O$1001,0),0),1)),INDEX($T$2:$T$1001,MATCH(ROWS($O$2:O745),$O$2:$O$1001,0),0)))</f>
        <v>0</v>
      </c>
      <c r="B745" s="4">
        <f>IF(OR(INDEX($P$2:$P$1001,MATCH(ROWS($O$2:O745),$O$2:$O$1001,0),1)&gt;=100000,INDEX($V$1005:$AE$1005,1,MATCH(COLUMNS($V$1006:V1006),$V$1006:$AE$1006,0))&gt;=100000), " ",IF(INDEX($V$2:$AE$1001,MATCH(ROWS($O$2:O745),$O$2:$O$1001,0),MATCH(COLUMNS($V$1006:V1006),$V$1006:$AE$1006,0)), HYPERLINK("#",""), HYPERLINK(CONCATENATE("#Metadata!", ADDRESS(INDEX($Q$2:$Q$1001,MATCH(ROWS($O$2:O745),$O$2:$O$1001,0),0), INDEX($V$1004:$AE$1004,1,MATCH(COLUMNS($V$1006:V1006),$V$1006:$AE$1006,0)))),"Fix")))</f>
        <v>0</v>
      </c>
      <c r="C745" s="4">
        <f>IF(OR(INDEX($P$2:$P$1001,MATCH(ROWS($O$2:O745),$O$2:$O$1001,0),1)&gt;=100000,INDEX($V$1005:$AE$1005,1,MATCH(COLUMNS($V$1006:W1006),$V$1006:$AE$1006,0))&gt;=100000), " ",IF(INDEX($V$2:$AE$1001,MATCH(ROWS($O$2:O745),$O$2:$O$1001,0),MATCH(COLUMNS($V$1006:W1006),$V$1006:$AE$1006,0)), HYPERLINK("#",""), HYPERLINK(CONCATENATE("#Metadata!", ADDRESS(INDEX($Q$2:$Q$1001,MATCH(ROWS($O$2:O745),$O$2:$O$1001,0),0), INDEX($V$1004:$AE$1004,1,MATCH(COLUMNS($V$1006:W1006),$V$1006:$AE$1006,0)))),"Fix")))</f>
        <v>0</v>
      </c>
      <c r="D745" s="4">
        <f>IF(OR(INDEX($P$2:$P$1001,MATCH(ROWS($O$2:O745),$O$2:$O$1001,0),1)&gt;=100000,INDEX($V$1005:$AE$1005,1,MATCH(COLUMNS($V$1006:X1006),$V$1006:$AE$1006,0))&gt;=100000), " ",IF(INDEX($V$2:$AE$1001,MATCH(ROWS($O$2:O745),$O$2:$O$1001,0),MATCH(COLUMNS($V$1006:X1006),$V$1006:$AE$1006,0)), HYPERLINK("#",""), HYPERLINK(CONCATENATE("#Metadata!", ADDRESS(INDEX($Q$2:$Q$1001,MATCH(ROWS($O$2:O745),$O$2:$O$1001,0),0), INDEX($V$1004:$AE$1004,1,MATCH(COLUMNS($V$1006:X1006),$V$1006:$AE$1006,0)))),"Fix")))</f>
        <v>0</v>
      </c>
      <c r="E745" s="4">
        <f>IF(OR(INDEX($P$2:$P$1001,MATCH(ROWS($O$2:O745),$O$2:$O$1001,0),1)&gt;=100000,INDEX($V$1005:$AE$1005,1,MATCH(COLUMNS($V$1006:Y1006),$V$1006:$AE$1006,0))&gt;=100000), " ",IF(INDEX($V$2:$AE$1001,MATCH(ROWS($O$2:O745),$O$2:$O$1001,0),MATCH(COLUMNS($V$1006:Y1006),$V$1006:$AE$1006,0)), HYPERLINK("#",""), HYPERLINK(CONCATENATE("#Metadata!", ADDRESS(INDEX($Q$2:$Q$1001,MATCH(ROWS($O$2:O745),$O$2:$O$1001,0),0), INDEX($V$1004:$AE$1004,1,MATCH(COLUMNS($V$1006:Y1006),$V$1006:$AE$1006,0)))),"Fix")))</f>
        <v>0</v>
      </c>
      <c r="F745" s="4">
        <f>IF(OR(INDEX($P$2:$P$1001,MATCH(ROWS($O$2:O745),$O$2:$O$1001,0),1)&gt;=100000,INDEX($V$1005:$AE$1005,1,MATCH(COLUMNS($V$1006:Z1006),$V$1006:$AE$1006,0))&gt;=100000), " ",IF(INDEX($V$2:$AE$1001,MATCH(ROWS($O$2:O745),$O$2:$O$1001,0),MATCH(COLUMNS($V$1006:Z1006),$V$1006:$AE$1006,0)), HYPERLINK("#",""), HYPERLINK(CONCATENATE("#Metadata!", ADDRESS(INDEX($Q$2:$Q$1001,MATCH(ROWS($O$2:O745),$O$2:$O$1001,0),0), INDEX($V$1004:$AE$1004,1,MATCH(COLUMNS($V$1006:Z1006),$V$1006:$AE$1006,0)))),"Fix")))</f>
        <v>0</v>
      </c>
      <c r="G745" s="4">
        <f>IF(OR(INDEX($P$2:$P$1001,MATCH(ROWS($O$2:O745),$O$2:$O$1001,0),1)&gt;=100000,INDEX($V$1005:$AE$1005,1,MATCH(COLUMNS($V$1006:AA1006),$V$1006:$AE$1006,0))&gt;=100000), " ",IF(INDEX($V$2:$AE$1001,MATCH(ROWS($O$2:O745),$O$2:$O$1001,0),MATCH(COLUMNS($V$1006:AA1006),$V$1006:$AE$1006,0)), HYPERLINK("#",""), HYPERLINK(CONCATENATE("#Metadata!", ADDRESS(INDEX($Q$2:$Q$1001,MATCH(ROWS($O$2:O745),$O$2:$O$1001,0),0), INDEX($V$1004:$AE$1004,1,MATCH(COLUMNS($V$1006:AA1006),$V$1006:$AE$1006,0)))),"Fix")))</f>
        <v>0</v>
      </c>
      <c r="H745" s="4">
        <f>IF(OR(INDEX($P$2:$P$1001,MATCH(ROWS($O$2:O745),$O$2:$O$1001,0),1)&gt;=100000,INDEX($V$1005:$AE$1005,1,MATCH(COLUMNS($V$1006:AB1006),$V$1006:$AE$1006,0))&gt;=100000), " ",IF(INDEX($V$2:$AE$1001,MATCH(ROWS($O$2:O745),$O$2:$O$1001,0),MATCH(COLUMNS($V$1006:AB1006),$V$1006:$AE$1006,0)), HYPERLINK("#",""), HYPERLINK(CONCATENATE("#Metadata!", ADDRESS(INDEX($Q$2:$Q$1001,MATCH(ROWS($O$2:O745),$O$2:$O$1001,0),0), INDEX($V$1004:$AE$1004,1,MATCH(COLUMNS($V$1006:AB1006),$V$1006:$AE$1006,0)))),"Fix")))</f>
        <v>0</v>
      </c>
      <c r="I745" s="4">
        <f>IF(OR(INDEX($P$2:$P$1001,MATCH(ROWS($O$2:O745),$O$2:$O$1001,0),1)&gt;=100000,INDEX($V$1005:$AE$1005,1,MATCH(COLUMNS($V$1006:AC1006),$V$1006:$AE$1006,0))&gt;=100000), " ",IF(INDEX($V$2:$AE$1001,MATCH(ROWS($O$2:O745),$O$2:$O$1001,0),MATCH(COLUMNS($V$1006:AC1006),$V$1006:$AE$1006,0)), HYPERLINK("#",""), HYPERLINK(CONCATENATE("#Metadata!", ADDRESS(INDEX($Q$2:$Q$1001,MATCH(ROWS($O$2:O745),$O$2:$O$1001,0),0), INDEX($V$1004:$AE$1004,1,MATCH(COLUMNS($V$1006:AC1006),$V$1006:$AE$1006,0)))),"Fix")))</f>
        <v>0</v>
      </c>
      <c r="J745" s="4">
        <f>IF(OR(INDEX($P$2:$P$1001,MATCH(ROWS($O$2:O745),$O$2:$O$1001,0),1)&gt;=100000,INDEX($V$1005:$AE$1005,1,MATCH(COLUMNS($V$1006:AD1006),$V$1006:$AE$1006,0))&gt;=100000), " ",IF(INDEX($V$2:$AE$1001,MATCH(ROWS($O$2:O745),$O$2:$O$1001,0),MATCH(COLUMNS($V$1006:AD1006),$V$1006:$AE$1006,0)), HYPERLINK("#",""), HYPERLINK(CONCATENATE("#Metadata!", ADDRESS(INDEX($Q$2:$Q$1001,MATCH(ROWS($O$2:O745),$O$2:$O$1001,0),0), INDEX($V$1004:$AE$1004,1,MATCH(COLUMNS($V$1006:AD1006),$V$1006:$AE$1006,0)))),"Fix")))</f>
        <v>0</v>
      </c>
      <c r="K745" s="4">
        <f>IF(OR(INDEX($P$2:$P$1001,MATCH(ROWS($O$2:O745),$O$2:$O$1001,0),1)&gt;=100000,INDEX($V$1005:$AE$1005,1,MATCH(COLUMNS($V$1006:AE1006),$V$1006:$AE$1006,0))&gt;=100000), " ",IF(INDEX($V$2:$AE$1001,MATCH(ROWS($O$2:O745),$O$2:$O$1001,0),MATCH(COLUMNS($V$1006:AE1006),$V$1006:$AE$1006,0)), HYPERLINK("#",""), HYPERLINK(CONCATENATE("#Metadata!", ADDRESS(INDEX($Q$2:$Q$1001,MATCH(ROWS($O$2:O745),$O$2:$O$1001,0),0), INDEX($V$1004:$AE$1004,1,MATCH(COLUMNS($V$1006:AE1006),$V$1006:$AE$1006,0)))),"Fix")))</f>
        <v>0</v>
      </c>
      <c r="O745">
        <v>0</v>
      </c>
      <c r="P745">
        <v>0</v>
      </c>
      <c r="Q745">
        <v>0</v>
      </c>
      <c r="R745">
        <f>IF(S745,TRUE,AND(V745:AE745))</f>
        <v>0</v>
      </c>
      <c r="S745">
        <f>COUNTBLANK(Metadata!B745:K745)=COLUMNS(Metadata!B745:K745)</f>
        <v>0</v>
      </c>
      <c r="T745">
        <v>0</v>
      </c>
      <c r="V745">
        <f>AND(IF(Metadata!B745="",FALSE,TRUE),COUNTIF(Metadata!B:B, Metadata!B745) = 1,NOT(ISERROR(SUMPRODUCT(SEARCH(MID(Metadata!B745,ROW(INDIRECT("1:"&amp;LEN(Metadata!B745))), 1),"0123456789abcdefghijklmnopqrstuvwxyzABCDEFGHIJKLMNOPQRSTUVWXYZ.")))))</f>
        <v>0</v>
      </c>
      <c r="W745">
        <f>AND(IF(Metadata!C745="",FALSE,TRUE),exact(Metadata!C745,"urban biome"))</f>
        <v>0</v>
      </c>
      <c r="X745">
        <f>AND(IF(Metadata!D745="",FALSE,TRUE),exact(Metadata!D745,"animal-associated habitat"))</f>
        <v>0</v>
      </c>
      <c r="Y745">
        <f>OR(AND(IF(Metadata!E745="",FALSE,TRUE),OR(exact(Metadata!E745,"not applicable"),exact(Metadata!E745,"missing: not collected"),exact(Metadata!E745,"missing: not provided"),exact(Metadata!E745,"missing: restricted access"))),AND(IF(Metadata!E745="",FALSE,ISNUMBER(VALUE(Metadata!E745))),Metadata!E745&gt;0))</f>
        <v>0</v>
      </c>
      <c r="Z745">
        <f>AND(IF(Metadata!F745="",FALSE,TRUE),exact(Metadata!F745,"weeks"))</f>
        <v>0</v>
      </c>
      <c r="AA745">
        <f>AND(IF(Metadata!G745="",FALSE,TRUE),exact(Metadata!G745,"mouse"))</f>
        <v>0</v>
      </c>
      <c r="AB745">
        <f>AND(IF(Metadata!H745="",FALSE,TRUE),exact(Metadata!H745,"Mus musculus"))</f>
        <v>0</v>
      </c>
      <c r="AC745">
        <f>AND(IF(Metadata!I745="",FALSE,TRUE),exact(Metadata!I745,"10090"))</f>
        <v>0</v>
      </c>
      <c r="AD745">
        <f>OR(AND(IF(Metadata!J745="",FALSE,TRUE),OR(exact(Metadata!J745,"not applicable"),exact(Metadata!J745,"missing: not collected"),exact(Metadata!J745,"missing: not provided"),exact(Metadata!J745,"missing: restricted access"))),AND(IF(Metadata!J745="",FALSE,ISNUMBER(VALUE(Metadata!J745))),Metadata!J745&gt;0))</f>
        <v>0</v>
      </c>
      <c r="AE745">
        <f>AND(IF(Metadata!K745="",FALSE,TRUE),exact(Metadata!K745,"g"))</f>
        <v>0</v>
      </c>
    </row>
    <row r="746" spans="1:31">
      <c r="A746" s="5">
        <f>IF(B746=" "," ",HYPERLINK(CONCATENATE("#metadata!",ADDRESS(INDEX($Q$2:$Q$1001,MATCH(ROWS($O$2:O746),$O$2:$O$1001,0),0),1)),INDEX($T$2:$T$1001,MATCH(ROWS($O$2:O746),$O$2:$O$1001,0),0)))</f>
        <v>0</v>
      </c>
      <c r="B746" s="4">
        <f>IF(OR(INDEX($P$2:$P$1001,MATCH(ROWS($O$2:O746),$O$2:$O$1001,0),1)&gt;=100000,INDEX($V$1005:$AE$1005,1,MATCH(COLUMNS($V$1006:V1006),$V$1006:$AE$1006,0))&gt;=100000), " ",IF(INDEX($V$2:$AE$1001,MATCH(ROWS($O$2:O746),$O$2:$O$1001,0),MATCH(COLUMNS($V$1006:V1006),$V$1006:$AE$1006,0)), HYPERLINK("#",""), HYPERLINK(CONCATENATE("#Metadata!", ADDRESS(INDEX($Q$2:$Q$1001,MATCH(ROWS($O$2:O746),$O$2:$O$1001,0),0), INDEX($V$1004:$AE$1004,1,MATCH(COLUMNS($V$1006:V1006),$V$1006:$AE$1006,0)))),"Fix")))</f>
        <v>0</v>
      </c>
      <c r="C746" s="4">
        <f>IF(OR(INDEX($P$2:$P$1001,MATCH(ROWS($O$2:O746),$O$2:$O$1001,0),1)&gt;=100000,INDEX($V$1005:$AE$1005,1,MATCH(COLUMNS($V$1006:W1006),$V$1006:$AE$1006,0))&gt;=100000), " ",IF(INDEX($V$2:$AE$1001,MATCH(ROWS($O$2:O746),$O$2:$O$1001,0),MATCH(COLUMNS($V$1006:W1006),$V$1006:$AE$1006,0)), HYPERLINK("#",""), HYPERLINK(CONCATENATE("#Metadata!", ADDRESS(INDEX($Q$2:$Q$1001,MATCH(ROWS($O$2:O746),$O$2:$O$1001,0),0), INDEX($V$1004:$AE$1004,1,MATCH(COLUMNS($V$1006:W1006),$V$1006:$AE$1006,0)))),"Fix")))</f>
        <v>0</v>
      </c>
      <c r="D746" s="4">
        <f>IF(OR(INDEX($P$2:$P$1001,MATCH(ROWS($O$2:O746),$O$2:$O$1001,0),1)&gt;=100000,INDEX($V$1005:$AE$1005,1,MATCH(COLUMNS($V$1006:X1006),$V$1006:$AE$1006,0))&gt;=100000), " ",IF(INDEX($V$2:$AE$1001,MATCH(ROWS($O$2:O746),$O$2:$O$1001,0),MATCH(COLUMNS($V$1006:X1006),$V$1006:$AE$1006,0)), HYPERLINK("#",""), HYPERLINK(CONCATENATE("#Metadata!", ADDRESS(INDEX($Q$2:$Q$1001,MATCH(ROWS($O$2:O746),$O$2:$O$1001,0),0), INDEX($V$1004:$AE$1004,1,MATCH(COLUMNS($V$1006:X1006),$V$1006:$AE$1006,0)))),"Fix")))</f>
        <v>0</v>
      </c>
      <c r="E746" s="4">
        <f>IF(OR(INDEX($P$2:$P$1001,MATCH(ROWS($O$2:O746),$O$2:$O$1001,0),1)&gt;=100000,INDEX($V$1005:$AE$1005,1,MATCH(COLUMNS($V$1006:Y1006),$V$1006:$AE$1006,0))&gt;=100000), " ",IF(INDEX($V$2:$AE$1001,MATCH(ROWS($O$2:O746),$O$2:$O$1001,0),MATCH(COLUMNS($V$1006:Y1006),$V$1006:$AE$1006,0)), HYPERLINK("#",""), HYPERLINK(CONCATENATE("#Metadata!", ADDRESS(INDEX($Q$2:$Q$1001,MATCH(ROWS($O$2:O746),$O$2:$O$1001,0),0), INDEX($V$1004:$AE$1004,1,MATCH(COLUMNS($V$1006:Y1006),$V$1006:$AE$1006,0)))),"Fix")))</f>
        <v>0</v>
      </c>
      <c r="F746" s="4">
        <f>IF(OR(INDEX($P$2:$P$1001,MATCH(ROWS($O$2:O746),$O$2:$O$1001,0),1)&gt;=100000,INDEX($V$1005:$AE$1005,1,MATCH(COLUMNS($V$1006:Z1006),$V$1006:$AE$1006,0))&gt;=100000), " ",IF(INDEX($V$2:$AE$1001,MATCH(ROWS($O$2:O746),$O$2:$O$1001,0),MATCH(COLUMNS($V$1006:Z1006),$V$1006:$AE$1006,0)), HYPERLINK("#",""), HYPERLINK(CONCATENATE("#Metadata!", ADDRESS(INDEX($Q$2:$Q$1001,MATCH(ROWS($O$2:O746),$O$2:$O$1001,0),0), INDEX($V$1004:$AE$1004,1,MATCH(COLUMNS($V$1006:Z1006),$V$1006:$AE$1006,0)))),"Fix")))</f>
        <v>0</v>
      </c>
      <c r="G746" s="4">
        <f>IF(OR(INDEX($P$2:$P$1001,MATCH(ROWS($O$2:O746),$O$2:$O$1001,0),1)&gt;=100000,INDEX($V$1005:$AE$1005,1,MATCH(COLUMNS($V$1006:AA1006),$V$1006:$AE$1006,0))&gt;=100000), " ",IF(INDEX($V$2:$AE$1001,MATCH(ROWS($O$2:O746),$O$2:$O$1001,0),MATCH(COLUMNS($V$1006:AA1006),$V$1006:$AE$1006,0)), HYPERLINK("#",""), HYPERLINK(CONCATENATE("#Metadata!", ADDRESS(INDEX($Q$2:$Q$1001,MATCH(ROWS($O$2:O746),$O$2:$O$1001,0),0), INDEX($V$1004:$AE$1004,1,MATCH(COLUMNS($V$1006:AA1006),$V$1006:$AE$1006,0)))),"Fix")))</f>
        <v>0</v>
      </c>
      <c r="H746" s="4">
        <f>IF(OR(INDEX($P$2:$P$1001,MATCH(ROWS($O$2:O746),$O$2:$O$1001,0),1)&gt;=100000,INDEX($V$1005:$AE$1005,1,MATCH(COLUMNS($V$1006:AB1006),$V$1006:$AE$1006,0))&gt;=100000), " ",IF(INDEX($V$2:$AE$1001,MATCH(ROWS($O$2:O746),$O$2:$O$1001,0),MATCH(COLUMNS($V$1006:AB1006),$V$1006:$AE$1006,0)), HYPERLINK("#",""), HYPERLINK(CONCATENATE("#Metadata!", ADDRESS(INDEX($Q$2:$Q$1001,MATCH(ROWS($O$2:O746),$O$2:$O$1001,0),0), INDEX($V$1004:$AE$1004,1,MATCH(COLUMNS($V$1006:AB1006),$V$1006:$AE$1006,0)))),"Fix")))</f>
        <v>0</v>
      </c>
      <c r="I746" s="4">
        <f>IF(OR(INDEX($P$2:$P$1001,MATCH(ROWS($O$2:O746),$O$2:$O$1001,0),1)&gt;=100000,INDEX($V$1005:$AE$1005,1,MATCH(COLUMNS($V$1006:AC1006),$V$1006:$AE$1006,0))&gt;=100000), " ",IF(INDEX($V$2:$AE$1001,MATCH(ROWS($O$2:O746),$O$2:$O$1001,0),MATCH(COLUMNS($V$1006:AC1006),$V$1006:$AE$1006,0)), HYPERLINK("#",""), HYPERLINK(CONCATENATE("#Metadata!", ADDRESS(INDEX($Q$2:$Q$1001,MATCH(ROWS($O$2:O746),$O$2:$O$1001,0),0), INDEX($V$1004:$AE$1004,1,MATCH(COLUMNS($V$1006:AC1006),$V$1006:$AE$1006,0)))),"Fix")))</f>
        <v>0</v>
      </c>
      <c r="J746" s="4">
        <f>IF(OR(INDEX($P$2:$P$1001,MATCH(ROWS($O$2:O746),$O$2:$O$1001,0),1)&gt;=100000,INDEX($V$1005:$AE$1005,1,MATCH(COLUMNS($V$1006:AD1006),$V$1006:$AE$1006,0))&gt;=100000), " ",IF(INDEX($V$2:$AE$1001,MATCH(ROWS($O$2:O746),$O$2:$O$1001,0),MATCH(COLUMNS($V$1006:AD1006),$V$1006:$AE$1006,0)), HYPERLINK("#",""), HYPERLINK(CONCATENATE("#Metadata!", ADDRESS(INDEX($Q$2:$Q$1001,MATCH(ROWS($O$2:O746),$O$2:$O$1001,0),0), INDEX($V$1004:$AE$1004,1,MATCH(COLUMNS($V$1006:AD1006),$V$1006:$AE$1006,0)))),"Fix")))</f>
        <v>0</v>
      </c>
      <c r="K746" s="4">
        <f>IF(OR(INDEX($P$2:$P$1001,MATCH(ROWS($O$2:O746),$O$2:$O$1001,0),1)&gt;=100000,INDEX($V$1005:$AE$1005,1,MATCH(COLUMNS($V$1006:AE1006),$V$1006:$AE$1006,0))&gt;=100000), " ",IF(INDEX($V$2:$AE$1001,MATCH(ROWS($O$2:O746),$O$2:$O$1001,0),MATCH(COLUMNS($V$1006:AE1006),$V$1006:$AE$1006,0)), HYPERLINK("#",""), HYPERLINK(CONCATENATE("#Metadata!", ADDRESS(INDEX($Q$2:$Q$1001,MATCH(ROWS($O$2:O746),$O$2:$O$1001,0),0), INDEX($V$1004:$AE$1004,1,MATCH(COLUMNS($V$1006:AE1006),$V$1006:$AE$1006,0)))),"Fix")))</f>
        <v>0</v>
      </c>
      <c r="O746">
        <v>0</v>
      </c>
      <c r="P746">
        <v>0</v>
      </c>
      <c r="Q746">
        <v>0</v>
      </c>
      <c r="R746">
        <f>IF(S746,TRUE,AND(V746:AE746))</f>
        <v>0</v>
      </c>
      <c r="S746">
        <f>COUNTBLANK(Metadata!B746:K746)=COLUMNS(Metadata!B746:K746)</f>
        <v>0</v>
      </c>
      <c r="T746">
        <v>0</v>
      </c>
      <c r="V746">
        <f>AND(IF(Metadata!B746="",FALSE,TRUE),COUNTIF(Metadata!B:B, Metadata!B746) = 1,NOT(ISERROR(SUMPRODUCT(SEARCH(MID(Metadata!B746,ROW(INDIRECT("1:"&amp;LEN(Metadata!B746))), 1),"0123456789abcdefghijklmnopqrstuvwxyzABCDEFGHIJKLMNOPQRSTUVWXYZ.")))))</f>
        <v>0</v>
      </c>
      <c r="W746">
        <f>AND(IF(Metadata!C746="",FALSE,TRUE),exact(Metadata!C746,"urban biome"))</f>
        <v>0</v>
      </c>
      <c r="X746">
        <f>AND(IF(Metadata!D746="",FALSE,TRUE),exact(Metadata!D746,"animal-associated habitat"))</f>
        <v>0</v>
      </c>
      <c r="Y746">
        <f>OR(AND(IF(Metadata!E746="",FALSE,TRUE),OR(exact(Metadata!E746,"not applicable"),exact(Metadata!E746,"missing: not collected"),exact(Metadata!E746,"missing: not provided"),exact(Metadata!E746,"missing: restricted access"))),AND(IF(Metadata!E746="",FALSE,ISNUMBER(VALUE(Metadata!E746))),Metadata!E746&gt;0))</f>
        <v>0</v>
      </c>
      <c r="Z746">
        <f>AND(IF(Metadata!F746="",FALSE,TRUE),exact(Metadata!F746,"weeks"))</f>
        <v>0</v>
      </c>
      <c r="AA746">
        <f>AND(IF(Metadata!G746="",FALSE,TRUE),exact(Metadata!G746,"mouse"))</f>
        <v>0</v>
      </c>
      <c r="AB746">
        <f>AND(IF(Metadata!H746="",FALSE,TRUE),exact(Metadata!H746,"Mus musculus"))</f>
        <v>0</v>
      </c>
      <c r="AC746">
        <f>AND(IF(Metadata!I746="",FALSE,TRUE),exact(Metadata!I746,"10090"))</f>
        <v>0</v>
      </c>
      <c r="AD746">
        <f>OR(AND(IF(Metadata!J746="",FALSE,TRUE),OR(exact(Metadata!J746,"not applicable"),exact(Metadata!J746,"missing: not collected"),exact(Metadata!J746,"missing: not provided"),exact(Metadata!J746,"missing: restricted access"))),AND(IF(Metadata!J746="",FALSE,ISNUMBER(VALUE(Metadata!J746))),Metadata!J746&gt;0))</f>
        <v>0</v>
      </c>
      <c r="AE746">
        <f>AND(IF(Metadata!K746="",FALSE,TRUE),exact(Metadata!K746,"g"))</f>
        <v>0</v>
      </c>
    </row>
    <row r="747" spans="1:31">
      <c r="A747" s="5">
        <f>IF(B747=" "," ",HYPERLINK(CONCATENATE("#metadata!",ADDRESS(INDEX($Q$2:$Q$1001,MATCH(ROWS($O$2:O747),$O$2:$O$1001,0),0),1)),INDEX($T$2:$T$1001,MATCH(ROWS($O$2:O747),$O$2:$O$1001,0),0)))</f>
        <v>0</v>
      </c>
      <c r="B747" s="4">
        <f>IF(OR(INDEX($P$2:$P$1001,MATCH(ROWS($O$2:O747),$O$2:$O$1001,0),1)&gt;=100000,INDEX($V$1005:$AE$1005,1,MATCH(COLUMNS($V$1006:V1006),$V$1006:$AE$1006,0))&gt;=100000), " ",IF(INDEX($V$2:$AE$1001,MATCH(ROWS($O$2:O747),$O$2:$O$1001,0),MATCH(COLUMNS($V$1006:V1006),$V$1006:$AE$1006,0)), HYPERLINK("#",""), HYPERLINK(CONCATENATE("#Metadata!", ADDRESS(INDEX($Q$2:$Q$1001,MATCH(ROWS($O$2:O747),$O$2:$O$1001,0),0), INDEX($V$1004:$AE$1004,1,MATCH(COLUMNS($V$1006:V1006),$V$1006:$AE$1006,0)))),"Fix")))</f>
        <v>0</v>
      </c>
      <c r="C747" s="4">
        <f>IF(OR(INDEX($P$2:$P$1001,MATCH(ROWS($O$2:O747),$O$2:$O$1001,0),1)&gt;=100000,INDEX($V$1005:$AE$1005,1,MATCH(COLUMNS($V$1006:W1006),$V$1006:$AE$1006,0))&gt;=100000), " ",IF(INDEX($V$2:$AE$1001,MATCH(ROWS($O$2:O747),$O$2:$O$1001,0),MATCH(COLUMNS($V$1006:W1006),$V$1006:$AE$1006,0)), HYPERLINK("#",""), HYPERLINK(CONCATENATE("#Metadata!", ADDRESS(INDEX($Q$2:$Q$1001,MATCH(ROWS($O$2:O747),$O$2:$O$1001,0),0), INDEX($V$1004:$AE$1004,1,MATCH(COLUMNS($V$1006:W1006),$V$1006:$AE$1006,0)))),"Fix")))</f>
        <v>0</v>
      </c>
      <c r="D747" s="4">
        <f>IF(OR(INDEX($P$2:$P$1001,MATCH(ROWS($O$2:O747),$O$2:$O$1001,0),1)&gt;=100000,INDEX($V$1005:$AE$1005,1,MATCH(COLUMNS($V$1006:X1006),$V$1006:$AE$1006,0))&gt;=100000), " ",IF(INDEX($V$2:$AE$1001,MATCH(ROWS($O$2:O747),$O$2:$O$1001,0),MATCH(COLUMNS($V$1006:X1006),$V$1006:$AE$1006,0)), HYPERLINK("#",""), HYPERLINK(CONCATENATE("#Metadata!", ADDRESS(INDEX($Q$2:$Q$1001,MATCH(ROWS($O$2:O747),$O$2:$O$1001,0),0), INDEX($V$1004:$AE$1004,1,MATCH(COLUMNS($V$1006:X1006),$V$1006:$AE$1006,0)))),"Fix")))</f>
        <v>0</v>
      </c>
      <c r="E747" s="4">
        <f>IF(OR(INDEX($P$2:$P$1001,MATCH(ROWS($O$2:O747),$O$2:$O$1001,0),1)&gt;=100000,INDEX($V$1005:$AE$1005,1,MATCH(COLUMNS($V$1006:Y1006),$V$1006:$AE$1006,0))&gt;=100000), " ",IF(INDEX($V$2:$AE$1001,MATCH(ROWS($O$2:O747),$O$2:$O$1001,0),MATCH(COLUMNS($V$1006:Y1006),$V$1006:$AE$1006,0)), HYPERLINK("#",""), HYPERLINK(CONCATENATE("#Metadata!", ADDRESS(INDEX($Q$2:$Q$1001,MATCH(ROWS($O$2:O747),$O$2:$O$1001,0),0), INDEX($V$1004:$AE$1004,1,MATCH(COLUMNS($V$1006:Y1006),$V$1006:$AE$1006,0)))),"Fix")))</f>
        <v>0</v>
      </c>
      <c r="F747" s="4">
        <f>IF(OR(INDEX($P$2:$P$1001,MATCH(ROWS($O$2:O747),$O$2:$O$1001,0),1)&gt;=100000,INDEX($V$1005:$AE$1005,1,MATCH(COLUMNS($V$1006:Z1006),$V$1006:$AE$1006,0))&gt;=100000), " ",IF(INDEX($V$2:$AE$1001,MATCH(ROWS($O$2:O747),$O$2:$O$1001,0),MATCH(COLUMNS($V$1006:Z1006),$V$1006:$AE$1006,0)), HYPERLINK("#",""), HYPERLINK(CONCATENATE("#Metadata!", ADDRESS(INDEX($Q$2:$Q$1001,MATCH(ROWS($O$2:O747),$O$2:$O$1001,0),0), INDEX($V$1004:$AE$1004,1,MATCH(COLUMNS($V$1006:Z1006),$V$1006:$AE$1006,0)))),"Fix")))</f>
        <v>0</v>
      </c>
      <c r="G747" s="4">
        <f>IF(OR(INDEX($P$2:$P$1001,MATCH(ROWS($O$2:O747),$O$2:$O$1001,0),1)&gt;=100000,INDEX($V$1005:$AE$1005,1,MATCH(COLUMNS($V$1006:AA1006),$V$1006:$AE$1006,0))&gt;=100000), " ",IF(INDEX($V$2:$AE$1001,MATCH(ROWS($O$2:O747),$O$2:$O$1001,0),MATCH(COLUMNS($V$1006:AA1006),$V$1006:$AE$1006,0)), HYPERLINK("#",""), HYPERLINK(CONCATENATE("#Metadata!", ADDRESS(INDEX($Q$2:$Q$1001,MATCH(ROWS($O$2:O747),$O$2:$O$1001,0),0), INDEX($V$1004:$AE$1004,1,MATCH(COLUMNS($V$1006:AA1006),$V$1006:$AE$1006,0)))),"Fix")))</f>
        <v>0</v>
      </c>
      <c r="H747" s="4">
        <f>IF(OR(INDEX($P$2:$P$1001,MATCH(ROWS($O$2:O747),$O$2:$O$1001,0),1)&gt;=100000,INDEX($V$1005:$AE$1005,1,MATCH(COLUMNS($V$1006:AB1006),$V$1006:$AE$1006,0))&gt;=100000), " ",IF(INDEX($V$2:$AE$1001,MATCH(ROWS($O$2:O747),$O$2:$O$1001,0),MATCH(COLUMNS($V$1006:AB1006),$V$1006:$AE$1006,0)), HYPERLINK("#",""), HYPERLINK(CONCATENATE("#Metadata!", ADDRESS(INDEX($Q$2:$Q$1001,MATCH(ROWS($O$2:O747),$O$2:$O$1001,0),0), INDEX($V$1004:$AE$1004,1,MATCH(COLUMNS($V$1006:AB1006),$V$1006:$AE$1006,0)))),"Fix")))</f>
        <v>0</v>
      </c>
      <c r="I747" s="4">
        <f>IF(OR(INDEX($P$2:$P$1001,MATCH(ROWS($O$2:O747),$O$2:$O$1001,0),1)&gt;=100000,INDEX($V$1005:$AE$1005,1,MATCH(COLUMNS($V$1006:AC1006),$V$1006:$AE$1006,0))&gt;=100000), " ",IF(INDEX($V$2:$AE$1001,MATCH(ROWS($O$2:O747),$O$2:$O$1001,0),MATCH(COLUMNS($V$1006:AC1006),$V$1006:$AE$1006,0)), HYPERLINK("#",""), HYPERLINK(CONCATENATE("#Metadata!", ADDRESS(INDEX($Q$2:$Q$1001,MATCH(ROWS($O$2:O747),$O$2:$O$1001,0),0), INDEX($V$1004:$AE$1004,1,MATCH(COLUMNS($V$1006:AC1006),$V$1006:$AE$1006,0)))),"Fix")))</f>
        <v>0</v>
      </c>
      <c r="J747" s="4">
        <f>IF(OR(INDEX($P$2:$P$1001,MATCH(ROWS($O$2:O747),$O$2:$O$1001,0),1)&gt;=100000,INDEX($V$1005:$AE$1005,1,MATCH(COLUMNS($V$1006:AD1006),$V$1006:$AE$1006,0))&gt;=100000), " ",IF(INDEX($V$2:$AE$1001,MATCH(ROWS($O$2:O747),$O$2:$O$1001,0),MATCH(COLUMNS($V$1006:AD1006),$V$1006:$AE$1006,0)), HYPERLINK("#",""), HYPERLINK(CONCATENATE("#Metadata!", ADDRESS(INDEX($Q$2:$Q$1001,MATCH(ROWS($O$2:O747),$O$2:$O$1001,0),0), INDEX($V$1004:$AE$1004,1,MATCH(COLUMNS($V$1006:AD1006),$V$1006:$AE$1006,0)))),"Fix")))</f>
        <v>0</v>
      </c>
      <c r="K747" s="4">
        <f>IF(OR(INDEX($P$2:$P$1001,MATCH(ROWS($O$2:O747),$O$2:$O$1001,0),1)&gt;=100000,INDEX($V$1005:$AE$1005,1,MATCH(COLUMNS($V$1006:AE1006),$V$1006:$AE$1006,0))&gt;=100000), " ",IF(INDEX($V$2:$AE$1001,MATCH(ROWS($O$2:O747),$O$2:$O$1001,0),MATCH(COLUMNS($V$1006:AE1006),$V$1006:$AE$1006,0)), HYPERLINK("#",""), HYPERLINK(CONCATENATE("#Metadata!", ADDRESS(INDEX($Q$2:$Q$1001,MATCH(ROWS($O$2:O747),$O$2:$O$1001,0),0), INDEX($V$1004:$AE$1004,1,MATCH(COLUMNS($V$1006:AE1006),$V$1006:$AE$1006,0)))),"Fix")))</f>
        <v>0</v>
      </c>
      <c r="O747">
        <v>0</v>
      </c>
      <c r="P747">
        <v>0</v>
      </c>
      <c r="Q747">
        <v>0</v>
      </c>
      <c r="R747">
        <f>IF(S747,TRUE,AND(V747:AE747))</f>
        <v>0</v>
      </c>
      <c r="S747">
        <f>COUNTBLANK(Metadata!B747:K747)=COLUMNS(Metadata!B747:K747)</f>
        <v>0</v>
      </c>
      <c r="T747">
        <v>0</v>
      </c>
      <c r="V747">
        <f>AND(IF(Metadata!B747="",FALSE,TRUE),COUNTIF(Metadata!B:B, Metadata!B747) = 1,NOT(ISERROR(SUMPRODUCT(SEARCH(MID(Metadata!B747,ROW(INDIRECT("1:"&amp;LEN(Metadata!B747))), 1),"0123456789abcdefghijklmnopqrstuvwxyzABCDEFGHIJKLMNOPQRSTUVWXYZ.")))))</f>
        <v>0</v>
      </c>
      <c r="W747">
        <f>AND(IF(Metadata!C747="",FALSE,TRUE),exact(Metadata!C747,"urban biome"))</f>
        <v>0</v>
      </c>
      <c r="X747">
        <f>AND(IF(Metadata!D747="",FALSE,TRUE),exact(Metadata!D747,"animal-associated habitat"))</f>
        <v>0</v>
      </c>
      <c r="Y747">
        <f>OR(AND(IF(Metadata!E747="",FALSE,TRUE),OR(exact(Metadata!E747,"not applicable"),exact(Metadata!E747,"missing: not collected"),exact(Metadata!E747,"missing: not provided"),exact(Metadata!E747,"missing: restricted access"))),AND(IF(Metadata!E747="",FALSE,ISNUMBER(VALUE(Metadata!E747))),Metadata!E747&gt;0))</f>
        <v>0</v>
      </c>
      <c r="Z747">
        <f>AND(IF(Metadata!F747="",FALSE,TRUE),exact(Metadata!F747,"weeks"))</f>
        <v>0</v>
      </c>
      <c r="AA747">
        <f>AND(IF(Metadata!G747="",FALSE,TRUE),exact(Metadata!G747,"mouse"))</f>
        <v>0</v>
      </c>
      <c r="AB747">
        <f>AND(IF(Metadata!H747="",FALSE,TRUE),exact(Metadata!H747,"Mus musculus"))</f>
        <v>0</v>
      </c>
      <c r="AC747">
        <f>AND(IF(Metadata!I747="",FALSE,TRUE),exact(Metadata!I747,"10090"))</f>
        <v>0</v>
      </c>
      <c r="AD747">
        <f>OR(AND(IF(Metadata!J747="",FALSE,TRUE),OR(exact(Metadata!J747,"not applicable"),exact(Metadata!J747,"missing: not collected"),exact(Metadata!J747,"missing: not provided"),exact(Metadata!J747,"missing: restricted access"))),AND(IF(Metadata!J747="",FALSE,ISNUMBER(VALUE(Metadata!J747))),Metadata!J747&gt;0))</f>
        <v>0</v>
      </c>
      <c r="AE747">
        <f>AND(IF(Metadata!K747="",FALSE,TRUE),exact(Metadata!K747,"g"))</f>
        <v>0</v>
      </c>
    </row>
    <row r="748" spans="1:31">
      <c r="A748" s="5">
        <f>IF(B748=" "," ",HYPERLINK(CONCATENATE("#metadata!",ADDRESS(INDEX($Q$2:$Q$1001,MATCH(ROWS($O$2:O748),$O$2:$O$1001,0),0),1)),INDEX($T$2:$T$1001,MATCH(ROWS($O$2:O748),$O$2:$O$1001,0),0)))</f>
        <v>0</v>
      </c>
      <c r="B748" s="4">
        <f>IF(OR(INDEX($P$2:$P$1001,MATCH(ROWS($O$2:O748),$O$2:$O$1001,0),1)&gt;=100000,INDEX($V$1005:$AE$1005,1,MATCH(COLUMNS($V$1006:V1006),$V$1006:$AE$1006,0))&gt;=100000), " ",IF(INDEX($V$2:$AE$1001,MATCH(ROWS($O$2:O748),$O$2:$O$1001,0),MATCH(COLUMNS($V$1006:V1006),$V$1006:$AE$1006,0)), HYPERLINK("#",""), HYPERLINK(CONCATENATE("#Metadata!", ADDRESS(INDEX($Q$2:$Q$1001,MATCH(ROWS($O$2:O748),$O$2:$O$1001,0),0), INDEX($V$1004:$AE$1004,1,MATCH(COLUMNS($V$1006:V1006),$V$1006:$AE$1006,0)))),"Fix")))</f>
        <v>0</v>
      </c>
      <c r="C748" s="4">
        <f>IF(OR(INDEX($P$2:$P$1001,MATCH(ROWS($O$2:O748),$O$2:$O$1001,0),1)&gt;=100000,INDEX($V$1005:$AE$1005,1,MATCH(COLUMNS($V$1006:W1006),$V$1006:$AE$1006,0))&gt;=100000), " ",IF(INDEX($V$2:$AE$1001,MATCH(ROWS($O$2:O748),$O$2:$O$1001,0),MATCH(COLUMNS($V$1006:W1006),$V$1006:$AE$1006,0)), HYPERLINK("#",""), HYPERLINK(CONCATENATE("#Metadata!", ADDRESS(INDEX($Q$2:$Q$1001,MATCH(ROWS($O$2:O748),$O$2:$O$1001,0),0), INDEX($V$1004:$AE$1004,1,MATCH(COLUMNS($V$1006:W1006),$V$1006:$AE$1006,0)))),"Fix")))</f>
        <v>0</v>
      </c>
      <c r="D748" s="4">
        <f>IF(OR(INDEX($P$2:$P$1001,MATCH(ROWS($O$2:O748),$O$2:$O$1001,0),1)&gt;=100000,INDEX($V$1005:$AE$1005,1,MATCH(COLUMNS($V$1006:X1006),$V$1006:$AE$1006,0))&gt;=100000), " ",IF(INDEX($V$2:$AE$1001,MATCH(ROWS($O$2:O748),$O$2:$O$1001,0),MATCH(COLUMNS($V$1006:X1006),$V$1006:$AE$1006,0)), HYPERLINK("#",""), HYPERLINK(CONCATENATE("#Metadata!", ADDRESS(INDEX($Q$2:$Q$1001,MATCH(ROWS($O$2:O748),$O$2:$O$1001,0),0), INDEX($V$1004:$AE$1004,1,MATCH(COLUMNS($V$1006:X1006),$V$1006:$AE$1006,0)))),"Fix")))</f>
        <v>0</v>
      </c>
      <c r="E748" s="4">
        <f>IF(OR(INDEX($P$2:$P$1001,MATCH(ROWS($O$2:O748),$O$2:$O$1001,0),1)&gt;=100000,INDEX($V$1005:$AE$1005,1,MATCH(COLUMNS($V$1006:Y1006),$V$1006:$AE$1006,0))&gt;=100000), " ",IF(INDEX($V$2:$AE$1001,MATCH(ROWS($O$2:O748),$O$2:$O$1001,0),MATCH(COLUMNS($V$1006:Y1006),$V$1006:$AE$1006,0)), HYPERLINK("#",""), HYPERLINK(CONCATENATE("#Metadata!", ADDRESS(INDEX($Q$2:$Q$1001,MATCH(ROWS($O$2:O748),$O$2:$O$1001,0),0), INDEX($V$1004:$AE$1004,1,MATCH(COLUMNS($V$1006:Y1006),$V$1006:$AE$1006,0)))),"Fix")))</f>
        <v>0</v>
      </c>
      <c r="F748" s="4">
        <f>IF(OR(INDEX($P$2:$P$1001,MATCH(ROWS($O$2:O748),$O$2:$O$1001,0),1)&gt;=100000,INDEX($V$1005:$AE$1005,1,MATCH(COLUMNS($V$1006:Z1006),$V$1006:$AE$1006,0))&gt;=100000), " ",IF(INDEX($V$2:$AE$1001,MATCH(ROWS($O$2:O748),$O$2:$O$1001,0),MATCH(COLUMNS($V$1006:Z1006),$V$1006:$AE$1006,0)), HYPERLINK("#",""), HYPERLINK(CONCATENATE("#Metadata!", ADDRESS(INDEX($Q$2:$Q$1001,MATCH(ROWS($O$2:O748),$O$2:$O$1001,0),0), INDEX($V$1004:$AE$1004,1,MATCH(COLUMNS($V$1006:Z1006),$V$1006:$AE$1006,0)))),"Fix")))</f>
        <v>0</v>
      </c>
      <c r="G748" s="4">
        <f>IF(OR(INDEX($P$2:$P$1001,MATCH(ROWS($O$2:O748),$O$2:$O$1001,0),1)&gt;=100000,INDEX($V$1005:$AE$1005,1,MATCH(COLUMNS($V$1006:AA1006),$V$1006:$AE$1006,0))&gt;=100000), " ",IF(INDEX($V$2:$AE$1001,MATCH(ROWS($O$2:O748),$O$2:$O$1001,0),MATCH(COLUMNS($V$1006:AA1006),$V$1006:$AE$1006,0)), HYPERLINK("#",""), HYPERLINK(CONCATENATE("#Metadata!", ADDRESS(INDEX($Q$2:$Q$1001,MATCH(ROWS($O$2:O748),$O$2:$O$1001,0),0), INDEX($V$1004:$AE$1004,1,MATCH(COLUMNS($V$1006:AA1006),$V$1006:$AE$1006,0)))),"Fix")))</f>
        <v>0</v>
      </c>
      <c r="H748" s="4">
        <f>IF(OR(INDEX($P$2:$P$1001,MATCH(ROWS($O$2:O748),$O$2:$O$1001,0),1)&gt;=100000,INDEX($V$1005:$AE$1005,1,MATCH(COLUMNS($V$1006:AB1006),$V$1006:$AE$1006,0))&gt;=100000), " ",IF(INDEX($V$2:$AE$1001,MATCH(ROWS($O$2:O748),$O$2:$O$1001,0),MATCH(COLUMNS($V$1006:AB1006),$V$1006:$AE$1006,0)), HYPERLINK("#",""), HYPERLINK(CONCATENATE("#Metadata!", ADDRESS(INDEX($Q$2:$Q$1001,MATCH(ROWS($O$2:O748),$O$2:$O$1001,0),0), INDEX($V$1004:$AE$1004,1,MATCH(COLUMNS($V$1006:AB1006),$V$1006:$AE$1006,0)))),"Fix")))</f>
        <v>0</v>
      </c>
      <c r="I748" s="4">
        <f>IF(OR(INDEX($P$2:$P$1001,MATCH(ROWS($O$2:O748),$O$2:$O$1001,0),1)&gt;=100000,INDEX($V$1005:$AE$1005,1,MATCH(COLUMNS($V$1006:AC1006),$V$1006:$AE$1006,0))&gt;=100000), " ",IF(INDEX($V$2:$AE$1001,MATCH(ROWS($O$2:O748),$O$2:$O$1001,0),MATCH(COLUMNS($V$1006:AC1006),$V$1006:$AE$1006,0)), HYPERLINK("#",""), HYPERLINK(CONCATENATE("#Metadata!", ADDRESS(INDEX($Q$2:$Q$1001,MATCH(ROWS($O$2:O748),$O$2:$O$1001,0),0), INDEX($V$1004:$AE$1004,1,MATCH(COLUMNS($V$1006:AC1006),$V$1006:$AE$1006,0)))),"Fix")))</f>
        <v>0</v>
      </c>
      <c r="J748" s="4">
        <f>IF(OR(INDEX($P$2:$P$1001,MATCH(ROWS($O$2:O748),$O$2:$O$1001,0),1)&gt;=100000,INDEX($V$1005:$AE$1005,1,MATCH(COLUMNS($V$1006:AD1006),$V$1006:$AE$1006,0))&gt;=100000), " ",IF(INDEX($V$2:$AE$1001,MATCH(ROWS($O$2:O748),$O$2:$O$1001,0),MATCH(COLUMNS($V$1006:AD1006),$V$1006:$AE$1006,0)), HYPERLINK("#",""), HYPERLINK(CONCATENATE("#Metadata!", ADDRESS(INDEX($Q$2:$Q$1001,MATCH(ROWS($O$2:O748),$O$2:$O$1001,0),0), INDEX($V$1004:$AE$1004,1,MATCH(COLUMNS($V$1006:AD1006),$V$1006:$AE$1006,0)))),"Fix")))</f>
        <v>0</v>
      </c>
      <c r="K748" s="4">
        <f>IF(OR(INDEX($P$2:$P$1001,MATCH(ROWS($O$2:O748),$O$2:$O$1001,0),1)&gt;=100000,INDEX($V$1005:$AE$1005,1,MATCH(COLUMNS($V$1006:AE1006),$V$1006:$AE$1006,0))&gt;=100000), " ",IF(INDEX($V$2:$AE$1001,MATCH(ROWS($O$2:O748),$O$2:$O$1001,0),MATCH(COLUMNS($V$1006:AE1006),$V$1006:$AE$1006,0)), HYPERLINK("#",""), HYPERLINK(CONCATENATE("#Metadata!", ADDRESS(INDEX($Q$2:$Q$1001,MATCH(ROWS($O$2:O748),$O$2:$O$1001,0),0), INDEX($V$1004:$AE$1004,1,MATCH(COLUMNS($V$1006:AE1006),$V$1006:$AE$1006,0)))),"Fix")))</f>
        <v>0</v>
      </c>
      <c r="O748">
        <v>0</v>
      </c>
      <c r="P748">
        <v>0</v>
      </c>
      <c r="Q748">
        <v>0</v>
      </c>
      <c r="R748">
        <f>IF(S748,TRUE,AND(V748:AE748))</f>
        <v>0</v>
      </c>
      <c r="S748">
        <f>COUNTBLANK(Metadata!B748:K748)=COLUMNS(Metadata!B748:K748)</f>
        <v>0</v>
      </c>
      <c r="T748">
        <v>0</v>
      </c>
      <c r="V748">
        <f>AND(IF(Metadata!B748="",FALSE,TRUE),COUNTIF(Metadata!B:B, Metadata!B748) = 1,NOT(ISERROR(SUMPRODUCT(SEARCH(MID(Metadata!B748,ROW(INDIRECT("1:"&amp;LEN(Metadata!B748))), 1),"0123456789abcdefghijklmnopqrstuvwxyzABCDEFGHIJKLMNOPQRSTUVWXYZ.")))))</f>
        <v>0</v>
      </c>
      <c r="W748">
        <f>AND(IF(Metadata!C748="",FALSE,TRUE),exact(Metadata!C748,"urban biome"))</f>
        <v>0</v>
      </c>
      <c r="X748">
        <f>AND(IF(Metadata!D748="",FALSE,TRUE),exact(Metadata!D748,"animal-associated habitat"))</f>
        <v>0</v>
      </c>
      <c r="Y748">
        <f>OR(AND(IF(Metadata!E748="",FALSE,TRUE),OR(exact(Metadata!E748,"not applicable"),exact(Metadata!E748,"missing: not collected"),exact(Metadata!E748,"missing: not provided"),exact(Metadata!E748,"missing: restricted access"))),AND(IF(Metadata!E748="",FALSE,ISNUMBER(VALUE(Metadata!E748))),Metadata!E748&gt;0))</f>
        <v>0</v>
      </c>
      <c r="Z748">
        <f>AND(IF(Metadata!F748="",FALSE,TRUE),exact(Metadata!F748,"weeks"))</f>
        <v>0</v>
      </c>
      <c r="AA748">
        <f>AND(IF(Metadata!G748="",FALSE,TRUE),exact(Metadata!G748,"mouse"))</f>
        <v>0</v>
      </c>
      <c r="AB748">
        <f>AND(IF(Metadata!H748="",FALSE,TRUE),exact(Metadata!H748,"Mus musculus"))</f>
        <v>0</v>
      </c>
      <c r="AC748">
        <f>AND(IF(Metadata!I748="",FALSE,TRUE),exact(Metadata!I748,"10090"))</f>
        <v>0</v>
      </c>
      <c r="AD748">
        <f>OR(AND(IF(Metadata!J748="",FALSE,TRUE),OR(exact(Metadata!J748,"not applicable"),exact(Metadata!J748,"missing: not collected"),exact(Metadata!J748,"missing: not provided"),exact(Metadata!J748,"missing: restricted access"))),AND(IF(Metadata!J748="",FALSE,ISNUMBER(VALUE(Metadata!J748))),Metadata!J748&gt;0))</f>
        <v>0</v>
      </c>
      <c r="AE748">
        <f>AND(IF(Metadata!K748="",FALSE,TRUE),exact(Metadata!K748,"g"))</f>
        <v>0</v>
      </c>
    </row>
    <row r="749" spans="1:31">
      <c r="A749" s="5">
        <f>IF(B749=" "," ",HYPERLINK(CONCATENATE("#metadata!",ADDRESS(INDEX($Q$2:$Q$1001,MATCH(ROWS($O$2:O749),$O$2:$O$1001,0),0),1)),INDEX($T$2:$T$1001,MATCH(ROWS($O$2:O749),$O$2:$O$1001,0),0)))</f>
        <v>0</v>
      </c>
      <c r="B749" s="4">
        <f>IF(OR(INDEX($P$2:$P$1001,MATCH(ROWS($O$2:O749),$O$2:$O$1001,0),1)&gt;=100000,INDEX($V$1005:$AE$1005,1,MATCH(COLUMNS($V$1006:V1006),$V$1006:$AE$1006,0))&gt;=100000), " ",IF(INDEX($V$2:$AE$1001,MATCH(ROWS($O$2:O749),$O$2:$O$1001,0),MATCH(COLUMNS($V$1006:V1006),$V$1006:$AE$1006,0)), HYPERLINK("#",""), HYPERLINK(CONCATENATE("#Metadata!", ADDRESS(INDEX($Q$2:$Q$1001,MATCH(ROWS($O$2:O749),$O$2:$O$1001,0),0), INDEX($V$1004:$AE$1004,1,MATCH(COLUMNS($V$1006:V1006),$V$1006:$AE$1006,0)))),"Fix")))</f>
        <v>0</v>
      </c>
      <c r="C749" s="4">
        <f>IF(OR(INDEX($P$2:$P$1001,MATCH(ROWS($O$2:O749),$O$2:$O$1001,0),1)&gt;=100000,INDEX($V$1005:$AE$1005,1,MATCH(COLUMNS($V$1006:W1006),$V$1006:$AE$1006,0))&gt;=100000), " ",IF(INDEX($V$2:$AE$1001,MATCH(ROWS($O$2:O749),$O$2:$O$1001,0),MATCH(COLUMNS($V$1006:W1006),$V$1006:$AE$1006,0)), HYPERLINK("#",""), HYPERLINK(CONCATENATE("#Metadata!", ADDRESS(INDEX($Q$2:$Q$1001,MATCH(ROWS($O$2:O749),$O$2:$O$1001,0),0), INDEX($V$1004:$AE$1004,1,MATCH(COLUMNS($V$1006:W1006),$V$1006:$AE$1006,0)))),"Fix")))</f>
        <v>0</v>
      </c>
      <c r="D749" s="4">
        <f>IF(OR(INDEX($P$2:$P$1001,MATCH(ROWS($O$2:O749),$O$2:$O$1001,0),1)&gt;=100000,INDEX($V$1005:$AE$1005,1,MATCH(COLUMNS($V$1006:X1006),$V$1006:$AE$1006,0))&gt;=100000), " ",IF(INDEX($V$2:$AE$1001,MATCH(ROWS($O$2:O749),$O$2:$O$1001,0),MATCH(COLUMNS($V$1006:X1006),$V$1006:$AE$1006,0)), HYPERLINK("#",""), HYPERLINK(CONCATENATE("#Metadata!", ADDRESS(INDEX($Q$2:$Q$1001,MATCH(ROWS($O$2:O749),$O$2:$O$1001,0),0), INDEX($V$1004:$AE$1004,1,MATCH(COLUMNS($V$1006:X1006),$V$1006:$AE$1006,0)))),"Fix")))</f>
        <v>0</v>
      </c>
      <c r="E749" s="4">
        <f>IF(OR(INDEX($P$2:$P$1001,MATCH(ROWS($O$2:O749),$O$2:$O$1001,0),1)&gt;=100000,INDEX($V$1005:$AE$1005,1,MATCH(COLUMNS($V$1006:Y1006),$V$1006:$AE$1006,0))&gt;=100000), " ",IF(INDEX($V$2:$AE$1001,MATCH(ROWS($O$2:O749),$O$2:$O$1001,0),MATCH(COLUMNS($V$1006:Y1006),$V$1006:$AE$1006,0)), HYPERLINK("#",""), HYPERLINK(CONCATENATE("#Metadata!", ADDRESS(INDEX($Q$2:$Q$1001,MATCH(ROWS($O$2:O749),$O$2:$O$1001,0),0), INDEX($V$1004:$AE$1004,1,MATCH(COLUMNS($V$1006:Y1006),$V$1006:$AE$1006,0)))),"Fix")))</f>
        <v>0</v>
      </c>
      <c r="F749" s="4">
        <f>IF(OR(INDEX($P$2:$P$1001,MATCH(ROWS($O$2:O749),$O$2:$O$1001,0),1)&gt;=100000,INDEX($V$1005:$AE$1005,1,MATCH(COLUMNS($V$1006:Z1006),$V$1006:$AE$1006,0))&gt;=100000), " ",IF(INDEX($V$2:$AE$1001,MATCH(ROWS($O$2:O749),$O$2:$O$1001,0),MATCH(COLUMNS($V$1006:Z1006),$V$1006:$AE$1006,0)), HYPERLINK("#",""), HYPERLINK(CONCATENATE("#Metadata!", ADDRESS(INDEX($Q$2:$Q$1001,MATCH(ROWS($O$2:O749),$O$2:$O$1001,0),0), INDEX($V$1004:$AE$1004,1,MATCH(COLUMNS($V$1006:Z1006),$V$1006:$AE$1006,0)))),"Fix")))</f>
        <v>0</v>
      </c>
      <c r="G749" s="4">
        <f>IF(OR(INDEX($P$2:$P$1001,MATCH(ROWS($O$2:O749),$O$2:$O$1001,0),1)&gt;=100000,INDEX($V$1005:$AE$1005,1,MATCH(COLUMNS($V$1006:AA1006),$V$1006:$AE$1006,0))&gt;=100000), " ",IF(INDEX($V$2:$AE$1001,MATCH(ROWS($O$2:O749),$O$2:$O$1001,0),MATCH(COLUMNS($V$1006:AA1006),$V$1006:$AE$1006,0)), HYPERLINK("#",""), HYPERLINK(CONCATENATE("#Metadata!", ADDRESS(INDEX($Q$2:$Q$1001,MATCH(ROWS($O$2:O749),$O$2:$O$1001,0),0), INDEX($V$1004:$AE$1004,1,MATCH(COLUMNS($V$1006:AA1006),$V$1006:$AE$1006,0)))),"Fix")))</f>
        <v>0</v>
      </c>
      <c r="H749" s="4">
        <f>IF(OR(INDEX($P$2:$P$1001,MATCH(ROWS($O$2:O749),$O$2:$O$1001,0),1)&gt;=100000,INDEX($V$1005:$AE$1005,1,MATCH(COLUMNS($V$1006:AB1006),$V$1006:$AE$1006,0))&gt;=100000), " ",IF(INDEX($V$2:$AE$1001,MATCH(ROWS($O$2:O749),$O$2:$O$1001,0),MATCH(COLUMNS($V$1006:AB1006),$V$1006:$AE$1006,0)), HYPERLINK("#",""), HYPERLINK(CONCATENATE("#Metadata!", ADDRESS(INDEX($Q$2:$Q$1001,MATCH(ROWS($O$2:O749),$O$2:$O$1001,0),0), INDEX($V$1004:$AE$1004,1,MATCH(COLUMNS($V$1006:AB1006),$V$1006:$AE$1006,0)))),"Fix")))</f>
        <v>0</v>
      </c>
      <c r="I749" s="4">
        <f>IF(OR(INDEX($P$2:$P$1001,MATCH(ROWS($O$2:O749),$O$2:$O$1001,0),1)&gt;=100000,INDEX($V$1005:$AE$1005,1,MATCH(COLUMNS($V$1006:AC1006),$V$1006:$AE$1006,0))&gt;=100000), " ",IF(INDEX($V$2:$AE$1001,MATCH(ROWS($O$2:O749),$O$2:$O$1001,0),MATCH(COLUMNS($V$1006:AC1006),$V$1006:$AE$1006,0)), HYPERLINK("#",""), HYPERLINK(CONCATENATE("#Metadata!", ADDRESS(INDEX($Q$2:$Q$1001,MATCH(ROWS($O$2:O749),$O$2:$O$1001,0),0), INDEX($V$1004:$AE$1004,1,MATCH(COLUMNS($V$1006:AC1006),$V$1006:$AE$1006,0)))),"Fix")))</f>
        <v>0</v>
      </c>
      <c r="J749" s="4">
        <f>IF(OR(INDEX($P$2:$P$1001,MATCH(ROWS($O$2:O749),$O$2:$O$1001,0),1)&gt;=100000,INDEX($V$1005:$AE$1005,1,MATCH(COLUMNS($V$1006:AD1006),$V$1006:$AE$1006,0))&gt;=100000), " ",IF(INDEX($V$2:$AE$1001,MATCH(ROWS($O$2:O749),$O$2:$O$1001,0),MATCH(COLUMNS($V$1006:AD1006),$V$1006:$AE$1006,0)), HYPERLINK("#",""), HYPERLINK(CONCATENATE("#Metadata!", ADDRESS(INDEX($Q$2:$Q$1001,MATCH(ROWS($O$2:O749),$O$2:$O$1001,0),0), INDEX($V$1004:$AE$1004,1,MATCH(COLUMNS($V$1006:AD1006),$V$1006:$AE$1006,0)))),"Fix")))</f>
        <v>0</v>
      </c>
      <c r="K749" s="4">
        <f>IF(OR(INDEX($P$2:$P$1001,MATCH(ROWS($O$2:O749),$O$2:$O$1001,0),1)&gt;=100000,INDEX($V$1005:$AE$1005,1,MATCH(COLUMNS($V$1006:AE1006),$V$1006:$AE$1006,0))&gt;=100000), " ",IF(INDEX($V$2:$AE$1001,MATCH(ROWS($O$2:O749),$O$2:$O$1001,0),MATCH(COLUMNS($V$1006:AE1006),$V$1006:$AE$1006,0)), HYPERLINK("#",""), HYPERLINK(CONCATENATE("#Metadata!", ADDRESS(INDEX($Q$2:$Q$1001,MATCH(ROWS($O$2:O749),$O$2:$O$1001,0),0), INDEX($V$1004:$AE$1004,1,MATCH(COLUMNS($V$1006:AE1006),$V$1006:$AE$1006,0)))),"Fix")))</f>
        <v>0</v>
      </c>
      <c r="O749">
        <v>0</v>
      </c>
      <c r="P749">
        <v>0</v>
      </c>
      <c r="Q749">
        <v>0</v>
      </c>
      <c r="R749">
        <f>IF(S749,TRUE,AND(V749:AE749))</f>
        <v>0</v>
      </c>
      <c r="S749">
        <f>COUNTBLANK(Metadata!B749:K749)=COLUMNS(Metadata!B749:K749)</f>
        <v>0</v>
      </c>
      <c r="T749">
        <v>0</v>
      </c>
      <c r="V749">
        <f>AND(IF(Metadata!B749="",FALSE,TRUE),COUNTIF(Metadata!B:B, Metadata!B749) = 1,NOT(ISERROR(SUMPRODUCT(SEARCH(MID(Metadata!B749,ROW(INDIRECT("1:"&amp;LEN(Metadata!B749))), 1),"0123456789abcdefghijklmnopqrstuvwxyzABCDEFGHIJKLMNOPQRSTUVWXYZ.")))))</f>
        <v>0</v>
      </c>
      <c r="W749">
        <f>AND(IF(Metadata!C749="",FALSE,TRUE),exact(Metadata!C749,"urban biome"))</f>
        <v>0</v>
      </c>
      <c r="X749">
        <f>AND(IF(Metadata!D749="",FALSE,TRUE),exact(Metadata!D749,"animal-associated habitat"))</f>
        <v>0</v>
      </c>
      <c r="Y749">
        <f>OR(AND(IF(Metadata!E749="",FALSE,TRUE),OR(exact(Metadata!E749,"not applicable"),exact(Metadata!E749,"missing: not collected"),exact(Metadata!E749,"missing: not provided"),exact(Metadata!E749,"missing: restricted access"))),AND(IF(Metadata!E749="",FALSE,ISNUMBER(VALUE(Metadata!E749))),Metadata!E749&gt;0))</f>
        <v>0</v>
      </c>
      <c r="Z749">
        <f>AND(IF(Metadata!F749="",FALSE,TRUE),exact(Metadata!F749,"weeks"))</f>
        <v>0</v>
      </c>
      <c r="AA749">
        <f>AND(IF(Metadata!G749="",FALSE,TRUE),exact(Metadata!G749,"mouse"))</f>
        <v>0</v>
      </c>
      <c r="AB749">
        <f>AND(IF(Metadata!H749="",FALSE,TRUE),exact(Metadata!H749,"Mus musculus"))</f>
        <v>0</v>
      </c>
      <c r="AC749">
        <f>AND(IF(Metadata!I749="",FALSE,TRUE),exact(Metadata!I749,"10090"))</f>
        <v>0</v>
      </c>
      <c r="AD749">
        <f>OR(AND(IF(Metadata!J749="",FALSE,TRUE),OR(exact(Metadata!J749,"not applicable"),exact(Metadata!J749,"missing: not collected"),exact(Metadata!J749,"missing: not provided"),exact(Metadata!J749,"missing: restricted access"))),AND(IF(Metadata!J749="",FALSE,ISNUMBER(VALUE(Metadata!J749))),Metadata!J749&gt;0))</f>
        <v>0</v>
      </c>
      <c r="AE749">
        <f>AND(IF(Metadata!K749="",FALSE,TRUE),exact(Metadata!K749,"g"))</f>
        <v>0</v>
      </c>
    </row>
    <row r="750" spans="1:31">
      <c r="A750" s="5">
        <f>IF(B750=" "," ",HYPERLINK(CONCATENATE("#metadata!",ADDRESS(INDEX($Q$2:$Q$1001,MATCH(ROWS($O$2:O750),$O$2:$O$1001,0),0),1)),INDEX($T$2:$T$1001,MATCH(ROWS($O$2:O750),$O$2:$O$1001,0),0)))</f>
        <v>0</v>
      </c>
      <c r="B750" s="4">
        <f>IF(OR(INDEX($P$2:$P$1001,MATCH(ROWS($O$2:O750),$O$2:$O$1001,0),1)&gt;=100000,INDEX($V$1005:$AE$1005,1,MATCH(COLUMNS($V$1006:V1006),$V$1006:$AE$1006,0))&gt;=100000), " ",IF(INDEX($V$2:$AE$1001,MATCH(ROWS($O$2:O750),$O$2:$O$1001,0),MATCH(COLUMNS($V$1006:V1006),$V$1006:$AE$1006,0)), HYPERLINK("#",""), HYPERLINK(CONCATENATE("#Metadata!", ADDRESS(INDEX($Q$2:$Q$1001,MATCH(ROWS($O$2:O750),$O$2:$O$1001,0),0), INDEX($V$1004:$AE$1004,1,MATCH(COLUMNS($V$1006:V1006),$V$1006:$AE$1006,0)))),"Fix")))</f>
        <v>0</v>
      </c>
      <c r="C750" s="4">
        <f>IF(OR(INDEX($P$2:$P$1001,MATCH(ROWS($O$2:O750),$O$2:$O$1001,0),1)&gt;=100000,INDEX($V$1005:$AE$1005,1,MATCH(COLUMNS($V$1006:W1006),$V$1006:$AE$1006,0))&gt;=100000), " ",IF(INDEX($V$2:$AE$1001,MATCH(ROWS($O$2:O750),$O$2:$O$1001,0),MATCH(COLUMNS($V$1006:W1006),$V$1006:$AE$1006,0)), HYPERLINK("#",""), HYPERLINK(CONCATENATE("#Metadata!", ADDRESS(INDEX($Q$2:$Q$1001,MATCH(ROWS($O$2:O750),$O$2:$O$1001,0),0), INDEX($V$1004:$AE$1004,1,MATCH(COLUMNS($V$1006:W1006),$V$1006:$AE$1006,0)))),"Fix")))</f>
        <v>0</v>
      </c>
      <c r="D750" s="4">
        <f>IF(OR(INDEX($P$2:$P$1001,MATCH(ROWS($O$2:O750),$O$2:$O$1001,0),1)&gt;=100000,INDEX($V$1005:$AE$1005,1,MATCH(COLUMNS($V$1006:X1006),$V$1006:$AE$1006,0))&gt;=100000), " ",IF(INDEX($V$2:$AE$1001,MATCH(ROWS($O$2:O750),$O$2:$O$1001,0),MATCH(COLUMNS($V$1006:X1006),$V$1006:$AE$1006,0)), HYPERLINK("#",""), HYPERLINK(CONCATENATE("#Metadata!", ADDRESS(INDEX($Q$2:$Q$1001,MATCH(ROWS($O$2:O750),$O$2:$O$1001,0),0), INDEX($V$1004:$AE$1004,1,MATCH(COLUMNS($V$1006:X1006),$V$1006:$AE$1006,0)))),"Fix")))</f>
        <v>0</v>
      </c>
      <c r="E750" s="4">
        <f>IF(OR(INDEX($P$2:$P$1001,MATCH(ROWS($O$2:O750),$O$2:$O$1001,0),1)&gt;=100000,INDEX($V$1005:$AE$1005,1,MATCH(COLUMNS($V$1006:Y1006),$V$1006:$AE$1006,0))&gt;=100000), " ",IF(INDEX($V$2:$AE$1001,MATCH(ROWS($O$2:O750),$O$2:$O$1001,0),MATCH(COLUMNS($V$1006:Y1006),$V$1006:$AE$1006,0)), HYPERLINK("#",""), HYPERLINK(CONCATENATE("#Metadata!", ADDRESS(INDEX($Q$2:$Q$1001,MATCH(ROWS($O$2:O750),$O$2:$O$1001,0),0), INDEX($V$1004:$AE$1004,1,MATCH(COLUMNS($V$1006:Y1006),$V$1006:$AE$1006,0)))),"Fix")))</f>
        <v>0</v>
      </c>
      <c r="F750" s="4">
        <f>IF(OR(INDEX($P$2:$P$1001,MATCH(ROWS($O$2:O750),$O$2:$O$1001,0),1)&gt;=100000,INDEX($V$1005:$AE$1005,1,MATCH(COLUMNS($V$1006:Z1006),$V$1006:$AE$1006,0))&gt;=100000), " ",IF(INDEX($V$2:$AE$1001,MATCH(ROWS($O$2:O750),$O$2:$O$1001,0),MATCH(COLUMNS($V$1006:Z1006),$V$1006:$AE$1006,0)), HYPERLINK("#",""), HYPERLINK(CONCATENATE("#Metadata!", ADDRESS(INDEX($Q$2:$Q$1001,MATCH(ROWS($O$2:O750),$O$2:$O$1001,0),0), INDEX($V$1004:$AE$1004,1,MATCH(COLUMNS($V$1006:Z1006),$V$1006:$AE$1006,0)))),"Fix")))</f>
        <v>0</v>
      </c>
      <c r="G750" s="4">
        <f>IF(OR(INDEX($P$2:$P$1001,MATCH(ROWS($O$2:O750),$O$2:$O$1001,0),1)&gt;=100000,INDEX($V$1005:$AE$1005,1,MATCH(COLUMNS($V$1006:AA1006),$V$1006:$AE$1006,0))&gt;=100000), " ",IF(INDEX($V$2:$AE$1001,MATCH(ROWS($O$2:O750),$O$2:$O$1001,0),MATCH(COLUMNS($V$1006:AA1006),$V$1006:$AE$1006,0)), HYPERLINK("#",""), HYPERLINK(CONCATENATE("#Metadata!", ADDRESS(INDEX($Q$2:$Q$1001,MATCH(ROWS($O$2:O750),$O$2:$O$1001,0),0), INDEX($V$1004:$AE$1004,1,MATCH(COLUMNS($V$1006:AA1006),$V$1006:$AE$1006,0)))),"Fix")))</f>
        <v>0</v>
      </c>
      <c r="H750" s="4">
        <f>IF(OR(INDEX($P$2:$P$1001,MATCH(ROWS($O$2:O750),$O$2:$O$1001,0),1)&gt;=100000,INDEX($V$1005:$AE$1005,1,MATCH(COLUMNS($V$1006:AB1006),$V$1006:$AE$1006,0))&gt;=100000), " ",IF(INDEX($V$2:$AE$1001,MATCH(ROWS($O$2:O750),$O$2:$O$1001,0),MATCH(COLUMNS($V$1006:AB1006),$V$1006:$AE$1006,0)), HYPERLINK("#",""), HYPERLINK(CONCATENATE("#Metadata!", ADDRESS(INDEX($Q$2:$Q$1001,MATCH(ROWS($O$2:O750),$O$2:$O$1001,0),0), INDEX($V$1004:$AE$1004,1,MATCH(COLUMNS($V$1006:AB1006),$V$1006:$AE$1006,0)))),"Fix")))</f>
        <v>0</v>
      </c>
      <c r="I750" s="4">
        <f>IF(OR(INDEX($P$2:$P$1001,MATCH(ROWS($O$2:O750),$O$2:$O$1001,0),1)&gt;=100000,INDEX($V$1005:$AE$1005,1,MATCH(COLUMNS($V$1006:AC1006),$V$1006:$AE$1006,0))&gt;=100000), " ",IF(INDEX($V$2:$AE$1001,MATCH(ROWS($O$2:O750),$O$2:$O$1001,0),MATCH(COLUMNS($V$1006:AC1006),$V$1006:$AE$1006,0)), HYPERLINK("#",""), HYPERLINK(CONCATENATE("#Metadata!", ADDRESS(INDEX($Q$2:$Q$1001,MATCH(ROWS($O$2:O750),$O$2:$O$1001,0),0), INDEX($V$1004:$AE$1004,1,MATCH(COLUMNS($V$1006:AC1006),$V$1006:$AE$1006,0)))),"Fix")))</f>
        <v>0</v>
      </c>
      <c r="J750" s="4">
        <f>IF(OR(INDEX($P$2:$P$1001,MATCH(ROWS($O$2:O750),$O$2:$O$1001,0),1)&gt;=100000,INDEX($V$1005:$AE$1005,1,MATCH(COLUMNS($V$1006:AD1006),$V$1006:$AE$1006,0))&gt;=100000), " ",IF(INDEX($V$2:$AE$1001,MATCH(ROWS($O$2:O750),$O$2:$O$1001,0),MATCH(COLUMNS($V$1006:AD1006),$V$1006:$AE$1006,0)), HYPERLINK("#",""), HYPERLINK(CONCATENATE("#Metadata!", ADDRESS(INDEX($Q$2:$Q$1001,MATCH(ROWS($O$2:O750),$O$2:$O$1001,0),0), INDEX($V$1004:$AE$1004,1,MATCH(COLUMNS($V$1006:AD1006),$V$1006:$AE$1006,0)))),"Fix")))</f>
        <v>0</v>
      </c>
      <c r="K750" s="4">
        <f>IF(OR(INDEX($P$2:$P$1001,MATCH(ROWS($O$2:O750),$O$2:$O$1001,0),1)&gt;=100000,INDEX($V$1005:$AE$1005,1,MATCH(COLUMNS($V$1006:AE1006),$V$1006:$AE$1006,0))&gt;=100000), " ",IF(INDEX($V$2:$AE$1001,MATCH(ROWS($O$2:O750),$O$2:$O$1001,0),MATCH(COLUMNS($V$1006:AE1006),$V$1006:$AE$1006,0)), HYPERLINK("#",""), HYPERLINK(CONCATENATE("#Metadata!", ADDRESS(INDEX($Q$2:$Q$1001,MATCH(ROWS($O$2:O750),$O$2:$O$1001,0),0), INDEX($V$1004:$AE$1004,1,MATCH(COLUMNS($V$1006:AE1006),$V$1006:$AE$1006,0)))),"Fix")))</f>
        <v>0</v>
      </c>
      <c r="O750">
        <v>0</v>
      </c>
      <c r="P750">
        <v>0</v>
      </c>
      <c r="Q750">
        <v>0</v>
      </c>
      <c r="R750">
        <f>IF(S750,TRUE,AND(V750:AE750))</f>
        <v>0</v>
      </c>
      <c r="S750">
        <f>COUNTBLANK(Metadata!B750:K750)=COLUMNS(Metadata!B750:K750)</f>
        <v>0</v>
      </c>
      <c r="T750">
        <v>0</v>
      </c>
      <c r="V750">
        <f>AND(IF(Metadata!B750="",FALSE,TRUE),COUNTIF(Metadata!B:B, Metadata!B750) = 1,NOT(ISERROR(SUMPRODUCT(SEARCH(MID(Metadata!B750,ROW(INDIRECT("1:"&amp;LEN(Metadata!B750))), 1),"0123456789abcdefghijklmnopqrstuvwxyzABCDEFGHIJKLMNOPQRSTUVWXYZ.")))))</f>
        <v>0</v>
      </c>
      <c r="W750">
        <f>AND(IF(Metadata!C750="",FALSE,TRUE),exact(Metadata!C750,"urban biome"))</f>
        <v>0</v>
      </c>
      <c r="X750">
        <f>AND(IF(Metadata!D750="",FALSE,TRUE),exact(Metadata!D750,"animal-associated habitat"))</f>
        <v>0</v>
      </c>
      <c r="Y750">
        <f>OR(AND(IF(Metadata!E750="",FALSE,TRUE),OR(exact(Metadata!E750,"not applicable"),exact(Metadata!E750,"missing: not collected"),exact(Metadata!E750,"missing: not provided"),exact(Metadata!E750,"missing: restricted access"))),AND(IF(Metadata!E750="",FALSE,ISNUMBER(VALUE(Metadata!E750))),Metadata!E750&gt;0))</f>
        <v>0</v>
      </c>
      <c r="Z750">
        <f>AND(IF(Metadata!F750="",FALSE,TRUE),exact(Metadata!F750,"weeks"))</f>
        <v>0</v>
      </c>
      <c r="AA750">
        <f>AND(IF(Metadata!G750="",FALSE,TRUE),exact(Metadata!G750,"mouse"))</f>
        <v>0</v>
      </c>
      <c r="AB750">
        <f>AND(IF(Metadata!H750="",FALSE,TRUE),exact(Metadata!H750,"Mus musculus"))</f>
        <v>0</v>
      </c>
      <c r="AC750">
        <f>AND(IF(Metadata!I750="",FALSE,TRUE),exact(Metadata!I750,"10090"))</f>
        <v>0</v>
      </c>
      <c r="AD750">
        <f>OR(AND(IF(Metadata!J750="",FALSE,TRUE),OR(exact(Metadata!J750,"not applicable"),exact(Metadata!J750,"missing: not collected"),exact(Metadata!J750,"missing: not provided"),exact(Metadata!J750,"missing: restricted access"))),AND(IF(Metadata!J750="",FALSE,ISNUMBER(VALUE(Metadata!J750))),Metadata!J750&gt;0))</f>
        <v>0</v>
      </c>
      <c r="AE750">
        <f>AND(IF(Metadata!K750="",FALSE,TRUE),exact(Metadata!K750,"g"))</f>
        <v>0</v>
      </c>
    </row>
    <row r="751" spans="1:31">
      <c r="A751" s="5">
        <f>IF(B751=" "," ",HYPERLINK(CONCATENATE("#metadata!",ADDRESS(INDEX($Q$2:$Q$1001,MATCH(ROWS($O$2:O751),$O$2:$O$1001,0),0),1)),INDEX($T$2:$T$1001,MATCH(ROWS($O$2:O751),$O$2:$O$1001,0),0)))</f>
        <v>0</v>
      </c>
      <c r="B751" s="4">
        <f>IF(OR(INDEX($P$2:$P$1001,MATCH(ROWS($O$2:O751),$O$2:$O$1001,0),1)&gt;=100000,INDEX($V$1005:$AE$1005,1,MATCH(COLUMNS($V$1006:V1006),$V$1006:$AE$1006,0))&gt;=100000), " ",IF(INDEX($V$2:$AE$1001,MATCH(ROWS($O$2:O751),$O$2:$O$1001,0),MATCH(COLUMNS($V$1006:V1006),$V$1006:$AE$1006,0)), HYPERLINK("#",""), HYPERLINK(CONCATENATE("#Metadata!", ADDRESS(INDEX($Q$2:$Q$1001,MATCH(ROWS($O$2:O751),$O$2:$O$1001,0),0), INDEX($V$1004:$AE$1004,1,MATCH(COLUMNS($V$1006:V1006),$V$1006:$AE$1006,0)))),"Fix")))</f>
        <v>0</v>
      </c>
      <c r="C751" s="4">
        <f>IF(OR(INDEX($P$2:$P$1001,MATCH(ROWS($O$2:O751),$O$2:$O$1001,0),1)&gt;=100000,INDEX($V$1005:$AE$1005,1,MATCH(COLUMNS($V$1006:W1006),$V$1006:$AE$1006,0))&gt;=100000), " ",IF(INDEX($V$2:$AE$1001,MATCH(ROWS($O$2:O751),$O$2:$O$1001,0),MATCH(COLUMNS($V$1006:W1006),$V$1006:$AE$1006,0)), HYPERLINK("#",""), HYPERLINK(CONCATENATE("#Metadata!", ADDRESS(INDEX($Q$2:$Q$1001,MATCH(ROWS($O$2:O751),$O$2:$O$1001,0),0), INDEX($V$1004:$AE$1004,1,MATCH(COLUMNS($V$1006:W1006),$V$1006:$AE$1006,0)))),"Fix")))</f>
        <v>0</v>
      </c>
      <c r="D751" s="4">
        <f>IF(OR(INDEX($P$2:$P$1001,MATCH(ROWS($O$2:O751),$O$2:$O$1001,0),1)&gt;=100000,INDEX($V$1005:$AE$1005,1,MATCH(COLUMNS($V$1006:X1006),$V$1006:$AE$1006,0))&gt;=100000), " ",IF(INDEX($V$2:$AE$1001,MATCH(ROWS($O$2:O751),$O$2:$O$1001,0),MATCH(COLUMNS($V$1006:X1006),$V$1006:$AE$1006,0)), HYPERLINK("#",""), HYPERLINK(CONCATENATE("#Metadata!", ADDRESS(INDEX($Q$2:$Q$1001,MATCH(ROWS($O$2:O751),$O$2:$O$1001,0),0), INDEX($V$1004:$AE$1004,1,MATCH(COLUMNS($V$1006:X1006),$V$1006:$AE$1006,0)))),"Fix")))</f>
        <v>0</v>
      </c>
      <c r="E751" s="4">
        <f>IF(OR(INDEX($P$2:$P$1001,MATCH(ROWS($O$2:O751),$O$2:$O$1001,0),1)&gt;=100000,INDEX($V$1005:$AE$1005,1,MATCH(COLUMNS($V$1006:Y1006),$V$1006:$AE$1006,0))&gt;=100000), " ",IF(INDEX($V$2:$AE$1001,MATCH(ROWS($O$2:O751),$O$2:$O$1001,0),MATCH(COLUMNS($V$1006:Y1006),$V$1006:$AE$1006,0)), HYPERLINK("#",""), HYPERLINK(CONCATENATE("#Metadata!", ADDRESS(INDEX($Q$2:$Q$1001,MATCH(ROWS($O$2:O751),$O$2:$O$1001,0),0), INDEX($V$1004:$AE$1004,1,MATCH(COLUMNS($V$1006:Y1006),$V$1006:$AE$1006,0)))),"Fix")))</f>
        <v>0</v>
      </c>
      <c r="F751" s="4">
        <f>IF(OR(INDEX($P$2:$P$1001,MATCH(ROWS($O$2:O751),$O$2:$O$1001,0),1)&gt;=100000,INDEX($V$1005:$AE$1005,1,MATCH(COLUMNS($V$1006:Z1006),$V$1006:$AE$1006,0))&gt;=100000), " ",IF(INDEX($V$2:$AE$1001,MATCH(ROWS($O$2:O751),$O$2:$O$1001,0),MATCH(COLUMNS($V$1006:Z1006),$V$1006:$AE$1006,0)), HYPERLINK("#",""), HYPERLINK(CONCATENATE("#Metadata!", ADDRESS(INDEX($Q$2:$Q$1001,MATCH(ROWS($O$2:O751),$O$2:$O$1001,0),0), INDEX($V$1004:$AE$1004,1,MATCH(COLUMNS($V$1006:Z1006),$V$1006:$AE$1006,0)))),"Fix")))</f>
        <v>0</v>
      </c>
      <c r="G751" s="4">
        <f>IF(OR(INDEX($P$2:$P$1001,MATCH(ROWS($O$2:O751),$O$2:$O$1001,0),1)&gt;=100000,INDEX($V$1005:$AE$1005,1,MATCH(COLUMNS($V$1006:AA1006),$V$1006:$AE$1006,0))&gt;=100000), " ",IF(INDEX($V$2:$AE$1001,MATCH(ROWS($O$2:O751),$O$2:$O$1001,0),MATCH(COLUMNS($V$1006:AA1006),$V$1006:$AE$1006,0)), HYPERLINK("#",""), HYPERLINK(CONCATENATE("#Metadata!", ADDRESS(INDEX($Q$2:$Q$1001,MATCH(ROWS($O$2:O751),$O$2:$O$1001,0),0), INDEX($V$1004:$AE$1004,1,MATCH(COLUMNS($V$1006:AA1006),$V$1006:$AE$1006,0)))),"Fix")))</f>
        <v>0</v>
      </c>
      <c r="H751" s="4">
        <f>IF(OR(INDEX($P$2:$P$1001,MATCH(ROWS($O$2:O751),$O$2:$O$1001,0),1)&gt;=100000,INDEX($V$1005:$AE$1005,1,MATCH(COLUMNS($V$1006:AB1006),$V$1006:$AE$1006,0))&gt;=100000), " ",IF(INDEX($V$2:$AE$1001,MATCH(ROWS($O$2:O751),$O$2:$O$1001,0),MATCH(COLUMNS($V$1006:AB1006),$V$1006:$AE$1006,0)), HYPERLINK("#",""), HYPERLINK(CONCATENATE("#Metadata!", ADDRESS(INDEX($Q$2:$Q$1001,MATCH(ROWS($O$2:O751),$O$2:$O$1001,0),0), INDEX($V$1004:$AE$1004,1,MATCH(COLUMNS($V$1006:AB1006),$V$1006:$AE$1006,0)))),"Fix")))</f>
        <v>0</v>
      </c>
      <c r="I751" s="4">
        <f>IF(OR(INDEX($P$2:$P$1001,MATCH(ROWS($O$2:O751),$O$2:$O$1001,0),1)&gt;=100000,INDEX($V$1005:$AE$1005,1,MATCH(COLUMNS($V$1006:AC1006),$V$1006:$AE$1006,0))&gt;=100000), " ",IF(INDEX($V$2:$AE$1001,MATCH(ROWS($O$2:O751),$O$2:$O$1001,0),MATCH(COLUMNS($V$1006:AC1006),$V$1006:$AE$1006,0)), HYPERLINK("#",""), HYPERLINK(CONCATENATE("#Metadata!", ADDRESS(INDEX($Q$2:$Q$1001,MATCH(ROWS($O$2:O751),$O$2:$O$1001,0),0), INDEX($V$1004:$AE$1004,1,MATCH(COLUMNS($V$1006:AC1006),$V$1006:$AE$1006,0)))),"Fix")))</f>
        <v>0</v>
      </c>
      <c r="J751" s="4">
        <f>IF(OR(INDEX($P$2:$P$1001,MATCH(ROWS($O$2:O751),$O$2:$O$1001,0),1)&gt;=100000,INDEX($V$1005:$AE$1005,1,MATCH(COLUMNS($V$1006:AD1006),$V$1006:$AE$1006,0))&gt;=100000), " ",IF(INDEX($V$2:$AE$1001,MATCH(ROWS($O$2:O751),$O$2:$O$1001,0),MATCH(COLUMNS($V$1006:AD1006),$V$1006:$AE$1006,0)), HYPERLINK("#",""), HYPERLINK(CONCATENATE("#Metadata!", ADDRESS(INDEX($Q$2:$Q$1001,MATCH(ROWS($O$2:O751),$O$2:$O$1001,0),0), INDEX($V$1004:$AE$1004,1,MATCH(COLUMNS($V$1006:AD1006),$V$1006:$AE$1006,0)))),"Fix")))</f>
        <v>0</v>
      </c>
      <c r="K751" s="4">
        <f>IF(OR(INDEX($P$2:$P$1001,MATCH(ROWS($O$2:O751),$O$2:$O$1001,0),1)&gt;=100000,INDEX($V$1005:$AE$1005,1,MATCH(COLUMNS($V$1006:AE1006),$V$1006:$AE$1006,0))&gt;=100000), " ",IF(INDEX($V$2:$AE$1001,MATCH(ROWS($O$2:O751),$O$2:$O$1001,0),MATCH(COLUMNS($V$1006:AE1006),$V$1006:$AE$1006,0)), HYPERLINK("#",""), HYPERLINK(CONCATENATE("#Metadata!", ADDRESS(INDEX($Q$2:$Q$1001,MATCH(ROWS($O$2:O751),$O$2:$O$1001,0),0), INDEX($V$1004:$AE$1004,1,MATCH(COLUMNS($V$1006:AE1006),$V$1006:$AE$1006,0)))),"Fix")))</f>
        <v>0</v>
      </c>
      <c r="O751">
        <v>0</v>
      </c>
      <c r="P751">
        <v>0</v>
      </c>
      <c r="Q751">
        <v>0</v>
      </c>
      <c r="R751">
        <f>IF(S751,TRUE,AND(V751:AE751))</f>
        <v>0</v>
      </c>
      <c r="S751">
        <f>COUNTBLANK(Metadata!B751:K751)=COLUMNS(Metadata!B751:K751)</f>
        <v>0</v>
      </c>
      <c r="T751">
        <v>0</v>
      </c>
      <c r="V751">
        <f>AND(IF(Metadata!B751="",FALSE,TRUE),COUNTIF(Metadata!B:B, Metadata!B751) = 1,NOT(ISERROR(SUMPRODUCT(SEARCH(MID(Metadata!B751,ROW(INDIRECT("1:"&amp;LEN(Metadata!B751))), 1),"0123456789abcdefghijklmnopqrstuvwxyzABCDEFGHIJKLMNOPQRSTUVWXYZ.")))))</f>
        <v>0</v>
      </c>
      <c r="W751">
        <f>AND(IF(Metadata!C751="",FALSE,TRUE),exact(Metadata!C751,"urban biome"))</f>
        <v>0</v>
      </c>
      <c r="X751">
        <f>AND(IF(Metadata!D751="",FALSE,TRUE),exact(Metadata!D751,"animal-associated habitat"))</f>
        <v>0</v>
      </c>
      <c r="Y751">
        <f>OR(AND(IF(Metadata!E751="",FALSE,TRUE),OR(exact(Metadata!E751,"not applicable"),exact(Metadata!E751,"missing: not collected"),exact(Metadata!E751,"missing: not provided"),exact(Metadata!E751,"missing: restricted access"))),AND(IF(Metadata!E751="",FALSE,ISNUMBER(VALUE(Metadata!E751))),Metadata!E751&gt;0))</f>
        <v>0</v>
      </c>
      <c r="Z751">
        <f>AND(IF(Metadata!F751="",FALSE,TRUE),exact(Metadata!F751,"weeks"))</f>
        <v>0</v>
      </c>
      <c r="AA751">
        <f>AND(IF(Metadata!G751="",FALSE,TRUE),exact(Metadata!G751,"mouse"))</f>
        <v>0</v>
      </c>
      <c r="AB751">
        <f>AND(IF(Metadata!H751="",FALSE,TRUE),exact(Metadata!H751,"Mus musculus"))</f>
        <v>0</v>
      </c>
      <c r="AC751">
        <f>AND(IF(Metadata!I751="",FALSE,TRUE),exact(Metadata!I751,"10090"))</f>
        <v>0</v>
      </c>
      <c r="AD751">
        <f>OR(AND(IF(Metadata!J751="",FALSE,TRUE),OR(exact(Metadata!J751,"not applicable"),exact(Metadata!J751,"missing: not collected"),exact(Metadata!J751,"missing: not provided"),exact(Metadata!J751,"missing: restricted access"))),AND(IF(Metadata!J751="",FALSE,ISNUMBER(VALUE(Metadata!J751))),Metadata!J751&gt;0))</f>
        <v>0</v>
      </c>
      <c r="AE751">
        <f>AND(IF(Metadata!K751="",FALSE,TRUE),exact(Metadata!K751,"g"))</f>
        <v>0</v>
      </c>
    </row>
    <row r="752" spans="1:31">
      <c r="A752" s="5">
        <f>IF(B752=" "," ",HYPERLINK(CONCATENATE("#metadata!",ADDRESS(INDEX($Q$2:$Q$1001,MATCH(ROWS($O$2:O752),$O$2:$O$1001,0),0),1)),INDEX($T$2:$T$1001,MATCH(ROWS($O$2:O752),$O$2:$O$1001,0),0)))</f>
        <v>0</v>
      </c>
      <c r="B752" s="4">
        <f>IF(OR(INDEX($P$2:$P$1001,MATCH(ROWS($O$2:O752),$O$2:$O$1001,0),1)&gt;=100000,INDEX($V$1005:$AE$1005,1,MATCH(COLUMNS($V$1006:V1006),$V$1006:$AE$1006,0))&gt;=100000), " ",IF(INDEX($V$2:$AE$1001,MATCH(ROWS($O$2:O752),$O$2:$O$1001,0),MATCH(COLUMNS($V$1006:V1006),$V$1006:$AE$1006,0)), HYPERLINK("#",""), HYPERLINK(CONCATENATE("#Metadata!", ADDRESS(INDEX($Q$2:$Q$1001,MATCH(ROWS($O$2:O752),$O$2:$O$1001,0),0), INDEX($V$1004:$AE$1004,1,MATCH(COLUMNS($V$1006:V1006),$V$1006:$AE$1006,0)))),"Fix")))</f>
        <v>0</v>
      </c>
      <c r="C752" s="4">
        <f>IF(OR(INDEX($P$2:$P$1001,MATCH(ROWS($O$2:O752),$O$2:$O$1001,0),1)&gt;=100000,INDEX($V$1005:$AE$1005,1,MATCH(COLUMNS($V$1006:W1006),$V$1006:$AE$1006,0))&gt;=100000), " ",IF(INDEX($V$2:$AE$1001,MATCH(ROWS($O$2:O752),$O$2:$O$1001,0),MATCH(COLUMNS($V$1006:W1006),$V$1006:$AE$1006,0)), HYPERLINK("#",""), HYPERLINK(CONCATENATE("#Metadata!", ADDRESS(INDEX($Q$2:$Q$1001,MATCH(ROWS($O$2:O752),$O$2:$O$1001,0),0), INDEX($V$1004:$AE$1004,1,MATCH(COLUMNS($V$1006:W1006),$V$1006:$AE$1006,0)))),"Fix")))</f>
        <v>0</v>
      </c>
      <c r="D752" s="4">
        <f>IF(OR(INDEX($P$2:$P$1001,MATCH(ROWS($O$2:O752),$O$2:$O$1001,0),1)&gt;=100000,INDEX($V$1005:$AE$1005,1,MATCH(COLUMNS($V$1006:X1006),$V$1006:$AE$1006,0))&gt;=100000), " ",IF(INDEX($V$2:$AE$1001,MATCH(ROWS($O$2:O752),$O$2:$O$1001,0),MATCH(COLUMNS($V$1006:X1006),$V$1006:$AE$1006,0)), HYPERLINK("#",""), HYPERLINK(CONCATENATE("#Metadata!", ADDRESS(INDEX($Q$2:$Q$1001,MATCH(ROWS($O$2:O752),$O$2:$O$1001,0),0), INDEX($V$1004:$AE$1004,1,MATCH(COLUMNS($V$1006:X1006),$V$1006:$AE$1006,0)))),"Fix")))</f>
        <v>0</v>
      </c>
      <c r="E752" s="4">
        <f>IF(OR(INDEX($P$2:$P$1001,MATCH(ROWS($O$2:O752),$O$2:$O$1001,0),1)&gt;=100000,INDEX($V$1005:$AE$1005,1,MATCH(COLUMNS($V$1006:Y1006),$V$1006:$AE$1006,0))&gt;=100000), " ",IF(INDEX($V$2:$AE$1001,MATCH(ROWS($O$2:O752),$O$2:$O$1001,0),MATCH(COLUMNS($V$1006:Y1006),$V$1006:$AE$1006,0)), HYPERLINK("#",""), HYPERLINK(CONCATENATE("#Metadata!", ADDRESS(INDEX($Q$2:$Q$1001,MATCH(ROWS($O$2:O752),$O$2:$O$1001,0),0), INDEX($V$1004:$AE$1004,1,MATCH(COLUMNS($V$1006:Y1006),$V$1006:$AE$1006,0)))),"Fix")))</f>
        <v>0</v>
      </c>
      <c r="F752" s="4">
        <f>IF(OR(INDEX($P$2:$P$1001,MATCH(ROWS($O$2:O752),$O$2:$O$1001,0),1)&gt;=100000,INDEX($V$1005:$AE$1005,1,MATCH(COLUMNS($V$1006:Z1006),$V$1006:$AE$1006,0))&gt;=100000), " ",IF(INDEX($V$2:$AE$1001,MATCH(ROWS($O$2:O752),$O$2:$O$1001,0),MATCH(COLUMNS($V$1006:Z1006),$V$1006:$AE$1006,0)), HYPERLINK("#",""), HYPERLINK(CONCATENATE("#Metadata!", ADDRESS(INDEX($Q$2:$Q$1001,MATCH(ROWS($O$2:O752),$O$2:$O$1001,0),0), INDEX($V$1004:$AE$1004,1,MATCH(COLUMNS($V$1006:Z1006),$V$1006:$AE$1006,0)))),"Fix")))</f>
        <v>0</v>
      </c>
      <c r="G752" s="4">
        <f>IF(OR(INDEX($P$2:$P$1001,MATCH(ROWS($O$2:O752),$O$2:$O$1001,0),1)&gt;=100000,INDEX($V$1005:$AE$1005,1,MATCH(COLUMNS($V$1006:AA1006),$V$1006:$AE$1006,0))&gt;=100000), " ",IF(INDEX($V$2:$AE$1001,MATCH(ROWS($O$2:O752),$O$2:$O$1001,0),MATCH(COLUMNS($V$1006:AA1006),$V$1006:$AE$1006,0)), HYPERLINK("#",""), HYPERLINK(CONCATENATE("#Metadata!", ADDRESS(INDEX($Q$2:$Q$1001,MATCH(ROWS($O$2:O752),$O$2:$O$1001,0),0), INDEX($V$1004:$AE$1004,1,MATCH(COLUMNS($V$1006:AA1006),$V$1006:$AE$1006,0)))),"Fix")))</f>
        <v>0</v>
      </c>
      <c r="H752" s="4">
        <f>IF(OR(INDEX($P$2:$P$1001,MATCH(ROWS($O$2:O752),$O$2:$O$1001,0),1)&gt;=100000,INDEX($V$1005:$AE$1005,1,MATCH(COLUMNS($V$1006:AB1006),$V$1006:$AE$1006,0))&gt;=100000), " ",IF(INDEX($V$2:$AE$1001,MATCH(ROWS($O$2:O752),$O$2:$O$1001,0),MATCH(COLUMNS($V$1006:AB1006),$V$1006:$AE$1006,0)), HYPERLINK("#",""), HYPERLINK(CONCATENATE("#Metadata!", ADDRESS(INDEX($Q$2:$Q$1001,MATCH(ROWS($O$2:O752),$O$2:$O$1001,0),0), INDEX($V$1004:$AE$1004,1,MATCH(COLUMNS($V$1006:AB1006),$V$1006:$AE$1006,0)))),"Fix")))</f>
        <v>0</v>
      </c>
      <c r="I752" s="4">
        <f>IF(OR(INDEX($P$2:$P$1001,MATCH(ROWS($O$2:O752),$O$2:$O$1001,0),1)&gt;=100000,INDEX($V$1005:$AE$1005,1,MATCH(COLUMNS($V$1006:AC1006),$V$1006:$AE$1006,0))&gt;=100000), " ",IF(INDEX($V$2:$AE$1001,MATCH(ROWS($O$2:O752),$O$2:$O$1001,0),MATCH(COLUMNS($V$1006:AC1006),$V$1006:$AE$1006,0)), HYPERLINK("#",""), HYPERLINK(CONCATENATE("#Metadata!", ADDRESS(INDEX($Q$2:$Q$1001,MATCH(ROWS($O$2:O752),$O$2:$O$1001,0),0), INDEX($V$1004:$AE$1004,1,MATCH(COLUMNS($V$1006:AC1006),$V$1006:$AE$1006,0)))),"Fix")))</f>
        <v>0</v>
      </c>
      <c r="J752" s="4">
        <f>IF(OR(INDEX($P$2:$P$1001,MATCH(ROWS($O$2:O752),$O$2:$O$1001,0),1)&gt;=100000,INDEX($V$1005:$AE$1005,1,MATCH(COLUMNS($V$1006:AD1006),$V$1006:$AE$1006,0))&gt;=100000), " ",IF(INDEX($V$2:$AE$1001,MATCH(ROWS($O$2:O752),$O$2:$O$1001,0),MATCH(COLUMNS($V$1006:AD1006),$V$1006:$AE$1006,0)), HYPERLINK("#",""), HYPERLINK(CONCATENATE("#Metadata!", ADDRESS(INDEX($Q$2:$Q$1001,MATCH(ROWS($O$2:O752),$O$2:$O$1001,0),0), INDEX($V$1004:$AE$1004,1,MATCH(COLUMNS($V$1006:AD1006),$V$1006:$AE$1006,0)))),"Fix")))</f>
        <v>0</v>
      </c>
      <c r="K752" s="4">
        <f>IF(OR(INDEX($P$2:$P$1001,MATCH(ROWS($O$2:O752),$O$2:$O$1001,0),1)&gt;=100000,INDEX($V$1005:$AE$1005,1,MATCH(COLUMNS($V$1006:AE1006),$V$1006:$AE$1006,0))&gt;=100000), " ",IF(INDEX($V$2:$AE$1001,MATCH(ROWS($O$2:O752),$O$2:$O$1001,0),MATCH(COLUMNS($V$1006:AE1006),$V$1006:$AE$1006,0)), HYPERLINK("#",""), HYPERLINK(CONCATENATE("#Metadata!", ADDRESS(INDEX($Q$2:$Q$1001,MATCH(ROWS($O$2:O752),$O$2:$O$1001,0),0), INDEX($V$1004:$AE$1004,1,MATCH(COLUMNS($V$1006:AE1006),$V$1006:$AE$1006,0)))),"Fix")))</f>
        <v>0</v>
      </c>
      <c r="O752">
        <v>0</v>
      </c>
      <c r="P752">
        <v>0</v>
      </c>
      <c r="Q752">
        <v>0</v>
      </c>
      <c r="R752">
        <f>IF(S752,TRUE,AND(V752:AE752))</f>
        <v>0</v>
      </c>
      <c r="S752">
        <f>COUNTBLANK(Metadata!B752:K752)=COLUMNS(Metadata!B752:K752)</f>
        <v>0</v>
      </c>
      <c r="T752">
        <v>0</v>
      </c>
      <c r="V752">
        <f>AND(IF(Metadata!B752="",FALSE,TRUE),COUNTIF(Metadata!B:B, Metadata!B752) = 1,NOT(ISERROR(SUMPRODUCT(SEARCH(MID(Metadata!B752,ROW(INDIRECT("1:"&amp;LEN(Metadata!B752))), 1),"0123456789abcdefghijklmnopqrstuvwxyzABCDEFGHIJKLMNOPQRSTUVWXYZ.")))))</f>
        <v>0</v>
      </c>
      <c r="W752">
        <f>AND(IF(Metadata!C752="",FALSE,TRUE),exact(Metadata!C752,"urban biome"))</f>
        <v>0</v>
      </c>
      <c r="X752">
        <f>AND(IF(Metadata!D752="",FALSE,TRUE),exact(Metadata!D752,"animal-associated habitat"))</f>
        <v>0</v>
      </c>
      <c r="Y752">
        <f>OR(AND(IF(Metadata!E752="",FALSE,TRUE),OR(exact(Metadata!E752,"not applicable"),exact(Metadata!E752,"missing: not collected"),exact(Metadata!E752,"missing: not provided"),exact(Metadata!E752,"missing: restricted access"))),AND(IF(Metadata!E752="",FALSE,ISNUMBER(VALUE(Metadata!E752))),Metadata!E752&gt;0))</f>
        <v>0</v>
      </c>
      <c r="Z752">
        <f>AND(IF(Metadata!F752="",FALSE,TRUE),exact(Metadata!F752,"weeks"))</f>
        <v>0</v>
      </c>
      <c r="AA752">
        <f>AND(IF(Metadata!G752="",FALSE,TRUE),exact(Metadata!G752,"mouse"))</f>
        <v>0</v>
      </c>
      <c r="AB752">
        <f>AND(IF(Metadata!H752="",FALSE,TRUE),exact(Metadata!H752,"Mus musculus"))</f>
        <v>0</v>
      </c>
      <c r="AC752">
        <f>AND(IF(Metadata!I752="",FALSE,TRUE),exact(Metadata!I752,"10090"))</f>
        <v>0</v>
      </c>
      <c r="AD752">
        <f>OR(AND(IF(Metadata!J752="",FALSE,TRUE),OR(exact(Metadata!J752,"not applicable"),exact(Metadata!J752,"missing: not collected"),exact(Metadata!J752,"missing: not provided"),exact(Metadata!J752,"missing: restricted access"))),AND(IF(Metadata!J752="",FALSE,ISNUMBER(VALUE(Metadata!J752))),Metadata!J752&gt;0))</f>
        <v>0</v>
      </c>
      <c r="AE752">
        <f>AND(IF(Metadata!K752="",FALSE,TRUE),exact(Metadata!K752,"g"))</f>
        <v>0</v>
      </c>
    </row>
    <row r="753" spans="1:31">
      <c r="A753" s="5">
        <f>IF(B753=" "," ",HYPERLINK(CONCATENATE("#metadata!",ADDRESS(INDEX($Q$2:$Q$1001,MATCH(ROWS($O$2:O753),$O$2:$O$1001,0),0),1)),INDEX($T$2:$T$1001,MATCH(ROWS($O$2:O753),$O$2:$O$1001,0),0)))</f>
        <v>0</v>
      </c>
      <c r="B753" s="4">
        <f>IF(OR(INDEX($P$2:$P$1001,MATCH(ROWS($O$2:O753),$O$2:$O$1001,0),1)&gt;=100000,INDEX($V$1005:$AE$1005,1,MATCH(COLUMNS($V$1006:V1006),$V$1006:$AE$1006,0))&gt;=100000), " ",IF(INDEX($V$2:$AE$1001,MATCH(ROWS($O$2:O753),$O$2:$O$1001,0),MATCH(COLUMNS($V$1006:V1006),$V$1006:$AE$1006,0)), HYPERLINK("#",""), HYPERLINK(CONCATENATE("#Metadata!", ADDRESS(INDEX($Q$2:$Q$1001,MATCH(ROWS($O$2:O753),$O$2:$O$1001,0),0), INDEX($V$1004:$AE$1004,1,MATCH(COLUMNS($V$1006:V1006),$V$1006:$AE$1006,0)))),"Fix")))</f>
        <v>0</v>
      </c>
      <c r="C753" s="4">
        <f>IF(OR(INDEX($P$2:$P$1001,MATCH(ROWS($O$2:O753),$O$2:$O$1001,0),1)&gt;=100000,INDEX($V$1005:$AE$1005,1,MATCH(COLUMNS($V$1006:W1006),$V$1006:$AE$1006,0))&gt;=100000), " ",IF(INDEX($V$2:$AE$1001,MATCH(ROWS($O$2:O753),$O$2:$O$1001,0),MATCH(COLUMNS($V$1006:W1006),$V$1006:$AE$1006,0)), HYPERLINK("#",""), HYPERLINK(CONCATENATE("#Metadata!", ADDRESS(INDEX($Q$2:$Q$1001,MATCH(ROWS($O$2:O753),$O$2:$O$1001,0),0), INDEX($V$1004:$AE$1004,1,MATCH(COLUMNS($V$1006:W1006),$V$1006:$AE$1006,0)))),"Fix")))</f>
        <v>0</v>
      </c>
      <c r="D753" s="4">
        <f>IF(OR(INDEX($P$2:$P$1001,MATCH(ROWS($O$2:O753),$O$2:$O$1001,0),1)&gt;=100000,INDEX($V$1005:$AE$1005,1,MATCH(COLUMNS($V$1006:X1006),$V$1006:$AE$1006,0))&gt;=100000), " ",IF(INDEX($V$2:$AE$1001,MATCH(ROWS($O$2:O753),$O$2:$O$1001,0),MATCH(COLUMNS($V$1006:X1006),$V$1006:$AE$1006,0)), HYPERLINK("#",""), HYPERLINK(CONCATENATE("#Metadata!", ADDRESS(INDEX($Q$2:$Q$1001,MATCH(ROWS($O$2:O753),$O$2:$O$1001,0),0), INDEX($V$1004:$AE$1004,1,MATCH(COLUMNS($V$1006:X1006),$V$1006:$AE$1006,0)))),"Fix")))</f>
        <v>0</v>
      </c>
      <c r="E753" s="4">
        <f>IF(OR(INDEX($P$2:$P$1001,MATCH(ROWS($O$2:O753),$O$2:$O$1001,0),1)&gt;=100000,INDEX($V$1005:$AE$1005,1,MATCH(COLUMNS($V$1006:Y1006),$V$1006:$AE$1006,0))&gt;=100000), " ",IF(INDEX($V$2:$AE$1001,MATCH(ROWS($O$2:O753),$O$2:$O$1001,0),MATCH(COLUMNS($V$1006:Y1006),$V$1006:$AE$1006,0)), HYPERLINK("#",""), HYPERLINK(CONCATENATE("#Metadata!", ADDRESS(INDEX($Q$2:$Q$1001,MATCH(ROWS($O$2:O753),$O$2:$O$1001,0),0), INDEX($V$1004:$AE$1004,1,MATCH(COLUMNS($V$1006:Y1006),$V$1006:$AE$1006,0)))),"Fix")))</f>
        <v>0</v>
      </c>
      <c r="F753" s="4">
        <f>IF(OR(INDEX($P$2:$P$1001,MATCH(ROWS($O$2:O753),$O$2:$O$1001,0),1)&gt;=100000,INDEX($V$1005:$AE$1005,1,MATCH(COLUMNS($V$1006:Z1006),$V$1006:$AE$1006,0))&gt;=100000), " ",IF(INDEX($V$2:$AE$1001,MATCH(ROWS($O$2:O753),$O$2:$O$1001,0),MATCH(COLUMNS($V$1006:Z1006),$V$1006:$AE$1006,0)), HYPERLINK("#",""), HYPERLINK(CONCATENATE("#Metadata!", ADDRESS(INDEX($Q$2:$Q$1001,MATCH(ROWS($O$2:O753),$O$2:$O$1001,0),0), INDEX($V$1004:$AE$1004,1,MATCH(COLUMNS($V$1006:Z1006),$V$1006:$AE$1006,0)))),"Fix")))</f>
        <v>0</v>
      </c>
      <c r="G753" s="4">
        <f>IF(OR(INDEX($P$2:$P$1001,MATCH(ROWS($O$2:O753),$O$2:$O$1001,0),1)&gt;=100000,INDEX($V$1005:$AE$1005,1,MATCH(COLUMNS($V$1006:AA1006),$V$1006:$AE$1006,0))&gt;=100000), " ",IF(INDEX($V$2:$AE$1001,MATCH(ROWS($O$2:O753),$O$2:$O$1001,0),MATCH(COLUMNS($V$1006:AA1006),$V$1006:$AE$1006,0)), HYPERLINK("#",""), HYPERLINK(CONCATENATE("#Metadata!", ADDRESS(INDEX($Q$2:$Q$1001,MATCH(ROWS($O$2:O753),$O$2:$O$1001,0),0), INDEX($V$1004:$AE$1004,1,MATCH(COLUMNS($V$1006:AA1006),$V$1006:$AE$1006,0)))),"Fix")))</f>
        <v>0</v>
      </c>
      <c r="H753" s="4">
        <f>IF(OR(INDEX($P$2:$P$1001,MATCH(ROWS($O$2:O753),$O$2:$O$1001,0),1)&gt;=100000,INDEX($V$1005:$AE$1005,1,MATCH(COLUMNS($V$1006:AB1006),$V$1006:$AE$1006,0))&gt;=100000), " ",IF(INDEX($V$2:$AE$1001,MATCH(ROWS($O$2:O753),$O$2:$O$1001,0),MATCH(COLUMNS($V$1006:AB1006),$V$1006:$AE$1006,0)), HYPERLINK("#",""), HYPERLINK(CONCATENATE("#Metadata!", ADDRESS(INDEX($Q$2:$Q$1001,MATCH(ROWS($O$2:O753),$O$2:$O$1001,0),0), INDEX($V$1004:$AE$1004,1,MATCH(COLUMNS($V$1006:AB1006),$V$1006:$AE$1006,0)))),"Fix")))</f>
        <v>0</v>
      </c>
      <c r="I753" s="4">
        <f>IF(OR(INDEX($P$2:$P$1001,MATCH(ROWS($O$2:O753),$O$2:$O$1001,0),1)&gt;=100000,INDEX($V$1005:$AE$1005,1,MATCH(COLUMNS($V$1006:AC1006),$V$1006:$AE$1006,0))&gt;=100000), " ",IF(INDEX($V$2:$AE$1001,MATCH(ROWS($O$2:O753),$O$2:$O$1001,0),MATCH(COLUMNS($V$1006:AC1006),$V$1006:$AE$1006,0)), HYPERLINK("#",""), HYPERLINK(CONCATENATE("#Metadata!", ADDRESS(INDEX($Q$2:$Q$1001,MATCH(ROWS($O$2:O753),$O$2:$O$1001,0),0), INDEX($V$1004:$AE$1004,1,MATCH(COLUMNS($V$1006:AC1006),$V$1006:$AE$1006,0)))),"Fix")))</f>
        <v>0</v>
      </c>
      <c r="J753" s="4">
        <f>IF(OR(INDEX($P$2:$P$1001,MATCH(ROWS($O$2:O753),$O$2:$O$1001,0),1)&gt;=100000,INDEX($V$1005:$AE$1005,1,MATCH(COLUMNS($V$1006:AD1006),$V$1006:$AE$1006,0))&gt;=100000), " ",IF(INDEX($V$2:$AE$1001,MATCH(ROWS($O$2:O753),$O$2:$O$1001,0),MATCH(COLUMNS($V$1006:AD1006),$V$1006:$AE$1006,0)), HYPERLINK("#",""), HYPERLINK(CONCATENATE("#Metadata!", ADDRESS(INDEX($Q$2:$Q$1001,MATCH(ROWS($O$2:O753),$O$2:$O$1001,0),0), INDEX($V$1004:$AE$1004,1,MATCH(COLUMNS($V$1006:AD1006),$V$1006:$AE$1006,0)))),"Fix")))</f>
        <v>0</v>
      </c>
      <c r="K753" s="4">
        <f>IF(OR(INDEX($P$2:$P$1001,MATCH(ROWS($O$2:O753),$O$2:$O$1001,0),1)&gt;=100000,INDEX($V$1005:$AE$1005,1,MATCH(COLUMNS($V$1006:AE1006),$V$1006:$AE$1006,0))&gt;=100000), " ",IF(INDEX($V$2:$AE$1001,MATCH(ROWS($O$2:O753),$O$2:$O$1001,0),MATCH(COLUMNS($V$1006:AE1006),$V$1006:$AE$1006,0)), HYPERLINK("#",""), HYPERLINK(CONCATENATE("#Metadata!", ADDRESS(INDEX($Q$2:$Q$1001,MATCH(ROWS($O$2:O753),$O$2:$O$1001,0),0), INDEX($V$1004:$AE$1004,1,MATCH(COLUMNS($V$1006:AE1006),$V$1006:$AE$1006,0)))),"Fix")))</f>
        <v>0</v>
      </c>
      <c r="O753">
        <v>0</v>
      </c>
      <c r="P753">
        <v>0</v>
      </c>
      <c r="Q753">
        <v>0</v>
      </c>
      <c r="R753">
        <f>IF(S753,TRUE,AND(V753:AE753))</f>
        <v>0</v>
      </c>
      <c r="S753">
        <f>COUNTBLANK(Metadata!B753:K753)=COLUMNS(Metadata!B753:K753)</f>
        <v>0</v>
      </c>
      <c r="T753">
        <v>0</v>
      </c>
      <c r="V753">
        <f>AND(IF(Metadata!B753="",FALSE,TRUE),COUNTIF(Metadata!B:B, Metadata!B753) = 1,NOT(ISERROR(SUMPRODUCT(SEARCH(MID(Metadata!B753,ROW(INDIRECT("1:"&amp;LEN(Metadata!B753))), 1),"0123456789abcdefghijklmnopqrstuvwxyzABCDEFGHIJKLMNOPQRSTUVWXYZ.")))))</f>
        <v>0</v>
      </c>
      <c r="W753">
        <f>AND(IF(Metadata!C753="",FALSE,TRUE),exact(Metadata!C753,"urban biome"))</f>
        <v>0</v>
      </c>
      <c r="X753">
        <f>AND(IF(Metadata!D753="",FALSE,TRUE),exact(Metadata!D753,"animal-associated habitat"))</f>
        <v>0</v>
      </c>
      <c r="Y753">
        <f>OR(AND(IF(Metadata!E753="",FALSE,TRUE),OR(exact(Metadata!E753,"not applicable"),exact(Metadata!E753,"missing: not collected"),exact(Metadata!E753,"missing: not provided"),exact(Metadata!E753,"missing: restricted access"))),AND(IF(Metadata!E753="",FALSE,ISNUMBER(VALUE(Metadata!E753))),Metadata!E753&gt;0))</f>
        <v>0</v>
      </c>
      <c r="Z753">
        <f>AND(IF(Metadata!F753="",FALSE,TRUE),exact(Metadata!F753,"weeks"))</f>
        <v>0</v>
      </c>
      <c r="AA753">
        <f>AND(IF(Metadata!G753="",FALSE,TRUE),exact(Metadata!G753,"mouse"))</f>
        <v>0</v>
      </c>
      <c r="AB753">
        <f>AND(IF(Metadata!H753="",FALSE,TRUE),exact(Metadata!H753,"Mus musculus"))</f>
        <v>0</v>
      </c>
      <c r="AC753">
        <f>AND(IF(Metadata!I753="",FALSE,TRUE),exact(Metadata!I753,"10090"))</f>
        <v>0</v>
      </c>
      <c r="AD753">
        <f>OR(AND(IF(Metadata!J753="",FALSE,TRUE),OR(exact(Metadata!J753,"not applicable"),exact(Metadata!J753,"missing: not collected"),exact(Metadata!J753,"missing: not provided"),exact(Metadata!J753,"missing: restricted access"))),AND(IF(Metadata!J753="",FALSE,ISNUMBER(VALUE(Metadata!J753))),Metadata!J753&gt;0))</f>
        <v>0</v>
      </c>
      <c r="AE753">
        <f>AND(IF(Metadata!K753="",FALSE,TRUE),exact(Metadata!K753,"g"))</f>
        <v>0</v>
      </c>
    </row>
    <row r="754" spans="1:31">
      <c r="A754" s="5">
        <f>IF(B754=" "," ",HYPERLINK(CONCATENATE("#metadata!",ADDRESS(INDEX($Q$2:$Q$1001,MATCH(ROWS($O$2:O754),$O$2:$O$1001,0),0),1)),INDEX($T$2:$T$1001,MATCH(ROWS($O$2:O754),$O$2:$O$1001,0),0)))</f>
        <v>0</v>
      </c>
      <c r="B754" s="4">
        <f>IF(OR(INDEX($P$2:$P$1001,MATCH(ROWS($O$2:O754),$O$2:$O$1001,0),1)&gt;=100000,INDEX($V$1005:$AE$1005,1,MATCH(COLUMNS($V$1006:V1006),$V$1006:$AE$1006,0))&gt;=100000), " ",IF(INDEX($V$2:$AE$1001,MATCH(ROWS($O$2:O754),$O$2:$O$1001,0),MATCH(COLUMNS($V$1006:V1006),$V$1006:$AE$1006,0)), HYPERLINK("#",""), HYPERLINK(CONCATENATE("#Metadata!", ADDRESS(INDEX($Q$2:$Q$1001,MATCH(ROWS($O$2:O754),$O$2:$O$1001,0),0), INDEX($V$1004:$AE$1004,1,MATCH(COLUMNS($V$1006:V1006),$V$1006:$AE$1006,0)))),"Fix")))</f>
        <v>0</v>
      </c>
      <c r="C754" s="4">
        <f>IF(OR(INDEX($P$2:$P$1001,MATCH(ROWS($O$2:O754),$O$2:$O$1001,0),1)&gt;=100000,INDEX($V$1005:$AE$1005,1,MATCH(COLUMNS($V$1006:W1006),$V$1006:$AE$1006,0))&gt;=100000), " ",IF(INDEX($V$2:$AE$1001,MATCH(ROWS($O$2:O754),$O$2:$O$1001,0),MATCH(COLUMNS($V$1006:W1006),$V$1006:$AE$1006,0)), HYPERLINK("#",""), HYPERLINK(CONCATENATE("#Metadata!", ADDRESS(INDEX($Q$2:$Q$1001,MATCH(ROWS($O$2:O754),$O$2:$O$1001,0),0), INDEX($V$1004:$AE$1004,1,MATCH(COLUMNS($V$1006:W1006),$V$1006:$AE$1006,0)))),"Fix")))</f>
        <v>0</v>
      </c>
      <c r="D754" s="4">
        <f>IF(OR(INDEX($P$2:$P$1001,MATCH(ROWS($O$2:O754),$O$2:$O$1001,0),1)&gt;=100000,INDEX($V$1005:$AE$1005,1,MATCH(COLUMNS($V$1006:X1006),$V$1006:$AE$1006,0))&gt;=100000), " ",IF(INDEX($V$2:$AE$1001,MATCH(ROWS($O$2:O754),$O$2:$O$1001,0),MATCH(COLUMNS($V$1006:X1006),$V$1006:$AE$1006,0)), HYPERLINK("#",""), HYPERLINK(CONCATENATE("#Metadata!", ADDRESS(INDEX($Q$2:$Q$1001,MATCH(ROWS($O$2:O754),$O$2:$O$1001,0),0), INDEX($V$1004:$AE$1004,1,MATCH(COLUMNS($V$1006:X1006),$V$1006:$AE$1006,0)))),"Fix")))</f>
        <v>0</v>
      </c>
      <c r="E754" s="4">
        <f>IF(OR(INDEX($P$2:$P$1001,MATCH(ROWS($O$2:O754),$O$2:$O$1001,0),1)&gt;=100000,INDEX($V$1005:$AE$1005,1,MATCH(COLUMNS($V$1006:Y1006),$V$1006:$AE$1006,0))&gt;=100000), " ",IF(INDEX($V$2:$AE$1001,MATCH(ROWS($O$2:O754),$O$2:$O$1001,0),MATCH(COLUMNS($V$1006:Y1006),$V$1006:$AE$1006,0)), HYPERLINK("#",""), HYPERLINK(CONCATENATE("#Metadata!", ADDRESS(INDEX($Q$2:$Q$1001,MATCH(ROWS($O$2:O754),$O$2:$O$1001,0),0), INDEX($V$1004:$AE$1004,1,MATCH(COLUMNS($V$1006:Y1006),$V$1006:$AE$1006,0)))),"Fix")))</f>
        <v>0</v>
      </c>
      <c r="F754" s="4">
        <f>IF(OR(INDEX($P$2:$P$1001,MATCH(ROWS($O$2:O754),$O$2:$O$1001,0),1)&gt;=100000,INDEX($V$1005:$AE$1005,1,MATCH(COLUMNS($V$1006:Z1006),$V$1006:$AE$1006,0))&gt;=100000), " ",IF(INDEX($V$2:$AE$1001,MATCH(ROWS($O$2:O754),$O$2:$O$1001,0),MATCH(COLUMNS($V$1006:Z1006),$V$1006:$AE$1006,0)), HYPERLINK("#",""), HYPERLINK(CONCATENATE("#Metadata!", ADDRESS(INDEX($Q$2:$Q$1001,MATCH(ROWS($O$2:O754),$O$2:$O$1001,0),0), INDEX($V$1004:$AE$1004,1,MATCH(COLUMNS($V$1006:Z1006),$V$1006:$AE$1006,0)))),"Fix")))</f>
        <v>0</v>
      </c>
      <c r="G754" s="4">
        <f>IF(OR(INDEX($P$2:$P$1001,MATCH(ROWS($O$2:O754),$O$2:$O$1001,0),1)&gt;=100000,INDEX($V$1005:$AE$1005,1,MATCH(COLUMNS($V$1006:AA1006),$V$1006:$AE$1006,0))&gt;=100000), " ",IF(INDEX($V$2:$AE$1001,MATCH(ROWS($O$2:O754),$O$2:$O$1001,0),MATCH(COLUMNS($V$1006:AA1006),$V$1006:$AE$1006,0)), HYPERLINK("#",""), HYPERLINK(CONCATENATE("#Metadata!", ADDRESS(INDEX($Q$2:$Q$1001,MATCH(ROWS($O$2:O754),$O$2:$O$1001,0),0), INDEX($V$1004:$AE$1004,1,MATCH(COLUMNS($V$1006:AA1006),$V$1006:$AE$1006,0)))),"Fix")))</f>
        <v>0</v>
      </c>
      <c r="H754" s="4">
        <f>IF(OR(INDEX($P$2:$P$1001,MATCH(ROWS($O$2:O754),$O$2:$O$1001,0),1)&gt;=100000,INDEX($V$1005:$AE$1005,1,MATCH(COLUMNS($V$1006:AB1006),$V$1006:$AE$1006,0))&gt;=100000), " ",IF(INDEX($V$2:$AE$1001,MATCH(ROWS($O$2:O754),$O$2:$O$1001,0),MATCH(COLUMNS($V$1006:AB1006),$V$1006:$AE$1006,0)), HYPERLINK("#",""), HYPERLINK(CONCATENATE("#Metadata!", ADDRESS(INDEX($Q$2:$Q$1001,MATCH(ROWS($O$2:O754),$O$2:$O$1001,0),0), INDEX($V$1004:$AE$1004,1,MATCH(COLUMNS($V$1006:AB1006),$V$1006:$AE$1006,0)))),"Fix")))</f>
        <v>0</v>
      </c>
      <c r="I754" s="4">
        <f>IF(OR(INDEX($P$2:$P$1001,MATCH(ROWS($O$2:O754),$O$2:$O$1001,0),1)&gt;=100000,INDEX($V$1005:$AE$1005,1,MATCH(COLUMNS($V$1006:AC1006),$V$1006:$AE$1006,0))&gt;=100000), " ",IF(INDEX($V$2:$AE$1001,MATCH(ROWS($O$2:O754),$O$2:$O$1001,0),MATCH(COLUMNS($V$1006:AC1006),$V$1006:$AE$1006,0)), HYPERLINK("#",""), HYPERLINK(CONCATENATE("#Metadata!", ADDRESS(INDEX($Q$2:$Q$1001,MATCH(ROWS($O$2:O754),$O$2:$O$1001,0),0), INDEX($V$1004:$AE$1004,1,MATCH(COLUMNS($V$1006:AC1006),$V$1006:$AE$1006,0)))),"Fix")))</f>
        <v>0</v>
      </c>
      <c r="J754" s="4">
        <f>IF(OR(INDEX($P$2:$P$1001,MATCH(ROWS($O$2:O754),$O$2:$O$1001,0),1)&gt;=100000,INDEX($V$1005:$AE$1005,1,MATCH(COLUMNS($V$1006:AD1006),$V$1006:$AE$1006,0))&gt;=100000), " ",IF(INDEX($V$2:$AE$1001,MATCH(ROWS($O$2:O754),$O$2:$O$1001,0),MATCH(COLUMNS($V$1006:AD1006),$V$1006:$AE$1006,0)), HYPERLINK("#",""), HYPERLINK(CONCATENATE("#Metadata!", ADDRESS(INDEX($Q$2:$Q$1001,MATCH(ROWS($O$2:O754),$O$2:$O$1001,0),0), INDEX($V$1004:$AE$1004,1,MATCH(COLUMNS($V$1006:AD1006),$V$1006:$AE$1006,0)))),"Fix")))</f>
        <v>0</v>
      </c>
      <c r="K754" s="4">
        <f>IF(OR(INDEX($P$2:$P$1001,MATCH(ROWS($O$2:O754),$O$2:$O$1001,0),1)&gt;=100000,INDEX($V$1005:$AE$1005,1,MATCH(COLUMNS($V$1006:AE1006),$V$1006:$AE$1006,0))&gt;=100000), " ",IF(INDEX($V$2:$AE$1001,MATCH(ROWS($O$2:O754),$O$2:$O$1001,0),MATCH(COLUMNS($V$1006:AE1006),$V$1006:$AE$1006,0)), HYPERLINK("#",""), HYPERLINK(CONCATENATE("#Metadata!", ADDRESS(INDEX($Q$2:$Q$1001,MATCH(ROWS($O$2:O754),$O$2:$O$1001,0),0), INDEX($V$1004:$AE$1004,1,MATCH(COLUMNS($V$1006:AE1006),$V$1006:$AE$1006,0)))),"Fix")))</f>
        <v>0</v>
      </c>
      <c r="O754">
        <v>0</v>
      </c>
      <c r="P754">
        <v>0</v>
      </c>
      <c r="Q754">
        <v>0</v>
      </c>
      <c r="R754">
        <f>IF(S754,TRUE,AND(V754:AE754))</f>
        <v>0</v>
      </c>
      <c r="S754">
        <f>COUNTBLANK(Metadata!B754:K754)=COLUMNS(Metadata!B754:K754)</f>
        <v>0</v>
      </c>
      <c r="T754">
        <v>0</v>
      </c>
      <c r="V754">
        <f>AND(IF(Metadata!B754="",FALSE,TRUE),COUNTIF(Metadata!B:B, Metadata!B754) = 1,NOT(ISERROR(SUMPRODUCT(SEARCH(MID(Metadata!B754,ROW(INDIRECT("1:"&amp;LEN(Metadata!B754))), 1),"0123456789abcdefghijklmnopqrstuvwxyzABCDEFGHIJKLMNOPQRSTUVWXYZ.")))))</f>
        <v>0</v>
      </c>
      <c r="W754">
        <f>AND(IF(Metadata!C754="",FALSE,TRUE),exact(Metadata!C754,"urban biome"))</f>
        <v>0</v>
      </c>
      <c r="X754">
        <f>AND(IF(Metadata!D754="",FALSE,TRUE),exact(Metadata!D754,"animal-associated habitat"))</f>
        <v>0</v>
      </c>
      <c r="Y754">
        <f>OR(AND(IF(Metadata!E754="",FALSE,TRUE),OR(exact(Metadata!E754,"not applicable"),exact(Metadata!E754,"missing: not collected"),exact(Metadata!E754,"missing: not provided"),exact(Metadata!E754,"missing: restricted access"))),AND(IF(Metadata!E754="",FALSE,ISNUMBER(VALUE(Metadata!E754))),Metadata!E754&gt;0))</f>
        <v>0</v>
      </c>
      <c r="Z754">
        <f>AND(IF(Metadata!F754="",FALSE,TRUE),exact(Metadata!F754,"weeks"))</f>
        <v>0</v>
      </c>
      <c r="AA754">
        <f>AND(IF(Metadata!G754="",FALSE,TRUE),exact(Metadata!G754,"mouse"))</f>
        <v>0</v>
      </c>
      <c r="AB754">
        <f>AND(IF(Metadata!H754="",FALSE,TRUE),exact(Metadata!H754,"Mus musculus"))</f>
        <v>0</v>
      </c>
      <c r="AC754">
        <f>AND(IF(Metadata!I754="",FALSE,TRUE),exact(Metadata!I754,"10090"))</f>
        <v>0</v>
      </c>
      <c r="AD754">
        <f>OR(AND(IF(Metadata!J754="",FALSE,TRUE),OR(exact(Metadata!J754,"not applicable"),exact(Metadata!J754,"missing: not collected"),exact(Metadata!J754,"missing: not provided"),exact(Metadata!J754,"missing: restricted access"))),AND(IF(Metadata!J754="",FALSE,ISNUMBER(VALUE(Metadata!J754))),Metadata!J754&gt;0))</f>
        <v>0</v>
      </c>
      <c r="AE754">
        <f>AND(IF(Metadata!K754="",FALSE,TRUE),exact(Metadata!K754,"g"))</f>
        <v>0</v>
      </c>
    </row>
    <row r="755" spans="1:31">
      <c r="A755" s="5">
        <f>IF(B755=" "," ",HYPERLINK(CONCATENATE("#metadata!",ADDRESS(INDEX($Q$2:$Q$1001,MATCH(ROWS($O$2:O755),$O$2:$O$1001,0),0),1)),INDEX($T$2:$T$1001,MATCH(ROWS($O$2:O755),$O$2:$O$1001,0),0)))</f>
        <v>0</v>
      </c>
      <c r="B755" s="4">
        <f>IF(OR(INDEX($P$2:$P$1001,MATCH(ROWS($O$2:O755),$O$2:$O$1001,0),1)&gt;=100000,INDEX($V$1005:$AE$1005,1,MATCH(COLUMNS($V$1006:V1006),$V$1006:$AE$1006,0))&gt;=100000), " ",IF(INDEX($V$2:$AE$1001,MATCH(ROWS($O$2:O755),$O$2:$O$1001,0),MATCH(COLUMNS($V$1006:V1006),$V$1006:$AE$1006,0)), HYPERLINK("#",""), HYPERLINK(CONCATENATE("#Metadata!", ADDRESS(INDEX($Q$2:$Q$1001,MATCH(ROWS($O$2:O755),$O$2:$O$1001,0),0), INDEX($V$1004:$AE$1004,1,MATCH(COLUMNS($V$1006:V1006),$V$1006:$AE$1006,0)))),"Fix")))</f>
        <v>0</v>
      </c>
      <c r="C755" s="4">
        <f>IF(OR(INDEX($P$2:$P$1001,MATCH(ROWS($O$2:O755),$O$2:$O$1001,0),1)&gt;=100000,INDEX($V$1005:$AE$1005,1,MATCH(COLUMNS($V$1006:W1006),$V$1006:$AE$1006,0))&gt;=100000), " ",IF(INDEX($V$2:$AE$1001,MATCH(ROWS($O$2:O755),$O$2:$O$1001,0),MATCH(COLUMNS($V$1006:W1006),$V$1006:$AE$1006,0)), HYPERLINK("#",""), HYPERLINK(CONCATENATE("#Metadata!", ADDRESS(INDEX($Q$2:$Q$1001,MATCH(ROWS($O$2:O755),$O$2:$O$1001,0),0), INDEX($V$1004:$AE$1004,1,MATCH(COLUMNS($V$1006:W1006),$V$1006:$AE$1006,0)))),"Fix")))</f>
        <v>0</v>
      </c>
      <c r="D755" s="4">
        <f>IF(OR(INDEX($P$2:$P$1001,MATCH(ROWS($O$2:O755),$O$2:$O$1001,0),1)&gt;=100000,INDEX($V$1005:$AE$1005,1,MATCH(COLUMNS($V$1006:X1006),$V$1006:$AE$1006,0))&gt;=100000), " ",IF(INDEX($V$2:$AE$1001,MATCH(ROWS($O$2:O755),$O$2:$O$1001,0),MATCH(COLUMNS($V$1006:X1006),$V$1006:$AE$1006,0)), HYPERLINK("#",""), HYPERLINK(CONCATENATE("#Metadata!", ADDRESS(INDEX($Q$2:$Q$1001,MATCH(ROWS($O$2:O755),$O$2:$O$1001,0),0), INDEX($V$1004:$AE$1004,1,MATCH(COLUMNS($V$1006:X1006),$V$1006:$AE$1006,0)))),"Fix")))</f>
        <v>0</v>
      </c>
      <c r="E755" s="4">
        <f>IF(OR(INDEX($P$2:$P$1001,MATCH(ROWS($O$2:O755),$O$2:$O$1001,0),1)&gt;=100000,INDEX($V$1005:$AE$1005,1,MATCH(COLUMNS($V$1006:Y1006),$V$1006:$AE$1006,0))&gt;=100000), " ",IF(INDEX($V$2:$AE$1001,MATCH(ROWS($O$2:O755),$O$2:$O$1001,0),MATCH(COLUMNS($V$1006:Y1006),$V$1006:$AE$1006,0)), HYPERLINK("#",""), HYPERLINK(CONCATENATE("#Metadata!", ADDRESS(INDEX($Q$2:$Q$1001,MATCH(ROWS($O$2:O755),$O$2:$O$1001,0),0), INDEX($V$1004:$AE$1004,1,MATCH(COLUMNS($V$1006:Y1006),$V$1006:$AE$1006,0)))),"Fix")))</f>
        <v>0</v>
      </c>
      <c r="F755" s="4">
        <f>IF(OR(INDEX($P$2:$P$1001,MATCH(ROWS($O$2:O755),$O$2:$O$1001,0),1)&gt;=100000,INDEX($V$1005:$AE$1005,1,MATCH(COLUMNS($V$1006:Z1006),$V$1006:$AE$1006,0))&gt;=100000), " ",IF(INDEX($V$2:$AE$1001,MATCH(ROWS($O$2:O755),$O$2:$O$1001,0),MATCH(COLUMNS($V$1006:Z1006),$V$1006:$AE$1006,0)), HYPERLINK("#",""), HYPERLINK(CONCATENATE("#Metadata!", ADDRESS(INDEX($Q$2:$Q$1001,MATCH(ROWS($O$2:O755),$O$2:$O$1001,0),0), INDEX($V$1004:$AE$1004,1,MATCH(COLUMNS($V$1006:Z1006),$V$1006:$AE$1006,0)))),"Fix")))</f>
        <v>0</v>
      </c>
      <c r="G755" s="4">
        <f>IF(OR(INDEX($P$2:$P$1001,MATCH(ROWS($O$2:O755),$O$2:$O$1001,0),1)&gt;=100000,INDEX($V$1005:$AE$1005,1,MATCH(COLUMNS($V$1006:AA1006),$V$1006:$AE$1006,0))&gt;=100000), " ",IF(INDEX($V$2:$AE$1001,MATCH(ROWS($O$2:O755),$O$2:$O$1001,0),MATCH(COLUMNS($V$1006:AA1006),$V$1006:$AE$1006,0)), HYPERLINK("#",""), HYPERLINK(CONCATENATE("#Metadata!", ADDRESS(INDEX($Q$2:$Q$1001,MATCH(ROWS($O$2:O755),$O$2:$O$1001,0),0), INDEX($V$1004:$AE$1004,1,MATCH(COLUMNS($V$1006:AA1006),$V$1006:$AE$1006,0)))),"Fix")))</f>
        <v>0</v>
      </c>
      <c r="H755" s="4">
        <f>IF(OR(INDEX($P$2:$P$1001,MATCH(ROWS($O$2:O755),$O$2:$O$1001,0),1)&gt;=100000,INDEX($V$1005:$AE$1005,1,MATCH(COLUMNS($V$1006:AB1006),$V$1006:$AE$1006,0))&gt;=100000), " ",IF(INDEX($V$2:$AE$1001,MATCH(ROWS($O$2:O755),$O$2:$O$1001,0),MATCH(COLUMNS($V$1006:AB1006),$V$1006:$AE$1006,0)), HYPERLINK("#",""), HYPERLINK(CONCATENATE("#Metadata!", ADDRESS(INDEX($Q$2:$Q$1001,MATCH(ROWS($O$2:O755),$O$2:$O$1001,0),0), INDEX($V$1004:$AE$1004,1,MATCH(COLUMNS($V$1006:AB1006),$V$1006:$AE$1006,0)))),"Fix")))</f>
        <v>0</v>
      </c>
      <c r="I755" s="4">
        <f>IF(OR(INDEX($P$2:$P$1001,MATCH(ROWS($O$2:O755),$O$2:$O$1001,0),1)&gt;=100000,INDEX($V$1005:$AE$1005,1,MATCH(COLUMNS($V$1006:AC1006),$V$1006:$AE$1006,0))&gt;=100000), " ",IF(INDEX($V$2:$AE$1001,MATCH(ROWS($O$2:O755),$O$2:$O$1001,0),MATCH(COLUMNS($V$1006:AC1006),$V$1006:$AE$1006,0)), HYPERLINK("#",""), HYPERLINK(CONCATENATE("#Metadata!", ADDRESS(INDEX($Q$2:$Q$1001,MATCH(ROWS($O$2:O755),$O$2:$O$1001,0),0), INDEX($V$1004:$AE$1004,1,MATCH(COLUMNS($V$1006:AC1006),$V$1006:$AE$1006,0)))),"Fix")))</f>
        <v>0</v>
      </c>
      <c r="J755" s="4">
        <f>IF(OR(INDEX($P$2:$P$1001,MATCH(ROWS($O$2:O755),$O$2:$O$1001,0),1)&gt;=100000,INDEX($V$1005:$AE$1005,1,MATCH(COLUMNS($V$1006:AD1006),$V$1006:$AE$1006,0))&gt;=100000), " ",IF(INDEX($V$2:$AE$1001,MATCH(ROWS($O$2:O755),$O$2:$O$1001,0),MATCH(COLUMNS($V$1006:AD1006),$V$1006:$AE$1006,0)), HYPERLINK("#",""), HYPERLINK(CONCATENATE("#Metadata!", ADDRESS(INDEX($Q$2:$Q$1001,MATCH(ROWS($O$2:O755),$O$2:$O$1001,0),0), INDEX($V$1004:$AE$1004,1,MATCH(COLUMNS($V$1006:AD1006),$V$1006:$AE$1006,0)))),"Fix")))</f>
        <v>0</v>
      </c>
      <c r="K755" s="4">
        <f>IF(OR(INDEX($P$2:$P$1001,MATCH(ROWS($O$2:O755),$O$2:$O$1001,0),1)&gt;=100000,INDEX($V$1005:$AE$1005,1,MATCH(COLUMNS($V$1006:AE1006),$V$1006:$AE$1006,0))&gt;=100000), " ",IF(INDEX($V$2:$AE$1001,MATCH(ROWS($O$2:O755),$O$2:$O$1001,0),MATCH(COLUMNS($V$1006:AE1006),$V$1006:$AE$1006,0)), HYPERLINK("#",""), HYPERLINK(CONCATENATE("#Metadata!", ADDRESS(INDEX($Q$2:$Q$1001,MATCH(ROWS($O$2:O755),$O$2:$O$1001,0),0), INDEX($V$1004:$AE$1004,1,MATCH(COLUMNS($V$1006:AE1006),$V$1006:$AE$1006,0)))),"Fix")))</f>
        <v>0</v>
      </c>
      <c r="O755">
        <v>0</v>
      </c>
      <c r="P755">
        <v>0</v>
      </c>
      <c r="Q755">
        <v>0</v>
      </c>
      <c r="R755">
        <f>IF(S755,TRUE,AND(V755:AE755))</f>
        <v>0</v>
      </c>
      <c r="S755">
        <f>COUNTBLANK(Metadata!B755:K755)=COLUMNS(Metadata!B755:K755)</f>
        <v>0</v>
      </c>
      <c r="T755">
        <v>0</v>
      </c>
      <c r="V755">
        <f>AND(IF(Metadata!B755="",FALSE,TRUE),COUNTIF(Metadata!B:B, Metadata!B755) = 1,NOT(ISERROR(SUMPRODUCT(SEARCH(MID(Metadata!B755,ROW(INDIRECT("1:"&amp;LEN(Metadata!B755))), 1),"0123456789abcdefghijklmnopqrstuvwxyzABCDEFGHIJKLMNOPQRSTUVWXYZ.")))))</f>
        <v>0</v>
      </c>
      <c r="W755">
        <f>AND(IF(Metadata!C755="",FALSE,TRUE),exact(Metadata!C755,"urban biome"))</f>
        <v>0</v>
      </c>
      <c r="X755">
        <f>AND(IF(Metadata!D755="",FALSE,TRUE),exact(Metadata!D755,"animal-associated habitat"))</f>
        <v>0</v>
      </c>
      <c r="Y755">
        <f>OR(AND(IF(Metadata!E755="",FALSE,TRUE),OR(exact(Metadata!E755,"not applicable"),exact(Metadata!E755,"missing: not collected"),exact(Metadata!E755,"missing: not provided"),exact(Metadata!E755,"missing: restricted access"))),AND(IF(Metadata!E755="",FALSE,ISNUMBER(VALUE(Metadata!E755))),Metadata!E755&gt;0))</f>
        <v>0</v>
      </c>
      <c r="Z755">
        <f>AND(IF(Metadata!F755="",FALSE,TRUE),exact(Metadata!F755,"weeks"))</f>
        <v>0</v>
      </c>
      <c r="AA755">
        <f>AND(IF(Metadata!G755="",FALSE,TRUE),exact(Metadata!G755,"mouse"))</f>
        <v>0</v>
      </c>
      <c r="AB755">
        <f>AND(IF(Metadata!H755="",FALSE,TRUE),exact(Metadata!H755,"Mus musculus"))</f>
        <v>0</v>
      </c>
      <c r="AC755">
        <f>AND(IF(Metadata!I755="",FALSE,TRUE),exact(Metadata!I755,"10090"))</f>
        <v>0</v>
      </c>
      <c r="AD755">
        <f>OR(AND(IF(Metadata!J755="",FALSE,TRUE),OR(exact(Metadata!J755,"not applicable"),exact(Metadata!J755,"missing: not collected"),exact(Metadata!J755,"missing: not provided"),exact(Metadata!J755,"missing: restricted access"))),AND(IF(Metadata!J755="",FALSE,ISNUMBER(VALUE(Metadata!J755))),Metadata!J755&gt;0))</f>
        <v>0</v>
      </c>
      <c r="AE755">
        <f>AND(IF(Metadata!K755="",FALSE,TRUE),exact(Metadata!K755,"g"))</f>
        <v>0</v>
      </c>
    </row>
    <row r="756" spans="1:31">
      <c r="A756" s="5">
        <f>IF(B756=" "," ",HYPERLINK(CONCATENATE("#metadata!",ADDRESS(INDEX($Q$2:$Q$1001,MATCH(ROWS($O$2:O756),$O$2:$O$1001,0),0),1)),INDEX($T$2:$T$1001,MATCH(ROWS($O$2:O756),$O$2:$O$1001,0),0)))</f>
        <v>0</v>
      </c>
      <c r="B756" s="4">
        <f>IF(OR(INDEX($P$2:$P$1001,MATCH(ROWS($O$2:O756),$O$2:$O$1001,0),1)&gt;=100000,INDEX($V$1005:$AE$1005,1,MATCH(COLUMNS($V$1006:V1006),$V$1006:$AE$1006,0))&gt;=100000), " ",IF(INDEX($V$2:$AE$1001,MATCH(ROWS($O$2:O756),$O$2:$O$1001,0),MATCH(COLUMNS($V$1006:V1006),$V$1006:$AE$1006,0)), HYPERLINK("#",""), HYPERLINK(CONCATENATE("#Metadata!", ADDRESS(INDEX($Q$2:$Q$1001,MATCH(ROWS($O$2:O756),$O$2:$O$1001,0),0), INDEX($V$1004:$AE$1004,1,MATCH(COLUMNS($V$1006:V1006),$V$1006:$AE$1006,0)))),"Fix")))</f>
        <v>0</v>
      </c>
      <c r="C756" s="4">
        <f>IF(OR(INDEX($P$2:$P$1001,MATCH(ROWS($O$2:O756),$O$2:$O$1001,0),1)&gt;=100000,INDEX($V$1005:$AE$1005,1,MATCH(COLUMNS($V$1006:W1006),$V$1006:$AE$1006,0))&gt;=100000), " ",IF(INDEX($V$2:$AE$1001,MATCH(ROWS($O$2:O756),$O$2:$O$1001,0),MATCH(COLUMNS($V$1006:W1006),$V$1006:$AE$1006,0)), HYPERLINK("#",""), HYPERLINK(CONCATENATE("#Metadata!", ADDRESS(INDEX($Q$2:$Q$1001,MATCH(ROWS($O$2:O756),$O$2:$O$1001,0),0), INDEX($V$1004:$AE$1004,1,MATCH(COLUMNS($V$1006:W1006),$V$1006:$AE$1006,0)))),"Fix")))</f>
        <v>0</v>
      </c>
      <c r="D756" s="4">
        <f>IF(OR(INDEX($P$2:$P$1001,MATCH(ROWS($O$2:O756),$O$2:$O$1001,0),1)&gt;=100000,INDEX($V$1005:$AE$1005,1,MATCH(COLUMNS($V$1006:X1006),$V$1006:$AE$1006,0))&gt;=100000), " ",IF(INDEX($V$2:$AE$1001,MATCH(ROWS($O$2:O756),$O$2:$O$1001,0),MATCH(COLUMNS($V$1006:X1006),$V$1006:$AE$1006,0)), HYPERLINK("#",""), HYPERLINK(CONCATENATE("#Metadata!", ADDRESS(INDEX($Q$2:$Q$1001,MATCH(ROWS($O$2:O756),$O$2:$O$1001,0),0), INDEX($V$1004:$AE$1004,1,MATCH(COLUMNS($V$1006:X1006),$V$1006:$AE$1006,0)))),"Fix")))</f>
        <v>0</v>
      </c>
      <c r="E756" s="4">
        <f>IF(OR(INDEX($P$2:$P$1001,MATCH(ROWS($O$2:O756),$O$2:$O$1001,0),1)&gt;=100000,INDEX($V$1005:$AE$1005,1,MATCH(COLUMNS($V$1006:Y1006),$V$1006:$AE$1006,0))&gt;=100000), " ",IF(INDEX($V$2:$AE$1001,MATCH(ROWS($O$2:O756),$O$2:$O$1001,0),MATCH(COLUMNS($V$1006:Y1006),$V$1006:$AE$1006,0)), HYPERLINK("#",""), HYPERLINK(CONCATENATE("#Metadata!", ADDRESS(INDEX($Q$2:$Q$1001,MATCH(ROWS($O$2:O756),$O$2:$O$1001,0),0), INDEX($V$1004:$AE$1004,1,MATCH(COLUMNS($V$1006:Y1006),$V$1006:$AE$1006,0)))),"Fix")))</f>
        <v>0</v>
      </c>
      <c r="F756" s="4">
        <f>IF(OR(INDEX($P$2:$P$1001,MATCH(ROWS($O$2:O756),$O$2:$O$1001,0),1)&gt;=100000,INDEX($V$1005:$AE$1005,1,MATCH(COLUMNS($V$1006:Z1006),$V$1006:$AE$1006,0))&gt;=100000), " ",IF(INDEX($V$2:$AE$1001,MATCH(ROWS($O$2:O756),$O$2:$O$1001,0),MATCH(COLUMNS($V$1006:Z1006),$V$1006:$AE$1006,0)), HYPERLINK("#",""), HYPERLINK(CONCATENATE("#Metadata!", ADDRESS(INDEX($Q$2:$Q$1001,MATCH(ROWS($O$2:O756),$O$2:$O$1001,0),0), INDEX($V$1004:$AE$1004,1,MATCH(COLUMNS($V$1006:Z1006),$V$1006:$AE$1006,0)))),"Fix")))</f>
        <v>0</v>
      </c>
      <c r="G756" s="4">
        <f>IF(OR(INDEX($P$2:$P$1001,MATCH(ROWS($O$2:O756),$O$2:$O$1001,0),1)&gt;=100000,INDEX($V$1005:$AE$1005,1,MATCH(COLUMNS($V$1006:AA1006),$V$1006:$AE$1006,0))&gt;=100000), " ",IF(INDEX($V$2:$AE$1001,MATCH(ROWS($O$2:O756),$O$2:$O$1001,0),MATCH(COLUMNS($V$1006:AA1006),$V$1006:$AE$1006,0)), HYPERLINK("#",""), HYPERLINK(CONCATENATE("#Metadata!", ADDRESS(INDEX($Q$2:$Q$1001,MATCH(ROWS($O$2:O756),$O$2:$O$1001,0),0), INDEX($V$1004:$AE$1004,1,MATCH(COLUMNS($V$1006:AA1006),$V$1006:$AE$1006,0)))),"Fix")))</f>
        <v>0</v>
      </c>
      <c r="H756" s="4">
        <f>IF(OR(INDEX($P$2:$P$1001,MATCH(ROWS($O$2:O756),$O$2:$O$1001,0),1)&gt;=100000,INDEX($V$1005:$AE$1005,1,MATCH(COLUMNS($V$1006:AB1006),$V$1006:$AE$1006,0))&gt;=100000), " ",IF(INDEX($V$2:$AE$1001,MATCH(ROWS($O$2:O756),$O$2:$O$1001,0),MATCH(COLUMNS($V$1006:AB1006),$V$1006:$AE$1006,0)), HYPERLINK("#",""), HYPERLINK(CONCATENATE("#Metadata!", ADDRESS(INDEX($Q$2:$Q$1001,MATCH(ROWS($O$2:O756),$O$2:$O$1001,0),0), INDEX($V$1004:$AE$1004,1,MATCH(COLUMNS($V$1006:AB1006),$V$1006:$AE$1006,0)))),"Fix")))</f>
        <v>0</v>
      </c>
      <c r="I756" s="4">
        <f>IF(OR(INDEX($P$2:$P$1001,MATCH(ROWS($O$2:O756),$O$2:$O$1001,0),1)&gt;=100000,INDEX($V$1005:$AE$1005,1,MATCH(COLUMNS($V$1006:AC1006),$V$1006:$AE$1006,0))&gt;=100000), " ",IF(INDEX($V$2:$AE$1001,MATCH(ROWS($O$2:O756),$O$2:$O$1001,0),MATCH(COLUMNS($V$1006:AC1006),$V$1006:$AE$1006,0)), HYPERLINK("#",""), HYPERLINK(CONCATENATE("#Metadata!", ADDRESS(INDEX($Q$2:$Q$1001,MATCH(ROWS($O$2:O756),$O$2:$O$1001,0),0), INDEX($V$1004:$AE$1004,1,MATCH(COLUMNS($V$1006:AC1006),$V$1006:$AE$1006,0)))),"Fix")))</f>
        <v>0</v>
      </c>
      <c r="J756" s="4">
        <f>IF(OR(INDEX($P$2:$P$1001,MATCH(ROWS($O$2:O756),$O$2:$O$1001,0),1)&gt;=100000,INDEX($V$1005:$AE$1005,1,MATCH(COLUMNS($V$1006:AD1006),$V$1006:$AE$1006,0))&gt;=100000), " ",IF(INDEX($V$2:$AE$1001,MATCH(ROWS($O$2:O756),$O$2:$O$1001,0),MATCH(COLUMNS($V$1006:AD1006),$V$1006:$AE$1006,0)), HYPERLINK("#",""), HYPERLINK(CONCATENATE("#Metadata!", ADDRESS(INDEX($Q$2:$Q$1001,MATCH(ROWS($O$2:O756),$O$2:$O$1001,0),0), INDEX($V$1004:$AE$1004,1,MATCH(COLUMNS($V$1006:AD1006),$V$1006:$AE$1006,0)))),"Fix")))</f>
        <v>0</v>
      </c>
      <c r="K756" s="4">
        <f>IF(OR(INDEX($P$2:$P$1001,MATCH(ROWS($O$2:O756),$O$2:$O$1001,0),1)&gt;=100000,INDEX($V$1005:$AE$1005,1,MATCH(COLUMNS($V$1006:AE1006),$V$1006:$AE$1006,0))&gt;=100000), " ",IF(INDEX($V$2:$AE$1001,MATCH(ROWS($O$2:O756),$O$2:$O$1001,0),MATCH(COLUMNS($V$1006:AE1006),$V$1006:$AE$1006,0)), HYPERLINK("#",""), HYPERLINK(CONCATENATE("#Metadata!", ADDRESS(INDEX($Q$2:$Q$1001,MATCH(ROWS($O$2:O756),$O$2:$O$1001,0),0), INDEX($V$1004:$AE$1004,1,MATCH(COLUMNS($V$1006:AE1006),$V$1006:$AE$1006,0)))),"Fix")))</f>
        <v>0</v>
      </c>
      <c r="O756">
        <v>0</v>
      </c>
      <c r="P756">
        <v>0</v>
      </c>
      <c r="Q756">
        <v>0</v>
      </c>
      <c r="R756">
        <f>IF(S756,TRUE,AND(V756:AE756))</f>
        <v>0</v>
      </c>
      <c r="S756">
        <f>COUNTBLANK(Metadata!B756:K756)=COLUMNS(Metadata!B756:K756)</f>
        <v>0</v>
      </c>
      <c r="T756">
        <v>0</v>
      </c>
      <c r="V756">
        <f>AND(IF(Metadata!B756="",FALSE,TRUE),COUNTIF(Metadata!B:B, Metadata!B756) = 1,NOT(ISERROR(SUMPRODUCT(SEARCH(MID(Metadata!B756,ROW(INDIRECT("1:"&amp;LEN(Metadata!B756))), 1),"0123456789abcdefghijklmnopqrstuvwxyzABCDEFGHIJKLMNOPQRSTUVWXYZ.")))))</f>
        <v>0</v>
      </c>
      <c r="W756">
        <f>AND(IF(Metadata!C756="",FALSE,TRUE),exact(Metadata!C756,"urban biome"))</f>
        <v>0</v>
      </c>
      <c r="X756">
        <f>AND(IF(Metadata!D756="",FALSE,TRUE),exact(Metadata!D756,"animal-associated habitat"))</f>
        <v>0</v>
      </c>
      <c r="Y756">
        <f>OR(AND(IF(Metadata!E756="",FALSE,TRUE),OR(exact(Metadata!E756,"not applicable"),exact(Metadata!E756,"missing: not collected"),exact(Metadata!E756,"missing: not provided"),exact(Metadata!E756,"missing: restricted access"))),AND(IF(Metadata!E756="",FALSE,ISNUMBER(VALUE(Metadata!E756))),Metadata!E756&gt;0))</f>
        <v>0</v>
      </c>
      <c r="Z756">
        <f>AND(IF(Metadata!F756="",FALSE,TRUE),exact(Metadata!F756,"weeks"))</f>
        <v>0</v>
      </c>
      <c r="AA756">
        <f>AND(IF(Metadata!G756="",FALSE,TRUE),exact(Metadata!G756,"mouse"))</f>
        <v>0</v>
      </c>
      <c r="AB756">
        <f>AND(IF(Metadata!H756="",FALSE,TRUE),exact(Metadata!H756,"Mus musculus"))</f>
        <v>0</v>
      </c>
      <c r="AC756">
        <f>AND(IF(Metadata!I756="",FALSE,TRUE),exact(Metadata!I756,"10090"))</f>
        <v>0</v>
      </c>
      <c r="AD756">
        <f>OR(AND(IF(Metadata!J756="",FALSE,TRUE),OR(exact(Metadata!J756,"not applicable"),exact(Metadata!J756,"missing: not collected"),exact(Metadata!J756,"missing: not provided"),exact(Metadata!J756,"missing: restricted access"))),AND(IF(Metadata!J756="",FALSE,ISNUMBER(VALUE(Metadata!J756))),Metadata!J756&gt;0))</f>
        <v>0</v>
      </c>
      <c r="AE756">
        <f>AND(IF(Metadata!K756="",FALSE,TRUE),exact(Metadata!K756,"g"))</f>
        <v>0</v>
      </c>
    </row>
    <row r="757" spans="1:31">
      <c r="A757" s="5">
        <f>IF(B757=" "," ",HYPERLINK(CONCATENATE("#metadata!",ADDRESS(INDEX($Q$2:$Q$1001,MATCH(ROWS($O$2:O757),$O$2:$O$1001,0),0),1)),INDEX($T$2:$T$1001,MATCH(ROWS($O$2:O757),$O$2:$O$1001,0),0)))</f>
        <v>0</v>
      </c>
      <c r="B757" s="4">
        <f>IF(OR(INDEX($P$2:$P$1001,MATCH(ROWS($O$2:O757),$O$2:$O$1001,0),1)&gt;=100000,INDEX($V$1005:$AE$1005,1,MATCH(COLUMNS($V$1006:V1006),$V$1006:$AE$1006,0))&gt;=100000), " ",IF(INDEX($V$2:$AE$1001,MATCH(ROWS($O$2:O757),$O$2:$O$1001,0),MATCH(COLUMNS($V$1006:V1006),$V$1006:$AE$1006,0)), HYPERLINK("#",""), HYPERLINK(CONCATENATE("#Metadata!", ADDRESS(INDEX($Q$2:$Q$1001,MATCH(ROWS($O$2:O757),$O$2:$O$1001,0),0), INDEX($V$1004:$AE$1004,1,MATCH(COLUMNS($V$1006:V1006),$V$1006:$AE$1006,0)))),"Fix")))</f>
        <v>0</v>
      </c>
      <c r="C757" s="4">
        <f>IF(OR(INDEX($P$2:$P$1001,MATCH(ROWS($O$2:O757),$O$2:$O$1001,0),1)&gt;=100000,INDEX($V$1005:$AE$1005,1,MATCH(COLUMNS($V$1006:W1006),$V$1006:$AE$1006,0))&gt;=100000), " ",IF(INDEX($V$2:$AE$1001,MATCH(ROWS($O$2:O757),$O$2:$O$1001,0),MATCH(COLUMNS($V$1006:W1006),$V$1006:$AE$1006,0)), HYPERLINK("#",""), HYPERLINK(CONCATENATE("#Metadata!", ADDRESS(INDEX($Q$2:$Q$1001,MATCH(ROWS($O$2:O757),$O$2:$O$1001,0),0), INDEX($V$1004:$AE$1004,1,MATCH(COLUMNS($V$1006:W1006),$V$1006:$AE$1006,0)))),"Fix")))</f>
        <v>0</v>
      </c>
      <c r="D757" s="4">
        <f>IF(OR(INDEX($P$2:$P$1001,MATCH(ROWS($O$2:O757),$O$2:$O$1001,0),1)&gt;=100000,INDEX($V$1005:$AE$1005,1,MATCH(COLUMNS($V$1006:X1006),$V$1006:$AE$1006,0))&gt;=100000), " ",IF(INDEX($V$2:$AE$1001,MATCH(ROWS($O$2:O757),$O$2:$O$1001,0),MATCH(COLUMNS($V$1006:X1006),$V$1006:$AE$1006,0)), HYPERLINK("#",""), HYPERLINK(CONCATENATE("#Metadata!", ADDRESS(INDEX($Q$2:$Q$1001,MATCH(ROWS($O$2:O757),$O$2:$O$1001,0),0), INDEX($V$1004:$AE$1004,1,MATCH(COLUMNS($V$1006:X1006),$V$1006:$AE$1006,0)))),"Fix")))</f>
        <v>0</v>
      </c>
      <c r="E757" s="4">
        <f>IF(OR(INDEX($P$2:$P$1001,MATCH(ROWS($O$2:O757),$O$2:$O$1001,0),1)&gt;=100000,INDEX($V$1005:$AE$1005,1,MATCH(COLUMNS($V$1006:Y1006),$V$1006:$AE$1006,0))&gt;=100000), " ",IF(INDEX($V$2:$AE$1001,MATCH(ROWS($O$2:O757),$O$2:$O$1001,0),MATCH(COLUMNS($V$1006:Y1006),$V$1006:$AE$1006,0)), HYPERLINK("#",""), HYPERLINK(CONCATENATE("#Metadata!", ADDRESS(INDEX($Q$2:$Q$1001,MATCH(ROWS($O$2:O757),$O$2:$O$1001,0),0), INDEX($V$1004:$AE$1004,1,MATCH(COLUMNS($V$1006:Y1006),$V$1006:$AE$1006,0)))),"Fix")))</f>
        <v>0</v>
      </c>
      <c r="F757" s="4">
        <f>IF(OR(INDEX($P$2:$P$1001,MATCH(ROWS($O$2:O757),$O$2:$O$1001,0),1)&gt;=100000,INDEX($V$1005:$AE$1005,1,MATCH(COLUMNS($V$1006:Z1006),$V$1006:$AE$1006,0))&gt;=100000), " ",IF(INDEX($V$2:$AE$1001,MATCH(ROWS($O$2:O757),$O$2:$O$1001,0),MATCH(COLUMNS($V$1006:Z1006),$V$1006:$AE$1006,0)), HYPERLINK("#",""), HYPERLINK(CONCATENATE("#Metadata!", ADDRESS(INDEX($Q$2:$Q$1001,MATCH(ROWS($O$2:O757),$O$2:$O$1001,0),0), INDEX($V$1004:$AE$1004,1,MATCH(COLUMNS($V$1006:Z1006),$V$1006:$AE$1006,0)))),"Fix")))</f>
        <v>0</v>
      </c>
      <c r="G757" s="4">
        <f>IF(OR(INDEX($P$2:$P$1001,MATCH(ROWS($O$2:O757),$O$2:$O$1001,0),1)&gt;=100000,INDEX($V$1005:$AE$1005,1,MATCH(COLUMNS($V$1006:AA1006),$V$1006:$AE$1006,0))&gt;=100000), " ",IF(INDEX($V$2:$AE$1001,MATCH(ROWS($O$2:O757),$O$2:$O$1001,0),MATCH(COLUMNS($V$1006:AA1006),$V$1006:$AE$1006,0)), HYPERLINK("#",""), HYPERLINK(CONCATENATE("#Metadata!", ADDRESS(INDEX($Q$2:$Q$1001,MATCH(ROWS($O$2:O757),$O$2:$O$1001,0),0), INDEX($V$1004:$AE$1004,1,MATCH(COLUMNS($V$1006:AA1006),$V$1006:$AE$1006,0)))),"Fix")))</f>
        <v>0</v>
      </c>
      <c r="H757" s="4">
        <f>IF(OR(INDEX($P$2:$P$1001,MATCH(ROWS($O$2:O757),$O$2:$O$1001,0),1)&gt;=100000,INDEX($V$1005:$AE$1005,1,MATCH(COLUMNS($V$1006:AB1006),$V$1006:$AE$1006,0))&gt;=100000), " ",IF(INDEX($V$2:$AE$1001,MATCH(ROWS($O$2:O757),$O$2:$O$1001,0),MATCH(COLUMNS($V$1006:AB1006),$V$1006:$AE$1006,0)), HYPERLINK("#",""), HYPERLINK(CONCATENATE("#Metadata!", ADDRESS(INDEX($Q$2:$Q$1001,MATCH(ROWS($O$2:O757),$O$2:$O$1001,0),0), INDEX($V$1004:$AE$1004,1,MATCH(COLUMNS($V$1006:AB1006),$V$1006:$AE$1006,0)))),"Fix")))</f>
        <v>0</v>
      </c>
      <c r="I757" s="4">
        <f>IF(OR(INDEX($P$2:$P$1001,MATCH(ROWS($O$2:O757),$O$2:$O$1001,0),1)&gt;=100000,INDEX($V$1005:$AE$1005,1,MATCH(COLUMNS($V$1006:AC1006),$V$1006:$AE$1006,0))&gt;=100000), " ",IF(INDEX($V$2:$AE$1001,MATCH(ROWS($O$2:O757),$O$2:$O$1001,0),MATCH(COLUMNS($V$1006:AC1006),$V$1006:$AE$1006,0)), HYPERLINK("#",""), HYPERLINK(CONCATENATE("#Metadata!", ADDRESS(INDEX($Q$2:$Q$1001,MATCH(ROWS($O$2:O757),$O$2:$O$1001,0),0), INDEX($V$1004:$AE$1004,1,MATCH(COLUMNS($V$1006:AC1006),$V$1006:$AE$1006,0)))),"Fix")))</f>
        <v>0</v>
      </c>
      <c r="J757" s="4">
        <f>IF(OR(INDEX($P$2:$P$1001,MATCH(ROWS($O$2:O757),$O$2:$O$1001,0),1)&gt;=100000,INDEX($V$1005:$AE$1005,1,MATCH(COLUMNS($V$1006:AD1006),$V$1006:$AE$1006,0))&gt;=100000), " ",IF(INDEX($V$2:$AE$1001,MATCH(ROWS($O$2:O757),$O$2:$O$1001,0),MATCH(COLUMNS($V$1006:AD1006),$V$1006:$AE$1006,0)), HYPERLINK("#",""), HYPERLINK(CONCATENATE("#Metadata!", ADDRESS(INDEX($Q$2:$Q$1001,MATCH(ROWS($O$2:O757),$O$2:$O$1001,0),0), INDEX($V$1004:$AE$1004,1,MATCH(COLUMNS($V$1006:AD1006),$V$1006:$AE$1006,0)))),"Fix")))</f>
        <v>0</v>
      </c>
      <c r="K757" s="4">
        <f>IF(OR(INDEX($P$2:$P$1001,MATCH(ROWS($O$2:O757),$O$2:$O$1001,0),1)&gt;=100000,INDEX($V$1005:$AE$1005,1,MATCH(COLUMNS($V$1006:AE1006),$V$1006:$AE$1006,0))&gt;=100000), " ",IF(INDEX($V$2:$AE$1001,MATCH(ROWS($O$2:O757),$O$2:$O$1001,0),MATCH(COLUMNS($V$1006:AE1006),$V$1006:$AE$1006,0)), HYPERLINK("#",""), HYPERLINK(CONCATENATE("#Metadata!", ADDRESS(INDEX($Q$2:$Q$1001,MATCH(ROWS($O$2:O757),$O$2:$O$1001,0),0), INDEX($V$1004:$AE$1004,1,MATCH(COLUMNS($V$1006:AE1006),$V$1006:$AE$1006,0)))),"Fix")))</f>
        <v>0</v>
      </c>
      <c r="O757">
        <v>0</v>
      </c>
      <c r="P757">
        <v>0</v>
      </c>
      <c r="Q757">
        <v>0</v>
      </c>
      <c r="R757">
        <f>IF(S757,TRUE,AND(V757:AE757))</f>
        <v>0</v>
      </c>
      <c r="S757">
        <f>COUNTBLANK(Metadata!B757:K757)=COLUMNS(Metadata!B757:K757)</f>
        <v>0</v>
      </c>
      <c r="T757">
        <v>0</v>
      </c>
      <c r="V757">
        <f>AND(IF(Metadata!B757="",FALSE,TRUE),COUNTIF(Metadata!B:B, Metadata!B757) = 1,NOT(ISERROR(SUMPRODUCT(SEARCH(MID(Metadata!B757,ROW(INDIRECT("1:"&amp;LEN(Metadata!B757))), 1),"0123456789abcdefghijklmnopqrstuvwxyzABCDEFGHIJKLMNOPQRSTUVWXYZ.")))))</f>
        <v>0</v>
      </c>
      <c r="W757">
        <f>AND(IF(Metadata!C757="",FALSE,TRUE),exact(Metadata!C757,"urban biome"))</f>
        <v>0</v>
      </c>
      <c r="X757">
        <f>AND(IF(Metadata!D757="",FALSE,TRUE),exact(Metadata!D757,"animal-associated habitat"))</f>
        <v>0</v>
      </c>
      <c r="Y757">
        <f>OR(AND(IF(Metadata!E757="",FALSE,TRUE),OR(exact(Metadata!E757,"not applicable"),exact(Metadata!E757,"missing: not collected"),exact(Metadata!E757,"missing: not provided"),exact(Metadata!E757,"missing: restricted access"))),AND(IF(Metadata!E757="",FALSE,ISNUMBER(VALUE(Metadata!E757))),Metadata!E757&gt;0))</f>
        <v>0</v>
      </c>
      <c r="Z757">
        <f>AND(IF(Metadata!F757="",FALSE,TRUE),exact(Metadata!F757,"weeks"))</f>
        <v>0</v>
      </c>
      <c r="AA757">
        <f>AND(IF(Metadata!G757="",FALSE,TRUE),exact(Metadata!G757,"mouse"))</f>
        <v>0</v>
      </c>
      <c r="AB757">
        <f>AND(IF(Metadata!H757="",FALSE,TRUE),exact(Metadata!H757,"Mus musculus"))</f>
        <v>0</v>
      </c>
      <c r="AC757">
        <f>AND(IF(Metadata!I757="",FALSE,TRUE),exact(Metadata!I757,"10090"))</f>
        <v>0</v>
      </c>
      <c r="AD757">
        <f>OR(AND(IF(Metadata!J757="",FALSE,TRUE),OR(exact(Metadata!J757,"not applicable"),exact(Metadata!J757,"missing: not collected"),exact(Metadata!J757,"missing: not provided"),exact(Metadata!J757,"missing: restricted access"))),AND(IF(Metadata!J757="",FALSE,ISNUMBER(VALUE(Metadata!J757))),Metadata!J757&gt;0))</f>
        <v>0</v>
      </c>
      <c r="AE757">
        <f>AND(IF(Metadata!K757="",FALSE,TRUE),exact(Metadata!K757,"g"))</f>
        <v>0</v>
      </c>
    </row>
    <row r="758" spans="1:31">
      <c r="A758" s="5">
        <f>IF(B758=" "," ",HYPERLINK(CONCATENATE("#metadata!",ADDRESS(INDEX($Q$2:$Q$1001,MATCH(ROWS($O$2:O758),$O$2:$O$1001,0),0),1)),INDEX($T$2:$T$1001,MATCH(ROWS($O$2:O758),$O$2:$O$1001,0),0)))</f>
        <v>0</v>
      </c>
      <c r="B758" s="4">
        <f>IF(OR(INDEX($P$2:$P$1001,MATCH(ROWS($O$2:O758),$O$2:$O$1001,0),1)&gt;=100000,INDEX($V$1005:$AE$1005,1,MATCH(COLUMNS($V$1006:V1006),$V$1006:$AE$1006,0))&gt;=100000), " ",IF(INDEX($V$2:$AE$1001,MATCH(ROWS($O$2:O758),$O$2:$O$1001,0),MATCH(COLUMNS($V$1006:V1006),$V$1006:$AE$1006,0)), HYPERLINK("#",""), HYPERLINK(CONCATENATE("#Metadata!", ADDRESS(INDEX($Q$2:$Q$1001,MATCH(ROWS($O$2:O758),$O$2:$O$1001,0),0), INDEX($V$1004:$AE$1004,1,MATCH(COLUMNS($V$1006:V1006),$V$1006:$AE$1006,0)))),"Fix")))</f>
        <v>0</v>
      </c>
      <c r="C758" s="4">
        <f>IF(OR(INDEX($P$2:$P$1001,MATCH(ROWS($O$2:O758),$O$2:$O$1001,0),1)&gt;=100000,INDEX($V$1005:$AE$1005,1,MATCH(COLUMNS($V$1006:W1006),$V$1006:$AE$1006,0))&gt;=100000), " ",IF(INDEX($V$2:$AE$1001,MATCH(ROWS($O$2:O758),$O$2:$O$1001,0),MATCH(COLUMNS($V$1006:W1006),$V$1006:$AE$1006,0)), HYPERLINK("#",""), HYPERLINK(CONCATENATE("#Metadata!", ADDRESS(INDEX($Q$2:$Q$1001,MATCH(ROWS($O$2:O758),$O$2:$O$1001,0),0), INDEX($V$1004:$AE$1004,1,MATCH(COLUMNS($V$1006:W1006),$V$1006:$AE$1006,0)))),"Fix")))</f>
        <v>0</v>
      </c>
      <c r="D758" s="4">
        <f>IF(OR(INDEX($P$2:$P$1001,MATCH(ROWS($O$2:O758),$O$2:$O$1001,0),1)&gt;=100000,INDEX($V$1005:$AE$1005,1,MATCH(COLUMNS($V$1006:X1006),$V$1006:$AE$1006,0))&gt;=100000), " ",IF(INDEX($V$2:$AE$1001,MATCH(ROWS($O$2:O758),$O$2:$O$1001,0),MATCH(COLUMNS($V$1006:X1006),$V$1006:$AE$1006,0)), HYPERLINK("#",""), HYPERLINK(CONCATENATE("#Metadata!", ADDRESS(INDEX($Q$2:$Q$1001,MATCH(ROWS($O$2:O758),$O$2:$O$1001,0),0), INDEX($V$1004:$AE$1004,1,MATCH(COLUMNS($V$1006:X1006),$V$1006:$AE$1006,0)))),"Fix")))</f>
        <v>0</v>
      </c>
      <c r="E758" s="4">
        <f>IF(OR(INDEX($P$2:$P$1001,MATCH(ROWS($O$2:O758),$O$2:$O$1001,0),1)&gt;=100000,INDEX($V$1005:$AE$1005,1,MATCH(COLUMNS($V$1006:Y1006),$V$1006:$AE$1006,0))&gt;=100000), " ",IF(INDEX($V$2:$AE$1001,MATCH(ROWS($O$2:O758),$O$2:$O$1001,0),MATCH(COLUMNS($V$1006:Y1006),$V$1006:$AE$1006,0)), HYPERLINK("#",""), HYPERLINK(CONCATENATE("#Metadata!", ADDRESS(INDEX($Q$2:$Q$1001,MATCH(ROWS($O$2:O758),$O$2:$O$1001,0),0), INDEX($V$1004:$AE$1004,1,MATCH(COLUMNS($V$1006:Y1006),$V$1006:$AE$1006,0)))),"Fix")))</f>
        <v>0</v>
      </c>
      <c r="F758" s="4">
        <f>IF(OR(INDEX($P$2:$P$1001,MATCH(ROWS($O$2:O758),$O$2:$O$1001,0),1)&gt;=100000,INDEX($V$1005:$AE$1005,1,MATCH(COLUMNS($V$1006:Z1006),$V$1006:$AE$1006,0))&gt;=100000), " ",IF(INDEX($V$2:$AE$1001,MATCH(ROWS($O$2:O758),$O$2:$O$1001,0),MATCH(COLUMNS($V$1006:Z1006),$V$1006:$AE$1006,0)), HYPERLINK("#",""), HYPERLINK(CONCATENATE("#Metadata!", ADDRESS(INDEX($Q$2:$Q$1001,MATCH(ROWS($O$2:O758),$O$2:$O$1001,0),0), INDEX($V$1004:$AE$1004,1,MATCH(COLUMNS($V$1006:Z1006),$V$1006:$AE$1006,0)))),"Fix")))</f>
        <v>0</v>
      </c>
      <c r="G758" s="4">
        <f>IF(OR(INDEX($P$2:$P$1001,MATCH(ROWS($O$2:O758),$O$2:$O$1001,0),1)&gt;=100000,INDEX($V$1005:$AE$1005,1,MATCH(COLUMNS($V$1006:AA1006),$V$1006:$AE$1006,0))&gt;=100000), " ",IF(INDEX($V$2:$AE$1001,MATCH(ROWS($O$2:O758),$O$2:$O$1001,0),MATCH(COLUMNS($V$1006:AA1006),$V$1006:$AE$1006,0)), HYPERLINK("#",""), HYPERLINK(CONCATENATE("#Metadata!", ADDRESS(INDEX($Q$2:$Q$1001,MATCH(ROWS($O$2:O758),$O$2:$O$1001,0),0), INDEX($V$1004:$AE$1004,1,MATCH(COLUMNS($V$1006:AA1006),$V$1006:$AE$1006,0)))),"Fix")))</f>
        <v>0</v>
      </c>
      <c r="H758" s="4">
        <f>IF(OR(INDEX($P$2:$P$1001,MATCH(ROWS($O$2:O758),$O$2:$O$1001,0),1)&gt;=100000,INDEX($V$1005:$AE$1005,1,MATCH(COLUMNS($V$1006:AB1006),$V$1006:$AE$1006,0))&gt;=100000), " ",IF(INDEX($V$2:$AE$1001,MATCH(ROWS($O$2:O758),$O$2:$O$1001,0),MATCH(COLUMNS($V$1006:AB1006),$V$1006:$AE$1006,0)), HYPERLINK("#",""), HYPERLINK(CONCATENATE("#Metadata!", ADDRESS(INDEX($Q$2:$Q$1001,MATCH(ROWS($O$2:O758),$O$2:$O$1001,0),0), INDEX($V$1004:$AE$1004,1,MATCH(COLUMNS($V$1006:AB1006),$V$1006:$AE$1006,0)))),"Fix")))</f>
        <v>0</v>
      </c>
      <c r="I758" s="4">
        <f>IF(OR(INDEX($P$2:$P$1001,MATCH(ROWS($O$2:O758),$O$2:$O$1001,0),1)&gt;=100000,INDEX($V$1005:$AE$1005,1,MATCH(COLUMNS($V$1006:AC1006),$V$1006:$AE$1006,0))&gt;=100000), " ",IF(INDEX($V$2:$AE$1001,MATCH(ROWS($O$2:O758),$O$2:$O$1001,0),MATCH(COLUMNS($V$1006:AC1006),$V$1006:$AE$1006,0)), HYPERLINK("#",""), HYPERLINK(CONCATENATE("#Metadata!", ADDRESS(INDEX($Q$2:$Q$1001,MATCH(ROWS($O$2:O758),$O$2:$O$1001,0),0), INDEX($V$1004:$AE$1004,1,MATCH(COLUMNS($V$1006:AC1006),$V$1006:$AE$1006,0)))),"Fix")))</f>
        <v>0</v>
      </c>
      <c r="J758" s="4">
        <f>IF(OR(INDEX($P$2:$P$1001,MATCH(ROWS($O$2:O758),$O$2:$O$1001,0),1)&gt;=100000,INDEX($V$1005:$AE$1005,1,MATCH(COLUMNS($V$1006:AD1006),$V$1006:$AE$1006,0))&gt;=100000), " ",IF(INDEX($V$2:$AE$1001,MATCH(ROWS($O$2:O758),$O$2:$O$1001,0),MATCH(COLUMNS($V$1006:AD1006),$V$1006:$AE$1006,0)), HYPERLINK("#",""), HYPERLINK(CONCATENATE("#Metadata!", ADDRESS(INDEX($Q$2:$Q$1001,MATCH(ROWS($O$2:O758),$O$2:$O$1001,0),0), INDEX($V$1004:$AE$1004,1,MATCH(COLUMNS($V$1006:AD1006),$V$1006:$AE$1006,0)))),"Fix")))</f>
        <v>0</v>
      </c>
      <c r="K758" s="4">
        <f>IF(OR(INDEX($P$2:$P$1001,MATCH(ROWS($O$2:O758),$O$2:$O$1001,0),1)&gt;=100000,INDEX($V$1005:$AE$1005,1,MATCH(COLUMNS($V$1006:AE1006),$V$1006:$AE$1006,0))&gt;=100000), " ",IF(INDEX($V$2:$AE$1001,MATCH(ROWS($O$2:O758),$O$2:$O$1001,0),MATCH(COLUMNS($V$1006:AE1006),$V$1006:$AE$1006,0)), HYPERLINK("#",""), HYPERLINK(CONCATENATE("#Metadata!", ADDRESS(INDEX($Q$2:$Q$1001,MATCH(ROWS($O$2:O758),$O$2:$O$1001,0),0), INDEX($V$1004:$AE$1004,1,MATCH(COLUMNS($V$1006:AE1006),$V$1006:$AE$1006,0)))),"Fix")))</f>
        <v>0</v>
      </c>
      <c r="O758">
        <v>0</v>
      </c>
      <c r="P758">
        <v>0</v>
      </c>
      <c r="Q758">
        <v>0</v>
      </c>
      <c r="R758">
        <f>IF(S758,TRUE,AND(V758:AE758))</f>
        <v>0</v>
      </c>
      <c r="S758">
        <f>COUNTBLANK(Metadata!B758:K758)=COLUMNS(Metadata!B758:K758)</f>
        <v>0</v>
      </c>
      <c r="T758">
        <v>0</v>
      </c>
      <c r="V758">
        <f>AND(IF(Metadata!B758="",FALSE,TRUE),COUNTIF(Metadata!B:B, Metadata!B758) = 1,NOT(ISERROR(SUMPRODUCT(SEARCH(MID(Metadata!B758,ROW(INDIRECT("1:"&amp;LEN(Metadata!B758))), 1),"0123456789abcdefghijklmnopqrstuvwxyzABCDEFGHIJKLMNOPQRSTUVWXYZ.")))))</f>
        <v>0</v>
      </c>
      <c r="W758">
        <f>AND(IF(Metadata!C758="",FALSE,TRUE),exact(Metadata!C758,"urban biome"))</f>
        <v>0</v>
      </c>
      <c r="X758">
        <f>AND(IF(Metadata!D758="",FALSE,TRUE),exact(Metadata!D758,"animal-associated habitat"))</f>
        <v>0</v>
      </c>
      <c r="Y758">
        <f>OR(AND(IF(Metadata!E758="",FALSE,TRUE),OR(exact(Metadata!E758,"not applicable"),exact(Metadata!E758,"missing: not collected"),exact(Metadata!E758,"missing: not provided"),exact(Metadata!E758,"missing: restricted access"))),AND(IF(Metadata!E758="",FALSE,ISNUMBER(VALUE(Metadata!E758))),Metadata!E758&gt;0))</f>
        <v>0</v>
      </c>
      <c r="Z758">
        <f>AND(IF(Metadata!F758="",FALSE,TRUE),exact(Metadata!F758,"weeks"))</f>
        <v>0</v>
      </c>
      <c r="AA758">
        <f>AND(IF(Metadata!G758="",FALSE,TRUE),exact(Metadata!G758,"mouse"))</f>
        <v>0</v>
      </c>
      <c r="AB758">
        <f>AND(IF(Metadata!H758="",FALSE,TRUE),exact(Metadata!H758,"Mus musculus"))</f>
        <v>0</v>
      </c>
      <c r="AC758">
        <f>AND(IF(Metadata!I758="",FALSE,TRUE),exact(Metadata!I758,"10090"))</f>
        <v>0</v>
      </c>
      <c r="AD758">
        <f>OR(AND(IF(Metadata!J758="",FALSE,TRUE),OR(exact(Metadata!J758,"not applicable"),exact(Metadata!J758,"missing: not collected"),exact(Metadata!J758,"missing: not provided"),exact(Metadata!J758,"missing: restricted access"))),AND(IF(Metadata!J758="",FALSE,ISNUMBER(VALUE(Metadata!J758))),Metadata!J758&gt;0))</f>
        <v>0</v>
      </c>
      <c r="AE758">
        <f>AND(IF(Metadata!K758="",FALSE,TRUE),exact(Metadata!K758,"g"))</f>
        <v>0</v>
      </c>
    </row>
    <row r="759" spans="1:31">
      <c r="A759" s="5">
        <f>IF(B759=" "," ",HYPERLINK(CONCATENATE("#metadata!",ADDRESS(INDEX($Q$2:$Q$1001,MATCH(ROWS($O$2:O759),$O$2:$O$1001,0),0),1)),INDEX($T$2:$T$1001,MATCH(ROWS($O$2:O759),$O$2:$O$1001,0),0)))</f>
        <v>0</v>
      </c>
      <c r="B759" s="4">
        <f>IF(OR(INDEX($P$2:$P$1001,MATCH(ROWS($O$2:O759),$O$2:$O$1001,0),1)&gt;=100000,INDEX($V$1005:$AE$1005,1,MATCH(COLUMNS($V$1006:V1006),$V$1006:$AE$1006,0))&gt;=100000), " ",IF(INDEX($V$2:$AE$1001,MATCH(ROWS($O$2:O759),$O$2:$O$1001,0),MATCH(COLUMNS($V$1006:V1006),$V$1006:$AE$1006,0)), HYPERLINK("#",""), HYPERLINK(CONCATENATE("#Metadata!", ADDRESS(INDEX($Q$2:$Q$1001,MATCH(ROWS($O$2:O759),$O$2:$O$1001,0),0), INDEX($V$1004:$AE$1004,1,MATCH(COLUMNS($V$1006:V1006),$V$1006:$AE$1006,0)))),"Fix")))</f>
        <v>0</v>
      </c>
      <c r="C759" s="4">
        <f>IF(OR(INDEX($P$2:$P$1001,MATCH(ROWS($O$2:O759),$O$2:$O$1001,0),1)&gt;=100000,INDEX($V$1005:$AE$1005,1,MATCH(COLUMNS($V$1006:W1006),$V$1006:$AE$1006,0))&gt;=100000), " ",IF(INDEX($V$2:$AE$1001,MATCH(ROWS($O$2:O759),$O$2:$O$1001,0),MATCH(COLUMNS($V$1006:W1006),$V$1006:$AE$1006,0)), HYPERLINK("#",""), HYPERLINK(CONCATENATE("#Metadata!", ADDRESS(INDEX($Q$2:$Q$1001,MATCH(ROWS($O$2:O759),$O$2:$O$1001,0),0), INDEX($V$1004:$AE$1004,1,MATCH(COLUMNS($V$1006:W1006),$V$1006:$AE$1006,0)))),"Fix")))</f>
        <v>0</v>
      </c>
      <c r="D759" s="4">
        <f>IF(OR(INDEX($P$2:$P$1001,MATCH(ROWS($O$2:O759),$O$2:$O$1001,0),1)&gt;=100000,INDEX($V$1005:$AE$1005,1,MATCH(COLUMNS($V$1006:X1006),$V$1006:$AE$1006,0))&gt;=100000), " ",IF(INDEX($V$2:$AE$1001,MATCH(ROWS($O$2:O759),$O$2:$O$1001,0),MATCH(COLUMNS($V$1006:X1006),$V$1006:$AE$1006,0)), HYPERLINK("#",""), HYPERLINK(CONCATENATE("#Metadata!", ADDRESS(INDEX($Q$2:$Q$1001,MATCH(ROWS($O$2:O759),$O$2:$O$1001,0),0), INDEX($V$1004:$AE$1004,1,MATCH(COLUMNS($V$1006:X1006),$V$1006:$AE$1006,0)))),"Fix")))</f>
        <v>0</v>
      </c>
      <c r="E759" s="4">
        <f>IF(OR(INDEX($P$2:$P$1001,MATCH(ROWS($O$2:O759),$O$2:$O$1001,0),1)&gt;=100000,INDEX($V$1005:$AE$1005,1,MATCH(COLUMNS($V$1006:Y1006),$V$1006:$AE$1006,0))&gt;=100000), " ",IF(INDEX($V$2:$AE$1001,MATCH(ROWS($O$2:O759),$O$2:$O$1001,0),MATCH(COLUMNS($V$1006:Y1006),$V$1006:$AE$1006,0)), HYPERLINK("#",""), HYPERLINK(CONCATENATE("#Metadata!", ADDRESS(INDEX($Q$2:$Q$1001,MATCH(ROWS($O$2:O759),$O$2:$O$1001,0),0), INDEX($V$1004:$AE$1004,1,MATCH(COLUMNS($V$1006:Y1006),$V$1006:$AE$1006,0)))),"Fix")))</f>
        <v>0</v>
      </c>
      <c r="F759" s="4">
        <f>IF(OR(INDEX($P$2:$P$1001,MATCH(ROWS($O$2:O759),$O$2:$O$1001,0),1)&gt;=100000,INDEX($V$1005:$AE$1005,1,MATCH(COLUMNS($V$1006:Z1006),$V$1006:$AE$1006,0))&gt;=100000), " ",IF(INDEX($V$2:$AE$1001,MATCH(ROWS($O$2:O759),$O$2:$O$1001,0),MATCH(COLUMNS($V$1006:Z1006),$V$1006:$AE$1006,0)), HYPERLINK("#",""), HYPERLINK(CONCATENATE("#Metadata!", ADDRESS(INDEX($Q$2:$Q$1001,MATCH(ROWS($O$2:O759),$O$2:$O$1001,0),0), INDEX($V$1004:$AE$1004,1,MATCH(COLUMNS($V$1006:Z1006),$V$1006:$AE$1006,0)))),"Fix")))</f>
        <v>0</v>
      </c>
      <c r="G759" s="4">
        <f>IF(OR(INDEX($P$2:$P$1001,MATCH(ROWS($O$2:O759),$O$2:$O$1001,0),1)&gt;=100000,INDEX($V$1005:$AE$1005,1,MATCH(COLUMNS($V$1006:AA1006),$V$1006:$AE$1006,0))&gt;=100000), " ",IF(INDEX($V$2:$AE$1001,MATCH(ROWS($O$2:O759),$O$2:$O$1001,0),MATCH(COLUMNS($V$1006:AA1006),$V$1006:$AE$1006,0)), HYPERLINK("#",""), HYPERLINK(CONCATENATE("#Metadata!", ADDRESS(INDEX($Q$2:$Q$1001,MATCH(ROWS($O$2:O759),$O$2:$O$1001,0),0), INDEX($V$1004:$AE$1004,1,MATCH(COLUMNS($V$1006:AA1006),$V$1006:$AE$1006,0)))),"Fix")))</f>
        <v>0</v>
      </c>
      <c r="H759" s="4">
        <f>IF(OR(INDEX($P$2:$P$1001,MATCH(ROWS($O$2:O759),$O$2:$O$1001,0),1)&gt;=100000,INDEX($V$1005:$AE$1005,1,MATCH(COLUMNS($V$1006:AB1006),$V$1006:$AE$1006,0))&gt;=100000), " ",IF(INDEX($V$2:$AE$1001,MATCH(ROWS($O$2:O759),$O$2:$O$1001,0),MATCH(COLUMNS($V$1006:AB1006),$V$1006:$AE$1006,0)), HYPERLINK("#",""), HYPERLINK(CONCATENATE("#Metadata!", ADDRESS(INDEX($Q$2:$Q$1001,MATCH(ROWS($O$2:O759),$O$2:$O$1001,0),0), INDEX($V$1004:$AE$1004,1,MATCH(COLUMNS($V$1006:AB1006),$V$1006:$AE$1006,0)))),"Fix")))</f>
        <v>0</v>
      </c>
      <c r="I759" s="4">
        <f>IF(OR(INDEX($P$2:$P$1001,MATCH(ROWS($O$2:O759),$O$2:$O$1001,0),1)&gt;=100000,INDEX($V$1005:$AE$1005,1,MATCH(COLUMNS($V$1006:AC1006),$V$1006:$AE$1006,0))&gt;=100000), " ",IF(INDEX($V$2:$AE$1001,MATCH(ROWS($O$2:O759),$O$2:$O$1001,0),MATCH(COLUMNS($V$1006:AC1006),$V$1006:$AE$1006,0)), HYPERLINK("#",""), HYPERLINK(CONCATENATE("#Metadata!", ADDRESS(INDEX($Q$2:$Q$1001,MATCH(ROWS($O$2:O759),$O$2:$O$1001,0),0), INDEX($V$1004:$AE$1004,1,MATCH(COLUMNS($V$1006:AC1006),$V$1006:$AE$1006,0)))),"Fix")))</f>
        <v>0</v>
      </c>
      <c r="J759" s="4">
        <f>IF(OR(INDEX($P$2:$P$1001,MATCH(ROWS($O$2:O759),$O$2:$O$1001,0),1)&gt;=100000,INDEX($V$1005:$AE$1005,1,MATCH(COLUMNS($V$1006:AD1006),$V$1006:$AE$1006,0))&gt;=100000), " ",IF(INDEX($V$2:$AE$1001,MATCH(ROWS($O$2:O759),$O$2:$O$1001,0),MATCH(COLUMNS($V$1006:AD1006),$V$1006:$AE$1006,0)), HYPERLINK("#",""), HYPERLINK(CONCATENATE("#Metadata!", ADDRESS(INDEX($Q$2:$Q$1001,MATCH(ROWS($O$2:O759),$O$2:$O$1001,0),0), INDEX($V$1004:$AE$1004,1,MATCH(COLUMNS($V$1006:AD1006),$V$1006:$AE$1006,0)))),"Fix")))</f>
        <v>0</v>
      </c>
      <c r="K759" s="4">
        <f>IF(OR(INDEX($P$2:$P$1001,MATCH(ROWS($O$2:O759),$O$2:$O$1001,0),1)&gt;=100000,INDEX($V$1005:$AE$1005,1,MATCH(COLUMNS($V$1006:AE1006),$V$1006:$AE$1006,0))&gt;=100000), " ",IF(INDEX($V$2:$AE$1001,MATCH(ROWS($O$2:O759),$O$2:$O$1001,0),MATCH(COLUMNS($V$1006:AE1006),$V$1006:$AE$1006,0)), HYPERLINK("#",""), HYPERLINK(CONCATENATE("#Metadata!", ADDRESS(INDEX($Q$2:$Q$1001,MATCH(ROWS($O$2:O759),$O$2:$O$1001,0),0), INDEX($V$1004:$AE$1004,1,MATCH(COLUMNS($V$1006:AE1006),$V$1006:$AE$1006,0)))),"Fix")))</f>
        <v>0</v>
      </c>
      <c r="O759">
        <v>0</v>
      </c>
      <c r="P759">
        <v>0</v>
      </c>
      <c r="Q759">
        <v>0</v>
      </c>
      <c r="R759">
        <f>IF(S759,TRUE,AND(V759:AE759))</f>
        <v>0</v>
      </c>
      <c r="S759">
        <f>COUNTBLANK(Metadata!B759:K759)=COLUMNS(Metadata!B759:K759)</f>
        <v>0</v>
      </c>
      <c r="T759">
        <v>0</v>
      </c>
      <c r="V759">
        <f>AND(IF(Metadata!B759="",FALSE,TRUE),COUNTIF(Metadata!B:B, Metadata!B759) = 1,NOT(ISERROR(SUMPRODUCT(SEARCH(MID(Metadata!B759,ROW(INDIRECT("1:"&amp;LEN(Metadata!B759))), 1),"0123456789abcdefghijklmnopqrstuvwxyzABCDEFGHIJKLMNOPQRSTUVWXYZ.")))))</f>
        <v>0</v>
      </c>
      <c r="W759">
        <f>AND(IF(Metadata!C759="",FALSE,TRUE),exact(Metadata!C759,"urban biome"))</f>
        <v>0</v>
      </c>
      <c r="X759">
        <f>AND(IF(Metadata!D759="",FALSE,TRUE),exact(Metadata!D759,"animal-associated habitat"))</f>
        <v>0</v>
      </c>
      <c r="Y759">
        <f>OR(AND(IF(Metadata!E759="",FALSE,TRUE),OR(exact(Metadata!E759,"not applicable"),exact(Metadata!E759,"missing: not collected"),exact(Metadata!E759,"missing: not provided"),exact(Metadata!E759,"missing: restricted access"))),AND(IF(Metadata!E759="",FALSE,ISNUMBER(VALUE(Metadata!E759))),Metadata!E759&gt;0))</f>
        <v>0</v>
      </c>
      <c r="Z759">
        <f>AND(IF(Metadata!F759="",FALSE,TRUE),exact(Metadata!F759,"weeks"))</f>
        <v>0</v>
      </c>
      <c r="AA759">
        <f>AND(IF(Metadata!G759="",FALSE,TRUE),exact(Metadata!G759,"mouse"))</f>
        <v>0</v>
      </c>
      <c r="AB759">
        <f>AND(IF(Metadata!H759="",FALSE,TRUE),exact(Metadata!H759,"Mus musculus"))</f>
        <v>0</v>
      </c>
      <c r="AC759">
        <f>AND(IF(Metadata!I759="",FALSE,TRUE),exact(Metadata!I759,"10090"))</f>
        <v>0</v>
      </c>
      <c r="AD759">
        <f>OR(AND(IF(Metadata!J759="",FALSE,TRUE),OR(exact(Metadata!J759,"not applicable"),exact(Metadata!J759,"missing: not collected"),exact(Metadata!J759,"missing: not provided"),exact(Metadata!J759,"missing: restricted access"))),AND(IF(Metadata!J759="",FALSE,ISNUMBER(VALUE(Metadata!J759))),Metadata!J759&gt;0))</f>
        <v>0</v>
      </c>
      <c r="AE759">
        <f>AND(IF(Metadata!K759="",FALSE,TRUE),exact(Metadata!K759,"g"))</f>
        <v>0</v>
      </c>
    </row>
    <row r="760" spans="1:31">
      <c r="A760" s="5">
        <f>IF(B760=" "," ",HYPERLINK(CONCATENATE("#metadata!",ADDRESS(INDEX($Q$2:$Q$1001,MATCH(ROWS($O$2:O760),$O$2:$O$1001,0),0),1)),INDEX($T$2:$T$1001,MATCH(ROWS($O$2:O760),$O$2:$O$1001,0),0)))</f>
        <v>0</v>
      </c>
      <c r="B760" s="4">
        <f>IF(OR(INDEX($P$2:$P$1001,MATCH(ROWS($O$2:O760),$O$2:$O$1001,0),1)&gt;=100000,INDEX($V$1005:$AE$1005,1,MATCH(COLUMNS($V$1006:V1006),$V$1006:$AE$1006,0))&gt;=100000), " ",IF(INDEX($V$2:$AE$1001,MATCH(ROWS($O$2:O760),$O$2:$O$1001,0),MATCH(COLUMNS($V$1006:V1006),$V$1006:$AE$1006,0)), HYPERLINK("#",""), HYPERLINK(CONCATENATE("#Metadata!", ADDRESS(INDEX($Q$2:$Q$1001,MATCH(ROWS($O$2:O760),$O$2:$O$1001,0),0), INDEX($V$1004:$AE$1004,1,MATCH(COLUMNS($V$1006:V1006),$V$1006:$AE$1006,0)))),"Fix")))</f>
        <v>0</v>
      </c>
      <c r="C760" s="4">
        <f>IF(OR(INDEX($P$2:$P$1001,MATCH(ROWS($O$2:O760),$O$2:$O$1001,0),1)&gt;=100000,INDEX($V$1005:$AE$1005,1,MATCH(COLUMNS($V$1006:W1006),$V$1006:$AE$1006,0))&gt;=100000), " ",IF(INDEX($V$2:$AE$1001,MATCH(ROWS($O$2:O760),$O$2:$O$1001,0),MATCH(COLUMNS($V$1006:W1006),$V$1006:$AE$1006,0)), HYPERLINK("#",""), HYPERLINK(CONCATENATE("#Metadata!", ADDRESS(INDEX($Q$2:$Q$1001,MATCH(ROWS($O$2:O760),$O$2:$O$1001,0),0), INDEX($V$1004:$AE$1004,1,MATCH(COLUMNS($V$1006:W1006),$V$1006:$AE$1006,0)))),"Fix")))</f>
        <v>0</v>
      </c>
      <c r="D760" s="4">
        <f>IF(OR(INDEX($P$2:$P$1001,MATCH(ROWS($O$2:O760),$O$2:$O$1001,0),1)&gt;=100000,INDEX($V$1005:$AE$1005,1,MATCH(COLUMNS($V$1006:X1006),$V$1006:$AE$1006,0))&gt;=100000), " ",IF(INDEX($V$2:$AE$1001,MATCH(ROWS($O$2:O760),$O$2:$O$1001,0),MATCH(COLUMNS($V$1006:X1006),$V$1006:$AE$1006,0)), HYPERLINK("#",""), HYPERLINK(CONCATENATE("#Metadata!", ADDRESS(INDEX($Q$2:$Q$1001,MATCH(ROWS($O$2:O760),$O$2:$O$1001,0),0), INDEX($V$1004:$AE$1004,1,MATCH(COLUMNS($V$1006:X1006),$V$1006:$AE$1006,0)))),"Fix")))</f>
        <v>0</v>
      </c>
      <c r="E760" s="4">
        <f>IF(OR(INDEX($P$2:$P$1001,MATCH(ROWS($O$2:O760),$O$2:$O$1001,0),1)&gt;=100000,INDEX($V$1005:$AE$1005,1,MATCH(COLUMNS($V$1006:Y1006),$V$1006:$AE$1006,0))&gt;=100000), " ",IF(INDEX($V$2:$AE$1001,MATCH(ROWS($O$2:O760),$O$2:$O$1001,0),MATCH(COLUMNS($V$1006:Y1006),$V$1006:$AE$1006,0)), HYPERLINK("#",""), HYPERLINK(CONCATENATE("#Metadata!", ADDRESS(INDEX($Q$2:$Q$1001,MATCH(ROWS($O$2:O760),$O$2:$O$1001,0),0), INDEX($V$1004:$AE$1004,1,MATCH(COLUMNS($V$1006:Y1006),$V$1006:$AE$1006,0)))),"Fix")))</f>
        <v>0</v>
      </c>
      <c r="F760" s="4">
        <f>IF(OR(INDEX($P$2:$P$1001,MATCH(ROWS($O$2:O760),$O$2:$O$1001,0),1)&gt;=100000,INDEX($V$1005:$AE$1005,1,MATCH(COLUMNS($V$1006:Z1006),$V$1006:$AE$1006,0))&gt;=100000), " ",IF(INDEX($V$2:$AE$1001,MATCH(ROWS($O$2:O760),$O$2:$O$1001,0),MATCH(COLUMNS($V$1006:Z1006),$V$1006:$AE$1006,0)), HYPERLINK("#",""), HYPERLINK(CONCATENATE("#Metadata!", ADDRESS(INDEX($Q$2:$Q$1001,MATCH(ROWS($O$2:O760),$O$2:$O$1001,0),0), INDEX($V$1004:$AE$1004,1,MATCH(COLUMNS($V$1006:Z1006),$V$1006:$AE$1006,0)))),"Fix")))</f>
        <v>0</v>
      </c>
      <c r="G760" s="4">
        <f>IF(OR(INDEX($P$2:$P$1001,MATCH(ROWS($O$2:O760),$O$2:$O$1001,0),1)&gt;=100000,INDEX($V$1005:$AE$1005,1,MATCH(COLUMNS($V$1006:AA1006),$V$1006:$AE$1006,0))&gt;=100000), " ",IF(INDEX($V$2:$AE$1001,MATCH(ROWS($O$2:O760),$O$2:$O$1001,0),MATCH(COLUMNS($V$1006:AA1006),$V$1006:$AE$1006,0)), HYPERLINK("#",""), HYPERLINK(CONCATENATE("#Metadata!", ADDRESS(INDEX($Q$2:$Q$1001,MATCH(ROWS($O$2:O760),$O$2:$O$1001,0),0), INDEX($V$1004:$AE$1004,1,MATCH(COLUMNS($V$1006:AA1006),$V$1006:$AE$1006,0)))),"Fix")))</f>
        <v>0</v>
      </c>
      <c r="H760" s="4">
        <f>IF(OR(INDEX($P$2:$P$1001,MATCH(ROWS($O$2:O760),$O$2:$O$1001,0),1)&gt;=100000,INDEX($V$1005:$AE$1005,1,MATCH(COLUMNS($V$1006:AB1006),$V$1006:$AE$1006,0))&gt;=100000), " ",IF(INDEX($V$2:$AE$1001,MATCH(ROWS($O$2:O760),$O$2:$O$1001,0),MATCH(COLUMNS($V$1006:AB1006),$V$1006:$AE$1006,0)), HYPERLINK("#",""), HYPERLINK(CONCATENATE("#Metadata!", ADDRESS(INDEX($Q$2:$Q$1001,MATCH(ROWS($O$2:O760),$O$2:$O$1001,0),0), INDEX($V$1004:$AE$1004,1,MATCH(COLUMNS($V$1006:AB1006),$V$1006:$AE$1006,0)))),"Fix")))</f>
        <v>0</v>
      </c>
      <c r="I760" s="4">
        <f>IF(OR(INDEX($P$2:$P$1001,MATCH(ROWS($O$2:O760),$O$2:$O$1001,0),1)&gt;=100000,INDEX($V$1005:$AE$1005,1,MATCH(COLUMNS($V$1006:AC1006),$V$1006:$AE$1006,0))&gt;=100000), " ",IF(INDEX($V$2:$AE$1001,MATCH(ROWS($O$2:O760),$O$2:$O$1001,0),MATCH(COLUMNS($V$1006:AC1006),$V$1006:$AE$1006,0)), HYPERLINK("#",""), HYPERLINK(CONCATENATE("#Metadata!", ADDRESS(INDEX($Q$2:$Q$1001,MATCH(ROWS($O$2:O760),$O$2:$O$1001,0),0), INDEX($V$1004:$AE$1004,1,MATCH(COLUMNS($V$1006:AC1006),$V$1006:$AE$1006,0)))),"Fix")))</f>
        <v>0</v>
      </c>
      <c r="J760" s="4">
        <f>IF(OR(INDEX($P$2:$P$1001,MATCH(ROWS($O$2:O760),$O$2:$O$1001,0),1)&gt;=100000,INDEX($V$1005:$AE$1005,1,MATCH(COLUMNS($V$1006:AD1006),$V$1006:$AE$1006,0))&gt;=100000), " ",IF(INDEX($V$2:$AE$1001,MATCH(ROWS($O$2:O760),$O$2:$O$1001,0),MATCH(COLUMNS($V$1006:AD1006),$V$1006:$AE$1006,0)), HYPERLINK("#",""), HYPERLINK(CONCATENATE("#Metadata!", ADDRESS(INDEX($Q$2:$Q$1001,MATCH(ROWS($O$2:O760),$O$2:$O$1001,0),0), INDEX($V$1004:$AE$1004,1,MATCH(COLUMNS($V$1006:AD1006),$V$1006:$AE$1006,0)))),"Fix")))</f>
        <v>0</v>
      </c>
      <c r="K760" s="4">
        <f>IF(OR(INDEX($P$2:$P$1001,MATCH(ROWS($O$2:O760),$O$2:$O$1001,0),1)&gt;=100000,INDEX($V$1005:$AE$1005,1,MATCH(COLUMNS($V$1006:AE1006),$V$1006:$AE$1006,0))&gt;=100000), " ",IF(INDEX($V$2:$AE$1001,MATCH(ROWS($O$2:O760),$O$2:$O$1001,0),MATCH(COLUMNS($V$1006:AE1006),$V$1006:$AE$1006,0)), HYPERLINK("#",""), HYPERLINK(CONCATENATE("#Metadata!", ADDRESS(INDEX($Q$2:$Q$1001,MATCH(ROWS($O$2:O760),$O$2:$O$1001,0),0), INDEX($V$1004:$AE$1004,1,MATCH(COLUMNS($V$1006:AE1006),$V$1006:$AE$1006,0)))),"Fix")))</f>
        <v>0</v>
      </c>
      <c r="O760">
        <v>0</v>
      </c>
      <c r="P760">
        <v>0</v>
      </c>
      <c r="Q760">
        <v>0</v>
      </c>
      <c r="R760">
        <f>IF(S760,TRUE,AND(V760:AE760))</f>
        <v>0</v>
      </c>
      <c r="S760">
        <f>COUNTBLANK(Metadata!B760:K760)=COLUMNS(Metadata!B760:K760)</f>
        <v>0</v>
      </c>
      <c r="T760">
        <v>0</v>
      </c>
      <c r="V760">
        <f>AND(IF(Metadata!B760="",FALSE,TRUE),COUNTIF(Metadata!B:B, Metadata!B760) = 1,NOT(ISERROR(SUMPRODUCT(SEARCH(MID(Metadata!B760,ROW(INDIRECT("1:"&amp;LEN(Metadata!B760))), 1),"0123456789abcdefghijklmnopqrstuvwxyzABCDEFGHIJKLMNOPQRSTUVWXYZ.")))))</f>
        <v>0</v>
      </c>
      <c r="W760">
        <f>AND(IF(Metadata!C760="",FALSE,TRUE),exact(Metadata!C760,"urban biome"))</f>
        <v>0</v>
      </c>
      <c r="X760">
        <f>AND(IF(Metadata!D760="",FALSE,TRUE),exact(Metadata!D760,"animal-associated habitat"))</f>
        <v>0</v>
      </c>
      <c r="Y760">
        <f>OR(AND(IF(Metadata!E760="",FALSE,TRUE),OR(exact(Metadata!E760,"not applicable"),exact(Metadata!E760,"missing: not collected"),exact(Metadata!E760,"missing: not provided"),exact(Metadata!E760,"missing: restricted access"))),AND(IF(Metadata!E760="",FALSE,ISNUMBER(VALUE(Metadata!E760))),Metadata!E760&gt;0))</f>
        <v>0</v>
      </c>
      <c r="Z760">
        <f>AND(IF(Metadata!F760="",FALSE,TRUE),exact(Metadata!F760,"weeks"))</f>
        <v>0</v>
      </c>
      <c r="AA760">
        <f>AND(IF(Metadata!G760="",FALSE,TRUE),exact(Metadata!G760,"mouse"))</f>
        <v>0</v>
      </c>
      <c r="AB760">
        <f>AND(IF(Metadata!H760="",FALSE,TRUE),exact(Metadata!H760,"Mus musculus"))</f>
        <v>0</v>
      </c>
      <c r="AC760">
        <f>AND(IF(Metadata!I760="",FALSE,TRUE),exact(Metadata!I760,"10090"))</f>
        <v>0</v>
      </c>
      <c r="AD760">
        <f>OR(AND(IF(Metadata!J760="",FALSE,TRUE),OR(exact(Metadata!J760,"not applicable"),exact(Metadata!J760,"missing: not collected"),exact(Metadata!J760,"missing: not provided"),exact(Metadata!J760,"missing: restricted access"))),AND(IF(Metadata!J760="",FALSE,ISNUMBER(VALUE(Metadata!J760))),Metadata!J760&gt;0))</f>
        <v>0</v>
      </c>
      <c r="AE760">
        <f>AND(IF(Metadata!K760="",FALSE,TRUE),exact(Metadata!K760,"g"))</f>
        <v>0</v>
      </c>
    </row>
    <row r="761" spans="1:31">
      <c r="A761" s="5">
        <f>IF(B761=" "," ",HYPERLINK(CONCATENATE("#metadata!",ADDRESS(INDEX($Q$2:$Q$1001,MATCH(ROWS($O$2:O761),$O$2:$O$1001,0),0),1)),INDEX($T$2:$T$1001,MATCH(ROWS($O$2:O761),$O$2:$O$1001,0),0)))</f>
        <v>0</v>
      </c>
      <c r="B761" s="4">
        <f>IF(OR(INDEX($P$2:$P$1001,MATCH(ROWS($O$2:O761),$O$2:$O$1001,0),1)&gt;=100000,INDEX($V$1005:$AE$1005,1,MATCH(COLUMNS($V$1006:V1006),$V$1006:$AE$1006,0))&gt;=100000), " ",IF(INDEX($V$2:$AE$1001,MATCH(ROWS($O$2:O761),$O$2:$O$1001,0),MATCH(COLUMNS($V$1006:V1006),$V$1006:$AE$1006,0)), HYPERLINK("#",""), HYPERLINK(CONCATENATE("#Metadata!", ADDRESS(INDEX($Q$2:$Q$1001,MATCH(ROWS($O$2:O761),$O$2:$O$1001,0),0), INDEX($V$1004:$AE$1004,1,MATCH(COLUMNS($V$1006:V1006),$V$1006:$AE$1006,0)))),"Fix")))</f>
        <v>0</v>
      </c>
      <c r="C761" s="4">
        <f>IF(OR(INDEX($P$2:$P$1001,MATCH(ROWS($O$2:O761),$O$2:$O$1001,0),1)&gt;=100000,INDEX($V$1005:$AE$1005,1,MATCH(COLUMNS($V$1006:W1006),$V$1006:$AE$1006,0))&gt;=100000), " ",IF(INDEX($V$2:$AE$1001,MATCH(ROWS($O$2:O761),$O$2:$O$1001,0),MATCH(COLUMNS($V$1006:W1006),$V$1006:$AE$1006,0)), HYPERLINK("#",""), HYPERLINK(CONCATENATE("#Metadata!", ADDRESS(INDEX($Q$2:$Q$1001,MATCH(ROWS($O$2:O761),$O$2:$O$1001,0),0), INDEX($V$1004:$AE$1004,1,MATCH(COLUMNS($V$1006:W1006),$V$1006:$AE$1006,0)))),"Fix")))</f>
        <v>0</v>
      </c>
      <c r="D761" s="4">
        <f>IF(OR(INDEX($P$2:$P$1001,MATCH(ROWS($O$2:O761),$O$2:$O$1001,0),1)&gt;=100000,INDEX($V$1005:$AE$1005,1,MATCH(COLUMNS($V$1006:X1006),$V$1006:$AE$1006,0))&gt;=100000), " ",IF(INDEX($V$2:$AE$1001,MATCH(ROWS($O$2:O761),$O$2:$O$1001,0),MATCH(COLUMNS($V$1006:X1006),$V$1006:$AE$1006,0)), HYPERLINK("#",""), HYPERLINK(CONCATENATE("#Metadata!", ADDRESS(INDEX($Q$2:$Q$1001,MATCH(ROWS($O$2:O761),$O$2:$O$1001,0),0), INDEX($V$1004:$AE$1004,1,MATCH(COLUMNS($V$1006:X1006),$V$1006:$AE$1006,0)))),"Fix")))</f>
        <v>0</v>
      </c>
      <c r="E761" s="4">
        <f>IF(OR(INDEX($P$2:$P$1001,MATCH(ROWS($O$2:O761),$O$2:$O$1001,0),1)&gt;=100000,INDEX($V$1005:$AE$1005,1,MATCH(COLUMNS($V$1006:Y1006),$V$1006:$AE$1006,0))&gt;=100000), " ",IF(INDEX($V$2:$AE$1001,MATCH(ROWS($O$2:O761),$O$2:$O$1001,0),MATCH(COLUMNS($V$1006:Y1006),$V$1006:$AE$1006,0)), HYPERLINK("#",""), HYPERLINK(CONCATENATE("#Metadata!", ADDRESS(INDEX($Q$2:$Q$1001,MATCH(ROWS($O$2:O761),$O$2:$O$1001,0),0), INDEX($V$1004:$AE$1004,1,MATCH(COLUMNS($V$1006:Y1006),$V$1006:$AE$1006,0)))),"Fix")))</f>
        <v>0</v>
      </c>
      <c r="F761" s="4">
        <f>IF(OR(INDEX($P$2:$P$1001,MATCH(ROWS($O$2:O761),$O$2:$O$1001,0),1)&gt;=100000,INDEX($V$1005:$AE$1005,1,MATCH(COLUMNS($V$1006:Z1006),$V$1006:$AE$1006,0))&gt;=100000), " ",IF(INDEX($V$2:$AE$1001,MATCH(ROWS($O$2:O761),$O$2:$O$1001,0),MATCH(COLUMNS($V$1006:Z1006),$V$1006:$AE$1006,0)), HYPERLINK("#",""), HYPERLINK(CONCATENATE("#Metadata!", ADDRESS(INDEX($Q$2:$Q$1001,MATCH(ROWS($O$2:O761),$O$2:$O$1001,0),0), INDEX($V$1004:$AE$1004,1,MATCH(COLUMNS($V$1006:Z1006),$V$1006:$AE$1006,0)))),"Fix")))</f>
        <v>0</v>
      </c>
      <c r="G761" s="4">
        <f>IF(OR(INDEX($P$2:$P$1001,MATCH(ROWS($O$2:O761),$O$2:$O$1001,0),1)&gt;=100000,INDEX($V$1005:$AE$1005,1,MATCH(COLUMNS($V$1006:AA1006),$V$1006:$AE$1006,0))&gt;=100000), " ",IF(INDEX($V$2:$AE$1001,MATCH(ROWS($O$2:O761),$O$2:$O$1001,0),MATCH(COLUMNS($V$1006:AA1006),$V$1006:$AE$1006,0)), HYPERLINK("#",""), HYPERLINK(CONCATENATE("#Metadata!", ADDRESS(INDEX($Q$2:$Q$1001,MATCH(ROWS($O$2:O761),$O$2:$O$1001,0),0), INDEX($V$1004:$AE$1004,1,MATCH(COLUMNS($V$1006:AA1006),$V$1006:$AE$1006,0)))),"Fix")))</f>
        <v>0</v>
      </c>
      <c r="H761" s="4">
        <f>IF(OR(INDEX($P$2:$P$1001,MATCH(ROWS($O$2:O761),$O$2:$O$1001,0),1)&gt;=100000,INDEX($V$1005:$AE$1005,1,MATCH(COLUMNS($V$1006:AB1006),$V$1006:$AE$1006,0))&gt;=100000), " ",IF(INDEX($V$2:$AE$1001,MATCH(ROWS($O$2:O761),$O$2:$O$1001,0),MATCH(COLUMNS($V$1006:AB1006),$V$1006:$AE$1006,0)), HYPERLINK("#",""), HYPERLINK(CONCATENATE("#Metadata!", ADDRESS(INDEX($Q$2:$Q$1001,MATCH(ROWS($O$2:O761),$O$2:$O$1001,0),0), INDEX($V$1004:$AE$1004,1,MATCH(COLUMNS($V$1006:AB1006),$V$1006:$AE$1006,0)))),"Fix")))</f>
        <v>0</v>
      </c>
      <c r="I761" s="4">
        <f>IF(OR(INDEX($P$2:$P$1001,MATCH(ROWS($O$2:O761),$O$2:$O$1001,0),1)&gt;=100000,INDEX($V$1005:$AE$1005,1,MATCH(COLUMNS($V$1006:AC1006),$V$1006:$AE$1006,0))&gt;=100000), " ",IF(INDEX($V$2:$AE$1001,MATCH(ROWS($O$2:O761),$O$2:$O$1001,0),MATCH(COLUMNS($V$1006:AC1006),$V$1006:$AE$1006,0)), HYPERLINK("#",""), HYPERLINK(CONCATENATE("#Metadata!", ADDRESS(INDEX($Q$2:$Q$1001,MATCH(ROWS($O$2:O761),$O$2:$O$1001,0),0), INDEX($V$1004:$AE$1004,1,MATCH(COLUMNS($V$1006:AC1006),$V$1006:$AE$1006,0)))),"Fix")))</f>
        <v>0</v>
      </c>
      <c r="J761" s="4">
        <f>IF(OR(INDEX($P$2:$P$1001,MATCH(ROWS($O$2:O761),$O$2:$O$1001,0),1)&gt;=100000,INDEX($V$1005:$AE$1005,1,MATCH(COLUMNS($V$1006:AD1006),$V$1006:$AE$1006,0))&gt;=100000), " ",IF(INDEX($V$2:$AE$1001,MATCH(ROWS($O$2:O761),$O$2:$O$1001,0),MATCH(COLUMNS($V$1006:AD1006),$V$1006:$AE$1006,0)), HYPERLINK("#",""), HYPERLINK(CONCATENATE("#Metadata!", ADDRESS(INDEX($Q$2:$Q$1001,MATCH(ROWS($O$2:O761),$O$2:$O$1001,0),0), INDEX($V$1004:$AE$1004,1,MATCH(COLUMNS($V$1006:AD1006),$V$1006:$AE$1006,0)))),"Fix")))</f>
        <v>0</v>
      </c>
      <c r="K761" s="4">
        <f>IF(OR(INDEX($P$2:$P$1001,MATCH(ROWS($O$2:O761),$O$2:$O$1001,0),1)&gt;=100000,INDEX($V$1005:$AE$1005,1,MATCH(COLUMNS($V$1006:AE1006),$V$1006:$AE$1006,0))&gt;=100000), " ",IF(INDEX($V$2:$AE$1001,MATCH(ROWS($O$2:O761),$O$2:$O$1001,0),MATCH(COLUMNS($V$1006:AE1006),$V$1006:$AE$1006,0)), HYPERLINK("#",""), HYPERLINK(CONCATENATE("#Metadata!", ADDRESS(INDEX($Q$2:$Q$1001,MATCH(ROWS($O$2:O761),$O$2:$O$1001,0),0), INDEX($V$1004:$AE$1004,1,MATCH(COLUMNS($V$1006:AE1006),$V$1006:$AE$1006,0)))),"Fix")))</f>
        <v>0</v>
      </c>
      <c r="O761">
        <v>0</v>
      </c>
      <c r="P761">
        <v>0</v>
      </c>
      <c r="Q761">
        <v>0</v>
      </c>
      <c r="R761">
        <f>IF(S761,TRUE,AND(V761:AE761))</f>
        <v>0</v>
      </c>
      <c r="S761">
        <f>COUNTBLANK(Metadata!B761:K761)=COLUMNS(Metadata!B761:K761)</f>
        <v>0</v>
      </c>
      <c r="T761">
        <v>0</v>
      </c>
      <c r="V761">
        <f>AND(IF(Metadata!B761="",FALSE,TRUE),COUNTIF(Metadata!B:B, Metadata!B761) = 1,NOT(ISERROR(SUMPRODUCT(SEARCH(MID(Metadata!B761,ROW(INDIRECT("1:"&amp;LEN(Metadata!B761))), 1),"0123456789abcdefghijklmnopqrstuvwxyzABCDEFGHIJKLMNOPQRSTUVWXYZ.")))))</f>
        <v>0</v>
      </c>
      <c r="W761">
        <f>AND(IF(Metadata!C761="",FALSE,TRUE),exact(Metadata!C761,"urban biome"))</f>
        <v>0</v>
      </c>
      <c r="X761">
        <f>AND(IF(Metadata!D761="",FALSE,TRUE),exact(Metadata!D761,"animal-associated habitat"))</f>
        <v>0</v>
      </c>
      <c r="Y761">
        <f>OR(AND(IF(Metadata!E761="",FALSE,TRUE),OR(exact(Metadata!E761,"not applicable"),exact(Metadata!E761,"missing: not collected"),exact(Metadata!E761,"missing: not provided"),exact(Metadata!E761,"missing: restricted access"))),AND(IF(Metadata!E761="",FALSE,ISNUMBER(VALUE(Metadata!E761))),Metadata!E761&gt;0))</f>
        <v>0</v>
      </c>
      <c r="Z761">
        <f>AND(IF(Metadata!F761="",FALSE,TRUE),exact(Metadata!F761,"weeks"))</f>
        <v>0</v>
      </c>
      <c r="AA761">
        <f>AND(IF(Metadata!G761="",FALSE,TRUE),exact(Metadata!G761,"mouse"))</f>
        <v>0</v>
      </c>
      <c r="AB761">
        <f>AND(IF(Metadata!H761="",FALSE,TRUE),exact(Metadata!H761,"Mus musculus"))</f>
        <v>0</v>
      </c>
      <c r="AC761">
        <f>AND(IF(Metadata!I761="",FALSE,TRUE),exact(Metadata!I761,"10090"))</f>
        <v>0</v>
      </c>
      <c r="AD761">
        <f>OR(AND(IF(Metadata!J761="",FALSE,TRUE),OR(exact(Metadata!J761,"not applicable"),exact(Metadata!J761,"missing: not collected"),exact(Metadata!J761,"missing: not provided"),exact(Metadata!J761,"missing: restricted access"))),AND(IF(Metadata!J761="",FALSE,ISNUMBER(VALUE(Metadata!J761))),Metadata!J761&gt;0))</f>
        <v>0</v>
      </c>
      <c r="AE761">
        <f>AND(IF(Metadata!K761="",FALSE,TRUE),exact(Metadata!K761,"g"))</f>
        <v>0</v>
      </c>
    </row>
    <row r="762" spans="1:31">
      <c r="A762" s="5">
        <f>IF(B762=" "," ",HYPERLINK(CONCATENATE("#metadata!",ADDRESS(INDEX($Q$2:$Q$1001,MATCH(ROWS($O$2:O762),$O$2:$O$1001,0),0),1)),INDEX($T$2:$T$1001,MATCH(ROWS($O$2:O762),$O$2:$O$1001,0),0)))</f>
        <v>0</v>
      </c>
      <c r="B762" s="4">
        <f>IF(OR(INDEX($P$2:$P$1001,MATCH(ROWS($O$2:O762),$O$2:$O$1001,0),1)&gt;=100000,INDEX($V$1005:$AE$1005,1,MATCH(COLUMNS($V$1006:V1006),$V$1006:$AE$1006,0))&gt;=100000), " ",IF(INDEX($V$2:$AE$1001,MATCH(ROWS($O$2:O762),$O$2:$O$1001,0),MATCH(COLUMNS($V$1006:V1006),$V$1006:$AE$1006,0)), HYPERLINK("#",""), HYPERLINK(CONCATENATE("#Metadata!", ADDRESS(INDEX($Q$2:$Q$1001,MATCH(ROWS($O$2:O762),$O$2:$O$1001,0),0), INDEX($V$1004:$AE$1004,1,MATCH(COLUMNS($V$1006:V1006),$V$1006:$AE$1006,0)))),"Fix")))</f>
        <v>0</v>
      </c>
      <c r="C762" s="4">
        <f>IF(OR(INDEX($P$2:$P$1001,MATCH(ROWS($O$2:O762),$O$2:$O$1001,0),1)&gt;=100000,INDEX($V$1005:$AE$1005,1,MATCH(COLUMNS($V$1006:W1006),$V$1006:$AE$1006,0))&gt;=100000), " ",IF(INDEX($V$2:$AE$1001,MATCH(ROWS($O$2:O762),$O$2:$O$1001,0),MATCH(COLUMNS($V$1006:W1006),$V$1006:$AE$1006,0)), HYPERLINK("#",""), HYPERLINK(CONCATENATE("#Metadata!", ADDRESS(INDEX($Q$2:$Q$1001,MATCH(ROWS($O$2:O762),$O$2:$O$1001,0),0), INDEX($V$1004:$AE$1004,1,MATCH(COLUMNS($V$1006:W1006),$V$1006:$AE$1006,0)))),"Fix")))</f>
        <v>0</v>
      </c>
      <c r="D762" s="4">
        <f>IF(OR(INDEX($P$2:$P$1001,MATCH(ROWS($O$2:O762),$O$2:$O$1001,0),1)&gt;=100000,INDEX($V$1005:$AE$1005,1,MATCH(COLUMNS($V$1006:X1006),$V$1006:$AE$1006,0))&gt;=100000), " ",IF(INDEX($V$2:$AE$1001,MATCH(ROWS($O$2:O762),$O$2:$O$1001,0),MATCH(COLUMNS($V$1006:X1006),$V$1006:$AE$1006,0)), HYPERLINK("#",""), HYPERLINK(CONCATENATE("#Metadata!", ADDRESS(INDEX($Q$2:$Q$1001,MATCH(ROWS($O$2:O762),$O$2:$O$1001,0),0), INDEX($V$1004:$AE$1004,1,MATCH(COLUMNS($V$1006:X1006),$V$1006:$AE$1006,0)))),"Fix")))</f>
        <v>0</v>
      </c>
      <c r="E762" s="4">
        <f>IF(OR(INDEX($P$2:$P$1001,MATCH(ROWS($O$2:O762),$O$2:$O$1001,0),1)&gt;=100000,INDEX($V$1005:$AE$1005,1,MATCH(COLUMNS($V$1006:Y1006),$V$1006:$AE$1006,0))&gt;=100000), " ",IF(INDEX($V$2:$AE$1001,MATCH(ROWS($O$2:O762),$O$2:$O$1001,0),MATCH(COLUMNS($V$1006:Y1006),$V$1006:$AE$1006,0)), HYPERLINK("#",""), HYPERLINK(CONCATENATE("#Metadata!", ADDRESS(INDEX($Q$2:$Q$1001,MATCH(ROWS($O$2:O762),$O$2:$O$1001,0),0), INDEX($V$1004:$AE$1004,1,MATCH(COLUMNS($V$1006:Y1006),$V$1006:$AE$1006,0)))),"Fix")))</f>
        <v>0</v>
      </c>
      <c r="F762" s="4">
        <f>IF(OR(INDEX($P$2:$P$1001,MATCH(ROWS($O$2:O762),$O$2:$O$1001,0),1)&gt;=100000,INDEX($V$1005:$AE$1005,1,MATCH(COLUMNS($V$1006:Z1006),$V$1006:$AE$1006,0))&gt;=100000), " ",IF(INDEX($V$2:$AE$1001,MATCH(ROWS($O$2:O762),$O$2:$O$1001,0),MATCH(COLUMNS($V$1006:Z1006),$V$1006:$AE$1006,0)), HYPERLINK("#",""), HYPERLINK(CONCATENATE("#Metadata!", ADDRESS(INDEX($Q$2:$Q$1001,MATCH(ROWS($O$2:O762),$O$2:$O$1001,0),0), INDEX($V$1004:$AE$1004,1,MATCH(COLUMNS($V$1006:Z1006),$V$1006:$AE$1006,0)))),"Fix")))</f>
        <v>0</v>
      </c>
      <c r="G762" s="4">
        <f>IF(OR(INDEX($P$2:$P$1001,MATCH(ROWS($O$2:O762),$O$2:$O$1001,0),1)&gt;=100000,INDEX($V$1005:$AE$1005,1,MATCH(COLUMNS($V$1006:AA1006),$V$1006:$AE$1006,0))&gt;=100000), " ",IF(INDEX($V$2:$AE$1001,MATCH(ROWS($O$2:O762),$O$2:$O$1001,0),MATCH(COLUMNS($V$1006:AA1006),$V$1006:$AE$1006,0)), HYPERLINK("#",""), HYPERLINK(CONCATENATE("#Metadata!", ADDRESS(INDEX($Q$2:$Q$1001,MATCH(ROWS($O$2:O762),$O$2:$O$1001,0),0), INDEX($V$1004:$AE$1004,1,MATCH(COLUMNS($V$1006:AA1006),$V$1006:$AE$1006,0)))),"Fix")))</f>
        <v>0</v>
      </c>
      <c r="H762" s="4">
        <f>IF(OR(INDEX($P$2:$P$1001,MATCH(ROWS($O$2:O762),$O$2:$O$1001,0),1)&gt;=100000,INDEX($V$1005:$AE$1005,1,MATCH(COLUMNS($V$1006:AB1006),$V$1006:$AE$1006,0))&gt;=100000), " ",IF(INDEX($V$2:$AE$1001,MATCH(ROWS($O$2:O762),$O$2:$O$1001,0),MATCH(COLUMNS($V$1006:AB1006),$V$1006:$AE$1006,0)), HYPERLINK("#",""), HYPERLINK(CONCATENATE("#Metadata!", ADDRESS(INDEX($Q$2:$Q$1001,MATCH(ROWS($O$2:O762),$O$2:$O$1001,0),0), INDEX($V$1004:$AE$1004,1,MATCH(COLUMNS($V$1006:AB1006),$V$1006:$AE$1006,0)))),"Fix")))</f>
        <v>0</v>
      </c>
      <c r="I762" s="4">
        <f>IF(OR(INDEX($P$2:$P$1001,MATCH(ROWS($O$2:O762),$O$2:$O$1001,0),1)&gt;=100000,INDEX($V$1005:$AE$1005,1,MATCH(COLUMNS($V$1006:AC1006),$V$1006:$AE$1006,0))&gt;=100000), " ",IF(INDEX($V$2:$AE$1001,MATCH(ROWS($O$2:O762),$O$2:$O$1001,0),MATCH(COLUMNS($V$1006:AC1006),$V$1006:$AE$1006,0)), HYPERLINK("#",""), HYPERLINK(CONCATENATE("#Metadata!", ADDRESS(INDEX($Q$2:$Q$1001,MATCH(ROWS($O$2:O762),$O$2:$O$1001,0),0), INDEX($V$1004:$AE$1004,1,MATCH(COLUMNS($V$1006:AC1006),$V$1006:$AE$1006,0)))),"Fix")))</f>
        <v>0</v>
      </c>
      <c r="J762" s="4">
        <f>IF(OR(INDEX($P$2:$P$1001,MATCH(ROWS($O$2:O762),$O$2:$O$1001,0),1)&gt;=100000,INDEX($V$1005:$AE$1005,1,MATCH(COLUMNS($V$1006:AD1006),$V$1006:$AE$1006,0))&gt;=100000), " ",IF(INDEX($V$2:$AE$1001,MATCH(ROWS($O$2:O762),$O$2:$O$1001,0),MATCH(COLUMNS($V$1006:AD1006),$V$1006:$AE$1006,0)), HYPERLINK("#",""), HYPERLINK(CONCATENATE("#Metadata!", ADDRESS(INDEX($Q$2:$Q$1001,MATCH(ROWS($O$2:O762),$O$2:$O$1001,0),0), INDEX($V$1004:$AE$1004,1,MATCH(COLUMNS($V$1006:AD1006),$V$1006:$AE$1006,0)))),"Fix")))</f>
        <v>0</v>
      </c>
      <c r="K762" s="4">
        <f>IF(OR(INDEX($P$2:$P$1001,MATCH(ROWS($O$2:O762),$O$2:$O$1001,0),1)&gt;=100000,INDEX($V$1005:$AE$1005,1,MATCH(COLUMNS($V$1006:AE1006),$V$1006:$AE$1006,0))&gt;=100000), " ",IF(INDEX($V$2:$AE$1001,MATCH(ROWS($O$2:O762),$O$2:$O$1001,0),MATCH(COLUMNS($V$1006:AE1006),$V$1006:$AE$1006,0)), HYPERLINK("#",""), HYPERLINK(CONCATENATE("#Metadata!", ADDRESS(INDEX($Q$2:$Q$1001,MATCH(ROWS($O$2:O762),$O$2:$O$1001,0),0), INDEX($V$1004:$AE$1004,1,MATCH(COLUMNS($V$1006:AE1006),$V$1006:$AE$1006,0)))),"Fix")))</f>
        <v>0</v>
      </c>
      <c r="O762">
        <v>0</v>
      </c>
      <c r="P762">
        <v>0</v>
      </c>
      <c r="Q762">
        <v>0</v>
      </c>
      <c r="R762">
        <f>IF(S762,TRUE,AND(V762:AE762))</f>
        <v>0</v>
      </c>
      <c r="S762">
        <f>COUNTBLANK(Metadata!B762:K762)=COLUMNS(Metadata!B762:K762)</f>
        <v>0</v>
      </c>
      <c r="T762">
        <v>0</v>
      </c>
      <c r="V762">
        <f>AND(IF(Metadata!B762="",FALSE,TRUE),COUNTIF(Metadata!B:B, Metadata!B762) = 1,NOT(ISERROR(SUMPRODUCT(SEARCH(MID(Metadata!B762,ROW(INDIRECT("1:"&amp;LEN(Metadata!B762))), 1),"0123456789abcdefghijklmnopqrstuvwxyzABCDEFGHIJKLMNOPQRSTUVWXYZ.")))))</f>
        <v>0</v>
      </c>
      <c r="W762">
        <f>AND(IF(Metadata!C762="",FALSE,TRUE),exact(Metadata!C762,"urban biome"))</f>
        <v>0</v>
      </c>
      <c r="X762">
        <f>AND(IF(Metadata!D762="",FALSE,TRUE),exact(Metadata!D762,"animal-associated habitat"))</f>
        <v>0</v>
      </c>
      <c r="Y762">
        <f>OR(AND(IF(Metadata!E762="",FALSE,TRUE),OR(exact(Metadata!E762,"not applicable"),exact(Metadata!E762,"missing: not collected"),exact(Metadata!E762,"missing: not provided"),exact(Metadata!E762,"missing: restricted access"))),AND(IF(Metadata!E762="",FALSE,ISNUMBER(VALUE(Metadata!E762))),Metadata!E762&gt;0))</f>
        <v>0</v>
      </c>
      <c r="Z762">
        <f>AND(IF(Metadata!F762="",FALSE,TRUE),exact(Metadata!F762,"weeks"))</f>
        <v>0</v>
      </c>
      <c r="AA762">
        <f>AND(IF(Metadata!G762="",FALSE,TRUE),exact(Metadata!G762,"mouse"))</f>
        <v>0</v>
      </c>
      <c r="AB762">
        <f>AND(IF(Metadata!H762="",FALSE,TRUE),exact(Metadata!H762,"Mus musculus"))</f>
        <v>0</v>
      </c>
      <c r="AC762">
        <f>AND(IF(Metadata!I762="",FALSE,TRUE),exact(Metadata!I762,"10090"))</f>
        <v>0</v>
      </c>
      <c r="AD762">
        <f>OR(AND(IF(Metadata!J762="",FALSE,TRUE),OR(exact(Metadata!J762,"not applicable"),exact(Metadata!J762,"missing: not collected"),exact(Metadata!J762,"missing: not provided"),exact(Metadata!J762,"missing: restricted access"))),AND(IF(Metadata!J762="",FALSE,ISNUMBER(VALUE(Metadata!J762))),Metadata!J762&gt;0))</f>
        <v>0</v>
      </c>
      <c r="AE762">
        <f>AND(IF(Metadata!K762="",FALSE,TRUE),exact(Metadata!K762,"g"))</f>
        <v>0</v>
      </c>
    </row>
    <row r="763" spans="1:31">
      <c r="A763" s="5">
        <f>IF(B763=" "," ",HYPERLINK(CONCATENATE("#metadata!",ADDRESS(INDEX($Q$2:$Q$1001,MATCH(ROWS($O$2:O763),$O$2:$O$1001,0),0),1)),INDEX($T$2:$T$1001,MATCH(ROWS($O$2:O763),$O$2:$O$1001,0),0)))</f>
        <v>0</v>
      </c>
      <c r="B763" s="4">
        <f>IF(OR(INDEX($P$2:$P$1001,MATCH(ROWS($O$2:O763),$O$2:$O$1001,0),1)&gt;=100000,INDEX($V$1005:$AE$1005,1,MATCH(COLUMNS($V$1006:V1006),$V$1006:$AE$1006,0))&gt;=100000), " ",IF(INDEX($V$2:$AE$1001,MATCH(ROWS($O$2:O763),$O$2:$O$1001,0),MATCH(COLUMNS($V$1006:V1006),$V$1006:$AE$1006,0)), HYPERLINK("#",""), HYPERLINK(CONCATENATE("#Metadata!", ADDRESS(INDEX($Q$2:$Q$1001,MATCH(ROWS($O$2:O763),$O$2:$O$1001,0),0), INDEX($V$1004:$AE$1004,1,MATCH(COLUMNS($V$1006:V1006),$V$1006:$AE$1006,0)))),"Fix")))</f>
        <v>0</v>
      </c>
      <c r="C763" s="4">
        <f>IF(OR(INDEX($P$2:$P$1001,MATCH(ROWS($O$2:O763),$O$2:$O$1001,0),1)&gt;=100000,INDEX($V$1005:$AE$1005,1,MATCH(COLUMNS($V$1006:W1006),$V$1006:$AE$1006,0))&gt;=100000), " ",IF(INDEX($V$2:$AE$1001,MATCH(ROWS($O$2:O763),$O$2:$O$1001,0),MATCH(COLUMNS($V$1006:W1006),$V$1006:$AE$1006,0)), HYPERLINK("#",""), HYPERLINK(CONCATENATE("#Metadata!", ADDRESS(INDEX($Q$2:$Q$1001,MATCH(ROWS($O$2:O763),$O$2:$O$1001,0),0), INDEX($V$1004:$AE$1004,1,MATCH(COLUMNS($V$1006:W1006),$V$1006:$AE$1006,0)))),"Fix")))</f>
        <v>0</v>
      </c>
      <c r="D763" s="4">
        <f>IF(OR(INDEX($P$2:$P$1001,MATCH(ROWS($O$2:O763),$O$2:$O$1001,0),1)&gt;=100000,INDEX($V$1005:$AE$1005,1,MATCH(COLUMNS($V$1006:X1006),$V$1006:$AE$1006,0))&gt;=100000), " ",IF(INDEX($V$2:$AE$1001,MATCH(ROWS($O$2:O763),$O$2:$O$1001,0),MATCH(COLUMNS($V$1006:X1006),$V$1006:$AE$1006,0)), HYPERLINK("#",""), HYPERLINK(CONCATENATE("#Metadata!", ADDRESS(INDEX($Q$2:$Q$1001,MATCH(ROWS($O$2:O763),$O$2:$O$1001,0),0), INDEX($V$1004:$AE$1004,1,MATCH(COLUMNS($V$1006:X1006),$V$1006:$AE$1006,0)))),"Fix")))</f>
        <v>0</v>
      </c>
      <c r="E763" s="4">
        <f>IF(OR(INDEX($P$2:$P$1001,MATCH(ROWS($O$2:O763),$O$2:$O$1001,0),1)&gt;=100000,INDEX($V$1005:$AE$1005,1,MATCH(COLUMNS($V$1006:Y1006),$V$1006:$AE$1006,0))&gt;=100000), " ",IF(INDEX($V$2:$AE$1001,MATCH(ROWS($O$2:O763),$O$2:$O$1001,0),MATCH(COLUMNS($V$1006:Y1006),$V$1006:$AE$1006,0)), HYPERLINK("#",""), HYPERLINK(CONCATENATE("#Metadata!", ADDRESS(INDEX($Q$2:$Q$1001,MATCH(ROWS($O$2:O763),$O$2:$O$1001,0),0), INDEX($V$1004:$AE$1004,1,MATCH(COLUMNS($V$1006:Y1006),$V$1006:$AE$1006,0)))),"Fix")))</f>
        <v>0</v>
      </c>
      <c r="F763" s="4">
        <f>IF(OR(INDEX($P$2:$P$1001,MATCH(ROWS($O$2:O763),$O$2:$O$1001,0),1)&gt;=100000,INDEX($V$1005:$AE$1005,1,MATCH(COLUMNS($V$1006:Z1006),$V$1006:$AE$1006,0))&gt;=100000), " ",IF(INDEX($V$2:$AE$1001,MATCH(ROWS($O$2:O763),$O$2:$O$1001,0),MATCH(COLUMNS($V$1006:Z1006),$V$1006:$AE$1006,0)), HYPERLINK("#",""), HYPERLINK(CONCATENATE("#Metadata!", ADDRESS(INDEX($Q$2:$Q$1001,MATCH(ROWS($O$2:O763),$O$2:$O$1001,0),0), INDEX($V$1004:$AE$1004,1,MATCH(COLUMNS($V$1006:Z1006),$V$1006:$AE$1006,0)))),"Fix")))</f>
        <v>0</v>
      </c>
      <c r="G763" s="4">
        <f>IF(OR(INDEX($P$2:$P$1001,MATCH(ROWS($O$2:O763),$O$2:$O$1001,0),1)&gt;=100000,INDEX($V$1005:$AE$1005,1,MATCH(COLUMNS($V$1006:AA1006),$V$1006:$AE$1006,0))&gt;=100000), " ",IF(INDEX($V$2:$AE$1001,MATCH(ROWS($O$2:O763),$O$2:$O$1001,0),MATCH(COLUMNS($V$1006:AA1006),$V$1006:$AE$1006,0)), HYPERLINK("#",""), HYPERLINK(CONCATENATE("#Metadata!", ADDRESS(INDEX($Q$2:$Q$1001,MATCH(ROWS($O$2:O763),$O$2:$O$1001,0),0), INDEX($V$1004:$AE$1004,1,MATCH(COLUMNS($V$1006:AA1006),$V$1006:$AE$1006,0)))),"Fix")))</f>
        <v>0</v>
      </c>
      <c r="H763" s="4">
        <f>IF(OR(INDEX($P$2:$P$1001,MATCH(ROWS($O$2:O763),$O$2:$O$1001,0),1)&gt;=100000,INDEX($V$1005:$AE$1005,1,MATCH(COLUMNS($V$1006:AB1006),$V$1006:$AE$1006,0))&gt;=100000), " ",IF(INDEX($V$2:$AE$1001,MATCH(ROWS($O$2:O763),$O$2:$O$1001,0),MATCH(COLUMNS($V$1006:AB1006),$V$1006:$AE$1006,0)), HYPERLINK("#",""), HYPERLINK(CONCATENATE("#Metadata!", ADDRESS(INDEX($Q$2:$Q$1001,MATCH(ROWS($O$2:O763),$O$2:$O$1001,0),0), INDEX($V$1004:$AE$1004,1,MATCH(COLUMNS($V$1006:AB1006),$V$1006:$AE$1006,0)))),"Fix")))</f>
        <v>0</v>
      </c>
      <c r="I763" s="4">
        <f>IF(OR(INDEX($P$2:$P$1001,MATCH(ROWS($O$2:O763),$O$2:$O$1001,0),1)&gt;=100000,INDEX($V$1005:$AE$1005,1,MATCH(COLUMNS($V$1006:AC1006),$V$1006:$AE$1006,0))&gt;=100000), " ",IF(INDEX($V$2:$AE$1001,MATCH(ROWS($O$2:O763),$O$2:$O$1001,0),MATCH(COLUMNS($V$1006:AC1006),$V$1006:$AE$1006,0)), HYPERLINK("#",""), HYPERLINK(CONCATENATE("#Metadata!", ADDRESS(INDEX($Q$2:$Q$1001,MATCH(ROWS($O$2:O763),$O$2:$O$1001,0),0), INDEX($V$1004:$AE$1004,1,MATCH(COLUMNS($V$1006:AC1006),$V$1006:$AE$1006,0)))),"Fix")))</f>
        <v>0</v>
      </c>
      <c r="J763" s="4">
        <f>IF(OR(INDEX($P$2:$P$1001,MATCH(ROWS($O$2:O763),$O$2:$O$1001,0),1)&gt;=100000,INDEX($V$1005:$AE$1005,1,MATCH(COLUMNS($V$1006:AD1006),$V$1006:$AE$1006,0))&gt;=100000), " ",IF(INDEX($V$2:$AE$1001,MATCH(ROWS($O$2:O763),$O$2:$O$1001,0),MATCH(COLUMNS($V$1006:AD1006),$V$1006:$AE$1006,0)), HYPERLINK("#",""), HYPERLINK(CONCATENATE("#Metadata!", ADDRESS(INDEX($Q$2:$Q$1001,MATCH(ROWS($O$2:O763),$O$2:$O$1001,0),0), INDEX($V$1004:$AE$1004,1,MATCH(COLUMNS($V$1006:AD1006),$V$1006:$AE$1006,0)))),"Fix")))</f>
        <v>0</v>
      </c>
      <c r="K763" s="4">
        <f>IF(OR(INDEX($P$2:$P$1001,MATCH(ROWS($O$2:O763),$O$2:$O$1001,0),1)&gt;=100000,INDEX($V$1005:$AE$1005,1,MATCH(COLUMNS($V$1006:AE1006),$V$1006:$AE$1006,0))&gt;=100000), " ",IF(INDEX($V$2:$AE$1001,MATCH(ROWS($O$2:O763),$O$2:$O$1001,0),MATCH(COLUMNS($V$1006:AE1006),$V$1006:$AE$1006,0)), HYPERLINK("#",""), HYPERLINK(CONCATENATE("#Metadata!", ADDRESS(INDEX($Q$2:$Q$1001,MATCH(ROWS($O$2:O763),$O$2:$O$1001,0),0), INDEX($V$1004:$AE$1004,1,MATCH(COLUMNS($V$1006:AE1006),$V$1006:$AE$1006,0)))),"Fix")))</f>
        <v>0</v>
      </c>
      <c r="O763">
        <v>0</v>
      </c>
      <c r="P763">
        <v>0</v>
      </c>
      <c r="Q763">
        <v>0</v>
      </c>
      <c r="R763">
        <f>IF(S763,TRUE,AND(V763:AE763))</f>
        <v>0</v>
      </c>
      <c r="S763">
        <f>COUNTBLANK(Metadata!B763:K763)=COLUMNS(Metadata!B763:K763)</f>
        <v>0</v>
      </c>
      <c r="T763">
        <v>0</v>
      </c>
      <c r="V763">
        <f>AND(IF(Metadata!B763="",FALSE,TRUE),COUNTIF(Metadata!B:B, Metadata!B763) = 1,NOT(ISERROR(SUMPRODUCT(SEARCH(MID(Metadata!B763,ROW(INDIRECT("1:"&amp;LEN(Metadata!B763))), 1),"0123456789abcdefghijklmnopqrstuvwxyzABCDEFGHIJKLMNOPQRSTUVWXYZ.")))))</f>
        <v>0</v>
      </c>
      <c r="W763">
        <f>AND(IF(Metadata!C763="",FALSE,TRUE),exact(Metadata!C763,"urban biome"))</f>
        <v>0</v>
      </c>
      <c r="X763">
        <f>AND(IF(Metadata!D763="",FALSE,TRUE),exact(Metadata!D763,"animal-associated habitat"))</f>
        <v>0</v>
      </c>
      <c r="Y763">
        <f>OR(AND(IF(Metadata!E763="",FALSE,TRUE),OR(exact(Metadata!E763,"not applicable"),exact(Metadata!E763,"missing: not collected"),exact(Metadata!E763,"missing: not provided"),exact(Metadata!E763,"missing: restricted access"))),AND(IF(Metadata!E763="",FALSE,ISNUMBER(VALUE(Metadata!E763))),Metadata!E763&gt;0))</f>
        <v>0</v>
      </c>
      <c r="Z763">
        <f>AND(IF(Metadata!F763="",FALSE,TRUE),exact(Metadata!F763,"weeks"))</f>
        <v>0</v>
      </c>
      <c r="AA763">
        <f>AND(IF(Metadata!G763="",FALSE,TRUE),exact(Metadata!G763,"mouse"))</f>
        <v>0</v>
      </c>
      <c r="AB763">
        <f>AND(IF(Metadata!H763="",FALSE,TRUE),exact(Metadata!H763,"Mus musculus"))</f>
        <v>0</v>
      </c>
      <c r="AC763">
        <f>AND(IF(Metadata!I763="",FALSE,TRUE),exact(Metadata!I763,"10090"))</f>
        <v>0</v>
      </c>
      <c r="AD763">
        <f>OR(AND(IF(Metadata!J763="",FALSE,TRUE),OR(exact(Metadata!J763,"not applicable"),exact(Metadata!J763,"missing: not collected"),exact(Metadata!J763,"missing: not provided"),exact(Metadata!J763,"missing: restricted access"))),AND(IF(Metadata!J763="",FALSE,ISNUMBER(VALUE(Metadata!J763))),Metadata!J763&gt;0))</f>
        <v>0</v>
      </c>
      <c r="AE763">
        <f>AND(IF(Metadata!K763="",FALSE,TRUE),exact(Metadata!K763,"g"))</f>
        <v>0</v>
      </c>
    </row>
    <row r="764" spans="1:31">
      <c r="A764" s="5">
        <f>IF(B764=" "," ",HYPERLINK(CONCATENATE("#metadata!",ADDRESS(INDEX($Q$2:$Q$1001,MATCH(ROWS($O$2:O764),$O$2:$O$1001,0),0),1)),INDEX($T$2:$T$1001,MATCH(ROWS($O$2:O764),$O$2:$O$1001,0),0)))</f>
        <v>0</v>
      </c>
      <c r="B764" s="4">
        <f>IF(OR(INDEX($P$2:$P$1001,MATCH(ROWS($O$2:O764),$O$2:$O$1001,0),1)&gt;=100000,INDEX($V$1005:$AE$1005,1,MATCH(COLUMNS($V$1006:V1006),$V$1006:$AE$1006,0))&gt;=100000), " ",IF(INDEX($V$2:$AE$1001,MATCH(ROWS($O$2:O764),$O$2:$O$1001,0),MATCH(COLUMNS($V$1006:V1006),$V$1006:$AE$1006,0)), HYPERLINK("#",""), HYPERLINK(CONCATENATE("#Metadata!", ADDRESS(INDEX($Q$2:$Q$1001,MATCH(ROWS($O$2:O764),$O$2:$O$1001,0),0), INDEX($V$1004:$AE$1004,1,MATCH(COLUMNS($V$1006:V1006),$V$1006:$AE$1006,0)))),"Fix")))</f>
        <v>0</v>
      </c>
      <c r="C764" s="4">
        <f>IF(OR(INDEX($P$2:$P$1001,MATCH(ROWS($O$2:O764),$O$2:$O$1001,0),1)&gt;=100000,INDEX($V$1005:$AE$1005,1,MATCH(COLUMNS($V$1006:W1006),$V$1006:$AE$1006,0))&gt;=100000), " ",IF(INDEX($V$2:$AE$1001,MATCH(ROWS($O$2:O764),$O$2:$O$1001,0),MATCH(COLUMNS($V$1006:W1006),$V$1006:$AE$1006,0)), HYPERLINK("#",""), HYPERLINK(CONCATENATE("#Metadata!", ADDRESS(INDEX($Q$2:$Q$1001,MATCH(ROWS($O$2:O764),$O$2:$O$1001,0),0), INDEX($V$1004:$AE$1004,1,MATCH(COLUMNS($V$1006:W1006),$V$1006:$AE$1006,0)))),"Fix")))</f>
        <v>0</v>
      </c>
      <c r="D764" s="4">
        <f>IF(OR(INDEX($P$2:$P$1001,MATCH(ROWS($O$2:O764),$O$2:$O$1001,0),1)&gt;=100000,INDEX($V$1005:$AE$1005,1,MATCH(COLUMNS($V$1006:X1006),$V$1006:$AE$1006,0))&gt;=100000), " ",IF(INDEX($V$2:$AE$1001,MATCH(ROWS($O$2:O764),$O$2:$O$1001,0),MATCH(COLUMNS($V$1006:X1006),$V$1006:$AE$1006,0)), HYPERLINK("#",""), HYPERLINK(CONCATENATE("#Metadata!", ADDRESS(INDEX($Q$2:$Q$1001,MATCH(ROWS($O$2:O764),$O$2:$O$1001,0),0), INDEX($V$1004:$AE$1004,1,MATCH(COLUMNS($V$1006:X1006),$V$1006:$AE$1006,0)))),"Fix")))</f>
        <v>0</v>
      </c>
      <c r="E764" s="4">
        <f>IF(OR(INDEX($P$2:$P$1001,MATCH(ROWS($O$2:O764),$O$2:$O$1001,0),1)&gt;=100000,INDEX($V$1005:$AE$1005,1,MATCH(COLUMNS($V$1006:Y1006),$V$1006:$AE$1006,0))&gt;=100000), " ",IF(INDEX($V$2:$AE$1001,MATCH(ROWS($O$2:O764),$O$2:$O$1001,0),MATCH(COLUMNS($V$1006:Y1006),$V$1006:$AE$1006,0)), HYPERLINK("#",""), HYPERLINK(CONCATENATE("#Metadata!", ADDRESS(INDEX($Q$2:$Q$1001,MATCH(ROWS($O$2:O764),$O$2:$O$1001,0),0), INDEX($V$1004:$AE$1004,1,MATCH(COLUMNS($V$1006:Y1006),$V$1006:$AE$1006,0)))),"Fix")))</f>
        <v>0</v>
      </c>
      <c r="F764" s="4">
        <f>IF(OR(INDEX($P$2:$P$1001,MATCH(ROWS($O$2:O764),$O$2:$O$1001,0),1)&gt;=100000,INDEX($V$1005:$AE$1005,1,MATCH(COLUMNS($V$1006:Z1006),$V$1006:$AE$1006,0))&gt;=100000), " ",IF(INDEX($V$2:$AE$1001,MATCH(ROWS($O$2:O764),$O$2:$O$1001,0),MATCH(COLUMNS($V$1006:Z1006),$V$1006:$AE$1006,0)), HYPERLINK("#",""), HYPERLINK(CONCATENATE("#Metadata!", ADDRESS(INDEX($Q$2:$Q$1001,MATCH(ROWS($O$2:O764),$O$2:$O$1001,0),0), INDEX($V$1004:$AE$1004,1,MATCH(COLUMNS($V$1006:Z1006),$V$1006:$AE$1006,0)))),"Fix")))</f>
        <v>0</v>
      </c>
      <c r="G764" s="4">
        <f>IF(OR(INDEX($P$2:$P$1001,MATCH(ROWS($O$2:O764),$O$2:$O$1001,0),1)&gt;=100000,INDEX($V$1005:$AE$1005,1,MATCH(COLUMNS($V$1006:AA1006),$V$1006:$AE$1006,0))&gt;=100000), " ",IF(INDEX($V$2:$AE$1001,MATCH(ROWS($O$2:O764),$O$2:$O$1001,0),MATCH(COLUMNS($V$1006:AA1006),$V$1006:$AE$1006,0)), HYPERLINK("#",""), HYPERLINK(CONCATENATE("#Metadata!", ADDRESS(INDEX($Q$2:$Q$1001,MATCH(ROWS($O$2:O764),$O$2:$O$1001,0),0), INDEX($V$1004:$AE$1004,1,MATCH(COLUMNS($V$1006:AA1006),$V$1006:$AE$1006,0)))),"Fix")))</f>
        <v>0</v>
      </c>
      <c r="H764" s="4">
        <f>IF(OR(INDEX($P$2:$P$1001,MATCH(ROWS($O$2:O764),$O$2:$O$1001,0),1)&gt;=100000,INDEX($V$1005:$AE$1005,1,MATCH(COLUMNS($V$1006:AB1006),$V$1006:$AE$1006,0))&gt;=100000), " ",IF(INDEX($V$2:$AE$1001,MATCH(ROWS($O$2:O764),$O$2:$O$1001,0),MATCH(COLUMNS($V$1006:AB1006),$V$1006:$AE$1006,0)), HYPERLINK("#",""), HYPERLINK(CONCATENATE("#Metadata!", ADDRESS(INDEX($Q$2:$Q$1001,MATCH(ROWS($O$2:O764),$O$2:$O$1001,0),0), INDEX($V$1004:$AE$1004,1,MATCH(COLUMNS($V$1006:AB1006),$V$1006:$AE$1006,0)))),"Fix")))</f>
        <v>0</v>
      </c>
      <c r="I764" s="4">
        <f>IF(OR(INDEX($P$2:$P$1001,MATCH(ROWS($O$2:O764),$O$2:$O$1001,0),1)&gt;=100000,INDEX($V$1005:$AE$1005,1,MATCH(COLUMNS($V$1006:AC1006),$V$1006:$AE$1006,0))&gt;=100000), " ",IF(INDEX($V$2:$AE$1001,MATCH(ROWS($O$2:O764),$O$2:$O$1001,0),MATCH(COLUMNS($V$1006:AC1006),$V$1006:$AE$1006,0)), HYPERLINK("#",""), HYPERLINK(CONCATENATE("#Metadata!", ADDRESS(INDEX($Q$2:$Q$1001,MATCH(ROWS($O$2:O764),$O$2:$O$1001,0),0), INDEX($V$1004:$AE$1004,1,MATCH(COLUMNS($V$1006:AC1006),$V$1006:$AE$1006,0)))),"Fix")))</f>
        <v>0</v>
      </c>
      <c r="J764" s="4">
        <f>IF(OR(INDEX($P$2:$P$1001,MATCH(ROWS($O$2:O764),$O$2:$O$1001,0),1)&gt;=100000,INDEX($V$1005:$AE$1005,1,MATCH(COLUMNS($V$1006:AD1006),$V$1006:$AE$1006,0))&gt;=100000), " ",IF(INDEX($V$2:$AE$1001,MATCH(ROWS($O$2:O764),$O$2:$O$1001,0),MATCH(COLUMNS($V$1006:AD1006),$V$1006:$AE$1006,0)), HYPERLINK("#",""), HYPERLINK(CONCATENATE("#Metadata!", ADDRESS(INDEX($Q$2:$Q$1001,MATCH(ROWS($O$2:O764),$O$2:$O$1001,0),0), INDEX($V$1004:$AE$1004,1,MATCH(COLUMNS($V$1006:AD1006),$V$1006:$AE$1006,0)))),"Fix")))</f>
        <v>0</v>
      </c>
      <c r="K764" s="4">
        <f>IF(OR(INDEX($P$2:$P$1001,MATCH(ROWS($O$2:O764),$O$2:$O$1001,0),1)&gt;=100000,INDEX($V$1005:$AE$1005,1,MATCH(COLUMNS($V$1006:AE1006),$V$1006:$AE$1006,0))&gt;=100000), " ",IF(INDEX($V$2:$AE$1001,MATCH(ROWS($O$2:O764),$O$2:$O$1001,0),MATCH(COLUMNS($V$1006:AE1006),$V$1006:$AE$1006,0)), HYPERLINK("#",""), HYPERLINK(CONCATENATE("#Metadata!", ADDRESS(INDEX($Q$2:$Q$1001,MATCH(ROWS($O$2:O764),$O$2:$O$1001,0),0), INDEX($V$1004:$AE$1004,1,MATCH(COLUMNS($V$1006:AE1006),$V$1006:$AE$1006,0)))),"Fix")))</f>
        <v>0</v>
      </c>
      <c r="O764">
        <v>0</v>
      </c>
      <c r="P764">
        <v>0</v>
      </c>
      <c r="Q764">
        <v>0</v>
      </c>
      <c r="R764">
        <f>IF(S764,TRUE,AND(V764:AE764))</f>
        <v>0</v>
      </c>
      <c r="S764">
        <f>COUNTBLANK(Metadata!B764:K764)=COLUMNS(Metadata!B764:K764)</f>
        <v>0</v>
      </c>
      <c r="T764">
        <v>0</v>
      </c>
      <c r="V764">
        <f>AND(IF(Metadata!B764="",FALSE,TRUE),COUNTIF(Metadata!B:B, Metadata!B764) = 1,NOT(ISERROR(SUMPRODUCT(SEARCH(MID(Metadata!B764,ROW(INDIRECT("1:"&amp;LEN(Metadata!B764))), 1),"0123456789abcdefghijklmnopqrstuvwxyzABCDEFGHIJKLMNOPQRSTUVWXYZ.")))))</f>
        <v>0</v>
      </c>
      <c r="W764">
        <f>AND(IF(Metadata!C764="",FALSE,TRUE),exact(Metadata!C764,"urban biome"))</f>
        <v>0</v>
      </c>
      <c r="X764">
        <f>AND(IF(Metadata!D764="",FALSE,TRUE),exact(Metadata!D764,"animal-associated habitat"))</f>
        <v>0</v>
      </c>
      <c r="Y764">
        <f>OR(AND(IF(Metadata!E764="",FALSE,TRUE),OR(exact(Metadata!E764,"not applicable"),exact(Metadata!E764,"missing: not collected"),exact(Metadata!E764,"missing: not provided"),exact(Metadata!E764,"missing: restricted access"))),AND(IF(Metadata!E764="",FALSE,ISNUMBER(VALUE(Metadata!E764))),Metadata!E764&gt;0))</f>
        <v>0</v>
      </c>
      <c r="Z764">
        <f>AND(IF(Metadata!F764="",FALSE,TRUE),exact(Metadata!F764,"weeks"))</f>
        <v>0</v>
      </c>
      <c r="AA764">
        <f>AND(IF(Metadata!G764="",FALSE,TRUE),exact(Metadata!G764,"mouse"))</f>
        <v>0</v>
      </c>
      <c r="AB764">
        <f>AND(IF(Metadata!H764="",FALSE,TRUE),exact(Metadata!H764,"Mus musculus"))</f>
        <v>0</v>
      </c>
      <c r="AC764">
        <f>AND(IF(Metadata!I764="",FALSE,TRUE),exact(Metadata!I764,"10090"))</f>
        <v>0</v>
      </c>
      <c r="AD764">
        <f>OR(AND(IF(Metadata!J764="",FALSE,TRUE),OR(exact(Metadata!J764,"not applicable"),exact(Metadata!J764,"missing: not collected"),exact(Metadata!J764,"missing: not provided"),exact(Metadata!J764,"missing: restricted access"))),AND(IF(Metadata!J764="",FALSE,ISNUMBER(VALUE(Metadata!J764))),Metadata!J764&gt;0))</f>
        <v>0</v>
      </c>
      <c r="AE764">
        <f>AND(IF(Metadata!K764="",FALSE,TRUE),exact(Metadata!K764,"g"))</f>
        <v>0</v>
      </c>
    </row>
    <row r="765" spans="1:31">
      <c r="A765" s="5">
        <f>IF(B765=" "," ",HYPERLINK(CONCATENATE("#metadata!",ADDRESS(INDEX($Q$2:$Q$1001,MATCH(ROWS($O$2:O765),$O$2:$O$1001,0),0),1)),INDEX($T$2:$T$1001,MATCH(ROWS($O$2:O765),$O$2:$O$1001,0),0)))</f>
        <v>0</v>
      </c>
      <c r="B765" s="4">
        <f>IF(OR(INDEX($P$2:$P$1001,MATCH(ROWS($O$2:O765),$O$2:$O$1001,0),1)&gt;=100000,INDEX($V$1005:$AE$1005,1,MATCH(COLUMNS($V$1006:V1006),$V$1006:$AE$1006,0))&gt;=100000), " ",IF(INDEX($V$2:$AE$1001,MATCH(ROWS($O$2:O765),$O$2:$O$1001,0),MATCH(COLUMNS($V$1006:V1006),$V$1006:$AE$1006,0)), HYPERLINK("#",""), HYPERLINK(CONCATENATE("#Metadata!", ADDRESS(INDEX($Q$2:$Q$1001,MATCH(ROWS($O$2:O765),$O$2:$O$1001,0),0), INDEX($V$1004:$AE$1004,1,MATCH(COLUMNS($V$1006:V1006),$V$1006:$AE$1006,0)))),"Fix")))</f>
        <v>0</v>
      </c>
      <c r="C765" s="4">
        <f>IF(OR(INDEX($P$2:$P$1001,MATCH(ROWS($O$2:O765),$O$2:$O$1001,0),1)&gt;=100000,INDEX($V$1005:$AE$1005,1,MATCH(COLUMNS($V$1006:W1006),$V$1006:$AE$1006,0))&gt;=100000), " ",IF(INDEX($V$2:$AE$1001,MATCH(ROWS($O$2:O765),$O$2:$O$1001,0),MATCH(COLUMNS($V$1006:W1006),$V$1006:$AE$1006,0)), HYPERLINK("#",""), HYPERLINK(CONCATENATE("#Metadata!", ADDRESS(INDEX($Q$2:$Q$1001,MATCH(ROWS($O$2:O765),$O$2:$O$1001,0),0), INDEX($V$1004:$AE$1004,1,MATCH(COLUMNS($V$1006:W1006),$V$1006:$AE$1006,0)))),"Fix")))</f>
        <v>0</v>
      </c>
      <c r="D765" s="4">
        <f>IF(OR(INDEX($P$2:$P$1001,MATCH(ROWS($O$2:O765),$O$2:$O$1001,0),1)&gt;=100000,INDEX($V$1005:$AE$1005,1,MATCH(COLUMNS($V$1006:X1006),$V$1006:$AE$1006,0))&gt;=100000), " ",IF(INDEX($V$2:$AE$1001,MATCH(ROWS($O$2:O765),$O$2:$O$1001,0),MATCH(COLUMNS($V$1006:X1006),$V$1006:$AE$1006,0)), HYPERLINK("#",""), HYPERLINK(CONCATENATE("#Metadata!", ADDRESS(INDEX($Q$2:$Q$1001,MATCH(ROWS($O$2:O765),$O$2:$O$1001,0),0), INDEX($V$1004:$AE$1004,1,MATCH(COLUMNS($V$1006:X1006),$V$1006:$AE$1006,0)))),"Fix")))</f>
        <v>0</v>
      </c>
      <c r="E765" s="4">
        <f>IF(OR(INDEX($P$2:$P$1001,MATCH(ROWS($O$2:O765),$O$2:$O$1001,0),1)&gt;=100000,INDEX($V$1005:$AE$1005,1,MATCH(COLUMNS($V$1006:Y1006),$V$1006:$AE$1006,0))&gt;=100000), " ",IF(INDEX($V$2:$AE$1001,MATCH(ROWS($O$2:O765),$O$2:$O$1001,0),MATCH(COLUMNS($V$1006:Y1006),$V$1006:$AE$1006,0)), HYPERLINK("#",""), HYPERLINK(CONCATENATE("#Metadata!", ADDRESS(INDEX($Q$2:$Q$1001,MATCH(ROWS($O$2:O765),$O$2:$O$1001,0),0), INDEX($V$1004:$AE$1004,1,MATCH(COLUMNS($V$1006:Y1006),$V$1006:$AE$1006,0)))),"Fix")))</f>
        <v>0</v>
      </c>
      <c r="F765" s="4">
        <f>IF(OR(INDEX($P$2:$P$1001,MATCH(ROWS($O$2:O765),$O$2:$O$1001,0),1)&gt;=100000,INDEX($V$1005:$AE$1005,1,MATCH(COLUMNS($V$1006:Z1006),$V$1006:$AE$1006,0))&gt;=100000), " ",IF(INDEX($V$2:$AE$1001,MATCH(ROWS($O$2:O765),$O$2:$O$1001,0),MATCH(COLUMNS($V$1006:Z1006),$V$1006:$AE$1006,0)), HYPERLINK("#",""), HYPERLINK(CONCATENATE("#Metadata!", ADDRESS(INDEX($Q$2:$Q$1001,MATCH(ROWS($O$2:O765),$O$2:$O$1001,0),0), INDEX($V$1004:$AE$1004,1,MATCH(COLUMNS($V$1006:Z1006),$V$1006:$AE$1006,0)))),"Fix")))</f>
        <v>0</v>
      </c>
      <c r="G765" s="4">
        <f>IF(OR(INDEX($P$2:$P$1001,MATCH(ROWS($O$2:O765),$O$2:$O$1001,0),1)&gt;=100000,INDEX($V$1005:$AE$1005,1,MATCH(COLUMNS($V$1006:AA1006),$V$1006:$AE$1006,0))&gt;=100000), " ",IF(INDEX($V$2:$AE$1001,MATCH(ROWS($O$2:O765),$O$2:$O$1001,0),MATCH(COLUMNS($V$1006:AA1006),$V$1006:$AE$1006,0)), HYPERLINK("#",""), HYPERLINK(CONCATENATE("#Metadata!", ADDRESS(INDEX($Q$2:$Q$1001,MATCH(ROWS($O$2:O765),$O$2:$O$1001,0),0), INDEX($V$1004:$AE$1004,1,MATCH(COLUMNS($V$1006:AA1006),$V$1006:$AE$1006,0)))),"Fix")))</f>
        <v>0</v>
      </c>
      <c r="H765" s="4">
        <f>IF(OR(INDEX($P$2:$P$1001,MATCH(ROWS($O$2:O765),$O$2:$O$1001,0),1)&gt;=100000,INDEX($V$1005:$AE$1005,1,MATCH(COLUMNS($V$1006:AB1006),$V$1006:$AE$1006,0))&gt;=100000), " ",IF(INDEX($V$2:$AE$1001,MATCH(ROWS($O$2:O765),$O$2:$O$1001,0),MATCH(COLUMNS($V$1006:AB1006),$V$1006:$AE$1006,0)), HYPERLINK("#",""), HYPERLINK(CONCATENATE("#Metadata!", ADDRESS(INDEX($Q$2:$Q$1001,MATCH(ROWS($O$2:O765),$O$2:$O$1001,0),0), INDEX($V$1004:$AE$1004,1,MATCH(COLUMNS($V$1006:AB1006),$V$1006:$AE$1006,0)))),"Fix")))</f>
        <v>0</v>
      </c>
      <c r="I765" s="4">
        <f>IF(OR(INDEX($P$2:$P$1001,MATCH(ROWS($O$2:O765),$O$2:$O$1001,0),1)&gt;=100000,INDEX($V$1005:$AE$1005,1,MATCH(COLUMNS($V$1006:AC1006),$V$1006:$AE$1006,0))&gt;=100000), " ",IF(INDEX($V$2:$AE$1001,MATCH(ROWS($O$2:O765),$O$2:$O$1001,0),MATCH(COLUMNS($V$1006:AC1006),$V$1006:$AE$1006,0)), HYPERLINK("#",""), HYPERLINK(CONCATENATE("#Metadata!", ADDRESS(INDEX($Q$2:$Q$1001,MATCH(ROWS($O$2:O765),$O$2:$O$1001,0),0), INDEX($V$1004:$AE$1004,1,MATCH(COLUMNS($V$1006:AC1006),$V$1006:$AE$1006,0)))),"Fix")))</f>
        <v>0</v>
      </c>
      <c r="J765" s="4">
        <f>IF(OR(INDEX($P$2:$P$1001,MATCH(ROWS($O$2:O765),$O$2:$O$1001,0),1)&gt;=100000,INDEX($V$1005:$AE$1005,1,MATCH(COLUMNS($V$1006:AD1006),$V$1006:$AE$1006,0))&gt;=100000), " ",IF(INDEX($V$2:$AE$1001,MATCH(ROWS($O$2:O765),$O$2:$O$1001,0),MATCH(COLUMNS($V$1006:AD1006),$V$1006:$AE$1006,0)), HYPERLINK("#",""), HYPERLINK(CONCATENATE("#Metadata!", ADDRESS(INDEX($Q$2:$Q$1001,MATCH(ROWS($O$2:O765),$O$2:$O$1001,0),0), INDEX($V$1004:$AE$1004,1,MATCH(COLUMNS($V$1006:AD1006),$V$1006:$AE$1006,0)))),"Fix")))</f>
        <v>0</v>
      </c>
      <c r="K765" s="4">
        <f>IF(OR(INDEX($P$2:$P$1001,MATCH(ROWS($O$2:O765),$O$2:$O$1001,0),1)&gt;=100000,INDEX($V$1005:$AE$1005,1,MATCH(COLUMNS($V$1006:AE1006),$V$1006:$AE$1006,0))&gt;=100000), " ",IF(INDEX($V$2:$AE$1001,MATCH(ROWS($O$2:O765),$O$2:$O$1001,0),MATCH(COLUMNS($V$1006:AE1006),$V$1006:$AE$1006,0)), HYPERLINK("#",""), HYPERLINK(CONCATENATE("#Metadata!", ADDRESS(INDEX($Q$2:$Q$1001,MATCH(ROWS($O$2:O765),$O$2:$O$1001,0),0), INDEX($V$1004:$AE$1004,1,MATCH(COLUMNS($V$1006:AE1006),$V$1006:$AE$1006,0)))),"Fix")))</f>
        <v>0</v>
      </c>
      <c r="O765">
        <v>0</v>
      </c>
      <c r="P765">
        <v>0</v>
      </c>
      <c r="Q765">
        <v>0</v>
      </c>
      <c r="R765">
        <f>IF(S765,TRUE,AND(V765:AE765))</f>
        <v>0</v>
      </c>
      <c r="S765">
        <f>COUNTBLANK(Metadata!B765:K765)=COLUMNS(Metadata!B765:K765)</f>
        <v>0</v>
      </c>
      <c r="T765">
        <v>0</v>
      </c>
      <c r="V765">
        <f>AND(IF(Metadata!B765="",FALSE,TRUE),COUNTIF(Metadata!B:B, Metadata!B765) = 1,NOT(ISERROR(SUMPRODUCT(SEARCH(MID(Metadata!B765,ROW(INDIRECT("1:"&amp;LEN(Metadata!B765))), 1),"0123456789abcdefghijklmnopqrstuvwxyzABCDEFGHIJKLMNOPQRSTUVWXYZ.")))))</f>
        <v>0</v>
      </c>
      <c r="W765">
        <f>AND(IF(Metadata!C765="",FALSE,TRUE),exact(Metadata!C765,"urban biome"))</f>
        <v>0</v>
      </c>
      <c r="X765">
        <f>AND(IF(Metadata!D765="",FALSE,TRUE),exact(Metadata!D765,"animal-associated habitat"))</f>
        <v>0</v>
      </c>
      <c r="Y765">
        <f>OR(AND(IF(Metadata!E765="",FALSE,TRUE),OR(exact(Metadata!E765,"not applicable"),exact(Metadata!E765,"missing: not collected"),exact(Metadata!E765,"missing: not provided"),exact(Metadata!E765,"missing: restricted access"))),AND(IF(Metadata!E765="",FALSE,ISNUMBER(VALUE(Metadata!E765))),Metadata!E765&gt;0))</f>
        <v>0</v>
      </c>
      <c r="Z765">
        <f>AND(IF(Metadata!F765="",FALSE,TRUE),exact(Metadata!F765,"weeks"))</f>
        <v>0</v>
      </c>
      <c r="AA765">
        <f>AND(IF(Metadata!G765="",FALSE,TRUE),exact(Metadata!G765,"mouse"))</f>
        <v>0</v>
      </c>
      <c r="AB765">
        <f>AND(IF(Metadata!H765="",FALSE,TRUE),exact(Metadata!H765,"Mus musculus"))</f>
        <v>0</v>
      </c>
      <c r="AC765">
        <f>AND(IF(Metadata!I765="",FALSE,TRUE),exact(Metadata!I765,"10090"))</f>
        <v>0</v>
      </c>
      <c r="AD765">
        <f>OR(AND(IF(Metadata!J765="",FALSE,TRUE),OR(exact(Metadata!J765,"not applicable"),exact(Metadata!J765,"missing: not collected"),exact(Metadata!J765,"missing: not provided"),exact(Metadata!J765,"missing: restricted access"))),AND(IF(Metadata!J765="",FALSE,ISNUMBER(VALUE(Metadata!J765))),Metadata!J765&gt;0))</f>
        <v>0</v>
      </c>
      <c r="AE765">
        <f>AND(IF(Metadata!K765="",FALSE,TRUE),exact(Metadata!K765,"g"))</f>
        <v>0</v>
      </c>
    </row>
    <row r="766" spans="1:31">
      <c r="A766" s="5">
        <f>IF(B766=" "," ",HYPERLINK(CONCATENATE("#metadata!",ADDRESS(INDEX($Q$2:$Q$1001,MATCH(ROWS($O$2:O766),$O$2:$O$1001,0),0),1)),INDEX($T$2:$T$1001,MATCH(ROWS($O$2:O766),$O$2:$O$1001,0),0)))</f>
        <v>0</v>
      </c>
      <c r="B766" s="4">
        <f>IF(OR(INDEX($P$2:$P$1001,MATCH(ROWS($O$2:O766),$O$2:$O$1001,0),1)&gt;=100000,INDEX($V$1005:$AE$1005,1,MATCH(COLUMNS($V$1006:V1006),$V$1006:$AE$1006,0))&gt;=100000), " ",IF(INDEX($V$2:$AE$1001,MATCH(ROWS($O$2:O766),$O$2:$O$1001,0),MATCH(COLUMNS($V$1006:V1006),$V$1006:$AE$1006,0)), HYPERLINK("#",""), HYPERLINK(CONCATENATE("#Metadata!", ADDRESS(INDEX($Q$2:$Q$1001,MATCH(ROWS($O$2:O766),$O$2:$O$1001,0),0), INDEX($V$1004:$AE$1004,1,MATCH(COLUMNS($V$1006:V1006),$V$1006:$AE$1006,0)))),"Fix")))</f>
        <v>0</v>
      </c>
      <c r="C766" s="4">
        <f>IF(OR(INDEX($P$2:$P$1001,MATCH(ROWS($O$2:O766),$O$2:$O$1001,0),1)&gt;=100000,INDEX($V$1005:$AE$1005,1,MATCH(COLUMNS($V$1006:W1006),$V$1006:$AE$1006,0))&gt;=100000), " ",IF(INDEX($V$2:$AE$1001,MATCH(ROWS($O$2:O766),$O$2:$O$1001,0),MATCH(COLUMNS($V$1006:W1006),$V$1006:$AE$1006,0)), HYPERLINK("#",""), HYPERLINK(CONCATENATE("#Metadata!", ADDRESS(INDEX($Q$2:$Q$1001,MATCH(ROWS($O$2:O766),$O$2:$O$1001,0),0), INDEX($V$1004:$AE$1004,1,MATCH(COLUMNS($V$1006:W1006),$V$1006:$AE$1006,0)))),"Fix")))</f>
        <v>0</v>
      </c>
      <c r="D766" s="4">
        <f>IF(OR(INDEX($P$2:$P$1001,MATCH(ROWS($O$2:O766),$O$2:$O$1001,0),1)&gt;=100000,INDEX($V$1005:$AE$1005,1,MATCH(COLUMNS($V$1006:X1006),$V$1006:$AE$1006,0))&gt;=100000), " ",IF(INDEX($V$2:$AE$1001,MATCH(ROWS($O$2:O766),$O$2:$O$1001,0),MATCH(COLUMNS($V$1006:X1006),$V$1006:$AE$1006,0)), HYPERLINK("#",""), HYPERLINK(CONCATENATE("#Metadata!", ADDRESS(INDEX($Q$2:$Q$1001,MATCH(ROWS($O$2:O766),$O$2:$O$1001,0),0), INDEX($V$1004:$AE$1004,1,MATCH(COLUMNS($V$1006:X1006),$V$1006:$AE$1006,0)))),"Fix")))</f>
        <v>0</v>
      </c>
      <c r="E766" s="4">
        <f>IF(OR(INDEX($P$2:$P$1001,MATCH(ROWS($O$2:O766),$O$2:$O$1001,0),1)&gt;=100000,INDEX($V$1005:$AE$1005,1,MATCH(COLUMNS($V$1006:Y1006),$V$1006:$AE$1006,0))&gt;=100000), " ",IF(INDEX($V$2:$AE$1001,MATCH(ROWS($O$2:O766),$O$2:$O$1001,0),MATCH(COLUMNS($V$1006:Y1006),$V$1006:$AE$1006,0)), HYPERLINK("#",""), HYPERLINK(CONCATENATE("#Metadata!", ADDRESS(INDEX($Q$2:$Q$1001,MATCH(ROWS($O$2:O766),$O$2:$O$1001,0),0), INDEX($V$1004:$AE$1004,1,MATCH(COLUMNS($V$1006:Y1006),$V$1006:$AE$1006,0)))),"Fix")))</f>
        <v>0</v>
      </c>
      <c r="F766" s="4">
        <f>IF(OR(INDEX($P$2:$P$1001,MATCH(ROWS($O$2:O766),$O$2:$O$1001,0),1)&gt;=100000,INDEX($V$1005:$AE$1005,1,MATCH(COLUMNS($V$1006:Z1006),$V$1006:$AE$1006,0))&gt;=100000), " ",IF(INDEX($V$2:$AE$1001,MATCH(ROWS($O$2:O766),$O$2:$O$1001,0),MATCH(COLUMNS($V$1006:Z1006),$V$1006:$AE$1006,0)), HYPERLINK("#",""), HYPERLINK(CONCATENATE("#Metadata!", ADDRESS(INDEX($Q$2:$Q$1001,MATCH(ROWS($O$2:O766),$O$2:$O$1001,0),0), INDEX($V$1004:$AE$1004,1,MATCH(COLUMNS($V$1006:Z1006),$V$1006:$AE$1006,0)))),"Fix")))</f>
        <v>0</v>
      </c>
      <c r="G766" s="4">
        <f>IF(OR(INDEX($P$2:$P$1001,MATCH(ROWS($O$2:O766),$O$2:$O$1001,0),1)&gt;=100000,INDEX($V$1005:$AE$1005,1,MATCH(COLUMNS($V$1006:AA1006),$V$1006:$AE$1006,0))&gt;=100000), " ",IF(INDEX($V$2:$AE$1001,MATCH(ROWS($O$2:O766),$O$2:$O$1001,0),MATCH(COLUMNS($V$1006:AA1006),$V$1006:$AE$1006,0)), HYPERLINK("#",""), HYPERLINK(CONCATENATE("#Metadata!", ADDRESS(INDEX($Q$2:$Q$1001,MATCH(ROWS($O$2:O766),$O$2:$O$1001,0),0), INDEX($V$1004:$AE$1004,1,MATCH(COLUMNS($V$1006:AA1006),$V$1006:$AE$1006,0)))),"Fix")))</f>
        <v>0</v>
      </c>
      <c r="H766" s="4">
        <f>IF(OR(INDEX($P$2:$P$1001,MATCH(ROWS($O$2:O766),$O$2:$O$1001,0),1)&gt;=100000,INDEX($V$1005:$AE$1005,1,MATCH(COLUMNS($V$1006:AB1006),$V$1006:$AE$1006,0))&gt;=100000), " ",IF(INDEX($V$2:$AE$1001,MATCH(ROWS($O$2:O766),$O$2:$O$1001,0),MATCH(COLUMNS($V$1006:AB1006),$V$1006:$AE$1006,0)), HYPERLINK("#",""), HYPERLINK(CONCATENATE("#Metadata!", ADDRESS(INDEX($Q$2:$Q$1001,MATCH(ROWS($O$2:O766),$O$2:$O$1001,0),0), INDEX($V$1004:$AE$1004,1,MATCH(COLUMNS($V$1006:AB1006),$V$1006:$AE$1006,0)))),"Fix")))</f>
        <v>0</v>
      </c>
      <c r="I766" s="4">
        <f>IF(OR(INDEX($P$2:$P$1001,MATCH(ROWS($O$2:O766),$O$2:$O$1001,0),1)&gt;=100000,INDEX($V$1005:$AE$1005,1,MATCH(COLUMNS($V$1006:AC1006),$V$1006:$AE$1006,0))&gt;=100000), " ",IF(INDEX($V$2:$AE$1001,MATCH(ROWS($O$2:O766),$O$2:$O$1001,0),MATCH(COLUMNS($V$1006:AC1006),$V$1006:$AE$1006,0)), HYPERLINK("#",""), HYPERLINK(CONCATENATE("#Metadata!", ADDRESS(INDEX($Q$2:$Q$1001,MATCH(ROWS($O$2:O766),$O$2:$O$1001,0),0), INDEX($V$1004:$AE$1004,1,MATCH(COLUMNS($V$1006:AC1006),$V$1006:$AE$1006,0)))),"Fix")))</f>
        <v>0</v>
      </c>
      <c r="J766" s="4">
        <f>IF(OR(INDEX($P$2:$P$1001,MATCH(ROWS($O$2:O766),$O$2:$O$1001,0),1)&gt;=100000,INDEX($V$1005:$AE$1005,1,MATCH(COLUMNS($V$1006:AD1006),$V$1006:$AE$1006,0))&gt;=100000), " ",IF(INDEX($V$2:$AE$1001,MATCH(ROWS($O$2:O766),$O$2:$O$1001,0),MATCH(COLUMNS($V$1006:AD1006),$V$1006:$AE$1006,0)), HYPERLINK("#",""), HYPERLINK(CONCATENATE("#Metadata!", ADDRESS(INDEX($Q$2:$Q$1001,MATCH(ROWS($O$2:O766),$O$2:$O$1001,0),0), INDEX($V$1004:$AE$1004,1,MATCH(COLUMNS($V$1006:AD1006),$V$1006:$AE$1006,0)))),"Fix")))</f>
        <v>0</v>
      </c>
      <c r="K766" s="4">
        <f>IF(OR(INDEX($P$2:$P$1001,MATCH(ROWS($O$2:O766),$O$2:$O$1001,0),1)&gt;=100000,INDEX($V$1005:$AE$1005,1,MATCH(COLUMNS($V$1006:AE1006),$V$1006:$AE$1006,0))&gt;=100000), " ",IF(INDEX($V$2:$AE$1001,MATCH(ROWS($O$2:O766),$O$2:$O$1001,0),MATCH(COLUMNS($V$1006:AE1006),$V$1006:$AE$1006,0)), HYPERLINK("#",""), HYPERLINK(CONCATENATE("#Metadata!", ADDRESS(INDEX($Q$2:$Q$1001,MATCH(ROWS($O$2:O766),$O$2:$O$1001,0),0), INDEX($V$1004:$AE$1004,1,MATCH(COLUMNS($V$1006:AE1006),$V$1006:$AE$1006,0)))),"Fix")))</f>
        <v>0</v>
      </c>
      <c r="O766">
        <v>0</v>
      </c>
      <c r="P766">
        <v>0</v>
      </c>
      <c r="Q766">
        <v>0</v>
      </c>
      <c r="R766">
        <f>IF(S766,TRUE,AND(V766:AE766))</f>
        <v>0</v>
      </c>
      <c r="S766">
        <f>COUNTBLANK(Metadata!B766:K766)=COLUMNS(Metadata!B766:K766)</f>
        <v>0</v>
      </c>
      <c r="T766">
        <v>0</v>
      </c>
      <c r="V766">
        <f>AND(IF(Metadata!B766="",FALSE,TRUE),COUNTIF(Metadata!B:B, Metadata!B766) = 1,NOT(ISERROR(SUMPRODUCT(SEARCH(MID(Metadata!B766,ROW(INDIRECT("1:"&amp;LEN(Metadata!B766))), 1),"0123456789abcdefghijklmnopqrstuvwxyzABCDEFGHIJKLMNOPQRSTUVWXYZ.")))))</f>
        <v>0</v>
      </c>
      <c r="W766">
        <f>AND(IF(Metadata!C766="",FALSE,TRUE),exact(Metadata!C766,"urban biome"))</f>
        <v>0</v>
      </c>
      <c r="X766">
        <f>AND(IF(Metadata!D766="",FALSE,TRUE),exact(Metadata!D766,"animal-associated habitat"))</f>
        <v>0</v>
      </c>
      <c r="Y766">
        <f>OR(AND(IF(Metadata!E766="",FALSE,TRUE),OR(exact(Metadata!E766,"not applicable"),exact(Metadata!E766,"missing: not collected"),exact(Metadata!E766,"missing: not provided"),exact(Metadata!E766,"missing: restricted access"))),AND(IF(Metadata!E766="",FALSE,ISNUMBER(VALUE(Metadata!E766))),Metadata!E766&gt;0))</f>
        <v>0</v>
      </c>
      <c r="Z766">
        <f>AND(IF(Metadata!F766="",FALSE,TRUE),exact(Metadata!F766,"weeks"))</f>
        <v>0</v>
      </c>
      <c r="AA766">
        <f>AND(IF(Metadata!G766="",FALSE,TRUE),exact(Metadata!G766,"mouse"))</f>
        <v>0</v>
      </c>
      <c r="AB766">
        <f>AND(IF(Metadata!H766="",FALSE,TRUE),exact(Metadata!H766,"Mus musculus"))</f>
        <v>0</v>
      </c>
      <c r="AC766">
        <f>AND(IF(Metadata!I766="",FALSE,TRUE),exact(Metadata!I766,"10090"))</f>
        <v>0</v>
      </c>
      <c r="AD766">
        <f>OR(AND(IF(Metadata!J766="",FALSE,TRUE),OR(exact(Metadata!J766,"not applicable"),exact(Metadata!J766,"missing: not collected"),exact(Metadata!J766,"missing: not provided"),exact(Metadata!J766,"missing: restricted access"))),AND(IF(Metadata!J766="",FALSE,ISNUMBER(VALUE(Metadata!J766))),Metadata!J766&gt;0))</f>
        <v>0</v>
      </c>
      <c r="AE766">
        <f>AND(IF(Metadata!K766="",FALSE,TRUE),exact(Metadata!K766,"g"))</f>
        <v>0</v>
      </c>
    </row>
    <row r="767" spans="1:31">
      <c r="A767" s="5">
        <f>IF(B767=" "," ",HYPERLINK(CONCATENATE("#metadata!",ADDRESS(INDEX($Q$2:$Q$1001,MATCH(ROWS($O$2:O767),$O$2:$O$1001,0),0),1)),INDEX($T$2:$T$1001,MATCH(ROWS($O$2:O767),$O$2:$O$1001,0),0)))</f>
        <v>0</v>
      </c>
      <c r="B767" s="4">
        <f>IF(OR(INDEX($P$2:$P$1001,MATCH(ROWS($O$2:O767),$O$2:$O$1001,0),1)&gt;=100000,INDEX($V$1005:$AE$1005,1,MATCH(COLUMNS($V$1006:V1006),$V$1006:$AE$1006,0))&gt;=100000), " ",IF(INDEX($V$2:$AE$1001,MATCH(ROWS($O$2:O767),$O$2:$O$1001,0),MATCH(COLUMNS($V$1006:V1006),$V$1006:$AE$1006,0)), HYPERLINK("#",""), HYPERLINK(CONCATENATE("#Metadata!", ADDRESS(INDEX($Q$2:$Q$1001,MATCH(ROWS($O$2:O767),$O$2:$O$1001,0),0), INDEX($V$1004:$AE$1004,1,MATCH(COLUMNS($V$1006:V1006),$V$1006:$AE$1006,0)))),"Fix")))</f>
        <v>0</v>
      </c>
      <c r="C767" s="4">
        <f>IF(OR(INDEX($P$2:$P$1001,MATCH(ROWS($O$2:O767),$O$2:$O$1001,0),1)&gt;=100000,INDEX($V$1005:$AE$1005,1,MATCH(COLUMNS($V$1006:W1006),$V$1006:$AE$1006,0))&gt;=100000), " ",IF(INDEX($V$2:$AE$1001,MATCH(ROWS($O$2:O767),$O$2:$O$1001,0),MATCH(COLUMNS($V$1006:W1006),$V$1006:$AE$1006,0)), HYPERLINK("#",""), HYPERLINK(CONCATENATE("#Metadata!", ADDRESS(INDEX($Q$2:$Q$1001,MATCH(ROWS($O$2:O767),$O$2:$O$1001,0),0), INDEX($V$1004:$AE$1004,1,MATCH(COLUMNS($V$1006:W1006),$V$1006:$AE$1006,0)))),"Fix")))</f>
        <v>0</v>
      </c>
      <c r="D767" s="4">
        <f>IF(OR(INDEX($P$2:$P$1001,MATCH(ROWS($O$2:O767),$O$2:$O$1001,0),1)&gt;=100000,INDEX($V$1005:$AE$1005,1,MATCH(COLUMNS($V$1006:X1006),$V$1006:$AE$1006,0))&gt;=100000), " ",IF(INDEX($V$2:$AE$1001,MATCH(ROWS($O$2:O767),$O$2:$O$1001,0),MATCH(COLUMNS($V$1006:X1006),$V$1006:$AE$1006,0)), HYPERLINK("#",""), HYPERLINK(CONCATENATE("#Metadata!", ADDRESS(INDEX($Q$2:$Q$1001,MATCH(ROWS($O$2:O767),$O$2:$O$1001,0),0), INDEX($V$1004:$AE$1004,1,MATCH(COLUMNS($V$1006:X1006),$V$1006:$AE$1006,0)))),"Fix")))</f>
        <v>0</v>
      </c>
      <c r="E767" s="4">
        <f>IF(OR(INDEX($P$2:$P$1001,MATCH(ROWS($O$2:O767),$O$2:$O$1001,0),1)&gt;=100000,INDEX($V$1005:$AE$1005,1,MATCH(COLUMNS($V$1006:Y1006),$V$1006:$AE$1006,0))&gt;=100000), " ",IF(INDEX($V$2:$AE$1001,MATCH(ROWS($O$2:O767),$O$2:$O$1001,0),MATCH(COLUMNS($V$1006:Y1006),$V$1006:$AE$1006,0)), HYPERLINK("#",""), HYPERLINK(CONCATENATE("#Metadata!", ADDRESS(INDEX($Q$2:$Q$1001,MATCH(ROWS($O$2:O767),$O$2:$O$1001,0),0), INDEX($V$1004:$AE$1004,1,MATCH(COLUMNS($V$1006:Y1006),$V$1006:$AE$1006,0)))),"Fix")))</f>
        <v>0</v>
      </c>
      <c r="F767" s="4">
        <f>IF(OR(INDEX($P$2:$P$1001,MATCH(ROWS($O$2:O767),$O$2:$O$1001,0),1)&gt;=100000,INDEX($V$1005:$AE$1005,1,MATCH(COLUMNS($V$1006:Z1006),$V$1006:$AE$1006,0))&gt;=100000), " ",IF(INDEX($V$2:$AE$1001,MATCH(ROWS($O$2:O767),$O$2:$O$1001,0),MATCH(COLUMNS($V$1006:Z1006),$V$1006:$AE$1006,0)), HYPERLINK("#",""), HYPERLINK(CONCATENATE("#Metadata!", ADDRESS(INDEX($Q$2:$Q$1001,MATCH(ROWS($O$2:O767),$O$2:$O$1001,0),0), INDEX($V$1004:$AE$1004,1,MATCH(COLUMNS($V$1006:Z1006),$V$1006:$AE$1006,0)))),"Fix")))</f>
        <v>0</v>
      </c>
      <c r="G767" s="4">
        <f>IF(OR(INDEX($P$2:$P$1001,MATCH(ROWS($O$2:O767),$O$2:$O$1001,0),1)&gt;=100000,INDEX($V$1005:$AE$1005,1,MATCH(COLUMNS($V$1006:AA1006),$V$1006:$AE$1006,0))&gt;=100000), " ",IF(INDEX($V$2:$AE$1001,MATCH(ROWS($O$2:O767),$O$2:$O$1001,0),MATCH(COLUMNS($V$1006:AA1006),$V$1006:$AE$1006,0)), HYPERLINK("#",""), HYPERLINK(CONCATENATE("#Metadata!", ADDRESS(INDEX($Q$2:$Q$1001,MATCH(ROWS($O$2:O767),$O$2:$O$1001,0),0), INDEX($V$1004:$AE$1004,1,MATCH(COLUMNS($V$1006:AA1006),$V$1006:$AE$1006,0)))),"Fix")))</f>
        <v>0</v>
      </c>
      <c r="H767" s="4">
        <f>IF(OR(INDEX($P$2:$P$1001,MATCH(ROWS($O$2:O767),$O$2:$O$1001,0),1)&gt;=100000,INDEX($V$1005:$AE$1005,1,MATCH(COLUMNS($V$1006:AB1006),$V$1006:$AE$1006,0))&gt;=100000), " ",IF(INDEX($V$2:$AE$1001,MATCH(ROWS($O$2:O767),$O$2:$O$1001,0),MATCH(COLUMNS($V$1006:AB1006),$V$1006:$AE$1006,0)), HYPERLINK("#",""), HYPERLINK(CONCATENATE("#Metadata!", ADDRESS(INDEX($Q$2:$Q$1001,MATCH(ROWS($O$2:O767),$O$2:$O$1001,0),0), INDEX($V$1004:$AE$1004,1,MATCH(COLUMNS($V$1006:AB1006),$V$1006:$AE$1006,0)))),"Fix")))</f>
        <v>0</v>
      </c>
      <c r="I767" s="4">
        <f>IF(OR(INDEX($P$2:$P$1001,MATCH(ROWS($O$2:O767),$O$2:$O$1001,0),1)&gt;=100000,INDEX($V$1005:$AE$1005,1,MATCH(COLUMNS($V$1006:AC1006),$V$1006:$AE$1006,0))&gt;=100000), " ",IF(INDEX($V$2:$AE$1001,MATCH(ROWS($O$2:O767),$O$2:$O$1001,0),MATCH(COLUMNS($V$1006:AC1006),$V$1006:$AE$1006,0)), HYPERLINK("#",""), HYPERLINK(CONCATENATE("#Metadata!", ADDRESS(INDEX($Q$2:$Q$1001,MATCH(ROWS($O$2:O767),$O$2:$O$1001,0),0), INDEX($V$1004:$AE$1004,1,MATCH(COLUMNS($V$1006:AC1006),$V$1006:$AE$1006,0)))),"Fix")))</f>
        <v>0</v>
      </c>
      <c r="J767" s="4">
        <f>IF(OR(INDEX($P$2:$P$1001,MATCH(ROWS($O$2:O767),$O$2:$O$1001,0),1)&gt;=100000,INDEX($V$1005:$AE$1005,1,MATCH(COLUMNS($V$1006:AD1006),$V$1006:$AE$1006,0))&gt;=100000), " ",IF(INDEX($V$2:$AE$1001,MATCH(ROWS($O$2:O767),$O$2:$O$1001,0),MATCH(COLUMNS($V$1006:AD1006),$V$1006:$AE$1006,0)), HYPERLINK("#",""), HYPERLINK(CONCATENATE("#Metadata!", ADDRESS(INDEX($Q$2:$Q$1001,MATCH(ROWS($O$2:O767),$O$2:$O$1001,0),0), INDEX($V$1004:$AE$1004,1,MATCH(COLUMNS($V$1006:AD1006),$V$1006:$AE$1006,0)))),"Fix")))</f>
        <v>0</v>
      </c>
      <c r="K767" s="4">
        <f>IF(OR(INDEX($P$2:$P$1001,MATCH(ROWS($O$2:O767),$O$2:$O$1001,0),1)&gt;=100000,INDEX($V$1005:$AE$1005,1,MATCH(COLUMNS($V$1006:AE1006),$V$1006:$AE$1006,0))&gt;=100000), " ",IF(INDEX($V$2:$AE$1001,MATCH(ROWS($O$2:O767),$O$2:$O$1001,0),MATCH(COLUMNS($V$1006:AE1006),$V$1006:$AE$1006,0)), HYPERLINK("#",""), HYPERLINK(CONCATENATE("#Metadata!", ADDRESS(INDEX($Q$2:$Q$1001,MATCH(ROWS($O$2:O767),$O$2:$O$1001,0),0), INDEX($V$1004:$AE$1004,1,MATCH(COLUMNS($V$1006:AE1006),$V$1006:$AE$1006,0)))),"Fix")))</f>
        <v>0</v>
      </c>
      <c r="O767">
        <v>0</v>
      </c>
      <c r="P767">
        <v>0</v>
      </c>
      <c r="Q767">
        <v>0</v>
      </c>
      <c r="R767">
        <f>IF(S767,TRUE,AND(V767:AE767))</f>
        <v>0</v>
      </c>
      <c r="S767">
        <f>COUNTBLANK(Metadata!B767:K767)=COLUMNS(Metadata!B767:K767)</f>
        <v>0</v>
      </c>
      <c r="T767">
        <v>0</v>
      </c>
      <c r="V767">
        <f>AND(IF(Metadata!B767="",FALSE,TRUE),COUNTIF(Metadata!B:B, Metadata!B767) = 1,NOT(ISERROR(SUMPRODUCT(SEARCH(MID(Metadata!B767,ROW(INDIRECT("1:"&amp;LEN(Metadata!B767))), 1),"0123456789abcdefghijklmnopqrstuvwxyzABCDEFGHIJKLMNOPQRSTUVWXYZ.")))))</f>
        <v>0</v>
      </c>
      <c r="W767">
        <f>AND(IF(Metadata!C767="",FALSE,TRUE),exact(Metadata!C767,"urban biome"))</f>
        <v>0</v>
      </c>
      <c r="X767">
        <f>AND(IF(Metadata!D767="",FALSE,TRUE),exact(Metadata!D767,"animal-associated habitat"))</f>
        <v>0</v>
      </c>
      <c r="Y767">
        <f>OR(AND(IF(Metadata!E767="",FALSE,TRUE),OR(exact(Metadata!E767,"not applicable"),exact(Metadata!E767,"missing: not collected"),exact(Metadata!E767,"missing: not provided"),exact(Metadata!E767,"missing: restricted access"))),AND(IF(Metadata!E767="",FALSE,ISNUMBER(VALUE(Metadata!E767))),Metadata!E767&gt;0))</f>
        <v>0</v>
      </c>
      <c r="Z767">
        <f>AND(IF(Metadata!F767="",FALSE,TRUE),exact(Metadata!F767,"weeks"))</f>
        <v>0</v>
      </c>
      <c r="AA767">
        <f>AND(IF(Metadata!G767="",FALSE,TRUE),exact(Metadata!G767,"mouse"))</f>
        <v>0</v>
      </c>
      <c r="AB767">
        <f>AND(IF(Metadata!H767="",FALSE,TRUE),exact(Metadata!H767,"Mus musculus"))</f>
        <v>0</v>
      </c>
      <c r="AC767">
        <f>AND(IF(Metadata!I767="",FALSE,TRUE),exact(Metadata!I767,"10090"))</f>
        <v>0</v>
      </c>
      <c r="AD767">
        <f>OR(AND(IF(Metadata!J767="",FALSE,TRUE),OR(exact(Metadata!J767,"not applicable"),exact(Metadata!J767,"missing: not collected"),exact(Metadata!J767,"missing: not provided"),exact(Metadata!J767,"missing: restricted access"))),AND(IF(Metadata!J767="",FALSE,ISNUMBER(VALUE(Metadata!J767))),Metadata!J767&gt;0))</f>
        <v>0</v>
      </c>
      <c r="AE767">
        <f>AND(IF(Metadata!K767="",FALSE,TRUE),exact(Metadata!K767,"g"))</f>
        <v>0</v>
      </c>
    </row>
    <row r="768" spans="1:31">
      <c r="A768" s="5">
        <f>IF(B768=" "," ",HYPERLINK(CONCATENATE("#metadata!",ADDRESS(INDEX($Q$2:$Q$1001,MATCH(ROWS($O$2:O768),$O$2:$O$1001,0),0),1)),INDEX($T$2:$T$1001,MATCH(ROWS($O$2:O768),$O$2:$O$1001,0),0)))</f>
        <v>0</v>
      </c>
      <c r="B768" s="4">
        <f>IF(OR(INDEX($P$2:$P$1001,MATCH(ROWS($O$2:O768),$O$2:$O$1001,0),1)&gt;=100000,INDEX($V$1005:$AE$1005,1,MATCH(COLUMNS($V$1006:V1006),$V$1006:$AE$1006,0))&gt;=100000), " ",IF(INDEX($V$2:$AE$1001,MATCH(ROWS($O$2:O768),$O$2:$O$1001,0),MATCH(COLUMNS($V$1006:V1006),$V$1006:$AE$1006,0)), HYPERLINK("#",""), HYPERLINK(CONCATENATE("#Metadata!", ADDRESS(INDEX($Q$2:$Q$1001,MATCH(ROWS($O$2:O768),$O$2:$O$1001,0),0), INDEX($V$1004:$AE$1004,1,MATCH(COLUMNS($V$1006:V1006),$V$1006:$AE$1006,0)))),"Fix")))</f>
        <v>0</v>
      </c>
      <c r="C768" s="4">
        <f>IF(OR(INDEX($P$2:$P$1001,MATCH(ROWS($O$2:O768),$O$2:$O$1001,0),1)&gt;=100000,INDEX($V$1005:$AE$1005,1,MATCH(COLUMNS($V$1006:W1006),$V$1006:$AE$1006,0))&gt;=100000), " ",IF(INDEX($V$2:$AE$1001,MATCH(ROWS($O$2:O768),$O$2:$O$1001,0),MATCH(COLUMNS($V$1006:W1006),$V$1006:$AE$1006,0)), HYPERLINK("#",""), HYPERLINK(CONCATENATE("#Metadata!", ADDRESS(INDEX($Q$2:$Q$1001,MATCH(ROWS($O$2:O768),$O$2:$O$1001,0),0), INDEX($V$1004:$AE$1004,1,MATCH(COLUMNS($V$1006:W1006),$V$1006:$AE$1006,0)))),"Fix")))</f>
        <v>0</v>
      </c>
      <c r="D768" s="4">
        <f>IF(OR(INDEX($P$2:$P$1001,MATCH(ROWS($O$2:O768),$O$2:$O$1001,0),1)&gt;=100000,INDEX($V$1005:$AE$1005,1,MATCH(COLUMNS($V$1006:X1006),$V$1006:$AE$1006,0))&gt;=100000), " ",IF(INDEX($V$2:$AE$1001,MATCH(ROWS($O$2:O768),$O$2:$O$1001,0),MATCH(COLUMNS($V$1006:X1006),$V$1006:$AE$1006,0)), HYPERLINK("#",""), HYPERLINK(CONCATENATE("#Metadata!", ADDRESS(INDEX($Q$2:$Q$1001,MATCH(ROWS($O$2:O768),$O$2:$O$1001,0),0), INDEX($V$1004:$AE$1004,1,MATCH(COLUMNS($V$1006:X1006),$V$1006:$AE$1006,0)))),"Fix")))</f>
        <v>0</v>
      </c>
      <c r="E768" s="4">
        <f>IF(OR(INDEX($P$2:$P$1001,MATCH(ROWS($O$2:O768),$O$2:$O$1001,0),1)&gt;=100000,INDEX($V$1005:$AE$1005,1,MATCH(COLUMNS($V$1006:Y1006),$V$1006:$AE$1006,0))&gt;=100000), " ",IF(INDEX($V$2:$AE$1001,MATCH(ROWS($O$2:O768),$O$2:$O$1001,0),MATCH(COLUMNS($V$1006:Y1006),$V$1006:$AE$1006,0)), HYPERLINK("#",""), HYPERLINK(CONCATENATE("#Metadata!", ADDRESS(INDEX($Q$2:$Q$1001,MATCH(ROWS($O$2:O768),$O$2:$O$1001,0),0), INDEX($V$1004:$AE$1004,1,MATCH(COLUMNS($V$1006:Y1006),$V$1006:$AE$1006,0)))),"Fix")))</f>
        <v>0</v>
      </c>
      <c r="F768" s="4">
        <f>IF(OR(INDEX($P$2:$P$1001,MATCH(ROWS($O$2:O768),$O$2:$O$1001,0),1)&gt;=100000,INDEX($V$1005:$AE$1005,1,MATCH(COLUMNS($V$1006:Z1006),$V$1006:$AE$1006,0))&gt;=100000), " ",IF(INDEX($V$2:$AE$1001,MATCH(ROWS($O$2:O768),$O$2:$O$1001,0),MATCH(COLUMNS($V$1006:Z1006),$V$1006:$AE$1006,0)), HYPERLINK("#",""), HYPERLINK(CONCATENATE("#Metadata!", ADDRESS(INDEX($Q$2:$Q$1001,MATCH(ROWS($O$2:O768),$O$2:$O$1001,0),0), INDEX($V$1004:$AE$1004,1,MATCH(COLUMNS($V$1006:Z1006),$V$1006:$AE$1006,0)))),"Fix")))</f>
        <v>0</v>
      </c>
      <c r="G768" s="4">
        <f>IF(OR(INDEX($P$2:$P$1001,MATCH(ROWS($O$2:O768),$O$2:$O$1001,0),1)&gt;=100000,INDEX($V$1005:$AE$1005,1,MATCH(COLUMNS($V$1006:AA1006),$V$1006:$AE$1006,0))&gt;=100000), " ",IF(INDEX($V$2:$AE$1001,MATCH(ROWS($O$2:O768),$O$2:$O$1001,0),MATCH(COLUMNS($V$1006:AA1006),$V$1006:$AE$1006,0)), HYPERLINK("#",""), HYPERLINK(CONCATENATE("#Metadata!", ADDRESS(INDEX($Q$2:$Q$1001,MATCH(ROWS($O$2:O768),$O$2:$O$1001,0),0), INDEX($V$1004:$AE$1004,1,MATCH(COLUMNS($V$1006:AA1006),$V$1006:$AE$1006,0)))),"Fix")))</f>
        <v>0</v>
      </c>
      <c r="H768" s="4">
        <f>IF(OR(INDEX($P$2:$P$1001,MATCH(ROWS($O$2:O768),$O$2:$O$1001,0),1)&gt;=100000,INDEX($V$1005:$AE$1005,1,MATCH(COLUMNS($V$1006:AB1006),$V$1006:$AE$1006,0))&gt;=100000), " ",IF(INDEX($V$2:$AE$1001,MATCH(ROWS($O$2:O768),$O$2:$O$1001,0),MATCH(COLUMNS($V$1006:AB1006),$V$1006:$AE$1006,0)), HYPERLINK("#",""), HYPERLINK(CONCATENATE("#Metadata!", ADDRESS(INDEX($Q$2:$Q$1001,MATCH(ROWS($O$2:O768),$O$2:$O$1001,0),0), INDEX($V$1004:$AE$1004,1,MATCH(COLUMNS($V$1006:AB1006),$V$1006:$AE$1006,0)))),"Fix")))</f>
        <v>0</v>
      </c>
      <c r="I768" s="4">
        <f>IF(OR(INDEX($P$2:$P$1001,MATCH(ROWS($O$2:O768),$O$2:$O$1001,0),1)&gt;=100000,INDEX($V$1005:$AE$1005,1,MATCH(COLUMNS($V$1006:AC1006),$V$1006:$AE$1006,0))&gt;=100000), " ",IF(INDEX($V$2:$AE$1001,MATCH(ROWS($O$2:O768),$O$2:$O$1001,0),MATCH(COLUMNS($V$1006:AC1006),$V$1006:$AE$1006,0)), HYPERLINK("#",""), HYPERLINK(CONCATENATE("#Metadata!", ADDRESS(INDEX($Q$2:$Q$1001,MATCH(ROWS($O$2:O768),$O$2:$O$1001,0),0), INDEX($V$1004:$AE$1004,1,MATCH(COLUMNS($V$1006:AC1006),$V$1006:$AE$1006,0)))),"Fix")))</f>
        <v>0</v>
      </c>
      <c r="J768" s="4">
        <f>IF(OR(INDEX($P$2:$P$1001,MATCH(ROWS($O$2:O768),$O$2:$O$1001,0),1)&gt;=100000,INDEX($V$1005:$AE$1005,1,MATCH(COLUMNS($V$1006:AD1006),$V$1006:$AE$1006,0))&gt;=100000), " ",IF(INDEX($V$2:$AE$1001,MATCH(ROWS($O$2:O768),$O$2:$O$1001,0),MATCH(COLUMNS($V$1006:AD1006),$V$1006:$AE$1006,0)), HYPERLINK("#",""), HYPERLINK(CONCATENATE("#Metadata!", ADDRESS(INDEX($Q$2:$Q$1001,MATCH(ROWS($O$2:O768),$O$2:$O$1001,0),0), INDEX($V$1004:$AE$1004,1,MATCH(COLUMNS($V$1006:AD1006),$V$1006:$AE$1006,0)))),"Fix")))</f>
        <v>0</v>
      </c>
      <c r="K768" s="4">
        <f>IF(OR(INDEX($P$2:$P$1001,MATCH(ROWS($O$2:O768),$O$2:$O$1001,0),1)&gt;=100000,INDEX($V$1005:$AE$1005,1,MATCH(COLUMNS($V$1006:AE1006),$V$1006:$AE$1006,0))&gt;=100000), " ",IF(INDEX($V$2:$AE$1001,MATCH(ROWS($O$2:O768),$O$2:$O$1001,0),MATCH(COLUMNS($V$1006:AE1006),$V$1006:$AE$1006,0)), HYPERLINK("#",""), HYPERLINK(CONCATENATE("#Metadata!", ADDRESS(INDEX($Q$2:$Q$1001,MATCH(ROWS($O$2:O768),$O$2:$O$1001,0),0), INDEX($V$1004:$AE$1004,1,MATCH(COLUMNS($V$1006:AE1006),$V$1006:$AE$1006,0)))),"Fix")))</f>
        <v>0</v>
      </c>
      <c r="O768">
        <v>0</v>
      </c>
      <c r="P768">
        <v>0</v>
      </c>
      <c r="Q768">
        <v>0</v>
      </c>
      <c r="R768">
        <f>IF(S768,TRUE,AND(V768:AE768))</f>
        <v>0</v>
      </c>
      <c r="S768">
        <f>COUNTBLANK(Metadata!B768:K768)=COLUMNS(Metadata!B768:K768)</f>
        <v>0</v>
      </c>
      <c r="T768">
        <v>0</v>
      </c>
      <c r="V768">
        <f>AND(IF(Metadata!B768="",FALSE,TRUE),COUNTIF(Metadata!B:B, Metadata!B768) = 1,NOT(ISERROR(SUMPRODUCT(SEARCH(MID(Metadata!B768,ROW(INDIRECT("1:"&amp;LEN(Metadata!B768))), 1),"0123456789abcdefghijklmnopqrstuvwxyzABCDEFGHIJKLMNOPQRSTUVWXYZ.")))))</f>
        <v>0</v>
      </c>
      <c r="W768">
        <f>AND(IF(Metadata!C768="",FALSE,TRUE),exact(Metadata!C768,"urban biome"))</f>
        <v>0</v>
      </c>
      <c r="X768">
        <f>AND(IF(Metadata!D768="",FALSE,TRUE),exact(Metadata!D768,"animal-associated habitat"))</f>
        <v>0</v>
      </c>
      <c r="Y768">
        <f>OR(AND(IF(Metadata!E768="",FALSE,TRUE),OR(exact(Metadata!E768,"not applicable"),exact(Metadata!E768,"missing: not collected"),exact(Metadata!E768,"missing: not provided"),exact(Metadata!E768,"missing: restricted access"))),AND(IF(Metadata!E768="",FALSE,ISNUMBER(VALUE(Metadata!E768))),Metadata!E768&gt;0))</f>
        <v>0</v>
      </c>
      <c r="Z768">
        <f>AND(IF(Metadata!F768="",FALSE,TRUE),exact(Metadata!F768,"weeks"))</f>
        <v>0</v>
      </c>
      <c r="AA768">
        <f>AND(IF(Metadata!G768="",FALSE,TRUE),exact(Metadata!G768,"mouse"))</f>
        <v>0</v>
      </c>
      <c r="AB768">
        <f>AND(IF(Metadata!H768="",FALSE,TRUE),exact(Metadata!H768,"Mus musculus"))</f>
        <v>0</v>
      </c>
      <c r="AC768">
        <f>AND(IF(Metadata!I768="",FALSE,TRUE),exact(Metadata!I768,"10090"))</f>
        <v>0</v>
      </c>
      <c r="AD768">
        <f>OR(AND(IF(Metadata!J768="",FALSE,TRUE),OR(exact(Metadata!J768,"not applicable"),exact(Metadata!J768,"missing: not collected"),exact(Metadata!J768,"missing: not provided"),exact(Metadata!J768,"missing: restricted access"))),AND(IF(Metadata!J768="",FALSE,ISNUMBER(VALUE(Metadata!J768))),Metadata!J768&gt;0))</f>
        <v>0</v>
      </c>
      <c r="AE768">
        <f>AND(IF(Metadata!K768="",FALSE,TRUE),exact(Metadata!K768,"g"))</f>
        <v>0</v>
      </c>
    </row>
    <row r="769" spans="1:31">
      <c r="A769" s="5">
        <f>IF(B769=" "," ",HYPERLINK(CONCATENATE("#metadata!",ADDRESS(INDEX($Q$2:$Q$1001,MATCH(ROWS($O$2:O769),$O$2:$O$1001,0),0),1)),INDEX($T$2:$T$1001,MATCH(ROWS($O$2:O769),$O$2:$O$1001,0),0)))</f>
        <v>0</v>
      </c>
      <c r="B769" s="4">
        <f>IF(OR(INDEX($P$2:$P$1001,MATCH(ROWS($O$2:O769),$O$2:$O$1001,0),1)&gt;=100000,INDEX($V$1005:$AE$1005,1,MATCH(COLUMNS($V$1006:V1006),$V$1006:$AE$1006,0))&gt;=100000), " ",IF(INDEX($V$2:$AE$1001,MATCH(ROWS($O$2:O769),$O$2:$O$1001,0),MATCH(COLUMNS($V$1006:V1006),$V$1006:$AE$1006,0)), HYPERLINK("#",""), HYPERLINK(CONCATENATE("#Metadata!", ADDRESS(INDEX($Q$2:$Q$1001,MATCH(ROWS($O$2:O769),$O$2:$O$1001,0),0), INDEX($V$1004:$AE$1004,1,MATCH(COLUMNS($V$1006:V1006),$V$1006:$AE$1006,0)))),"Fix")))</f>
        <v>0</v>
      </c>
      <c r="C769" s="4">
        <f>IF(OR(INDEX($P$2:$P$1001,MATCH(ROWS($O$2:O769),$O$2:$O$1001,0),1)&gt;=100000,INDEX($V$1005:$AE$1005,1,MATCH(COLUMNS($V$1006:W1006),$V$1006:$AE$1006,0))&gt;=100000), " ",IF(INDEX($V$2:$AE$1001,MATCH(ROWS($O$2:O769),$O$2:$O$1001,0),MATCH(COLUMNS($V$1006:W1006),$V$1006:$AE$1006,0)), HYPERLINK("#",""), HYPERLINK(CONCATENATE("#Metadata!", ADDRESS(INDEX($Q$2:$Q$1001,MATCH(ROWS($O$2:O769),$O$2:$O$1001,0),0), INDEX($V$1004:$AE$1004,1,MATCH(COLUMNS($V$1006:W1006),$V$1006:$AE$1006,0)))),"Fix")))</f>
        <v>0</v>
      </c>
      <c r="D769" s="4">
        <f>IF(OR(INDEX($P$2:$P$1001,MATCH(ROWS($O$2:O769),$O$2:$O$1001,0),1)&gt;=100000,INDEX($V$1005:$AE$1005,1,MATCH(COLUMNS($V$1006:X1006),$V$1006:$AE$1006,0))&gt;=100000), " ",IF(INDEX($V$2:$AE$1001,MATCH(ROWS($O$2:O769),$O$2:$O$1001,0),MATCH(COLUMNS($V$1006:X1006),$V$1006:$AE$1006,0)), HYPERLINK("#",""), HYPERLINK(CONCATENATE("#Metadata!", ADDRESS(INDEX($Q$2:$Q$1001,MATCH(ROWS($O$2:O769),$O$2:$O$1001,0),0), INDEX($V$1004:$AE$1004,1,MATCH(COLUMNS($V$1006:X1006),$V$1006:$AE$1006,0)))),"Fix")))</f>
        <v>0</v>
      </c>
      <c r="E769" s="4">
        <f>IF(OR(INDEX($P$2:$P$1001,MATCH(ROWS($O$2:O769),$O$2:$O$1001,0),1)&gt;=100000,INDEX($V$1005:$AE$1005,1,MATCH(COLUMNS($V$1006:Y1006),$V$1006:$AE$1006,0))&gt;=100000), " ",IF(INDEX($V$2:$AE$1001,MATCH(ROWS($O$2:O769),$O$2:$O$1001,0),MATCH(COLUMNS($V$1006:Y1006),$V$1006:$AE$1006,0)), HYPERLINK("#",""), HYPERLINK(CONCATENATE("#Metadata!", ADDRESS(INDEX($Q$2:$Q$1001,MATCH(ROWS($O$2:O769),$O$2:$O$1001,0),0), INDEX($V$1004:$AE$1004,1,MATCH(COLUMNS($V$1006:Y1006),$V$1006:$AE$1006,0)))),"Fix")))</f>
        <v>0</v>
      </c>
      <c r="F769" s="4">
        <f>IF(OR(INDEX($P$2:$P$1001,MATCH(ROWS($O$2:O769),$O$2:$O$1001,0),1)&gt;=100000,INDEX($V$1005:$AE$1005,1,MATCH(COLUMNS($V$1006:Z1006),$V$1006:$AE$1006,0))&gt;=100000), " ",IF(INDEX($V$2:$AE$1001,MATCH(ROWS($O$2:O769),$O$2:$O$1001,0),MATCH(COLUMNS($V$1006:Z1006),$V$1006:$AE$1006,0)), HYPERLINK("#",""), HYPERLINK(CONCATENATE("#Metadata!", ADDRESS(INDEX($Q$2:$Q$1001,MATCH(ROWS($O$2:O769),$O$2:$O$1001,0),0), INDEX($V$1004:$AE$1004,1,MATCH(COLUMNS($V$1006:Z1006),$V$1006:$AE$1006,0)))),"Fix")))</f>
        <v>0</v>
      </c>
      <c r="G769" s="4">
        <f>IF(OR(INDEX($P$2:$P$1001,MATCH(ROWS($O$2:O769),$O$2:$O$1001,0),1)&gt;=100000,INDEX($V$1005:$AE$1005,1,MATCH(COLUMNS($V$1006:AA1006),$V$1006:$AE$1006,0))&gt;=100000), " ",IF(INDEX($V$2:$AE$1001,MATCH(ROWS($O$2:O769),$O$2:$O$1001,0),MATCH(COLUMNS($V$1006:AA1006),$V$1006:$AE$1006,0)), HYPERLINK("#",""), HYPERLINK(CONCATENATE("#Metadata!", ADDRESS(INDEX($Q$2:$Q$1001,MATCH(ROWS($O$2:O769),$O$2:$O$1001,0),0), INDEX($V$1004:$AE$1004,1,MATCH(COLUMNS($V$1006:AA1006),$V$1006:$AE$1006,0)))),"Fix")))</f>
        <v>0</v>
      </c>
      <c r="H769" s="4">
        <f>IF(OR(INDEX($P$2:$P$1001,MATCH(ROWS($O$2:O769),$O$2:$O$1001,0),1)&gt;=100000,INDEX($V$1005:$AE$1005,1,MATCH(COLUMNS($V$1006:AB1006),$V$1006:$AE$1006,0))&gt;=100000), " ",IF(INDEX($V$2:$AE$1001,MATCH(ROWS($O$2:O769),$O$2:$O$1001,0),MATCH(COLUMNS($V$1006:AB1006),$V$1006:$AE$1006,0)), HYPERLINK("#",""), HYPERLINK(CONCATENATE("#Metadata!", ADDRESS(INDEX($Q$2:$Q$1001,MATCH(ROWS($O$2:O769),$O$2:$O$1001,0),0), INDEX($V$1004:$AE$1004,1,MATCH(COLUMNS($V$1006:AB1006),$V$1006:$AE$1006,0)))),"Fix")))</f>
        <v>0</v>
      </c>
      <c r="I769" s="4">
        <f>IF(OR(INDEX($P$2:$P$1001,MATCH(ROWS($O$2:O769),$O$2:$O$1001,0),1)&gt;=100000,INDEX($V$1005:$AE$1005,1,MATCH(COLUMNS($V$1006:AC1006),$V$1006:$AE$1006,0))&gt;=100000), " ",IF(INDEX($V$2:$AE$1001,MATCH(ROWS($O$2:O769),$O$2:$O$1001,0),MATCH(COLUMNS($V$1006:AC1006),$V$1006:$AE$1006,0)), HYPERLINK("#",""), HYPERLINK(CONCATENATE("#Metadata!", ADDRESS(INDEX($Q$2:$Q$1001,MATCH(ROWS($O$2:O769),$O$2:$O$1001,0),0), INDEX($V$1004:$AE$1004,1,MATCH(COLUMNS($V$1006:AC1006),$V$1006:$AE$1006,0)))),"Fix")))</f>
        <v>0</v>
      </c>
      <c r="J769" s="4">
        <f>IF(OR(INDEX($P$2:$P$1001,MATCH(ROWS($O$2:O769),$O$2:$O$1001,0),1)&gt;=100000,INDEX($V$1005:$AE$1005,1,MATCH(COLUMNS($V$1006:AD1006),$V$1006:$AE$1006,0))&gt;=100000), " ",IF(INDEX($V$2:$AE$1001,MATCH(ROWS($O$2:O769),$O$2:$O$1001,0),MATCH(COLUMNS($V$1006:AD1006),$V$1006:$AE$1006,0)), HYPERLINK("#",""), HYPERLINK(CONCATENATE("#Metadata!", ADDRESS(INDEX($Q$2:$Q$1001,MATCH(ROWS($O$2:O769),$O$2:$O$1001,0),0), INDEX($V$1004:$AE$1004,1,MATCH(COLUMNS($V$1006:AD1006),$V$1006:$AE$1006,0)))),"Fix")))</f>
        <v>0</v>
      </c>
      <c r="K769" s="4">
        <f>IF(OR(INDEX($P$2:$P$1001,MATCH(ROWS($O$2:O769),$O$2:$O$1001,0),1)&gt;=100000,INDEX($V$1005:$AE$1005,1,MATCH(COLUMNS($V$1006:AE1006),$V$1006:$AE$1006,0))&gt;=100000), " ",IF(INDEX($V$2:$AE$1001,MATCH(ROWS($O$2:O769),$O$2:$O$1001,0),MATCH(COLUMNS($V$1006:AE1006),$V$1006:$AE$1006,0)), HYPERLINK("#",""), HYPERLINK(CONCATENATE("#Metadata!", ADDRESS(INDEX($Q$2:$Q$1001,MATCH(ROWS($O$2:O769),$O$2:$O$1001,0),0), INDEX($V$1004:$AE$1004,1,MATCH(COLUMNS($V$1006:AE1006),$V$1006:$AE$1006,0)))),"Fix")))</f>
        <v>0</v>
      </c>
      <c r="O769">
        <v>0</v>
      </c>
      <c r="P769">
        <v>0</v>
      </c>
      <c r="Q769">
        <v>0</v>
      </c>
      <c r="R769">
        <f>IF(S769,TRUE,AND(V769:AE769))</f>
        <v>0</v>
      </c>
      <c r="S769">
        <f>COUNTBLANK(Metadata!B769:K769)=COLUMNS(Metadata!B769:K769)</f>
        <v>0</v>
      </c>
      <c r="T769">
        <v>0</v>
      </c>
      <c r="V769">
        <f>AND(IF(Metadata!B769="",FALSE,TRUE),COUNTIF(Metadata!B:B, Metadata!B769) = 1,NOT(ISERROR(SUMPRODUCT(SEARCH(MID(Metadata!B769,ROW(INDIRECT("1:"&amp;LEN(Metadata!B769))), 1),"0123456789abcdefghijklmnopqrstuvwxyzABCDEFGHIJKLMNOPQRSTUVWXYZ.")))))</f>
        <v>0</v>
      </c>
      <c r="W769">
        <f>AND(IF(Metadata!C769="",FALSE,TRUE),exact(Metadata!C769,"urban biome"))</f>
        <v>0</v>
      </c>
      <c r="X769">
        <f>AND(IF(Metadata!D769="",FALSE,TRUE),exact(Metadata!D769,"animal-associated habitat"))</f>
        <v>0</v>
      </c>
      <c r="Y769">
        <f>OR(AND(IF(Metadata!E769="",FALSE,TRUE),OR(exact(Metadata!E769,"not applicable"),exact(Metadata!E769,"missing: not collected"),exact(Metadata!E769,"missing: not provided"),exact(Metadata!E769,"missing: restricted access"))),AND(IF(Metadata!E769="",FALSE,ISNUMBER(VALUE(Metadata!E769))),Metadata!E769&gt;0))</f>
        <v>0</v>
      </c>
      <c r="Z769">
        <f>AND(IF(Metadata!F769="",FALSE,TRUE),exact(Metadata!F769,"weeks"))</f>
        <v>0</v>
      </c>
      <c r="AA769">
        <f>AND(IF(Metadata!G769="",FALSE,TRUE),exact(Metadata!G769,"mouse"))</f>
        <v>0</v>
      </c>
      <c r="AB769">
        <f>AND(IF(Metadata!H769="",FALSE,TRUE),exact(Metadata!H769,"Mus musculus"))</f>
        <v>0</v>
      </c>
      <c r="AC769">
        <f>AND(IF(Metadata!I769="",FALSE,TRUE),exact(Metadata!I769,"10090"))</f>
        <v>0</v>
      </c>
      <c r="AD769">
        <f>OR(AND(IF(Metadata!J769="",FALSE,TRUE),OR(exact(Metadata!J769,"not applicable"),exact(Metadata!J769,"missing: not collected"),exact(Metadata!J769,"missing: not provided"),exact(Metadata!J769,"missing: restricted access"))),AND(IF(Metadata!J769="",FALSE,ISNUMBER(VALUE(Metadata!J769))),Metadata!J769&gt;0))</f>
        <v>0</v>
      </c>
      <c r="AE769">
        <f>AND(IF(Metadata!K769="",FALSE,TRUE),exact(Metadata!K769,"g"))</f>
        <v>0</v>
      </c>
    </row>
    <row r="770" spans="1:31">
      <c r="A770" s="5">
        <f>IF(B770=" "," ",HYPERLINK(CONCATENATE("#metadata!",ADDRESS(INDEX($Q$2:$Q$1001,MATCH(ROWS($O$2:O770),$O$2:$O$1001,0),0),1)),INDEX($T$2:$T$1001,MATCH(ROWS($O$2:O770),$O$2:$O$1001,0),0)))</f>
        <v>0</v>
      </c>
      <c r="B770" s="4">
        <f>IF(OR(INDEX($P$2:$P$1001,MATCH(ROWS($O$2:O770),$O$2:$O$1001,0),1)&gt;=100000,INDEX($V$1005:$AE$1005,1,MATCH(COLUMNS($V$1006:V1006),$V$1006:$AE$1006,0))&gt;=100000), " ",IF(INDEX($V$2:$AE$1001,MATCH(ROWS($O$2:O770),$O$2:$O$1001,0),MATCH(COLUMNS($V$1006:V1006),$V$1006:$AE$1006,0)), HYPERLINK("#",""), HYPERLINK(CONCATENATE("#Metadata!", ADDRESS(INDEX($Q$2:$Q$1001,MATCH(ROWS($O$2:O770),$O$2:$O$1001,0),0), INDEX($V$1004:$AE$1004,1,MATCH(COLUMNS($V$1006:V1006),$V$1006:$AE$1006,0)))),"Fix")))</f>
        <v>0</v>
      </c>
      <c r="C770" s="4">
        <f>IF(OR(INDEX($P$2:$P$1001,MATCH(ROWS($O$2:O770),$O$2:$O$1001,0),1)&gt;=100000,INDEX($V$1005:$AE$1005,1,MATCH(COLUMNS($V$1006:W1006),$V$1006:$AE$1006,0))&gt;=100000), " ",IF(INDEX($V$2:$AE$1001,MATCH(ROWS($O$2:O770),$O$2:$O$1001,0),MATCH(COLUMNS($V$1006:W1006),$V$1006:$AE$1006,0)), HYPERLINK("#",""), HYPERLINK(CONCATENATE("#Metadata!", ADDRESS(INDEX($Q$2:$Q$1001,MATCH(ROWS($O$2:O770),$O$2:$O$1001,0),0), INDEX($V$1004:$AE$1004,1,MATCH(COLUMNS($V$1006:W1006),$V$1006:$AE$1006,0)))),"Fix")))</f>
        <v>0</v>
      </c>
      <c r="D770" s="4">
        <f>IF(OR(INDEX($P$2:$P$1001,MATCH(ROWS($O$2:O770),$O$2:$O$1001,0),1)&gt;=100000,INDEX($V$1005:$AE$1005,1,MATCH(COLUMNS($V$1006:X1006),$V$1006:$AE$1006,0))&gt;=100000), " ",IF(INDEX($V$2:$AE$1001,MATCH(ROWS($O$2:O770),$O$2:$O$1001,0),MATCH(COLUMNS($V$1006:X1006),$V$1006:$AE$1006,0)), HYPERLINK("#",""), HYPERLINK(CONCATENATE("#Metadata!", ADDRESS(INDEX($Q$2:$Q$1001,MATCH(ROWS($O$2:O770),$O$2:$O$1001,0),0), INDEX($V$1004:$AE$1004,1,MATCH(COLUMNS($V$1006:X1006),$V$1006:$AE$1006,0)))),"Fix")))</f>
        <v>0</v>
      </c>
      <c r="E770" s="4">
        <f>IF(OR(INDEX($P$2:$P$1001,MATCH(ROWS($O$2:O770),$O$2:$O$1001,0),1)&gt;=100000,INDEX($V$1005:$AE$1005,1,MATCH(COLUMNS($V$1006:Y1006),$V$1006:$AE$1006,0))&gt;=100000), " ",IF(INDEX($V$2:$AE$1001,MATCH(ROWS($O$2:O770),$O$2:$O$1001,0),MATCH(COLUMNS($V$1006:Y1006),$V$1006:$AE$1006,0)), HYPERLINK("#",""), HYPERLINK(CONCATENATE("#Metadata!", ADDRESS(INDEX($Q$2:$Q$1001,MATCH(ROWS($O$2:O770),$O$2:$O$1001,0),0), INDEX($V$1004:$AE$1004,1,MATCH(COLUMNS($V$1006:Y1006),$V$1006:$AE$1006,0)))),"Fix")))</f>
        <v>0</v>
      </c>
      <c r="F770" s="4">
        <f>IF(OR(INDEX($P$2:$P$1001,MATCH(ROWS($O$2:O770),$O$2:$O$1001,0),1)&gt;=100000,INDEX($V$1005:$AE$1005,1,MATCH(COLUMNS($V$1006:Z1006),$V$1006:$AE$1006,0))&gt;=100000), " ",IF(INDEX($V$2:$AE$1001,MATCH(ROWS($O$2:O770),$O$2:$O$1001,0),MATCH(COLUMNS($V$1006:Z1006),$V$1006:$AE$1006,0)), HYPERLINK("#",""), HYPERLINK(CONCATENATE("#Metadata!", ADDRESS(INDEX($Q$2:$Q$1001,MATCH(ROWS($O$2:O770),$O$2:$O$1001,0),0), INDEX($V$1004:$AE$1004,1,MATCH(COLUMNS($V$1006:Z1006),$V$1006:$AE$1006,0)))),"Fix")))</f>
        <v>0</v>
      </c>
      <c r="G770" s="4">
        <f>IF(OR(INDEX($P$2:$P$1001,MATCH(ROWS($O$2:O770),$O$2:$O$1001,0),1)&gt;=100000,INDEX($V$1005:$AE$1005,1,MATCH(COLUMNS($V$1006:AA1006),$V$1006:$AE$1006,0))&gt;=100000), " ",IF(INDEX($V$2:$AE$1001,MATCH(ROWS($O$2:O770),$O$2:$O$1001,0),MATCH(COLUMNS($V$1006:AA1006),$V$1006:$AE$1006,0)), HYPERLINK("#",""), HYPERLINK(CONCATENATE("#Metadata!", ADDRESS(INDEX($Q$2:$Q$1001,MATCH(ROWS($O$2:O770),$O$2:$O$1001,0),0), INDEX($V$1004:$AE$1004,1,MATCH(COLUMNS($V$1006:AA1006),$V$1006:$AE$1006,0)))),"Fix")))</f>
        <v>0</v>
      </c>
      <c r="H770" s="4">
        <f>IF(OR(INDEX($P$2:$P$1001,MATCH(ROWS($O$2:O770),$O$2:$O$1001,0),1)&gt;=100000,INDEX($V$1005:$AE$1005,1,MATCH(COLUMNS($V$1006:AB1006),$V$1006:$AE$1006,0))&gt;=100000), " ",IF(INDEX($V$2:$AE$1001,MATCH(ROWS($O$2:O770),$O$2:$O$1001,0),MATCH(COLUMNS($V$1006:AB1006),$V$1006:$AE$1006,0)), HYPERLINK("#",""), HYPERLINK(CONCATENATE("#Metadata!", ADDRESS(INDEX($Q$2:$Q$1001,MATCH(ROWS($O$2:O770),$O$2:$O$1001,0),0), INDEX($V$1004:$AE$1004,1,MATCH(COLUMNS($V$1006:AB1006),$V$1006:$AE$1006,0)))),"Fix")))</f>
        <v>0</v>
      </c>
      <c r="I770" s="4">
        <f>IF(OR(INDEX($P$2:$P$1001,MATCH(ROWS($O$2:O770),$O$2:$O$1001,0),1)&gt;=100000,INDEX($V$1005:$AE$1005,1,MATCH(COLUMNS($V$1006:AC1006),$V$1006:$AE$1006,0))&gt;=100000), " ",IF(INDEX($V$2:$AE$1001,MATCH(ROWS($O$2:O770),$O$2:$O$1001,0),MATCH(COLUMNS($V$1006:AC1006),$V$1006:$AE$1006,0)), HYPERLINK("#",""), HYPERLINK(CONCATENATE("#Metadata!", ADDRESS(INDEX($Q$2:$Q$1001,MATCH(ROWS($O$2:O770),$O$2:$O$1001,0),0), INDEX($V$1004:$AE$1004,1,MATCH(COLUMNS($V$1006:AC1006),$V$1006:$AE$1006,0)))),"Fix")))</f>
        <v>0</v>
      </c>
      <c r="J770" s="4">
        <f>IF(OR(INDEX($P$2:$P$1001,MATCH(ROWS($O$2:O770),$O$2:$O$1001,0),1)&gt;=100000,INDEX($V$1005:$AE$1005,1,MATCH(COLUMNS($V$1006:AD1006),$V$1006:$AE$1006,0))&gt;=100000), " ",IF(INDEX($V$2:$AE$1001,MATCH(ROWS($O$2:O770),$O$2:$O$1001,0),MATCH(COLUMNS($V$1006:AD1006),$V$1006:$AE$1006,0)), HYPERLINK("#",""), HYPERLINK(CONCATENATE("#Metadata!", ADDRESS(INDEX($Q$2:$Q$1001,MATCH(ROWS($O$2:O770),$O$2:$O$1001,0),0), INDEX($V$1004:$AE$1004,1,MATCH(COLUMNS($V$1006:AD1006),$V$1006:$AE$1006,0)))),"Fix")))</f>
        <v>0</v>
      </c>
      <c r="K770" s="4">
        <f>IF(OR(INDEX($P$2:$P$1001,MATCH(ROWS($O$2:O770),$O$2:$O$1001,0),1)&gt;=100000,INDEX($V$1005:$AE$1005,1,MATCH(COLUMNS($V$1006:AE1006),$V$1006:$AE$1006,0))&gt;=100000), " ",IF(INDEX($V$2:$AE$1001,MATCH(ROWS($O$2:O770),$O$2:$O$1001,0),MATCH(COLUMNS($V$1006:AE1006),$V$1006:$AE$1006,0)), HYPERLINK("#",""), HYPERLINK(CONCATENATE("#Metadata!", ADDRESS(INDEX($Q$2:$Q$1001,MATCH(ROWS($O$2:O770),$O$2:$O$1001,0),0), INDEX($V$1004:$AE$1004,1,MATCH(COLUMNS($V$1006:AE1006),$V$1006:$AE$1006,0)))),"Fix")))</f>
        <v>0</v>
      </c>
      <c r="O770">
        <v>0</v>
      </c>
      <c r="P770">
        <v>0</v>
      </c>
      <c r="Q770">
        <v>0</v>
      </c>
      <c r="R770">
        <f>IF(S770,TRUE,AND(V770:AE770))</f>
        <v>0</v>
      </c>
      <c r="S770">
        <f>COUNTBLANK(Metadata!B770:K770)=COLUMNS(Metadata!B770:K770)</f>
        <v>0</v>
      </c>
      <c r="T770">
        <v>0</v>
      </c>
      <c r="V770">
        <f>AND(IF(Metadata!B770="",FALSE,TRUE),COUNTIF(Metadata!B:B, Metadata!B770) = 1,NOT(ISERROR(SUMPRODUCT(SEARCH(MID(Metadata!B770,ROW(INDIRECT("1:"&amp;LEN(Metadata!B770))), 1),"0123456789abcdefghijklmnopqrstuvwxyzABCDEFGHIJKLMNOPQRSTUVWXYZ.")))))</f>
        <v>0</v>
      </c>
      <c r="W770">
        <f>AND(IF(Metadata!C770="",FALSE,TRUE),exact(Metadata!C770,"urban biome"))</f>
        <v>0</v>
      </c>
      <c r="X770">
        <f>AND(IF(Metadata!D770="",FALSE,TRUE),exact(Metadata!D770,"animal-associated habitat"))</f>
        <v>0</v>
      </c>
      <c r="Y770">
        <f>OR(AND(IF(Metadata!E770="",FALSE,TRUE),OR(exact(Metadata!E770,"not applicable"),exact(Metadata!E770,"missing: not collected"),exact(Metadata!E770,"missing: not provided"),exact(Metadata!E770,"missing: restricted access"))),AND(IF(Metadata!E770="",FALSE,ISNUMBER(VALUE(Metadata!E770))),Metadata!E770&gt;0))</f>
        <v>0</v>
      </c>
      <c r="Z770">
        <f>AND(IF(Metadata!F770="",FALSE,TRUE),exact(Metadata!F770,"weeks"))</f>
        <v>0</v>
      </c>
      <c r="AA770">
        <f>AND(IF(Metadata!G770="",FALSE,TRUE),exact(Metadata!G770,"mouse"))</f>
        <v>0</v>
      </c>
      <c r="AB770">
        <f>AND(IF(Metadata!H770="",FALSE,TRUE),exact(Metadata!H770,"Mus musculus"))</f>
        <v>0</v>
      </c>
      <c r="AC770">
        <f>AND(IF(Metadata!I770="",FALSE,TRUE),exact(Metadata!I770,"10090"))</f>
        <v>0</v>
      </c>
      <c r="AD770">
        <f>OR(AND(IF(Metadata!J770="",FALSE,TRUE),OR(exact(Metadata!J770,"not applicable"),exact(Metadata!J770,"missing: not collected"),exact(Metadata!J770,"missing: not provided"),exact(Metadata!J770,"missing: restricted access"))),AND(IF(Metadata!J770="",FALSE,ISNUMBER(VALUE(Metadata!J770))),Metadata!J770&gt;0))</f>
        <v>0</v>
      </c>
      <c r="AE770">
        <f>AND(IF(Metadata!K770="",FALSE,TRUE),exact(Metadata!K770,"g"))</f>
        <v>0</v>
      </c>
    </row>
    <row r="771" spans="1:31">
      <c r="A771" s="5">
        <f>IF(B771=" "," ",HYPERLINK(CONCATENATE("#metadata!",ADDRESS(INDEX($Q$2:$Q$1001,MATCH(ROWS($O$2:O771),$O$2:$O$1001,0),0),1)),INDEX($T$2:$T$1001,MATCH(ROWS($O$2:O771),$O$2:$O$1001,0),0)))</f>
        <v>0</v>
      </c>
      <c r="B771" s="4">
        <f>IF(OR(INDEX($P$2:$P$1001,MATCH(ROWS($O$2:O771),$O$2:$O$1001,0),1)&gt;=100000,INDEX($V$1005:$AE$1005,1,MATCH(COLUMNS($V$1006:V1006),$V$1006:$AE$1006,0))&gt;=100000), " ",IF(INDEX($V$2:$AE$1001,MATCH(ROWS($O$2:O771),$O$2:$O$1001,0),MATCH(COLUMNS($V$1006:V1006),$V$1006:$AE$1006,0)), HYPERLINK("#",""), HYPERLINK(CONCATENATE("#Metadata!", ADDRESS(INDEX($Q$2:$Q$1001,MATCH(ROWS($O$2:O771),$O$2:$O$1001,0),0), INDEX($V$1004:$AE$1004,1,MATCH(COLUMNS($V$1006:V1006),$V$1006:$AE$1006,0)))),"Fix")))</f>
        <v>0</v>
      </c>
      <c r="C771" s="4">
        <f>IF(OR(INDEX($P$2:$P$1001,MATCH(ROWS($O$2:O771),$O$2:$O$1001,0),1)&gt;=100000,INDEX($V$1005:$AE$1005,1,MATCH(COLUMNS($V$1006:W1006),$V$1006:$AE$1006,0))&gt;=100000), " ",IF(INDEX($V$2:$AE$1001,MATCH(ROWS($O$2:O771),$O$2:$O$1001,0),MATCH(COLUMNS($V$1006:W1006),$V$1006:$AE$1006,0)), HYPERLINK("#",""), HYPERLINK(CONCATENATE("#Metadata!", ADDRESS(INDEX($Q$2:$Q$1001,MATCH(ROWS($O$2:O771),$O$2:$O$1001,0),0), INDEX($V$1004:$AE$1004,1,MATCH(COLUMNS($V$1006:W1006),$V$1006:$AE$1006,0)))),"Fix")))</f>
        <v>0</v>
      </c>
      <c r="D771" s="4">
        <f>IF(OR(INDEX($P$2:$P$1001,MATCH(ROWS($O$2:O771),$O$2:$O$1001,0),1)&gt;=100000,INDEX($V$1005:$AE$1005,1,MATCH(COLUMNS($V$1006:X1006),$V$1006:$AE$1006,0))&gt;=100000), " ",IF(INDEX($V$2:$AE$1001,MATCH(ROWS($O$2:O771),$O$2:$O$1001,0),MATCH(COLUMNS($V$1006:X1006),$V$1006:$AE$1006,0)), HYPERLINK("#",""), HYPERLINK(CONCATENATE("#Metadata!", ADDRESS(INDEX($Q$2:$Q$1001,MATCH(ROWS($O$2:O771),$O$2:$O$1001,0),0), INDEX($V$1004:$AE$1004,1,MATCH(COLUMNS($V$1006:X1006),$V$1006:$AE$1006,0)))),"Fix")))</f>
        <v>0</v>
      </c>
      <c r="E771" s="4">
        <f>IF(OR(INDEX($P$2:$P$1001,MATCH(ROWS($O$2:O771),$O$2:$O$1001,0),1)&gt;=100000,INDEX($V$1005:$AE$1005,1,MATCH(COLUMNS($V$1006:Y1006),$V$1006:$AE$1006,0))&gt;=100000), " ",IF(INDEX($V$2:$AE$1001,MATCH(ROWS($O$2:O771),$O$2:$O$1001,0),MATCH(COLUMNS($V$1006:Y1006),$V$1006:$AE$1006,0)), HYPERLINK("#",""), HYPERLINK(CONCATENATE("#Metadata!", ADDRESS(INDEX($Q$2:$Q$1001,MATCH(ROWS($O$2:O771),$O$2:$O$1001,0),0), INDEX($V$1004:$AE$1004,1,MATCH(COLUMNS($V$1006:Y1006),$V$1006:$AE$1006,0)))),"Fix")))</f>
        <v>0</v>
      </c>
      <c r="F771" s="4">
        <f>IF(OR(INDEX($P$2:$P$1001,MATCH(ROWS($O$2:O771),$O$2:$O$1001,0),1)&gt;=100000,INDEX($V$1005:$AE$1005,1,MATCH(COLUMNS($V$1006:Z1006),$V$1006:$AE$1006,0))&gt;=100000), " ",IF(INDEX($V$2:$AE$1001,MATCH(ROWS($O$2:O771),$O$2:$O$1001,0),MATCH(COLUMNS($V$1006:Z1006),$V$1006:$AE$1006,0)), HYPERLINK("#",""), HYPERLINK(CONCATENATE("#Metadata!", ADDRESS(INDEX($Q$2:$Q$1001,MATCH(ROWS($O$2:O771),$O$2:$O$1001,0),0), INDEX($V$1004:$AE$1004,1,MATCH(COLUMNS($V$1006:Z1006),$V$1006:$AE$1006,0)))),"Fix")))</f>
        <v>0</v>
      </c>
      <c r="G771" s="4">
        <f>IF(OR(INDEX($P$2:$P$1001,MATCH(ROWS($O$2:O771),$O$2:$O$1001,0),1)&gt;=100000,INDEX($V$1005:$AE$1005,1,MATCH(COLUMNS($V$1006:AA1006),$V$1006:$AE$1006,0))&gt;=100000), " ",IF(INDEX($V$2:$AE$1001,MATCH(ROWS($O$2:O771),$O$2:$O$1001,0),MATCH(COLUMNS($V$1006:AA1006),$V$1006:$AE$1006,0)), HYPERLINK("#",""), HYPERLINK(CONCATENATE("#Metadata!", ADDRESS(INDEX($Q$2:$Q$1001,MATCH(ROWS($O$2:O771),$O$2:$O$1001,0),0), INDEX($V$1004:$AE$1004,1,MATCH(COLUMNS($V$1006:AA1006),$V$1006:$AE$1006,0)))),"Fix")))</f>
        <v>0</v>
      </c>
      <c r="H771" s="4">
        <f>IF(OR(INDEX($P$2:$P$1001,MATCH(ROWS($O$2:O771),$O$2:$O$1001,0),1)&gt;=100000,INDEX($V$1005:$AE$1005,1,MATCH(COLUMNS($V$1006:AB1006),$V$1006:$AE$1006,0))&gt;=100000), " ",IF(INDEX($V$2:$AE$1001,MATCH(ROWS($O$2:O771),$O$2:$O$1001,0),MATCH(COLUMNS($V$1006:AB1006),$V$1006:$AE$1006,0)), HYPERLINK("#",""), HYPERLINK(CONCATENATE("#Metadata!", ADDRESS(INDEX($Q$2:$Q$1001,MATCH(ROWS($O$2:O771),$O$2:$O$1001,0),0), INDEX($V$1004:$AE$1004,1,MATCH(COLUMNS($V$1006:AB1006),$V$1006:$AE$1006,0)))),"Fix")))</f>
        <v>0</v>
      </c>
      <c r="I771" s="4">
        <f>IF(OR(INDEX($P$2:$P$1001,MATCH(ROWS($O$2:O771),$O$2:$O$1001,0),1)&gt;=100000,INDEX($V$1005:$AE$1005,1,MATCH(COLUMNS($V$1006:AC1006),$V$1006:$AE$1006,0))&gt;=100000), " ",IF(INDEX($V$2:$AE$1001,MATCH(ROWS($O$2:O771),$O$2:$O$1001,0),MATCH(COLUMNS($V$1006:AC1006),$V$1006:$AE$1006,0)), HYPERLINK("#",""), HYPERLINK(CONCATENATE("#Metadata!", ADDRESS(INDEX($Q$2:$Q$1001,MATCH(ROWS($O$2:O771),$O$2:$O$1001,0),0), INDEX($V$1004:$AE$1004,1,MATCH(COLUMNS($V$1006:AC1006),$V$1006:$AE$1006,0)))),"Fix")))</f>
        <v>0</v>
      </c>
      <c r="J771" s="4">
        <f>IF(OR(INDEX($P$2:$P$1001,MATCH(ROWS($O$2:O771),$O$2:$O$1001,0),1)&gt;=100000,INDEX($V$1005:$AE$1005,1,MATCH(COLUMNS($V$1006:AD1006),$V$1006:$AE$1006,0))&gt;=100000), " ",IF(INDEX($V$2:$AE$1001,MATCH(ROWS($O$2:O771),$O$2:$O$1001,0),MATCH(COLUMNS($V$1006:AD1006),$V$1006:$AE$1006,0)), HYPERLINK("#",""), HYPERLINK(CONCATENATE("#Metadata!", ADDRESS(INDEX($Q$2:$Q$1001,MATCH(ROWS($O$2:O771),$O$2:$O$1001,0),0), INDEX($V$1004:$AE$1004,1,MATCH(COLUMNS($V$1006:AD1006),$V$1006:$AE$1006,0)))),"Fix")))</f>
        <v>0</v>
      </c>
      <c r="K771" s="4">
        <f>IF(OR(INDEX($P$2:$P$1001,MATCH(ROWS($O$2:O771),$O$2:$O$1001,0),1)&gt;=100000,INDEX($V$1005:$AE$1005,1,MATCH(COLUMNS($V$1006:AE1006),$V$1006:$AE$1006,0))&gt;=100000), " ",IF(INDEX($V$2:$AE$1001,MATCH(ROWS($O$2:O771),$O$2:$O$1001,0),MATCH(COLUMNS($V$1006:AE1006),$V$1006:$AE$1006,0)), HYPERLINK("#",""), HYPERLINK(CONCATENATE("#Metadata!", ADDRESS(INDEX($Q$2:$Q$1001,MATCH(ROWS($O$2:O771),$O$2:$O$1001,0),0), INDEX($V$1004:$AE$1004,1,MATCH(COLUMNS($V$1006:AE1006),$V$1006:$AE$1006,0)))),"Fix")))</f>
        <v>0</v>
      </c>
      <c r="O771">
        <v>0</v>
      </c>
      <c r="P771">
        <v>0</v>
      </c>
      <c r="Q771">
        <v>0</v>
      </c>
      <c r="R771">
        <f>IF(S771,TRUE,AND(V771:AE771))</f>
        <v>0</v>
      </c>
      <c r="S771">
        <f>COUNTBLANK(Metadata!B771:K771)=COLUMNS(Metadata!B771:K771)</f>
        <v>0</v>
      </c>
      <c r="T771">
        <v>0</v>
      </c>
      <c r="V771">
        <f>AND(IF(Metadata!B771="",FALSE,TRUE),COUNTIF(Metadata!B:B, Metadata!B771) = 1,NOT(ISERROR(SUMPRODUCT(SEARCH(MID(Metadata!B771,ROW(INDIRECT("1:"&amp;LEN(Metadata!B771))), 1),"0123456789abcdefghijklmnopqrstuvwxyzABCDEFGHIJKLMNOPQRSTUVWXYZ.")))))</f>
        <v>0</v>
      </c>
      <c r="W771">
        <f>AND(IF(Metadata!C771="",FALSE,TRUE),exact(Metadata!C771,"urban biome"))</f>
        <v>0</v>
      </c>
      <c r="X771">
        <f>AND(IF(Metadata!D771="",FALSE,TRUE),exact(Metadata!D771,"animal-associated habitat"))</f>
        <v>0</v>
      </c>
      <c r="Y771">
        <f>OR(AND(IF(Metadata!E771="",FALSE,TRUE),OR(exact(Metadata!E771,"not applicable"),exact(Metadata!E771,"missing: not collected"),exact(Metadata!E771,"missing: not provided"),exact(Metadata!E771,"missing: restricted access"))),AND(IF(Metadata!E771="",FALSE,ISNUMBER(VALUE(Metadata!E771))),Metadata!E771&gt;0))</f>
        <v>0</v>
      </c>
      <c r="Z771">
        <f>AND(IF(Metadata!F771="",FALSE,TRUE),exact(Metadata!F771,"weeks"))</f>
        <v>0</v>
      </c>
      <c r="AA771">
        <f>AND(IF(Metadata!G771="",FALSE,TRUE),exact(Metadata!G771,"mouse"))</f>
        <v>0</v>
      </c>
      <c r="AB771">
        <f>AND(IF(Metadata!H771="",FALSE,TRUE),exact(Metadata!H771,"Mus musculus"))</f>
        <v>0</v>
      </c>
      <c r="AC771">
        <f>AND(IF(Metadata!I771="",FALSE,TRUE),exact(Metadata!I771,"10090"))</f>
        <v>0</v>
      </c>
      <c r="AD771">
        <f>OR(AND(IF(Metadata!J771="",FALSE,TRUE),OR(exact(Metadata!J771,"not applicable"),exact(Metadata!J771,"missing: not collected"),exact(Metadata!J771,"missing: not provided"),exact(Metadata!J771,"missing: restricted access"))),AND(IF(Metadata!J771="",FALSE,ISNUMBER(VALUE(Metadata!J771))),Metadata!J771&gt;0))</f>
        <v>0</v>
      </c>
      <c r="AE771">
        <f>AND(IF(Metadata!K771="",FALSE,TRUE),exact(Metadata!K771,"g"))</f>
        <v>0</v>
      </c>
    </row>
    <row r="772" spans="1:31">
      <c r="A772" s="5">
        <f>IF(B772=" "," ",HYPERLINK(CONCATENATE("#metadata!",ADDRESS(INDEX($Q$2:$Q$1001,MATCH(ROWS($O$2:O772),$O$2:$O$1001,0),0),1)),INDEX($T$2:$T$1001,MATCH(ROWS($O$2:O772),$O$2:$O$1001,0),0)))</f>
        <v>0</v>
      </c>
      <c r="B772" s="4">
        <f>IF(OR(INDEX($P$2:$P$1001,MATCH(ROWS($O$2:O772),$O$2:$O$1001,0),1)&gt;=100000,INDEX($V$1005:$AE$1005,1,MATCH(COLUMNS($V$1006:V1006),$V$1006:$AE$1006,0))&gt;=100000), " ",IF(INDEX($V$2:$AE$1001,MATCH(ROWS($O$2:O772),$O$2:$O$1001,0),MATCH(COLUMNS($V$1006:V1006),$V$1006:$AE$1006,0)), HYPERLINK("#",""), HYPERLINK(CONCATENATE("#Metadata!", ADDRESS(INDEX($Q$2:$Q$1001,MATCH(ROWS($O$2:O772),$O$2:$O$1001,0),0), INDEX($V$1004:$AE$1004,1,MATCH(COLUMNS($V$1006:V1006),$V$1006:$AE$1006,0)))),"Fix")))</f>
        <v>0</v>
      </c>
      <c r="C772" s="4">
        <f>IF(OR(INDEX($P$2:$P$1001,MATCH(ROWS($O$2:O772),$O$2:$O$1001,0),1)&gt;=100000,INDEX($V$1005:$AE$1005,1,MATCH(COLUMNS($V$1006:W1006),$V$1006:$AE$1006,0))&gt;=100000), " ",IF(INDEX($V$2:$AE$1001,MATCH(ROWS($O$2:O772),$O$2:$O$1001,0),MATCH(COLUMNS($V$1006:W1006),$V$1006:$AE$1006,0)), HYPERLINK("#",""), HYPERLINK(CONCATENATE("#Metadata!", ADDRESS(INDEX($Q$2:$Q$1001,MATCH(ROWS($O$2:O772),$O$2:$O$1001,0),0), INDEX($V$1004:$AE$1004,1,MATCH(COLUMNS($V$1006:W1006),$V$1006:$AE$1006,0)))),"Fix")))</f>
        <v>0</v>
      </c>
      <c r="D772" s="4">
        <f>IF(OR(INDEX($P$2:$P$1001,MATCH(ROWS($O$2:O772),$O$2:$O$1001,0),1)&gt;=100000,INDEX($V$1005:$AE$1005,1,MATCH(COLUMNS($V$1006:X1006),$V$1006:$AE$1006,0))&gt;=100000), " ",IF(INDEX($V$2:$AE$1001,MATCH(ROWS($O$2:O772),$O$2:$O$1001,0),MATCH(COLUMNS($V$1006:X1006),$V$1006:$AE$1006,0)), HYPERLINK("#",""), HYPERLINK(CONCATENATE("#Metadata!", ADDRESS(INDEX($Q$2:$Q$1001,MATCH(ROWS($O$2:O772),$O$2:$O$1001,0),0), INDEX($V$1004:$AE$1004,1,MATCH(COLUMNS($V$1006:X1006),$V$1006:$AE$1006,0)))),"Fix")))</f>
        <v>0</v>
      </c>
      <c r="E772" s="4">
        <f>IF(OR(INDEX($P$2:$P$1001,MATCH(ROWS($O$2:O772),$O$2:$O$1001,0),1)&gt;=100000,INDEX($V$1005:$AE$1005,1,MATCH(COLUMNS($V$1006:Y1006),$V$1006:$AE$1006,0))&gt;=100000), " ",IF(INDEX($V$2:$AE$1001,MATCH(ROWS($O$2:O772),$O$2:$O$1001,0),MATCH(COLUMNS($V$1006:Y1006),$V$1006:$AE$1006,0)), HYPERLINK("#",""), HYPERLINK(CONCATENATE("#Metadata!", ADDRESS(INDEX($Q$2:$Q$1001,MATCH(ROWS($O$2:O772),$O$2:$O$1001,0),0), INDEX($V$1004:$AE$1004,1,MATCH(COLUMNS($V$1006:Y1006),$V$1006:$AE$1006,0)))),"Fix")))</f>
        <v>0</v>
      </c>
      <c r="F772" s="4">
        <f>IF(OR(INDEX($P$2:$P$1001,MATCH(ROWS($O$2:O772),$O$2:$O$1001,0),1)&gt;=100000,INDEX($V$1005:$AE$1005,1,MATCH(COLUMNS($V$1006:Z1006),$V$1006:$AE$1006,0))&gt;=100000), " ",IF(INDEX($V$2:$AE$1001,MATCH(ROWS($O$2:O772),$O$2:$O$1001,0),MATCH(COLUMNS($V$1006:Z1006),$V$1006:$AE$1006,0)), HYPERLINK("#",""), HYPERLINK(CONCATENATE("#Metadata!", ADDRESS(INDEX($Q$2:$Q$1001,MATCH(ROWS($O$2:O772),$O$2:$O$1001,0),0), INDEX($V$1004:$AE$1004,1,MATCH(COLUMNS($V$1006:Z1006),$V$1006:$AE$1006,0)))),"Fix")))</f>
        <v>0</v>
      </c>
      <c r="G772" s="4">
        <f>IF(OR(INDEX($P$2:$P$1001,MATCH(ROWS($O$2:O772),$O$2:$O$1001,0),1)&gt;=100000,INDEX($V$1005:$AE$1005,1,MATCH(COLUMNS($V$1006:AA1006),$V$1006:$AE$1006,0))&gt;=100000), " ",IF(INDEX($V$2:$AE$1001,MATCH(ROWS($O$2:O772),$O$2:$O$1001,0),MATCH(COLUMNS($V$1006:AA1006),$V$1006:$AE$1006,0)), HYPERLINK("#",""), HYPERLINK(CONCATENATE("#Metadata!", ADDRESS(INDEX($Q$2:$Q$1001,MATCH(ROWS($O$2:O772),$O$2:$O$1001,0),0), INDEX($V$1004:$AE$1004,1,MATCH(COLUMNS($V$1006:AA1006),$V$1006:$AE$1006,0)))),"Fix")))</f>
        <v>0</v>
      </c>
      <c r="H772" s="4">
        <f>IF(OR(INDEX($P$2:$P$1001,MATCH(ROWS($O$2:O772),$O$2:$O$1001,0),1)&gt;=100000,INDEX($V$1005:$AE$1005,1,MATCH(COLUMNS($V$1006:AB1006),$V$1006:$AE$1006,0))&gt;=100000), " ",IF(INDEX($V$2:$AE$1001,MATCH(ROWS($O$2:O772),$O$2:$O$1001,0),MATCH(COLUMNS($V$1006:AB1006),$V$1006:$AE$1006,0)), HYPERLINK("#",""), HYPERLINK(CONCATENATE("#Metadata!", ADDRESS(INDEX($Q$2:$Q$1001,MATCH(ROWS($O$2:O772),$O$2:$O$1001,0),0), INDEX($V$1004:$AE$1004,1,MATCH(COLUMNS($V$1006:AB1006),$V$1006:$AE$1006,0)))),"Fix")))</f>
        <v>0</v>
      </c>
      <c r="I772" s="4">
        <f>IF(OR(INDEX($P$2:$P$1001,MATCH(ROWS($O$2:O772),$O$2:$O$1001,0),1)&gt;=100000,INDEX($V$1005:$AE$1005,1,MATCH(COLUMNS($V$1006:AC1006),$V$1006:$AE$1006,0))&gt;=100000), " ",IF(INDEX($V$2:$AE$1001,MATCH(ROWS($O$2:O772),$O$2:$O$1001,0),MATCH(COLUMNS($V$1006:AC1006),$V$1006:$AE$1006,0)), HYPERLINK("#",""), HYPERLINK(CONCATENATE("#Metadata!", ADDRESS(INDEX($Q$2:$Q$1001,MATCH(ROWS($O$2:O772),$O$2:$O$1001,0),0), INDEX($V$1004:$AE$1004,1,MATCH(COLUMNS($V$1006:AC1006),$V$1006:$AE$1006,0)))),"Fix")))</f>
        <v>0</v>
      </c>
      <c r="J772" s="4">
        <f>IF(OR(INDEX($P$2:$P$1001,MATCH(ROWS($O$2:O772),$O$2:$O$1001,0),1)&gt;=100000,INDEX($V$1005:$AE$1005,1,MATCH(COLUMNS($V$1006:AD1006),$V$1006:$AE$1006,0))&gt;=100000), " ",IF(INDEX($V$2:$AE$1001,MATCH(ROWS($O$2:O772),$O$2:$O$1001,0),MATCH(COLUMNS($V$1006:AD1006),$V$1006:$AE$1006,0)), HYPERLINK("#",""), HYPERLINK(CONCATENATE("#Metadata!", ADDRESS(INDEX($Q$2:$Q$1001,MATCH(ROWS($O$2:O772),$O$2:$O$1001,0),0), INDEX($V$1004:$AE$1004,1,MATCH(COLUMNS($V$1006:AD1006),$V$1006:$AE$1006,0)))),"Fix")))</f>
        <v>0</v>
      </c>
      <c r="K772" s="4">
        <f>IF(OR(INDEX($P$2:$P$1001,MATCH(ROWS($O$2:O772),$O$2:$O$1001,0),1)&gt;=100000,INDEX($V$1005:$AE$1005,1,MATCH(COLUMNS($V$1006:AE1006),$V$1006:$AE$1006,0))&gt;=100000), " ",IF(INDEX($V$2:$AE$1001,MATCH(ROWS($O$2:O772),$O$2:$O$1001,0),MATCH(COLUMNS($V$1006:AE1006),$V$1006:$AE$1006,0)), HYPERLINK("#",""), HYPERLINK(CONCATENATE("#Metadata!", ADDRESS(INDEX($Q$2:$Q$1001,MATCH(ROWS($O$2:O772),$O$2:$O$1001,0),0), INDEX($V$1004:$AE$1004,1,MATCH(COLUMNS($V$1006:AE1006),$V$1006:$AE$1006,0)))),"Fix")))</f>
        <v>0</v>
      </c>
      <c r="O772">
        <v>0</v>
      </c>
      <c r="P772">
        <v>0</v>
      </c>
      <c r="Q772">
        <v>0</v>
      </c>
      <c r="R772">
        <f>IF(S772,TRUE,AND(V772:AE772))</f>
        <v>0</v>
      </c>
      <c r="S772">
        <f>COUNTBLANK(Metadata!B772:K772)=COLUMNS(Metadata!B772:K772)</f>
        <v>0</v>
      </c>
      <c r="T772">
        <v>0</v>
      </c>
      <c r="V772">
        <f>AND(IF(Metadata!B772="",FALSE,TRUE),COUNTIF(Metadata!B:B, Metadata!B772) = 1,NOT(ISERROR(SUMPRODUCT(SEARCH(MID(Metadata!B772,ROW(INDIRECT("1:"&amp;LEN(Metadata!B772))), 1),"0123456789abcdefghijklmnopqrstuvwxyzABCDEFGHIJKLMNOPQRSTUVWXYZ.")))))</f>
        <v>0</v>
      </c>
      <c r="W772">
        <f>AND(IF(Metadata!C772="",FALSE,TRUE),exact(Metadata!C772,"urban biome"))</f>
        <v>0</v>
      </c>
      <c r="X772">
        <f>AND(IF(Metadata!D772="",FALSE,TRUE),exact(Metadata!D772,"animal-associated habitat"))</f>
        <v>0</v>
      </c>
      <c r="Y772">
        <f>OR(AND(IF(Metadata!E772="",FALSE,TRUE),OR(exact(Metadata!E772,"not applicable"),exact(Metadata!E772,"missing: not collected"),exact(Metadata!E772,"missing: not provided"),exact(Metadata!E772,"missing: restricted access"))),AND(IF(Metadata!E772="",FALSE,ISNUMBER(VALUE(Metadata!E772))),Metadata!E772&gt;0))</f>
        <v>0</v>
      </c>
      <c r="Z772">
        <f>AND(IF(Metadata!F772="",FALSE,TRUE),exact(Metadata!F772,"weeks"))</f>
        <v>0</v>
      </c>
      <c r="AA772">
        <f>AND(IF(Metadata!G772="",FALSE,TRUE),exact(Metadata!G772,"mouse"))</f>
        <v>0</v>
      </c>
      <c r="AB772">
        <f>AND(IF(Metadata!H772="",FALSE,TRUE),exact(Metadata!H772,"Mus musculus"))</f>
        <v>0</v>
      </c>
      <c r="AC772">
        <f>AND(IF(Metadata!I772="",FALSE,TRUE),exact(Metadata!I772,"10090"))</f>
        <v>0</v>
      </c>
      <c r="AD772">
        <f>OR(AND(IF(Metadata!J772="",FALSE,TRUE),OR(exact(Metadata!J772,"not applicable"),exact(Metadata!J772,"missing: not collected"),exact(Metadata!J772,"missing: not provided"),exact(Metadata!J772,"missing: restricted access"))),AND(IF(Metadata!J772="",FALSE,ISNUMBER(VALUE(Metadata!J772))),Metadata!J772&gt;0))</f>
        <v>0</v>
      </c>
      <c r="AE772">
        <f>AND(IF(Metadata!K772="",FALSE,TRUE),exact(Metadata!K772,"g"))</f>
        <v>0</v>
      </c>
    </row>
    <row r="773" spans="1:31">
      <c r="A773" s="5">
        <f>IF(B773=" "," ",HYPERLINK(CONCATENATE("#metadata!",ADDRESS(INDEX($Q$2:$Q$1001,MATCH(ROWS($O$2:O773),$O$2:$O$1001,0),0),1)),INDEX($T$2:$T$1001,MATCH(ROWS($O$2:O773),$O$2:$O$1001,0),0)))</f>
        <v>0</v>
      </c>
      <c r="B773" s="4">
        <f>IF(OR(INDEX($P$2:$P$1001,MATCH(ROWS($O$2:O773),$O$2:$O$1001,0),1)&gt;=100000,INDEX($V$1005:$AE$1005,1,MATCH(COLUMNS($V$1006:V1006),$V$1006:$AE$1006,0))&gt;=100000), " ",IF(INDEX($V$2:$AE$1001,MATCH(ROWS($O$2:O773),$O$2:$O$1001,0),MATCH(COLUMNS($V$1006:V1006),$V$1006:$AE$1006,0)), HYPERLINK("#",""), HYPERLINK(CONCATENATE("#Metadata!", ADDRESS(INDEX($Q$2:$Q$1001,MATCH(ROWS($O$2:O773),$O$2:$O$1001,0),0), INDEX($V$1004:$AE$1004,1,MATCH(COLUMNS($V$1006:V1006),$V$1006:$AE$1006,0)))),"Fix")))</f>
        <v>0</v>
      </c>
      <c r="C773" s="4">
        <f>IF(OR(INDEX($P$2:$P$1001,MATCH(ROWS($O$2:O773),$O$2:$O$1001,0),1)&gt;=100000,INDEX($V$1005:$AE$1005,1,MATCH(COLUMNS($V$1006:W1006),$V$1006:$AE$1006,0))&gt;=100000), " ",IF(INDEX($V$2:$AE$1001,MATCH(ROWS($O$2:O773),$O$2:$O$1001,0),MATCH(COLUMNS($V$1006:W1006),$V$1006:$AE$1006,0)), HYPERLINK("#",""), HYPERLINK(CONCATENATE("#Metadata!", ADDRESS(INDEX($Q$2:$Q$1001,MATCH(ROWS($O$2:O773),$O$2:$O$1001,0),0), INDEX($V$1004:$AE$1004,1,MATCH(COLUMNS($V$1006:W1006),$V$1006:$AE$1006,0)))),"Fix")))</f>
        <v>0</v>
      </c>
      <c r="D773" s="4">
        <f>IF(OR(INDEX($P$2:$P$1001,MATCH(ROWS($O$2:O773),$O$2:$O$1001,0),1)&gt;=100000,INDEX($V$1005:$AE$1005,1,MATCH(COLUMNS($V$1006:X1006),$V$1006:$AE$1006,0))&gt;=100000), " ",IF(INDEX($V$2:$AE$1001,MATCH(ROWS($O$2:O773),$O$2:$O$1001,0),MATCH(COLUMNS($V$1006:X1006),$V$1006:$AE$1006,0)), HYPERLINK("#",""), HYPERLINK(CONCATENATE("#Metadata!", ADDRESS(INDEX($Q$2:$Q$1001,MATCH(ROWS($O$2:O773),$O$2:$O$1001,0),0), INDEX($V$1004:$AE$1004,1,MATCH(COLUMNS($V$1006:X1006),$V$1006:$AE$1006,0)))),"Fix")))</f>
        <v>0</v>
      </c>
      <c r="E773" s="4">
        <f>IF(OR(INDEX($P$2:$P$1001,MATCH(ROWS($O$2:O773),$O$2:$O$1001,0),1)&gt;=100000,INDEX($V$1005:$AE$1005,1,MATCH(COLUMNS($V$1006:Y1006),$V$1006:$AE$1006,0))&gt;=100000), " ",IF(INDEX($V$2:$AE$1001,MATCH(ROWS($O$2:O773),$O$2:$O$1001,0),MATCH(COLUMNS($V$1006:Y1006),$V$1006:$AE$1006,0)), HYPERLINK("#",""), HYPERLINK(CONCATENATE("#Metadata!", ADDRESS(INDEX($Q$2:$Q$1001,MATCH(ROWS($O$2:O773),$O$2:$O$1001,0),0), INDEX($V$1004:$AE$1004,1,MATCH(COLUMNS($V$1006:Y1006),$V$1006:$AE$1006,0)))),"Fix")))</f>
        <v>0</v>
      </c>
      <c r="F773" s="4">
        <f>IF(OR(INDEX($P$2:$P$1001,MATCH(ROWS($O$2:O773),$O$2:$O$1001,0),1)&gt;=100000,INDEX($V$1005:$AE$1005,1,MATCH(COLUMNS($V$1006:Z1006),$V$1006:$AE$1006,0))&gt;=100000), " ",IF(INDEX($V$2:$AE$1001,MATCH(ROWS($O$2:O773),$O$2:$O$1001,0),MATCH(COLUMNS($V$1006:Z1006),$V$1006:$AE$1006,0)), HYPERLINK("#",""), HYPERLINK(CONCATENATE("#Metadata!", ADDRESS(INDEX($Q$2:$Q$1001,MATCH(ROWS($O$2:O773),$O$2:$O$1001,0),0), INDEX($V$1004:$AE$1004,1,MATCH(COLUMNS($V$1006:Z1006),$V$1006:$AE$1006,0)))),"Fix")))</f>
        <v>0</v>
      </c>
      <c r="G773" s="4">
        <f>IF(OR(INDEX($P$2:$P$1001,MATCH(ROWS($O$2:O773),$O$2:$O$1001,0),1)&gt;=100000,INDEX($V$1005:$AE$1005,1,MATCH(COLUMNS($V$1006:AA1006),$V$1006:$AE$1006,0))&gt;=100000), " ",IF(INDEX($V$2:$AE$1001,MATCH(ROWS($O$2:O773),$O$2:$O$1001,0),MATCH(COLUMNS($V$1006:AA1006),$V$1006:$AE$1006,0)), HYPERLINK("#",""), HYPERLINK(CONCATENATE("#Metadata!", ADDRESS(INDEX($Q$2:$Q$1001,MATCH(ROWS($O$2:O773),$O$2:$O$1001,0),0), INDEX($V$1004:$AE$1004,1,MATCH(COLUMNS($V$1006:AA1006),$V$1006:$AE$1006,0)))),"Fix")))</f>
        <v>0</v>
      </c>
      <c r="H773" s="4">
        <f>IF(OR(INDEX($P$2:$P$1001,MATCH(ROWS($O$2:O773),$O$2:$O$1001,0),1)&gt;=100000,INDEX($V$1005:$AE$1005,1,MATCH(COLUMNS($V$1006:AB1006),$V$1006:$AE$1006,0))&gt;=100000), " ",IF(INDEX($V$2:$AE$1001,MATCH(ROWS($O$2:O773),$O$2:$O$1001,0),MATCH(COLUMNS($V$1006:AB1006),$V$1006:$AE$1006,0)), HYPERLINK("#",""), HYPERLINK(CONCATENATE("#Metadata!", ADDRESS(INDEX($Q$2:$Q$1001,MATCH(ROWS($O$2:O773),$O$2:$O$1001,0),0), INDEX($V$1004:$AE$1004,1,MATCH(COLUMNS($V$1006:AB1006),$V$1006:$AE$1006,0)))),"Fix")))</f>
        <v>0</v>
      </c>
      <c r="I773" s="4">
        <f>IF(OR(INDEX($P$2:$P$1001,MATCH(ROWS($O$2:O773),$O$2:$O$1001,0),1)&gt;=100000,INDEX($V$1005:$AE$1005,1,MATCH(COLUMNS($V$1006:AC1006),$V$1006:$AE$1006,0))&gt;=100000), " ",IF(INDEX($V$2:$AE$1001,MATCH(ROWS($O$2:O773),$O$2:$O$1001,0),MATCH(COLUMNS($V$1006:AC1006),$V$1006:$AE$1006,0)), HYPERLINK("#",""), HYPERLINK(CONCATENATE("#Metadata!", ADDRESS(INDEX($Q$2:$Q$1001,MATCH(ROWS($O$2:O773),$O$2:$O$1001,0),0), INDEX($V$1004:$AE$1004,1,MATCH(COLUMNS($V$1006:AC1006),$V$1006:$AE$1006,0)))),"Fix")))</f>
        <v>0</v>
      </c>
      <c r="J773" s="4">
        <f>IF(OR(INDEX($P$2:$P$1001,MATCH(ROWS($O$2:O773),$O$2:$O$1001,0),1)&gt;=100000,INDEX($V$1005:$AE$1005,1,MATCH(COLUMNS($V$1006:AD1006),$V$1006:$AE$1006,0))&gt;=100000), " ",IF(INDEX($V$2:$AE$1001,MATCH(ROWS($O$2:O773),$O$2:$O$1001,0),MATCH(COLUMNS($V$1006:AD1006),$V$1006:$AE$1006,0)), HYPERLINK("#",""), HYPERLINK(CONCATENATE("#Metadata!", ADDRESS(INDEX($Q$2:$Q$1001,MATCH(ROWS($O$2:O773),$O$2:$O$1001,0),0), INDEX($V$1004:$AE$1004,1,MATCH(COLUMNS($V$1006:AD1006),$V$1006:$AE$1006,0)))),"Fix")))</f>
        <v>0</v>
      </c>
      <c r="K773" s="4">
        <f>IF(OR(INDEX($P$2:$P$1001,MATCH(ROWS($O$2:O773),$O$2:$O$1001,0),1)&gt;=100000,INDEX($V$1005:$AE$1005,1,MATCH(COLUMNS($V$1006:AE1006),$V$1006:$AE$1006,0))&gt;=100000), " ",IF(INDEX($V$2:$AE$1001,MATCH(ROWS($O$2:O773),$O$2:$O$1001,0),MATCH(COLUMNS($V$1006:AE1006),$V$1006:$AE$1006,0)), HYPERLINK("#",""), HYPERLINK(CONCATENATE("#Metadata!", ADDRESS(INDEX($Q$2:$Q$1001,MATCH(ROWS($O$2:O773),$O$2:$O$1001,0),0), INDEX($V$1004:$AE$1004,1,MATCH(COLUMNS($V$1006:AE1006),$V$1006:$AE$1006,0)))),"Fix")))</f>
        <v>0</v>
      </c>
      <c r="O773">
        <v>0</v>
      </c>
      <c r="P773">
        <v>0</v>
      </c>
      <c r="Q773">
        <v>0</v>
      </c>
      <c r="R773">
        <f>IF(S773,TRUE,AND(V773:AE773))</f>
        <v>0</v>
      </c>
      <c r="S773">
        <f>COUNTBLANK(Metadata!B773:K773)=COLUMNS(Metadata!B773:K773)</f>
        <v>0</v>
      </c>
      <c r="T773">
        <v>0</v>
      </c>
      <c r="V773">
        <f>AND(IF(Metadata!B773="",FALSE,TRUE),COUNTIF(Metadata!B:B, Metadata!B773) = 1,NOT(ISERROR(SUMPRODUCT(SEARCH(MID(Metadata!B773,ROW(INDIRECT("1:"&amp;LEN(Metadata!B773))), 1),"0123456789abcdefghijklmnopqrstuvwxyzABCDEFGHIJKLMNOPQRSTUVWXYZ.")))))</f>
        <v>0</v>
      </c>
      <c r="W773">
        <f>AND(IF(Metadata!C773="",FALSE,TRUE),exact(Metadata!C773,"urban biome"))</f>
        <v>0</v>
      </c>
      <c r="X773">
        <f>AND(IF(Metadata!D773="",FALSE,TRUE),exact(Metadata!D773,"animal-associated habitat"))</f>
        <v>0</v>
      </c>
      <c r="Y773">
        <f>OR(AND(IF(Metadata!E773="",FALSE,TRUE),OR(exact(Metadata!E773,"not applicable"),exact(Metadata!E773,"missing: not collected"),exact(Metadata!E773,"missing: not provided"),exact(Metadata!E773,"missing: restricted access"))),AND(IF(Metadata!E773="",FALSE,ISNUMBER(VALUE(Metadata!E773))),Metadata!E773&gt;0))</f>
        <v>0</v>
      </c>
      <c r="Z773">
        <f>AND(IF(Metadata!F773="",FALSE,TRUE),exact(Metadata!F773,"weeks"))</f>
        <v>0</v>
      </c>
      <c r="AA773">
        <f>AND(IF(Metadata!G773="",FALSE,TRUE),exact(Metadata!G773,"mouse"))</f>
        <v>0</v>
      </c>
      <c r="AB773">
        <f>AND(IF(Metadata!H773="",FALSE,TRUE),exact(Metadata!H773,"Mus musculus"))</f>
        <v>0</v>
      </c>
      <c r="AC773">
        <f>AND(IF(Metadata!I773="",FALSE,TRUE),exact(Metadata!I773,"10090"))</f>
        <v>0</v>
      </c>
      <c r="AD773">
        <f>OR(AND(IF(Metadata!J773="",FALSE,TRUE),OR(exact(Metadata!J773,"not applicable"),exact(Metadata!J773,"missing: not collected"),exact(Metadata!J773,"missing: not provided"),exact(Metadata!J773,"missing: restricted access"))),AND(IF(Metadata!J773="",FALSE,ISNUMBER(VALUE(Metadata!J773))),Metadata!J773&gt;0))</f>
        <v>0</v>
      </c>
      <c r="AE773">
        <f>AND(IF(Metadata!K773="",FALSE,TRUE),exact(Metadata!K773,"g"))</f>
        <v>0</v>
      </c>
    </row>
    <row r="774" spans="1:31">
      <c r="A774" s="5">
        <f>IF(B774=" "," ",HYPERLINK(CONCATENATE("#metadata!",ADDRESS(INDEX($Q$2:$Q$1001,MATCH(ROWS($O$2:O774),$O$2:$O$1001,0),0),1)),INDEX($T$2:$T$1001,MATCH(ROWS($O$2:O774),$O$2:$O$1001,0),0)))</f>
        <v>0</v>
      </c>
      <c r="B774" s="4">
        <f>IF(OR(INDEX($P$2:$P$1001,MATCH(ROWS($O$2:O774),$O$2:$O$1001,0),1)&gt;=100000,INDEX($V$1005:$AE$1005,1,MATCH(COLUMNS($V$1006:V1006),$V$1006:$AE$1006,0))&gt;=100000), " ",IF(INDEX($V$2:$AE$1001,MATCH(ROWS($O$2:O774),$O$2:$O$1001,0),MATCH(COLUMNS($V$1006:V1006),$V$1006:$AE$1006,0)), HYPERLINK("#",""), HYPERLINK(CONCATENATE("#Metadata!", ADDRESS(INDEX($Q$2:$Q$1001,MATCH(ROWS($O$2:O774),$O$2:$O$1001,0),0), INDEX($V$1004:$AE$1004,1,MATCH(COLUMNS($V$1006:V1006),$V$1006:$AE$1006,0)))),"Fix")))</f>
        <v>0</v>
      </c>
      <c r="C774" s="4">
        <f>IF(OR(INDEX($P$2:$P$1001,MATCH(ROWS($O$2:O774),$O$2:$O$1001,0),1)&gt;=100000,INDEX($V$1005:$AE$1005,1,MATCH(COLUMNS($V$1006:W1006),$V$1006:$AE$1006,0))&gt;=100000), " ",IF(INDEX($V$2:$AE$1001,MATCH(ROWS($O$2:O774),$O$2:$O$1001,0),MATCH(COLUMNS($V$1006:W1006),$V$1006:$AE$1006,0)), HYPERLINK("#",""), HYPERLINK(CONCATENATE("#Metadata!", ADDRESS(INDEX($Q$2:$Q$1001,MATCH(ROWS($O$2:O774),$O$2:$O$1001,0),0), INDEX($V$1004:$AE$1004,1,MATCH(COLUMNS($V$1006:W1006),$V$1006:$AE$1006,0)))),"Fix")))</f>
        <v>0</v>
      </c>
      <c r="D774" s="4">
        <f>IF(OR(INDEX($P$2:$P$1001,MATCH(ROWS($O$2:O774),$O$2:$O$1001,0),1)&gt;=100000,INDEX($V$1005:$AE$1005,1,MATCH(COLUMNS($V$1006:X1006),$V$1006:$AE$1006,0))&gt;=100000), " ",IF(INDEX($V$2:$AE$1001,MATCH(ROWS($O$2:O774),$O$2:$O$1001,0),MATCH(COLUMNS($V$1006:X1006),$V$1006:$AE$1006,0)), HYPERLINK("#",""), HYPERLINK(CONCATENATE("#Metadata!", ADDRESS(INDEX($Q$2:$Q$1001,MATCH(ROWS($O$2:O774),$O$2:$O$1001,0),0), INDEX($V$1004:$AE$1004,1,MATCH(COLUMNS($V$1006:X1006),$V$1006:$AE$1006,0)))),"Fix")))</f>
        <v>0</v>
      </c>
      <c r="E774" s="4">
        <f>IF(OR(INDEX($P$2:$P$1001,MATCH(ROWS($O$2:O774),$O$2:$O$1001,0),1)&gt;=100000,INDEX($V$1005:$AE$1005,1,MATCH(COLUMNS($V$1006:Y1006),$V$1006:$AE$1006,0))&gt;=100000), " ",IF(INDEX($V$2:$AE$1001,MATCH(ROWS($O$2:O774),$O$2:$O$1001,0),MATCH(COLUMNS($V$1006:Y1006),$V$1006:$AE$1006,0)), HYPERLINK("#",""), HYPERLINK(CONCATENATE("#Metadata!", ADDRESS(INDEX($Q$2:$Q$1001,MATCH(ROWS($O$2:O774),$O$2:$O$1001,0),0), INDEX($V$1004:$AE$1004,1,MATCH(COLUMNS($V$1006:Y1006),$V$1006:$AE$1006,0)))),"Fix")))</f>
        <v>0</v>
      </c>
      <c r="F774" s="4">
        <f>IF(OR(INDEX($P$2:$P$1001,MATCH(ROWS($O$2:O774),$O$2:$O$1001,0),1)&gt;=100000,INDEX($V$1005:$AE$1005,1,MATCH(COLUMNS($V$1006:Z1006),$V$1006:$AE$1006,0))&gt;=100000), " ",IF(INDEX($V$2:$AE$1001,MATCH(ROWS($O$2:O774),$O$2:$O$1001,0),MATCH(COLUMNS($V$1006:Z1006),$V$1006:$AE$1006,0)), HYPERLINK("#",""), HYPERLINK(CONCATENATE("#Metadata!", ADDRESS(INDEX($Q$2:$Q$1001,MATCH(ROWS($O$2:O774),$O$2:$O$1001,0),0), INDEX($V$1004:$AE$1004,1,MATCH(COLUMNS($V$1006:Z1006),$V$1006:$AE$1006,0)))),"Fix")))</f>
        <v>0</v>
      </c>
      <c r="G774" s="4">
        <f>IF(OR(INDEX($P$2:$P$1001,MATCH(ROWS($O$2:O774),$O$2:$O$1001,0),1)&gt;=100000,INDEX($V$1005:$AE$1005,1,MATCH(COLUMNS($V$1006:AA1006),$V$1006:$AE$1006,0))&gt;=100000), " ",IF(INDEX($V$2:$AE$1001,MATCH(ROWS($O$2:O774),$O$2:$O$1001,0),MATCH(COLUMNS($V$1006:AA1006),$V$1006:$AE$1006,0)), HYPERLINK("#",""), HYPERLINK(CONCATENATE("#Metadata!", ADDRESS(INDEX($Q$2:$Q$1001,MATCH(ROWS($O$2:O774),$O$2:$O$1001,0),0), INDEX($V$1004:$AE$1004,1,MATCH(COLUMNS($V$1006:AA1006),$V$1006:$AE$1006,0)))),"Fix")))</f>
        <v>0</v>
      </c>
      <c r="H774" s="4">
        <f>IF(OR(INDEX($P$2:$P$1001,MATCH(ROWS($O$2:O774),$O$2:$O$1001,0),1)&gt;=100000,INDEX($V$1005:$AE$1005,1,MATCH(COLUMNS($V$1006:AB1006),$V$1006:$AE$1006,0))&gt;=100000), " ",IF(INDEX($V$2:$AE$1001,MATCH(ROWS($O$2:O774),$O$2:$O$1001,0),MATCH(COLUMNS($V$1006:AB1006),$V$1006:$AE$1006,0)), HYPERLINK("#",""), HYPERLINK(CONCATENATE("#Metadata!", ADDRESS(INDEX($Q$2:$Q$1001,MATCH(ROWS($O$2:O774),$O$2:$O$1001,0),0), INDEX($V$1004:$AE$1004,1,MATCH(COLUMNS($V$1006:AB1006),$V$1006:$AE$1006,0)))),"Fix")))</f>
        <v>0</v>
      </c>
      <c r="I774" s="4">
        <f>IF(OR(INDEX($P$2:$P$1001,MATCH(ROWS($O$2:O774),$O$2:$O$1001,0),1)&gt;=100000,INDEX($V$1005:$AE$1005,1,MATCH(COLUMNS($V$1006:AC1006),$V$1006:$AE$1006,0))&gt;=100000), " ",IF(INDEX($V$2:$AE$1001,MATCH(ROWS($O$2:O774),$O$2:$O$1001,0),MATCH(COLUMNS($V$1006:AC1006),$V$1006:$AE$1006,0)), HYPERLINK("#",""), HYPERLINK(CONCATENATE("#Metadata!", ADDRESS(INDEX($Q$2:$Q$1001,MATCH(ROWS($O$2:O774),$O$2:$O$1001,0),0), INDEX($V$1004:$AE$1004,1,MATCH(COLUMNS($V$1006:AC1006),$V$1006:$AE$1006,0)))),"Fix")))</f>
        <v>0</v>
      </c>
      <c r="J774" s="4">
        <f>IF(OR(INDEX($P$2:$P$1001,MATCH(ROWS($O$2:O774),$O$2:$O$1001,0),1)&gt;=100000,INDEX($V$1005:$AE$1005,1,MATCH(COLUMNS($V$1006:AD1006),$V$1006:$AE$1006,0))&gt;=100000), " ",IF(INDEX($V$2:$AE$1001,MATCH(ROWS($O$2:O774),$O$2:$O$1001,0),MATCH(COLUMNS($V$1006:AD1006),$V$1006:$AE$1006,0)), HYPERLINK("#",""), HYPERLINK(CONCATENATE("#Metadata!", ADDRESS(INDEX($Q$2:$Q$1001,MATCH(ROWS($O$2:O774),$O$2:$O$1001,0),0), INDEX($V$1004:$AE$1004,1,MATCH(COLUMNS($V$1006:AD1006),$V$1006:$AE$1006,0)))),"Fix")))</f>
        <v>0</v>
      </c>
      <c r="K774" s="4">
        <f>IF(OR(INDEX($P$2:$P$1001,MATCH(ROWS($O$2:O774),$O$2:$O$1001,0),1)&gt;=100000,INDEX($V$1005:$AE$1005,1,MATCH(COLUMNS($V$1006:AE1006),$V$1006:$AE$1006,0))&gt;=100000), " ",IF(INDEX($V$2:$AE$1001,MATCH(ROWS($O$2:O774),$O$2:$O$1001,0),MATCH(COLUMNS($V$1006:AE1006),$V$1006:$AE$1006,0)), HYPERLINK("#",""), HYPERLINK(CONCATENATE("#Metadata!", ADDRESS(INDEX($Q$2:$Q$1001,MATCH(ROWS($O$2:O774),$O$2:$O$1001,0),0), INDEX($V$1004:$AE$1004,1,MATCH(COLUMNS($V$1006:AE1006),$V$1006:$AE$1006,0)))),"Fix")))</f>
        <v>0</v>
      </c>
      <c r="O774">
        <v>0</v>
      </c>
      <c r="P774">
        <v>0</v>
      </c>
      <c r="Q774">
        <v>0</v>
      </c>
      <c r="R774">
        <f>IF(S774,TRUE,AND(V774:AE774))</f>
        <v>0</v>
      </c>
      <c r="S774">
        <f>COUNTBLANK(Metadata!B774:K774)=COLUMNS(Metadata!B774:K774)</f>
        <v>0</v>
      </c>
      <c r="T774">
        <v>0</v>
      </c>
      <c r="V774">
        <f>AND(IF(Metadata!B774="",FALSE,TRUE),COUNTIF(Metadata!B:B, Metadata!B774) = 1,NOT(ISERROR(SUMPRODUCT(SEARCH(MID(Metadata!B774,ROW(INDIRECT("1:"&amp;LEN(Metadata!B774))), 1),"0123456789abcdefghijklmnopqrstuvwxyzABCDEFGHIJKLMNOPQRSTUVWXYZ.")))))</f>
        <v>0</v>
      </c>
      <c r="W774">
        <f>AND(IF(Metadata!C774="",FALSE,TRUE),exact(Metadata!C774,"urban biome"))</f>
        <v>0</v>
      </c>
      <c r="X774">
        <f>AND(IF(Metadata!D774="",FALSE,TRUE),exact(Metadata!D774,"animal-associated habitat"))</f>
        <v>0</v>
      </c>
      <c r="Y774">
        <f>OR(AND(IF(Metadata!E774="",FALSE,TRUE),OR(exact(Metadata!E774,"not applicable"),exact(Metadata!E774,"missing: not collected"),exact(Metadata!E774,"missing: not provided"),exact(Metadata!E774,"missing: restricted access"))),AND(IF(Metadata!E774="",FALSE,ISNUMBER(VALUE(Metadata!E774))),Metadata!E774&gt;0))</f>
        <v>0</v>
      </c>
      <c r="Z774">
        <f>AND(IF(Metadata!F774="",FALSE,TRUE),exact(Metadata!F774,"weeks"))</f>
        <v>0</v>
      </c>
      <c r="AA774">
        <f>AND(IF(Metadata!G774="",FALSE,TRUE),exact(Metadata!G774,"mouse"))</f>
        <v>0</v>
      </c>
      <c r="AB774">
        <f>AND(IF(Metadata!H774="",FALSE,TRUE),exact(Metadata!H774,"Mus musculus"))</f>
        <v>0</v>
      </c>
      <c r="AC774">
        <f>AND(IF(Metadata!I774="",FALSE,TRUE),exact(Metadata!I774,"10090"))</f>
        <v>0</v>
      </c>
      <c r="AD774">
        <f>OR(AND(IF(Metadata!J774="",FALSE,TRUE),OR(exact(Metadata!J774,"not applicable"),exact(Metadata!J774,"missing: not collected"),exact(Metadata!J774,"missing: not provided"),exact(Metadata!J774,"missing: restricted access"))),AND(IF(Metadata!J774="",FALSE,ISNUMBER(VALUE(Metadata!J774))),Metadata!J774&gt;0))</f>
        <v>0</v>
      </c>
      <c r="AE774">
        <f>AND(IF(Metadata!K774="",FALSE,TRUE),exact(Metadata!K774,"g"))</f>
        <v>0</v>
      </c>
    </row>
    <row r="775" spans="1:31">
      <c r="A775" s="5">
        <f>IF(B775=" "," ",HYPERLINK(CONCATENATE("#metadata!",ADDRESS(INDEX($Q$2:$Q$1001,MATCH(ROWS($O$2:O775),$O$2:$O$1001,0),0),1)),INDEX($T$2:$T$1001,MATCH(ROWS($O$2:O775),$O$2:$O$1001,0),0)))</f>
        <v>0</v>
      </c>
      <c r="B775" s="4">
        <f>IF(OR(INDEX($P$2:$P$1001,MATCH(ROWS($O$2:O775),$O$2:$O$1001,0),1)&gt;=100000,INDEX($V$1005:$AE$1005,1,MATCH(COLUMNS($V$1006:V1006),$V$1006:$AE$1006,0))&gt;=100000), " ",IF(INDEX($V$2:$AE$1001,MATCH(ROWS($O$2:O775),$O$2:$O$1001,0),MATCH(COLUMNS($V$1006:V1006),$V$1006:$AE$1006,0)), HYPERLINK("#",""), HYPERLINK(CONCATENATE("#Metadata!", ADDRESS(INDEX($Q$2:$Q$1001,MATCH(ROWS($O$2:O775),$O$2:$O$1001,0),0), INDEX($V$1004:$AE$1004,1,MATCH(COLUMNS($V$1006:V1006),$V$1006:$AE$1006,0)))),"Fix")))</f>
        <v>0</v>
      </c>
      <c r="C775" s="4">
        <f>IF(OR(INDEX($P$2:$P$1001,MATCH(ROWS($O$2:O775),$O$2:$O$1001,0),1)&gt;=100000,INDEX($V$1005:$AE$1005,1,MATCH(COLUMNS($V$1006:W1006),$V$1006:$AE$1006,0))&gt;=100000), " ",IF(INDEX($V$2:$AE$1001,MATCH(ROWS($O$2:O775),$O$2:$O$1001,0),MATCH(COLUMNS($V$1006:W1006),$V$1006:$AE$1006,0)), HYPERLINK("#",""), HYPERLINK(CONCATENATE("#Metadata!", ADDRESS(INDEX($Q$2:$Q$1001,MATCH(ROWS($O$2:O775),$O$2:$O$1001,0),0), INDEX($V$1004:$AE$1004,1,MATCH(COLUMNS($V$1006:W1006),$V$1006:$AE$1006,0)))),"Fix")))</f>
        <v>0</v>
      </c>
      <c r="D775" s="4">
        <f>IF(OR(INDEX($P$2:$P$1001,MATCH(ROWS($O$2:O775),$O$2:$O$1001,0),1)&gt;=100000,INDEX($V$1005:$AE$1005,1,MATCH(COLUMNS($V$1006:X1006),$V$1006:$AE$1006,0))&gt;=100000), " ",IF(INDEX($V$2:$AE$1001,MATCH(ROWS($O$2:O775),$O$2:$O$1001,0),MATCH(COLUMNS($V$1006:X1006),$V$1006:$AE$1006,0)), HYPERLINK("#",""), HYPERLINK(CONCATENATE("#Metadata!", ADDRESS(INDEX($Q$2:$Q$1001,MATCH(ROWS($O$2:O775),$O$2:$O$1001,0),0), INDEX($V$1004:$AE$1004,1,MATCH(COLUMNS($V$1006:X1006),$V$1006:$AE$1006,0)))),"Fix")))</f>
        <v>0</v>
      </c>
      <c r="E775" s="4">
        <f>IF(OR(INDEX($P$2:$P$1001,MATCH(ROWS($O$2:O775),$O$2:$O$1001,0),1)&gt;=100000,INDEX($V$1005:$AE$1005,1,MATCH(COLUMNS($V$1006:Y1006),$V$1006:$AE$1006,0))&gt;=100000), " ",IF(INDEX($V$2:$AE$1001,MATCH(ROWS($O$2:O775),$O$2:$O$1001,0),MATCH(COLUMNS($V$1006:Y1006),$V$1006:$AE$1006,0)), HYPERLINK("#",""), HYPERLINK(CONCATENATE("#Metadata!", ADDRESS(INDEX($Q$2:$Q$1001,MATCH(ROWS($O$2:O775),$O$2:$O$1001,0),0), INDEX($V$1004:$AE$1004,1,MATCH(COLUMNS($V$1006:Y1006),$V$1006:$AE$1006,0)))),"Fix")))</f>
        <v>0</v>
      </c>
      <c r="F775" s="4">
        <f>IF(OR(INDEX($P$2:$P$1001,MATCH(ROWS($O$2:O775),$O$2:$O$1001,0),1)&gt;=100000,INDEX($V$1005:$AE$1005,1,MATCH(COLUMNS($V$1006:Z1006),$V$1006:$AE$1006,0))&gt;=100000), " ",IF(INDEX($V$2:$AE$1001,MATCH(ROWS($O$2:O775),$O$2:$O$1001,0),MATCH(COLUMNS($V$1006:Z1006),$V$1006:$AE$1006,0)), HYPERLINK("#",""), HYPERLINK(CONCATENATE("#Metadata!", ADDRESS(INDEX($Q$2:$Q$1001,MATCH(ROWS($O$2:O775),$O$2:$O$1001,0),0), INDEX($V$1004:$AE$1004,1,MATCH(COLUMNS($V$1006:Z1006),$V$1006:$AE$1006,0)))),"Fix")))</f>
        <v>0</v>
      </c>
      <c r="G775" s="4">
        <f>IF(OR(INDEX($P$2:$P$1001,MATCH(ROWS($O$2:O775),$O$2:$O$1001,0),1)&gt;=100000,INDEX($V$1005:$AE$1005,1,MATCH(COLUMNS($V$1006:AA1006),$V$1006:$AE$1006,0))&gt;=100000), " ",IF(INDEX($V$2:$AE$1001,MATCH(ROWS($O$2:O775),$O$2:$O$1001,0),MATCH(COLUMNS($V$1006:AA1006),$V$1006:$AE$1006,0)), HYPERLINK("#",""), HYPERLINK(CONCATENATE("#Metadata!", ADDRESS(INDEX($Q$2:$Q$1001,MATCH(ROWS($O$2:O775),$O$2:$O$1001,0),0), INDEX($V$1004:$AE$1004,1,MATCH(COLUMNS($V$1006:AA1006),$V$1006:$AE$1006,0)))),"Fix")))</f>
        <v>0</v>
      </c>
      <c r="H775" s="4">
        <f>IF(OR(INDEX($P$2:$P$1001,MATCH(ROWS($O$2:O775),$O$2:$O$1001,0),1)&gt;=100000,INDEX($V$1005:$AE$1005,1,MATCH(COLUMNS($V$1006:AB1006),$V$1006:$AE$1006,0))&gt;=100000), " ",IF(INDEX($V$2:$AE$1001,MATCH(ROWS($O$2:O775),$O$2:$O$1001,0),MATCH(COLUMNS($V$1006:AB1006),$V$1006:$AE$1006,0)), HYPERLINK("#",""), HYPERLINK(CONCATENATE("#Metadata!", ADDRESS(INDEX($Q$2:$Q$1001,MATCH(ROWS($O$2:O775),$O$2:$O$1001,0),0), INDEX($V$1004:$AE$1004,1,MATCH(COLUMNS($V$1006:AB1006),$V$1006:$AE$1006,0)))),"Fix")))</f>
        <v>0</v>
      </c>
      <c r="I775" s="4">
        <f>IF(OR(INDEX($P$2:$P$1001,MATCH(ROWS($O$2:O775),$O$2:$O$1001,0),1)&gt;=100000,INDEX($V$1005:$AE$1005,1,MATCH(COLUMNS($V$1006:AC1006),$V$1006:$AE$1006,0))&gt;=100000), " ",IF(INDEX($V$2:$AE$1001,MATCH(ROWS($O$2:O775),$O$2:$O$1001,0),MATCH(COLUMNS($V$1006:AC1006),$V$1006:$AE$1006,0)), HYPERLINK("#",""), HYPERLINK(CONCATENATE("#Metadata!", ADDRESS(INDEX($Q$2:$Q$1001,MATCH(ROWS($O$2:O775),$O$2:$O$1001,0),0), INDEX($V$1004:$AE$1004,1,MATCH(COLUMNS($V$1006:AC1006),$V$1006:$AE$1006,0)))),"Fix")))</f>
        <v>0</v>
      </c>
      <c r="J775" s="4">
        <f>IF(OR(INDEX($P$2:$P$1001,MATCH(ROWS($O$2:O775),$O$2:$O$1001,0),1)&gt;=100000,INDEX($V$1005:$AE$1005,1,MATCH(COLUMNS($V$1006:AD1006),$V$1006:$AE$1006,0))&gt;=100000), " ",IF(INDEX($V$2:$AE$1001,MATCH(ROWS($O$2:O775),$O$2:$O$1001,0),MATCH(COLUMNS($V$1006:AD1006),$V$1006:$AE$1006,0)), HYPERLINK("#",""), HYPERLINK(CONCATENATE("#Metadata!", ADDRESS(INDEX($Q$2:$Q$1001,MATCH(ROWS($O$2:O775),$O$2:$O$1001,0),0), INDEX($V$1004:$AE$1004,1,MATCH(COLUMNS($V$1006:AD1006),$V$1006:$AE$1006,0)))),"Fix")))</f>
        <v>0</v>
      </c>
      <c r="K775" s="4">
        <f>IF(OR(INDEX($P$2:$P$1001,MATCH(ROWS($O$2:O775),$O$2:$O$1001,0),1)&gt;=100000,INDEX($V$1005:$AE$1005,1,MATCH(COLUMNS($V$1006:AE1006),$V$1006:$AE$1006,0))&gt;=100000), " ",IF(INDEX($V$2:$AE$1001,MATCH(ROWS($O$2:O775),$O$2:$O$1001,0),MATCH(COLUMNS($V$1006:AE1006),$V$1006:$AE$1006,0)), HYPERLINK("#",""), HYPERLINK(CONCATENATE("#Metadata!", ADDRESS(INDEX($Q$2:$Q$1001,MATCH(ROWS($O$2:O775),$O$2:$O$1001,0),0), INDEX($V$1004:$AE$1004,1,MATCH(COLUMNS($V$1006:AE1006),$V$1006:$AE$1006,0)))),"Fix")))</f>
        <v>0</v>
      </c>
      <c r="O775">
        <v>0</v>
      </c>
      <c r="P775">
        <v>0</v>
      </c>
      <c r="Q775">
        <v>0</v>
      </c>
      <c r="R775">
        <f>IF(S775,TRUE,AND(V775:AE775))</f>
        <v>0</v>
      </c>
      <c r="S775">
        <f>COUNTBLANK(Metadata!B775:K775)=COLUMNS(Metadata!B775:K775)</f>
        <v>0</v>
      </c>
      <c r="T775">
        <v>0</v>
      </c>
      <c r="V775">
        <f>AND(IF(Metadata!B775="",FALSE,TRUE),COUNTIF(Metadata!B:B, Metadata!B775) = 1,NOT(ISERROR(SUMPRODUCT(SEARCH(MID(Metadata!B775,ROW(INDIRECT("1:"&amp;LEN(Metadata!B775))), 1),"0123456789abcdefghijklmnopqrstuvwxyzABCDEFGHIJKLMNOPQRSTUVWXYZ.")))))</f>
        <v>0</v>
      </c>
      <c r="W775">
        <f>AND(IF(Metadata!C775="",FALSE,TRUE),exact(Metadata!C775,"urban biome"))</f>
        <v>0</v>
      </c>
      <c r="X775">
        <f>AND(IF(Metadata!D775="",FALSE,TRUE),exact(Metadata!D775,"animal-associated habitat"))</f>
        <v>0</v>
      </c>
      <c r="Y775">
        <f>OR(AND(IF(Metadata!E775="",FALSE,TRUE),OR(exact(Metadata!E775,"not applicable"),exact(Metadata!E775,"missing: not collected"),exact(Metadata!E775,"missing: not provided"),exact(Metadata!E775,"missing: restricted access"))),AND(IF(Metadata!E775="",FALSE,ISNUMBER(VALUE(Metadata!E775))),Metadata!E775&gt;0))</f>
        <v>0</v>
      </c>
      <c r="Z775">
        <f>AND(IF(Metadata!F775="",FALSE,TRUE),exact(Metadata!F775,"weeks"))</f>
        <v>0</v>
      </c>
      <c r="AA775">
        <f>AND(IF(Metadata!G775="",FALSE,TRUE),exact(Metadata!G775,"mouse"))</f>
        <v>0</v>
      </c>
      <c r="AB775">
        <f>AND(IF(Metadata!H775="",FALSE,TRUE),exact(Metadata!H775,"Mus musculus"))</f>
        <v>0</v>
      </c>
      <c r="AC775">
        <f>AND(IF(Metadata!I775="",FALSE,TRUE),exact(Metadata!I775,"10090"))</f>
        <v>0</v>
      </c>
      <c r="AD775">
        <f>OR(AND(IF(Metadata!J775="",FALSE,TRUE),OR(exact(Metadata!J775,"not applicable"),exact(Metadata!J775,"missing: not collected"),exact(Metadata!J775,"missing: not provided"),exact(Metadata!J775,"missing: restricted access"))),AND(IF(Metadata!J775="",FALSE,ISNUMBER(VALUE(Metadata!J775))),Metadata!J775&gt;0))</f>
        <v>0</v>
      </c>
      <c r="AE775">
        <f>AND(IF(Metadata!K775="",FALSE,TRUE),exact(Metadata!K775,"g"))</f>
        <v>0</v>
      </c>
    </row>
    <row r="776" spans="1:31">
      <c r="A776" s="5">
        <f>IF(B776=" "," ",HYPERLINK(CONCATENATE("#metadata!",ADDRESS(INDEX($Q$2:$Q$1001,MATCH(ROWS($O$2:O776),$O$2:$O$1001,0),0),1)),INDEX($T$2:$T$1001,MATCH(ROWS($O$2:O776),$O$2:$O$1001,0),0)))</f>
        <v>0</v>
      </c>
      <c r="B776" s="4">
        <f>IF(OR(INDEX($P$2:$P$1001,MATCH(ROWS($O$2:O776),$O$2:$O$1001,0),1)&gt;=100000,INDEX($V$1005:$AE$1005,1,MATCH(COLUMNS($V$1006:V1006),$V$1006:$AE$1006,0))&gt;=100000), " ",IF(INDEX($V$2:$AE$1001,MATCH(ROWS($O$2:O776),$O$2:$O$1001,0),MATCH(COLUMNS($V$1006:V1006),$V$1006:$AE$1006,0)), HYPERLINK("#",""), HYPERLINK(CONCATENATE("#Metadata!", ADDRESS(INDEX($Q$2:$Q$1001,MATCH(ROWS($O$2:O776),$O$2:$O$1001,0),0), INDEX($V$1004:$AE$1004,1,MATCH(COLUMNS($V$1006:V1006),$V$1006:$AE$1006,0)))),"Fix")))</f>
        <v>0</v>
      </c>
      <c r="C776" s="4">
        <f>IF(OR(INDEX($P$2:$P$1001,MATCH(ROWS($O$2:O776),$O$2:$O$1001,0),1)&gt;=100000,INDEX($V$1005:$AE$1005,1,MATCH(COLUMNS($V$1006:W1006),$V$1006:$AE$1006,0))&gt;=100000), " ",IF(INDEX($V$2:$AE$1001,MATCH(ROWS($O$2:O776),$O$2:$O$1001,0),MATCH(COLUMNS($V$1006:W1006),$V$1006:$AE$1006,0)), HYPERLINK("#",""), HYPERLINK(CONCATENATE("#Metadata!", ADDRESS(INDEX($Q$2:$Q$1001,MATCH(ROWS($O$2:O776),$O$2:$O$1001,0),0), INDEX($V$1004:$AE$1004,1,MATCH(COLUMNS($V$1006:W1006),$V$1006:$AE$1006,0)))),"Fix")))</f>
        <v>0</v>
      </c>
      <c r="D776" s="4">
        <f>IF(OR(INDEX($P$2:$P$1001,MATCH(ROWS($O$2:O776),$O$2:$O$1001,0),1)&gt;=100000,INDEX($V$1005:$AE$1005,1,MATCH(COLUMNS($V$1006:X1006),$V$1006:$AE$1006,0))&gt;=100000), " ",IF(INDEX($V$2:$AE$1001,MATCH(ROWS($O$2:O776),$O$2:$O$1001,0),MATCH(COLUMNS($V$1006:X1006),$V$1006:$AE$1006,0)), HYPERLINK("#",""), HYPERLINK(CONCATENATE("#Metadata!", ADDRESS(INDEX($Q$2:$Q$1001,MATCH(ROWS($O$2:O776),$O$2:$O$1001,0),0), INDEX($V$1004:$AE$1004,1,MATCH(COLUMNS($V$1006:X1006),$V$1006:$AE$1006,0)))),"Fix")))</f>
        <v>0</v>
      </c>
      <c r="E776" s="4">
        <f>IF(OR(INDEX($P$2:$P$1001,MATCH(ROWS($O$2:O776),$O$2:$O$1001,0),1)&gt;=100000,INDEX($V$1005:$AE$1005,1,MATCH(COLUMNS($V$1006:Y1006),$V$1006:$AE$1006,0))&gt;=100000), " ",IF(INDEX($V$2:$AE$1001,MATCH(ROWS($O$2:O776),$O$2:$O$1001,0),MATCH(COLUMNS($V$1006:Y1006),$V$1006:$AE$1006,0)), HYPERLINK("#",""), HYPERLINK(CONCATENATE("#Metadata!", ADDRESS(INDEX($Q$2:$Q$1001,MATCH(ROWS($O$2:O776),$O$2:$O$1001,0),0), INDEX($V$1004:$AE$1004,1,MATCH(COLUMNS($V$1006:Y1006),$V$1006:$AE$1006,0)))),"Fix")))</f>
        <v>0</v>
      </c>
      <c r="F776" s="4">
        <f>IF(OR(INDEX($P$2:$P$1001,MATCH(ROWS($O$2:O776),$O$2:$O$1001,0),1)&gt;=100000,INDEX($V$1005:$AE$1005,1,MATCH(COLUMNS($V$1006:Z1006),$V$1006:$AE$1006,0))&gt;=100000), " ",IF(INDEX($V$2:$AE$1001,MATCH(ROWS($O$2:O776),$O$2:$O$1001,0),MATCH(COLUMNS($V$1006:Z1006),$V$1006:$AE$1006,0)), HYPERLINK("#",""), HYPERLINK(CONCATENATE("#Metadata!", ADDRESS(INDEX($Q$2:$Q$1001,MATCH(ROWS($O$2:O776),$O$2:$O$1001,0),0), INDEX($V$1004:$AE$1004,1,MATCH(COLUMNS($V$1006:Z1006),$V$1006:$AE$1006,0)))),"Fix")))</f>
        <v>0</v>
      </c>
      <c r="G776" s="4">
        <f>IF(OR(INDEX($P$2:$P$1001,MATCH(ROWS($O$2:O776),$O$2:$O$1001,0),1)&gt;=100000,INDEX($V$1005:$AE$1005,1,MATCH(COLUMNS($V$1006:AA1006),$V$1006:$AE$1006,0))&gt;=100000), " ",IF(INDEX($V$2:$AE$1001,MATCH(ROWS($O$2:O776),$O$2:$O$1001,0),MATCH(COLUMNS($V$1006:AA1006),$V$1006:$AE$1006,0)), HYPERLINK("#",""), HYPERLINK(CONCATENATE("#Metadata!", ADDRESS(INDEX($Q$2:$Q$1001,MATCH(ROWS($O$2:O776),$O$2:$O$1001,0),0), INDEX($V$1004:$AE$1004,1,MATCH(COLUMNS($V$1006:AA1006),$V$1006:$AE$1006,0)))),"Fix")))</f>
        <v>0</v>
      </c>
      <c r="H776" s="4">
        <f>IF(OR(INDEX($P$2:$P$1001,MATCH(ROWS($O$2:O776),$O$2:$O$1001,0),1)&gt;=100000,INDEX($V$1005:$AE$1005,1,MATCH(COLUMNS($V$1006:AB1006),$V$1006:$AE$1006,0))&gt;=100000), " ",IF(INDEX($V$2:$AE$1001,MATCH(ROWS($O$2:O776),$O$2:$O$1001,0),MATCH(COLUMNS($V$1006:AB1006),$V$1006:$AE$1006,0)), HYPERLINK("#",""), HYPERLINK(CONCATENATE("#Metadata!", ADDRESS(INDEX($Q$2:$Q$1001,MATCH(ROWS($O$2:O776),$O$2:$O$1001,0),0), INDEX($V$1004:$AE$1004,1,MATCH(COLUMNS($V$1006:AB1006),$V$1006:$AE$1006,0)))),"Fix")))</f>
        <v>0</v>
      </c>
      <c r="I776" s="4">
        <f>IF(OR(INDEX($P$2:$P$1001,MATCH(ROWS($O$2:O776),$O$2:$O$1001,0),1)&gt;=100000,INDEX($V$1005:$AE$1005,1,MATCH(COLUMNS($V$1006:AC1006),$V$1006:$AE$1006,0))&gt;=100000), " ",IF(INDEX($V$2:$AE$1001,MATCH(ROWS($O$2:O776),$O$2:$O$1001,0),MATCH(COLUMNS($V$1006:AC1006),$V$1006:$AE$1006,0)), HYPERLINK("#",""), HYPERLINK(CONCATENATE("#Metadata!", ADDRESS(INDEX($Q$2:$Q$1001,MATCH(ROWS($O$2:O776),$O$2:$O$1001,0),0), INDEX($V$1004:$AE$1004,1,MATCH(COLUMNS($V$1006:AC1006),$V$1006:$AE$1006,0)))),"Fix")))</f>
        <v>0</v>
      </c>
      <c r="J776" s="4">
        <f>IF(OR(INDEX($P$2:$P$1001,MATCH(ROWS($O$2:O776),$O$2:$O$1001,0),1)&gt;=100000,INDEX($V$1005:$AE$1005,1,MATCH(COLUMNS($V$1006:AD1006),$V$1006:$AE$1006,0))&gt;=100000), " ",IF(INDEX($V$2:$AE$1001,MATCH(ROWS($O$2:O776),$O$2:$O$1001,0),MATCH(COLUMNS($V$1006:AD1006),$V$1006:$AE$1006,0)), HYPERLINK("#",""), HYPERLINK(CONCATENATE("#Metadata!", ADDRESS(INDEX($Q$2:$Q$1001,MATCH(ROWS($O$2:O776),$O$2:$O$1001,0),0), INDEX($V$1004:$AE$1004,1,MATCH(COLUMNS($V$1006:AD1006),$V$1006:$AE$1006,0)))),"Fix")))</f>
        <v>0</v>
      </c>
      <c r="K776" s="4">
        <f>IF(OR(INDEX($P$2:$P$1001,MATCH(ROWS($O$2:O776),$O$2:$O$1001,0),1)&gt;=100000,INDEX($V$1005:$AE$1005,1,MATCH(COLUMNS($V$1006:AE1006),$V$1006:$AE$1006,0))&gt;=100000), " ",IF(INDEX($V$2:$AE$1001,MATCH(ROWS($O$2:O776),$O$2:$O$1001,0),MATCH(COLUMNS($V$1006:AE1006),$V$1006:$AE$1006,0)), HYPERLINK("#",""), HYPERLINK(CONCATENATE("#Metadata!", ADDRESS(INDEX($Q$2:$Q$1001,MATCH(ROWS($O$2:O776),$O$2:$O$1001,0),0), INDEX($V$1004:$AE$1004,1,MATCH(COLUMNS($V$1006:AE1006),$V$1006:$AE$1006,0)))),"Fix")))</f>
        <v>0</v>
      </c>
      <c r="O776">
        <v>0</v>
      </c>
      <c r="P776">
        <v>0</v>
      </c>
      <c r="Q776">
        <v>0</v>
      </c>
      <c r="R776">
        <f>IF(S776,TRUE,AND(V776:AE776))</f>
        <v>0</v>
      </c>
      <c r="S776">
        <f>COUNTBLANK(Metadata!B776:K776)=COLUMNS(Metadata!B776:K776)</f>
        <v>0</v>
      </c>
      <c r="T776">
        <v>0</v>
      </c>
      <c r="V776">
        <f>AND(IF(Metadata!B776="",FALSE,TRUE),COUNTIF(Metadata!B:B, Metadata!B776) = 1,NOT(ISERROR(SUMPRODUCT(SEARCH(MID(Metadata!B776,ROW(INDIRECT("1:"&amp;LEN(Metadata!B776))), 1),"0123456789abcdefghijklmnopqrstuvwxyzABCDEFGHIJKLMNOPQRSTUVWXYZ.")))))</f>
        <v>0</v>
      </c>
      <c r="W776">
        <f>AND(IF(Metadata!C776="",FALSE,TRUE),exact(Metadata!C776,"urban biome"))</f>
        <v>0</v>
      </c>
      <c r="X776">
        <f>AND(IF(Metadata!D776="",FALSE,TRUE),exact(Metadata!D776,"animal-associated habitat"))</f>
        <v>0</v>
      </c>
      <c r="Y776">
        <f>OR(AND(IF(Metadata!E776="",FALSE,TRUE),OR(exact(Metadata!E776,"not applicable"),exact(Metadata!E776,"missing: not collected"),exact(Metadata!E776,"missing: not provided"),exact(Metadata!E776,"missing: restricted access"))),AND(IF(Metadata!E776="",FALSE,ISNUMBER(VALUE(Metadata!E776))),Metadata!E776&gt;0))</f>
        <v>0</v>
      </c>
      <c r="Z776">
        <f>AND(IF(Metadata!F776="",FALSE,TRUE),exact(Metadata!F776,"weeks"))</f>
        <v>0</v>
      </c>
      <c r="AA776">
        <f>AND(IF(Metadata!G776="",FALSE,TRUE),exact(Metadata!G776,"mouse"))</f>
        <v>0</v>
      </c>
      <c r="AB776">
        <f>AND(IF(Metadata!H776="",FALSE,TRUE),exact(Metadata!H776,"Mus musculus"))</f>
        <v>0</v>
      </c>
      <c r="AC776">
        <f>AND(IF(Metadata!I776="",FALSE,TRUE),exact(Metadata!I776,"10090"))</f>
        <v>0</v>
      </c>
      <c r="AD776">
        <f>OR(AND(IF(Metadata!J776="",FALSE,TRUE),OR(exact(Metadata!J776,"not applicable"),exact(Metadata!J776,"missing: not collected"),exact(Metadata!J776,"missing: not provided"),exact(Metadata!J776,"missing: restricted access"))),AND(IF(Metadata!J776="",FALSE,ISNUMBER(VALUE(Metadata!J776))),Metadata!J776&gt;0))</f>
        <v>0</v>
      </c>
      <c r="AE776">
        <f>AND(IF(Metadata!K776="",FALSE,TRUE),exact(Metadata!K776,"g"))</f>
        <v>0</v>
      </c>
    </row>
    <row r="777" spans="1:31">
      <c r="A777" s="5">
        <f>IF(B777=" "," ",HYPERLINK(CONCATENATE("#metadata!",ADDRESS(INDEX($Q$2:$Q$1001,MATCH(ROWS($O$2:O777),$O$2:$O$1001,0),0),1)),INDEX($T$2:$T$1001,MATCH(ROWS($O$2:O777),$O$2:$O$1001,0),0)))</f>
        <v>0</v>
      </c>
      <c r="B777" s="4">
        <f>IF(OR(INDEX($P$2:$P$1001,MATCH(ROWS($O$2:O777),$O$2:$O$1001,0),1)&gt;=100000,INDEX($V$1005:$AE$1005,1,MATCH(COLUMNS($V$1006:V1006),$V$1006:$AE$1006,0))&gt;=100000), " ",IF(INDEX($V$2:$AE$1001,MATCH(ROWS($O$2:O777),$O$2:$O$1001,0),MATCH(COLUMNS($V$1006:V1006),$V$1006:$AE$1006,0)), HYPERLINK("#",""), HYPERLINK(CONCATENATE("#Metadata!", ADDRESS(INDEX($Q$2:$Q$1001,MATCH(ROWS($O$2:O777),$O$2:$O$1001,0),0), INDEX($V$1004:$AE$1004,1,MATCH(COLUMNS($V$1006:V1006),$V$1006:$AE$1006,0)))),"Fix")))</f>
        <v>0</v>
      </c>
      <c r="C777" s="4">
        <f>IF(OR(INDEX($P$2:$P$1001,MATCH(ROWS($O$2:O777),$O$2:$O$1001,0),1)&gt;=100000,INDEX($V$1005:$AE$1005,1,MATCH(COLUMNS($V$1006:W1006),$V$1006:$AE$1006,0))&gt;=100000), " ",IF(INDEX($V$2:$AE$1001,MATCH(ROWS($O$2:O777),$O$2:$O$1001,0),MATCH(COLUMNS($V$1006:W1006),$V$1006:$AE$1006,0)), HYPERLINK("#",""), HYPERLINK(CONCATENATE("#Metadata!", ADDRESS(INDEX($Q$2:$Q$1001,MATCH(ROWS($O$2:O777),$O$2:$O$1001,0),0), INDEX($V$1004:$AE$1004,1,MATCH(COLUMNS($V$1006:W1006),$V$1006:$AE$1006,0)))),"Fix")))</f>
        <v>0</v>
      </c>
      <c r="D777" s="4">
        <f>IF(OR(INDEX($P$2:$P$1001,MATCH(ROWS($O$2:O777),$O$2:$O$1001,0),1)&gt;=100000,INDEX($V$1005:$AE$1005,1,MATCH(COLUMNS($V$1006:X1006),$V$1006:$AE$1006,0))&gt;=100000), " ",IF(INDEX($V$2:$AE$1001,MATCH(ROWS($O$2:O777),$O$2:$O$1001,0),MATCH(COLUMNS($V$1006:X1006),$V$1006:$AE$1006,0)), HYPERLINK("#",""), HYPERLINK(CONCATENATE("#Metadata!", ADDRESS(INDEX($Q$2:$Q$1001,MATCH(ROWS($O$2:O777),$O$2:$O$1001,0),0), INDEX($V$1004:$AE$1004,1,MATCH(COLUMNS($V$1006:X1006),$V$1006:$AE$1006,0)))),"Fix")))</f>
        <v>0</v>
      </c>
      <c r="E777" s="4">
        <f>IF(OR(INDEX($P$2:$P$1001,MATCH(ROWS($O$2:O777),$O$2:$O$1001,0),1)&gt;=100000,INDEX($V$1005:$AE$1005,1,MATCH(COLUMNS($V$1006:Y1006),$V$1006:$AE$1006,0))&gt;=100000), " ",IF(INDEX($V$2:$AE$1001,MATCH(ROWS($O$2:O777),$O$2:$O$1001,0),MATCH(COLUMNS($V$1006:Y1006),$V$1006:$AE$1006,0)), HYPERLINK("#",""), HYPERLINK(CONCATENATE("#Metadata!", ADDRESS(INDEX($Q$2:$Q$1001,MATCH(ROWS($O$2:O777),$O$2:$O$1001,0),0), INDEX($V$1004:$AE$1004,1,MATCH(COLUMNS($V$1006:Y1006),$V$1006:$AE$1006,0)))),"Fix")))</f>
        <v>0</v>
      </c>
      <c r="F777" s="4">
        <f>IF(OR(INDEX($P$2:$P$1001,MATCH(ROWS($O$2:O777),$O$2:$O$1001,0),1)&gt;=100000,INDEX($V$1005:$AE$1005,1,MATCH(COLUMNS($V$1006:Z1006),$V$1006:$AE$1006,0))&gt;=100000), " ",IF(INDEX($V$2:$AE$1001,MATCH(ROWS($O$2:O777),$O$2:$O$1001,0),MATCH(COLUMNS($V$1006:Z1006),$V$1006:$AE$1006,0)), HYPERLINK("#",""), HYPERLINK(CONCATENATE("#Metadata!", ADDRESS(INDEX($Q$2:$Q$1001,MATCH(ROWS($O$2:O777),$O$2:$O$1001,0),0), INDEX($V$1004:$AE$1004,1,MATCH(COLUMNS($V$1006:Z1006),$V$1006:$AE$1006,0)))),"Fix")))</f>
        <v>0</v>
      </c>
      <c r="G777" s="4">
        <f>IF(OR(INDEX($P$2:$P$1001,MATCH(ROWS($O$2:O777),$O$2:$O$1001,0),1)&gt;=100000,INDEX($V$1005:$AE$1005,1,MATCH(COLUMNS($V$1006:AA1006),$V$1006:$AE$1006,0))&gt;=100000), " ",IF(INDEX($V$2:$AE$1001,MATCH(ROWS($O$2:O777),$O$2:$O$1001,0),MATCH(COLUMNS($V$1006:AA1006),$V$1006:$AE$1006,0)), HYPERLINK("#",""), HYPERLINK(CONCATENATE("#Metadata!", ADDRESS(INDEX($Q$2:$Q$1001,MATCH(ROWS($O$2:O777),$O$2:$O$1001,0),0), INDEX($V$1004:$AE$1004,1,MATCH(COLUMNS($V$1006:AA1006),$V$1006:$AE$1006,0)))),"Fix")))</f>
        <v>0</v>
      </c>
      <c r="H777" s="4">
        <f>IF(OR(INDEX($P$2:$P$1001,MATCH(ROWS($O$2:O777),$O$2:$O$1001,0),1)&gt;=100000,INDEX($V$1005:$AE$1005,1,MATCH(COLUMNS($V$1006:AB1006),$V$1006:$AE$1006,0))&gt;=100000), " ",IF(INDEX($V$2:$AE$1001,MATCH(ROWS($O$2:O777),$O$2:$O$1001,0),MATCH(COLUMNS($V$1006:AB1006),$V$1006:$AE$1006,0)), HYPERLINK("#",""), HYPERLINK(CONCATENATE("#Metadata!", ADDRESS(INDEX($Q$2:$Q$1001,MATCH(ROWS($O$2:O777),$O$2:$O$1001,0),0), INDEX($V$1004:$AE$1004,1,MATCH(COLUMNS($V$1006:AB1006),$V$1006:$AE$1006,0)))),"Fix")))</f>
        <v>0</v>
      </c>
      <c r="I777" s="4">
        <f>IF(OR(INDEX($P$2:$P$1001,MATCH(ROWS($O$2:O777),$O$2:$O$1001,0),1)&gt;=100000,INDEX($V$1005:$AE$1005,1,MATCH(COLUMNS($V$1006:AC1006),$V$1006:$AE$1006,0))&gt;=100000), " ",IF(INDEX($V$2:$AE$1001,MATCH(ROWS($O$2:O777),$O$2:$O$1001,0),MATCH(COLUMNS($V$1006:AC1006),$V$1006:$AE$1006,0)), HYPERLINK("#",""), HYPERLINK(CONCATENATE("#Metadata!", ADDRESS(INDEX($Q$2:$Q$1001,MATCH(ROWS($O$2:O777),$O$2:$O$1001,0),0), INDEX($V$1004:$AE$1004,1,MATCH(COLUMNS($V$1006:AC1006),$V$1006:$AE$1006,0)))),"Fix")))</f>
        <v>0</v>
      </c>
      <c r="J777" s="4">
        <f>IF(OR(INDEX($P$2:$P$1001,MATCH(ROWS($O$2:O777),$O$2:$O$1001,0),1)&gt;=100000,INDEX($V$1005:$AE$1005,1,MATCH(COLUMNS($V$1006:AD1006),$V$1006:$AE$1006,0))&gt;=100000), " ",IF(INDEX($V$2:$AE$1001,MATCH(ROWS($O$2:O777),$O$2:$O$1001,0),MATCH(COLUMNS($V$1006:AD1006),$V$1006:$AE$1006,0)), HYPERLINK("#",""), HYPERLINK(CONCATENATE("#Metadata!", ADDRESS(INDEX($Q$2:$Q$1001,MATCH(ROWS($O$2:O777),$O$2:$O$1001,0),0), INDEX($V$1004:$AE$1004,1,MATCH(COLUMNS($V$1006:AD1006),$V$1006:$AE$1006,0)))),"Fix")))</f>
        <v>0</v>
      </c>
      <c r="K777" s="4">
        <f>IF(OR(INDEX($P$2:$P$1001,MATCH(ROWS($O$2:O777),$O$2:$O$1001,0),1)&gt;=100000,INDEX($V$1005:$AE$1005,1,MATCH(COLUMNS($V$1006:AE1006),$V$1006:$AE$1006,0))&gt;=100000), " ",IF(INDEX($V$2:$AE$1001,MATCH(ROWS($O$2:O777),$O$2:$O$1001,0),MATCH(COLUMNS($V$1006:AE1006),$V$1006:$AE$1006,0)), HYPERLINK("#",""), HYPERLINK(CONCATENATE("#Metadata!", ADDRESS(INDEX($Q$2:$Q$1001,MATCH(ROWS($O$2:O777),$O$2:$O$1001,0),0), INDEX($V$1004:$AE$1004,1,MATCH(COLUMNS($V$1006:AE1006),$V$1006:$AE$1006,0)))),"Fix")))</f>
        <v>0</v>
      </c>
      <c r="O777">
        <v>0</v>
      </c>
      <c r="P777">
        <v>0</v>
      </c>
      <c r="Q777">
        <v>0</v>
      </c>
      <c r="R777">
        <f>IF(S777,TRUE,AND(V777:AE777))</f>
        <v>0</v>
      </c>
      <c r="S777">
        <f>COUNTBLANK(Metadata!B777:K777)=COLUMNS(Metadata!B777:K777)</f>
        <v>0</v>
      </c>
      <c r="T777">
        <v>0</v>
      </c>
      <c r="V777">
        <f>AND(IF(Metadata!B777="",FALSE,TRUE),COUNTIF(Metadata!B:B, Metadata!B777) = 1,NOT(ISERROR(SUMPRODUCT(SEARCH(MID(Metadata!B777,ROW(INDIRECT("1:"&amp;LEN(Metadata!B777))), 1),"0123456789abcdefghijklmnopqrstuvwxyzABCDEFGHIJKLMNOPQRSTUVWXYZ.")))))</f>
        <v>0</v>
      </c>
      <c r="W777">
        <f>AND(IF(Metadata!C777="",FALSE,TRUE),exact(Metadata!C777,"urban biome"))</f>
        <v>0</v>
      </c>
      <c r="X777">
        <f>AND(IF(Metadata!D777="",FALSE,TRUE),exact(Metadata!D777,"animal-associated habitat"))</f>
        <v>0</v>
      </c>
      <c r="Y777">
        <f>OR(AND(IF(Metadata!E777="",FALSE,TRUE),OR(exact(Metadata!E777,"not applicable"),exact(Metadata!E777,"missing: not collected"),exact(Metadata!E777,"missing: not provided"),exact(Metadata!E777,"missing: restricted access"))),AND(IF(Metadata!E777="",FALSE,ISNUMBER(VALUE(Metadata!E777))),Metadata!E777&gt;0))</f>
        <v>0</v>
      </c>
      <c r="Z777">
        <f>AND(IF(Metadata!F777="",FALSE,TRUE),exact(Metadata!F777,"weeks"))</f>
        <v>0</v>
      </c>
      <c r="AA777">
        <f>AND(IF(Metadata!G777="",FALSE,TRUE),exact(Metadata!G777,"mouse"))</f>
        <v>0</v>
      </c>
      <c r="AB777">
        <f>AND(IF(Metadata!H777="",FALSE,TRUE),exact(Metadata!H777,"Mus musculus"))</f>
        <v>0</v>
      </c>
      <c r="AC777">
        <f>AND(IF(Metadata!I777="",FALSE,TRUE),exact(Metadata!I777,"10090"))</f>
        <v>0</v>
      </c>
      <c r="AD777">
        <f>OR(AND(IF(Metadata!J777="",FALSE,TRUE),OR(exact(Metadata!J777,"not applicable"),exact(Metadata!J777,"missing: not collected"),exact(Metadata!J777,"missing: not provided"),exact(Metadata!J777,"missing: restricted access"))),AND(IF(Metadata!J777="",FALSE,ISNUMBER(VALUE(Metadata!J777))),Metadata!J777&gt;0))</f>
        <v>0</v>
      </c>
      <c r="AE777">
        <f>AND(IF(Metadata!K777="",FALSE,TRUE),exact(Metadata!K777,"g"))</f>
        <v>0</v>
      </c>
    </row>
    <row r="778" spans="1:31">
      <c r="A778" s="5">
        <f>IF(B778=" "," ",HYPERLINK(CONCATENATE("#metadata!",ADDRESS(INDEX($Q$2:$Q$1001,MATCH(ROWS($O$2:O778),$O$2:$O$1001,0),0),1)),INDEX($T$2:$T$1001,MATCH(ROWS($O$2:O778),$O$2:$O$1001,0),0)))</f>
        <v>0</v>
      </c>
      <c r="B778" s="4">
        <f>IF(OR(INDEX($P$2:$P$1001,MATCH(ROWS($O$2:O778),$O$2:$O$1001,0),1)&gt;=100000,INDEX($V$1005:$AE$1005,1,MATCH(COLUMNS($V$1006:V1006),$V$1006:$AE$1006,0))&gt;=100000), " ",IF(INDEX($V$2:$AE$1001,MATCH(ROWS($O$2:O778),$O$2:$O$1001,0),MATCH(COLUMNS($V$1006:V1006),$V$1006:$AE$1006,0)), HYPERLINK("#",""), HYPERLINK(CONCATENATE("#Metadata!", ADDRESS(INDEX($Q$2:$Q$1001,MATCH(ROWS($O$2:O778),$O$2:$O$1001,0),0), INDEX($V$1004:$AE$1004,1,MATCH(COLUMNS($V$1006:V1006),$V$1006:$AE$1006,0)))),"Fix")))</f>
        <v>0</v>
      </c>
      <c r="C778" s="4">
        <f>IF(OR(INDEX($P$2:$P$1001,MATCH(ROWS($O$2:O778),$O$2:$O$1001,0),1)&gt;=100000,INDEX($V$1005:$AE$1005,1,MATCH(COLUMNS($V$1006:W1006),$V$1006:$AE$1006,0))&gt;=100000), " ",IF(INDEX($V$2:$AE$1001,MATCH(ROWS($O$2:O778),$O$2:$O$1001,0),MATCH(COLUMNS($V$1006:W1006),$V$1006:$AE$1006,0)), HYPERLINK("#",""), HYPERLINK(CONCATENATE("#Metadata!", ADDRESS(INDEX($Q$2:$Q$1001,MATCH(ROWS($O$2:O778),$O$2:$O$1001,0),0), INDEX($V$1004:$AE$1004,1,MATCH(COLUMNS($V$1006:W1006),$V$1006:$AE$1006,0)))),"Fix")))</f>
        <v>0</v>
      </c>
      <c r="D778" s="4">
        <f>IF(OR(INDEX($P$2:$P$1001,MATCH(ROWS($O$2:O778),$O$2:$O$1001,0),1)&gt;=100000,INDEX($V$1005:$AE$1005,1,MATCH(COLUMNS($V$1006:X1006),$V$1006:$AE$1006,0))&gt;=100000), " ",IF(INDEX($V$2:$AE$1001,MATCH(ROWS($O$2:O778),$O$2:$O$1001,0),MATCH(COLUMNS($V$1006:X1006),$V$1006:$AE$1006,0)), HYPERLINK("#",""), HYPERLINK(CONCATENATE("#Metadata!", ADDRESS(INDEX($Q$2:$Q$1001,MATCH(ROWS($O$2:O778),$O$2:$O$1001,0),0), INDEX($V$1004:$AE$1004,1,MATCH(COLUMNS($V$1006:X1006),$V$1006:$AE$1006,0)))),"Fix")))</f>
        <v>0</v>
      </c>
      <c r="E778" s="4">
        <f>IF(OR(INDEX($P$2:$P$1001,MATCH(ROWS($O$2:O778),$O$2:$O$1001,0),1)&gt;=100000,INDEX($V$1005:$AE$1005,1,MATCH(COLUMNS($V$1006:Y1006),$V$1006:$AE$1006,0))&gt;=100000), " ",IF(INDEX($V$2:$AE$1001,MATCH(ROWS($O$2:O778),$O$2:$O$1001,0),MATCH(COLUMNS($V$1006:Y1006),$V$1006:$AE$1006,0)), HYPERLINK("#",""), HYPERLINK(CONCATENATE("#Metadata!", ADDRESS(INDEX($Q$2:$Q$1001,MATCH(ROWS($O$2:O778),$O$2:$O$1001,0),0), INDEX($V$1004:$AE$1004,1,MATCH(COLUMNS($V$1006:Y1006),$V$1006:$AE$1006,0)))),"Fix")))</f>
        <v>0</v>
      </c>
      <c r="F778" s="4">
        <f>IF(OR(INDEX($P$2:$P$1001,MATCH(ROWS($O$2:O778),$O$2:$O$1001,0),1)&gt;=100000,INDEX($V$1005:$AE$1005,1,MATCH(COLUMNS($V$1006:Z1006),$V$1006:$AE$1006,0))&gt;=100000), " ",IF(INDEX($V$2:$AE$1001,MATCH(ROWS($O$2:O778),$O$2:$O$1001,0),MATCH(COLUMNS($V$1006:Z1006),$V$1006:$AE$1006,0)), HYPERLINK("#",""), HYPERLINK(CONCATENATE("#Metadata!", ADDRESS(INDEX($Q$2:$Q$1001,MATCH(ROWS($O$2:O778),$O$2:$O$1001,0),0), INDEX($V$1004:$AE$1004,1,MATCH(COLUMNS($V$1006:Z1006),$V$1006:$AE$1006,0)))),"Fix")))</f>
        <v>0</v>
      </c>
      <c r="G778" s="4">
        <f>IF(OR(INDEX($P$2:$P$1001,MATCH(ROWS($O$2:O778),$O$2:$O$1001,0),1)&gt;=100000,INDEX($V$1005:$AE$1005,1,MATCH(COLUMNS($V$1006:AA1006),$V$1006:$AE$1006,0))&gt;=100000), " ",IF(INDEX($V$2:$AE$1001,MATCH(ROWS($O$2:O778),$O$2:$O$1001,0),MATCH(COLUMNS($V$1006:AA1006),$V$1006:$AE$1006,0)), HYPERLINK("#",""), HYPERLINK(CONCATENATE("#Metadata!", ADDRESS(INDEX($Q$2:$Q$1001,MATCH(ROWS($O$2:O778),$O$2:$O$1001,0),0), INDEX($V$1004:$AE$1004,1,MATCH(COLUMNS($V$1006:AA1006),$V$1006:$AE$1006,0)))),"Fix")))</f>
        <v>0</v>
      </c>
      <c r="H778" s="4">
        <f>IF(OR(INDEX($P$2:$P$1001,MATCH(ROWS($O$2:O778),$O$2:$O$1001,0),1)&gt;=100000,INDEX($V$1005:$AE$1005,1,MATCH(COLUMNS($V$1006:AB1006),$V$1006:$AE$1006,0))&gt;=100000), " ",IF(INDEX($V$2:$AE$1001,MATCH(ROWS($O$2:O778),$O$2:$O$1001,0),MATCH(COLUMNS($V$1006:AB1006),$V$1006:$AE$1006,0)), HYPERLINK("#",""), HYPERLINK(CONCATENATE("#Metadata!", ADDRESS(INDEX($Q$2:$Q$1001,MATCH(ROWS($O$2:O778),$O$2:$O$1001,0),0), INDEX($V$1004:$AE$1004,1,MATCH(COLUMNS($V$1006:AB1006),$V$1006:$AE$1006,0)))),"Fix")))</f>
        <v>0</v>
      </c>
      <c r="I778" s="4">
        <f>IF(OR(INDEX($P$2:$P$1001,MATCH(ROWS($O$2:O778),$O$2:$O$1001,0),1)&gt;=100000,INDEX($V$1005:$AE$1005,1,MATCH(COLUMNS($V$1006:AC1006),$V$1006:$AE$1006,0))&gt;=100000), " ",IF(INDEX($V$2:$AE$1001,MATCH(ROWS($O$2:O778),$O$2:$O$1001,0),MATCH(COLUMNS($V$1006:AC1006),$V$1006:$AE$1006,0)), HYPERLINK("#",""), HYPERLINK(CONCATENATE("#Metadata!", ADDRESS(INDEX($Q$2:$Q$1001,MATCH(ROWS($O$2:O778),$O$2:$O$1001,0),0), INDEX($V$1004:$AE$1004,1,MATCH(COLUMNS($V$1006:AC1006),$V$1006:$AE$1006,0)))),"Fix")))</f>
        <v>0</v>
      </c>
      <c r="J778" s="4">
        <f>IF(OR(INDEX($P$2:$P$1001,MATCH(ROWS($O$2:O778),$O$2:$O$1001,0),1)&gt;=100000,INDEX($V$1005:$AE$1005,1,MATCH(COLUMNS($V$1006:AD1006),$V$1006:$AE$1006,0))&gt;=100000), " ",IF(INDEX($V$2:$AE$1001,MATCH(ROWS($O$2:O778),$O$2:$O$1001,0),MATCH(COLUMNS($V$1006:AD1006),$V$1006:$AE$1006,0)), HYPERLINK("#",""), HYPERLINK(CONCATENATE("#Metadata!", ADDRESS(INDEX($Q$2:$Q$1001,MATCH(ROWS($O$2:O778),$O$2:$O$1001,0),0), INDEX($V$1004:$AE$1004,1,MATCH(COLUMNS($V$1006:AD1006),$V$1006:$AE$1006,0)))),"Fix")))</f>
        <v>0</v>
      </c>
      <c r="K778" s="4">
        <f>IF(OR(INDEX($P$2:$P$1001,MATCH(ROWS($O$2:O778),$O$2:$O$1001,0),1)&gt;=100000,INDEX($V$1005:$AE$1005,1,MATCH(COLUMNS($V$1006:AE1006),$V$1006:$AE$1006,0))&gt;=100000), " ",IF(INDEX($V$2:$AE$1001,MATCH(ROWS($O$2:O778),$O$2:$O$1001,0),MATCH(COLUMNS($V$1006:AE1006),$V$1006:$AE$1006,0)), HYPERLINK("#",""), HYPERLINK(CONCATENATE("#Metadata!", ADDRESS(INDEX($Q$2:$Q$1001,MATCH(ROWS($O$2:O778),$O$2:$O$1001,0),0), INDEX($V$1004:$AE$1004,1,MATCH(COLUMNS($V$1006:AE1006),$V$1006:$AE$1006,0)))),"Fix")))</f>
        <v>0</v>
      </c>
      <c r="O778">
        <v>0</v>
      </c>
      <c r="P778">
        <v>0</v>
      </c>
      <c r="Q778">
        <v>0</v>
      </c>
      <c r="R778">
        <f>IF(S778,TRUE,AND(V778:AE778))</f>
        <v>0</v>
      </c>
      <c r="S778">
        <f>COUNTBLANK(Metadata!B778:K778)=COLUMNS(Metadata!B778:K778)</f>
        <v>0</v>
      </c>
      <c r="T778">
        <v>0</v>
      </c>
      <c r="V778">
        <f>AND(IF(Metadata!B778="",FALSE,TRUE),COUNTIF(Metadata!B:B, Metadata!B778) = 1,NOT(ISERROR(SUMPRODUCT(SEARCH(MID(Metadata!B778,ROW(INDIRECT("1:"&amp;LEN(Metadata!B778))), 1),"0123456789abcdefghijklmnopqrstuvwxyzABCDEFGHIJKLMNOPQRSTUVWXYZ.")))))</f>
        <v>0</v>
      </c>
      <c r="W778">
        <f>AND(IF(Metadata!C778="",FALSE,TRUE),exact(Metadata!C778,"urban biome"))</f>
        <v>0</v>
      </c>
      <c r="X778">
        <f>AND(IF(Metadata!D778="",FALSE,TRUE),exact(Metadata!D778,"animal-associated habitat"))</f>
        <v>0</v>
      </c>
      <c r="Y778">
        <f>OR(AND(IF(Metadata!E778="",FALSE,TRUE),OR(exact(Metadata!E778,"not applicable"),exact(Metadata!E778,"missing: not collected"),exact(Metadata!E778,"missing: not provided"),exact(Metadata!E778,"missing: restricted access"))),AND(IF(Metadata!E778="",FALSE,ISNUMBER(VALUE(Metadata!E778))),Metadata!E778&gt;0))</f>
        <v>0</v>
      </c>
      <c r="Z778">
        <f>AND(IF(Metadata!F778="",FALSE,TRUE),exact(Metadata!F778,"weeks"))</f>
        <v>0</v>
      </c>
      <c r="AA778">
        <f>AND(IF(Metadata!G778="",FALSE,TRUE),exact(Metadata!G778,"mouse"))</f>
        <v>0</v>
      </c>
      <c r="AB778">
        <f>AND(IF(Metadata!H778="",FALSE,TRUE),exact(Metadata!H778,"Mus musculus"))</f>
        <v>0</v>
      </c>
      <c r="AC778">
        <f>AND(IF(Metadata!I778="",FALSE,TRUE),exact(Metadata!I778,"10090"))</f>
        <v>0</v>
      </c>
      <c r="AD778">
        <f>OR(AND(IF(Metadata!J778="",FALSE,TRUE),OR(exact(Metadata!J778,"not applicable"),exact(Metadata!J778,"missing: not collected"),exact(Metadata!J778,"missing: not provided"),exact(Metadata!J778,"missing: restricted access"))),AND(IF(Metadata!J778="",FALSE,ISNUMBER(VALUE(Metadata!J778))),Metadata!J778&gt;0))</f>
        <v>0</v>
      </c>
      <c r="AE778">
        <f>AND(IF(Metadata!K778="",FALSE,TRUE),exact(Metadata!K778,"g"))</f>
        <v>0</v>
      </c>
    </row>
    <row r="779" spans="1:31">
      <c r="A779" s="5">
        <f>IF(B779=" "," ",HYPERLINK(CONCATENATE("#metadata!",ADDRESS(INDEX($Q$2:$Q$1001,MATCH(ROWS($O$2:O779),$O$2:$O$1001,0),0),1)),INDEX($T$2:$T$1001,MATCH(ROWS($O$2:O779),$O$2:$O$1001,0),0)))</f>
        <v>0</v>
      </c>
      <c r="B779" s="4">
        <f>IF(OR(INDEX($P$2:$P$1001,MATCH(ROWS($O$2:O779),$O$2:$O$1001,0),1)&gt;=100000,INDEX($V$1005:$AE$1005,1,MATCH(COLUMNS($V$1006:V1006),$V$1006:$AE$1006,0))&gt;=100000), " ",IF(INDEX($V$2:$AE$1001,MATCH(ROWS($O$2:O779),$O$2:$O$1001,0),MATCH(COLUMNS($V$1006:V1006),$V$1006:$AE$1006,0)), HYPERLINK("#",""), HYPERLINK(CONCATENATE("#Metadata!", ADDRESS(INDEX($Q$2:$Q$1001,MATCH(ROWS($O$2:O779),$O$2:$O$1001,0),0), INDEX($V$1004:$AE$1004,1,MATCH(COLUMNS($V$1006:V1006),$V$1006:$AE$1006,0)))),"Fix")))</f>
        <v>0</v>
      </c>
      <c r="C779" s="4">
        <f>IF(OR(INDEX($P$2:$P$1001,MATCH(ROWS($O$2:O779),$O$2:$O$1001,0),1)&gt;=100000,INDEX($V$1005:$AE$1005,1,MATCH(COLUMNS($V$1006:W1006),$V$1006:$AE$1006,0))&gt;=100000), " ",IF(INDEX($V$2:$AE$1001,MATCH(ROWS($O$2:O779),$O$2:$O$1001,0),MATCH(COLUMNS($V$1006:W1006),$V$1006:$AE$1006,0)), HYPERLINK("#",""), HYPERLINK(CONCATENATE("#Metadata!", ADDRESS(INDEX($Q$2:$Q$1001,MATCH(ROWS($O$2:O779),$O$2:$O$1001,0),0), INDEX($V$1004:$AE$1004,1,MATCH(COLUMNS($V$1006:W1006),$V$1006:$AE$1006,0)))),"Fix")))</f>
        <v>0</v>
      </c>
      <c r="D779" s="4">
        <f>IF(OR(INDEX($P$2:$P$1001,MATCH(ROWS($O$2:O779),$O$2:$O$1001,0),1)&gt;=100000,INDEX($V$1005:$AE$1005,1,MATCH(COLUMNS($V$1006:X1006),$V$1006:$AE$1006,0))&gt;=100000), " ",IF(INDEX($V$2:$AE$1001,MATCH(ROWS($O$2:O779),$O$2:$O$1001,0),MATCH(COLUMNS($V$1006:X1006),$V$1006:$AE$1006,0)), HYPERLINK("#",""), HYPERLINK(CONCATENATE("#Metadata!", ADDRESS(INDEX($Q$2:$Q$1001,MATCH(ROWS($O$2:O779),$O$2:$O$1001,0),0), INDEX($V$1004:$AE$1004,1,MATCH(COLUMNS($V$1006:X1006),$V$1006:$AE$1006,0)))),"Fix")))</f>
        <v>0</v>
      </c>
      <c r="E779" s="4">
        <f>IF(OR(INDEX($P$2:$P$1001,MATCH(ROWS($O$2:O779),$O$2:$O$1001,0),1)&gt;=100000,INDEX($V$1005:$AE$1005,1,MATCH(COLUMNS($V$1006:Y1006),$V$1006:$AE$1006,0))&gt;=100000), " ",IF(INDEX($V$2:$AE$1001,MATCH(ROWS($O$2:O779),$O$2:$O$1001,0),MATCH(COLUMNS($V$1006:Y1006),$V$1006:$AE$1006,0)), HYPERLINK("#",""), HYPERLINK(CONCATENATE("#Metadata!", ADDRESS(INDEX($Q$2:$Q$1001,MATCH(ROWS($O$2:O779),$O$2:$O$1001,0),0), INDEX($V$1004:$AE$1004,1,MATCH(COLUMNS($V$1006:Y1006),$V$1006:$AE$1006,0)))),"Fix")))</f>
        <v>0</v>
      </c>
      <c r="F779" s="4">
        <f>IF(OR(INDEX($P$2:$P$1001,MATCH(ROWS($O$2:O779),$O$2:$O$1001,0),1)&gt;=100000,INDEX($V$1005:$AE$1005,1,MATCH(COLUMNS($V$1006:Z1006),$V$1006:$AE$1006,0))&gt;=100000), " ",IF(INDEX($V$2:$AE$1001,MATCH(ROWS($O$2:O779),$O$2:$O$1001,0),MATCH(COLUMNS($V$1006:Z1006),$V$1006:$AE$1006,0)), HYPERLINK("#",""), HYPERLINK(CONCATENATE("#Metadata!", ADDRESS(INDEX($Q$2:$Q$1001,MATCH(ROWS($O$2:O779),$O$2:$O$1001,0),0), INDEX($V$1004:$AE$1004,1,MATCH(COLUMNS($V$1006:Z1006),$V$1006:$AE$1006,0)))),"Fix")))</f>
        <v>0</v>
      </c>
      <c r="G779" s="4">
        <f>IF(OR(INDEX($P$2:$P$1001,MATCH(ROWS($O$2:O779),$O$2:$O$1001,0),1)&gt;=100000,INDEX($V$1005:$AE$1005,1,MATCH(COLUMNS($V$1006:AA1006),$V$1006:$AE$1006,0))&gt;=100000), " ",IF(INDEX($V$2:$AE$1001,MATCH(ROWS($O$2:O779),$O$2:$O$1001,0),MATCH(COLUMNS($V$1006:AA1006),$V$1006:$AE$1006,0)), HYPERLINK("#",""), HYPERLINK(CONCATENATE("#Metadata!", ADDRESS(INDEX($Q$2:$Q$1001,MATCH(ROWS($O$2:O779),$O$2:$O$1001,0),0), INDEX($V$1004:$AE$1004,1,MATCH(COLUMNS($V$1006:AA1006),$V$1006:$AE$1006,0)))),"Fix")))</f>
        <v>0</v>
      </c>
      <c r="H779" s="4">
        <f>IF(OR(INDEX($P$2:$P$1001,MATCH(ROWS($O$2:O779),$O$2:$O$1001,0),1)&gt;=100000,INDEX($V$1005:$AE$1005,1,MATCH(COLUMNS($V$1006:AB1006),$V$1006:$AE$1006,0))&gt;=100000), " ",IF(INDEX($V$2:$AE$1001,MATCH(ROWS($O$2:O779),$O$2:$O$1001,0),MATCH(COLUMNS($V$1006:AB1006),$V$1006:$AE$1006,0)), HYPERLINK("#",""), HYPERLINK(CONCATENATE("#Metadata!", ADDRESS(INDEX($Q$2:$Q$1001,MATCH(ROWS($O$2:O779),$O$2:$O$1001,0),0), INDEX($V$1004:$AE$1004,1,MATCH(COLUMNS($V$1006:AB1006),$V$1006:$AE$1006,0)))),"Fix")))</f>
        <v>0</v>
      </c>
      <c r="I779" s="4">
        <f>IF(OR(INDEX($P$2:$P$1001,MATCH(ROWS($O$2:O779),$O$2:$O$1001,0),1)&gt;=100000,INDEX($V$1005:$AE$1005,1,MATCH(COLUMNS($V$1006:AC1006),$V$1006:$AE$1006,0))&gt;=100000), " ",IF(INDEX($V$2:$AE$1001,MATCH(ROWS($O$2:O779),$O$2:$O$1001,0),MATCH(COLUMNS($V$1006:AC1006),$V$1006:$AE$1006,0)), HYPERLINK("#",""), HYPERLINK(CONCATENATE("#Metadata!", ADDRESS(INDEX($Q$2:$Q$1001,MATCH(ROWS($O$2:O779),$O$2:$O$1001,0),0), INDEX($V$1004:$AE$1004,1,MATCH(COLUMNS($V$1006:AC1006),$V$1006:$AE$1006,0)))),"Fix")))</f>
        <v>0</v>
      </c>
      <c r="J779" s="4">
        <f>IF(OR(INDEX($P$2:$P$1001,MATCH(ROWS($O$2:O779),$O$2:$O$1001,0),1)&gt;=100000,INDEX($V$1005:$AE$1005,1,MATCH(COLUMNS($V$1006:AD1006),$V$1006:$AE$1006,0))&gt;=100000), " ",IF(INDEX($V$2:$AE$1001,MATCH(ROWS($O$2:O779),$O$2:$O$1001,0),MATCH(COLUMNS($V$1006:AD1006),$V$1006:$AE$1006,0)), HYPERLINK("#",""), HYPERLINK(CONCATENATE("#Metadata!", ADDRESS(INDEX($Q$2:$Q$1001,MATCH(ROWS($O$2:O779),$O$2:$O$1001,0),0), INDEX($V$1004:$AE$1004,1,MATCH(COLUMNS($V$1006:AD1006),$V$1006:$AE$1006,0)))),"Fix")))</f>
        <v>0</v>
      </c>
      <c r="K779" s="4">
        <f>IF(OR(INDEX($P$2:$P$1001,MATCH(ROWS($O$2:O779),$O$2:$O$1001,0),1)&gt;=100000,INDEX($V$1005:$AE$1005,1,MATCH(COLUMNS($V$1006:AE1006),$V$1006:$AE$1006,0))&gt;=100000), " ",IF(INDEX($V$2:$AE$1001,MATCH(ROWS($O$2:O779),$O$2:$O$1001,0),MATCH(COLUMNS($V$1006:AE1006),$V$1006:$AE$1006,0)), HYPERLINK("#",""), HYPERLINK(CONCATENATE("#Metadata!", ADDRESS(INDEX($Q$2:$Q$1001,MATCH(ROWS($O$2:O779),$O$2:$O$1001,0),0), INDEX($V$1004:$AE$1004,1,MATCH(COLUMNS($V$1006:AE1006),$V$1006:$AE$1006,0)))),"Fix")))</f>
        <v>0</v>
      </c>
      <c r="O779">
        <v>0</v>
      </c>
      <c r="P779">
        <v>0</v>
      </c>
      <c r="Q779">
        <v>0</v>
      </c>
      <c r="R779">
        <f>IF(S779,TRUE,AND(V779:AE779))</f>
        <v>0</v>
      </c>
      <c r="S779">
        <f>COUNTBLANK(Metadata!B779:K779)=COLUMNS(Metadata!B779:K779)</f>
        <v>0</v>
      </c>
      <c r="T779">
        <v>0</v>
      </c>
      <c r="V779">
        <f>AND(IF(Metadata!B779="",FALSE,TRUE),COUNTIF(Metadata!B:B, Metadata!B779) = 1,NOT(ISERROR(SUMPRODUCT(SEARCH(MID(Metadata!B779,ROW(INDIRECT("1:"&amp;LEN(Metadata!B779))), 1),"0123456789abcdefghijklmnopqrstuvwxyzABCDEFGHIJKLMNOPQRSTUVWXYZ.")))))</f>
        <v>0</v>
      </c>
      <c r="W779">
        <f>AND(IF(Metadata!C779="",FALSE,TRUE),exact(Metadata!C779,"urban biome"))</f>
        <v>0</v>
      </c>
      <c r="X779">
        <f>AND(IF(Metadata!D779="",FALSE,TRUE),exact(Metadata!D779,"animal-associated habitat"))</f>
        <v>0</v>
      </c>
      <c r="Y779">
        <f>OR(AND(IF(Metadata!E779="",FALSE,TRUE),OR(exact(Metadata!E779,"not applicable"),exact(Metadata!E779,"missing: not collected"),exact(Metadata!E779,"missing: not provided"),exact(Metadata!E779,"missing: restricted access"))),AND(IF(Metadata!E779="",FALSE,ISNUMBER(VALUE(Metadata!E779))),Metadata!E779&gt;0))</f>
        <v>0</v>
      </c>
      <c r="Z779">
        <f>AND(IF(Metadata!F779="",FALSE,TRUE),exact(Metadata!F779,"weeks"))</f>
        <v>0</v>
      </c>
      <c r="AA779">
        <f>AND(IF(Metadata!G779="",FALSE,TRUE),exact(Metadata!G779,"mouse"))</f>
        <v>0</v>
      </c>
      <c r="AB779">
        <f>AND(IF(Metadata!H779="",FALSE,TRUE),exact(Metadata!H779,"Mus musculus"))</f>
        <v>0</v>
      </c>
      <c r="AC779">
        <f>AND(IF(Metadata!I779="",FALSE,TRUE),exact(Metadata!I779,"10090"))</f>
        <v>0</v>
      </c>
      <c r="AD779">
        <f>OR(AND(IF(Metadata!J779="",FALSE,TRUE),OR(exact(Metadata!J779,"not applicable"),exact(Metadata!J779,"missing: not collected"),exact(Metadata!J779,"missing: not provided"),exact(Metadata!J779,"missing: restricted access"))),AND(IF(Metadata!J779="",FALSE,ISNUMBER(VALUE(Metadata!J779))),Metadata!J779&gt;0))</f>
        <v>0</v>
      </c>
      <c r="AE779">
        <f>AND(IF(Metadata!K779="",FALSE,TRUE),exact(Metadata!K779,"g"))</f>
        <v>0</v>
      </c>
    </row>
    <row r="780" spans="1:31">
      <c r="A780" s="5">
        <f>IF(B780=" "," ",HYPERLINK(CONCATENATE("#metadata!",ADDRESS(INDEX($Q$2:$Q$1001,MATCH(ROWS($O$2:O780),$O$2:$O$1001,0),0),1)),INDEX($T$2:$T$1001,MATCH(ROWS($O$2:O780),$O$2:$O$1001,0),0)))</f>
        <v>0</v>
      </c>
      <c r="B780" s="4">
        <f>IF(OR(INDEX($P$2:$P$1001,MATCH(ROWS($O$2:O780),$O$2:$O$1001,0),1)&gt;=100000,INDEX($V$1005:$AE$1005,1,MATCH(COLUMNS($V$1006:V1006),$V$1006:$AE$1006,0))&gt;=100000), " ",IF(INDEX($V$2:$AE$1001,MATCH(ROWS($O$2:O780),$O$2:$O$1001,0),MATCH(COLUMNS($V$1006:V1006),$V$1006:$AE$1006,0)), HYPERLINK("#",""), HYPERLINK(CONCATENATE("#Metadata!", ADDRESS(INDEX($Q$2:$Q$1001,MATCH(ROWS($O$2:O780),$O$2:$O$1001,0),0), INDEX($V$1004:$AE$1004,1,MATCH(COLUMNS($V$1006:V1006),$V$1006:$AE$1006,0)))),"Fix")))</f>
        <v>0</v>
      </c>
      <c r="C780" s="4">
        <f>IF(OR(INDEX($P$2:$P$1001,MATCH(ROWS($O$2:O780),$O$2:$O$1001,0),1)&gt;=100000,INDEX($V$1005:$AE$1005,1,MATCH(COLUMNS($V$1006:W1006),$V$1006:$AE$1006,0))&gt;=100000), " ",IF(INDEX($V$2:$AE$1001,MATCH(ROWS($O$2:O780),$O$2:$O$1001,0),MATCH(COLUMNS($V$1006:W1006),$V$1006:$AE$1006,0)), HYPERLINK("#",""), HYPERLINK(CONCATENATE("#Metadata!", ADDRESS(INDEX($Q$2:$Q$1001,MATCH(ROWS($O$2:O780),$O$2:$O$1001,0),0), INDEX($V$1004:$AE$1004,1,MATCH(COLUMNS($V$1006:W1006),$V$1006:$AE$1006,0)))),"Fix")))</f>
        <v>0</v>
      </c>
      <c r="D780" s="4">
        <f>IF(OR(INDEX($P$2:$P$1001,MATCH(ROWS($O$2:O780),$O$2:$O$1001,0),1)&gt;=100000,INDEX($V$1005:$AE$1005,1,MATCH(COLUMNS($V$1006:X1006),$V$1006:$AE$1006,0))&gt;=100000), " ",IF(INDEX($V$2:$AE$1001,MATCH(ROWS($O$2:O780),$O$2:$O$1001,0),MATCH(COLUMNS($V$1006:X1006),$V$1006:$AE$1006,0)), HYPERLINK("#",""), HYPERLINK(CONCATENATE("#Metadata!", ADDRESS(INDEX($Q$2:$Q$1001,MATCH(ROWS($O$2:O780),$O$2:$O$1001,0),0), INDEX($V$1004:$AE$1004,1,MATCH(COLUMNS($V$1006:X1006),$V$1006:$AE$1006,0)))),"Fix")))</f>
        <v>0</v>
      </c>
      <c r="E780" s="4">
        <f>IF(OR(INDEX($P$2:$P$1001,MATCH(ROWS($O$2:O780),$O$2:$O$1001,0),1)&gt;=100000,INDEX($V$1005:$AE$1005,1,MATCH(COLUMNS($V$1006:Y1006),$V$1006:$AE$1006,0))&gt;=100000), " ",IF(INDEX($V$2:$AE$1001,MATCH(ROWS($O$2:O780),$O$2:$O$1001,0),MATCH(COLUMNS($V$1006:Y1006),$V$1006:$AE$1006,0)), HYPERLINK("#",""), HYPERLINK(CONCATENATE("#Metadata!", ADDRESS(INDEX($Q$2:$Q$1001,MATCH(ROWS($O$2:O780),$O$2:$O$1001,0),0), INDEX($V$1004:$AE$1004,1,MATCH(COLUMNS($V$1006:Y1006),$V$1006:$AE$1006,0)))),"Fix")))</f>
        <v>0</v>
      </c>
      <c r="F780" s="4">
        <f>IF(OR(INDEX($P$2:$P$1001,MATCH(ROWS($O$2:O780),$O$2:$O$1001,0),1)&gt;=100000,INDEX($V$1005:$AE$1005,1,MATCH(COLUMNS($V$1006:Z1006),$V$1006:$AE$1006,0))&gt;=100000), " ",IF(INDEX($V$2:$AE$1001,MATCH(ROWS($O$2:O780),$O$2:$O$1001,0),MATCH(COLUMNS($V$1006:Z1006),$V$1006:$AE$1006,0)), HYPERLINK("#",""), HYPERLINK(CONCATENATE("#Metadata!", ADDRESS(INDEX($Q$2:$Q$1001,MATCH(ROWS($O$2:O780),$O$2:$O$1001,0),0), INDEX($V$1004:$AE$1004,1,MATCH(COLUMNS($V$1006:Z1006),$V$1006:$AE$1006,0)))),"Fix")))</f>
        <v>0</v>
      </c>
      <c r="G780" s="4">
        <f>IF(OR(INDEX($P$2:$P$1001,MATCH(ROWS($O$2:O780),$O$2:$O$1001,0),1)&gt;=100000,INDEX($V$1005:$AE$1005,1,MATCH(COLUMNS($V$1006:AA1006),$V$1006:$AE$1006,0))&gt;=100000), " ",IF(INDEX($V$2:$AE$1001,MATCH(ROWS($O$2:O780),$O$2:$O$1001,0),MATCH(COLUMNS($V$1006:AA1006),$V$1006:$AE$1006,0)), HYPERLINK("#",""), HYPERLINK(CONCATENATE("#Metadata!", ADDRESS(INDEX($Q$2:$Q$1001,MATCH(ROWS($O$2:O780),$O$2:$O$1001,0),0), INDEX($V$1004:$AE$1004,1,MATCH(COLUMNS($V$1006:AA1006),$V$1006:$AE$1006,0)))),"Fix")))</f>
        <v>0</v>
      </c>
      <c r="H780" s="4">
        <f>IF(OR(INDEX($P$2:$P$1001,MATCH(ROWS($O$2:O780),$O$2:$O$1001,0),1)&gt;=100000,INDEX($V$1005:$AE$1005,1,MATCH(COLUMNS($V$1006:AB1006),$V$1006:$AE$1006,0))&gt;=100000), " ",IF(INDEX($V$2:$AE$1001,MATCH(ROWS($O$2:O780),$O$2:$O$1001,0),MATCH(COLUMNS($V$1006:AB1006),$V$1006:$AE$1006,0)), HYPERLINK("#",""), HYPERLINK(CONCATENATE("#Metadata!", ADDRESS(INDEX($Q$2:$Q$1001,MATCH(ROWS($O$2:O780),$O$2:$O$1001,0),0), INDEX($V$1004:$AE$1004,1,MATCH(COLUMNS($V$1006:AB1006),$V$1006:$AE$1006,0)))),"Fix")))</f>
        <v>0</v>
      </c>
      <c r="I780" s="4">
        <f>IF(OR(INDEX($P$2:$P$1001,MATCH(ROWS($O$2:O780),$O$2:$O$1001,0),1)&gt;=100000,INDEX($V$1005:$AE$1005,1,MATCH(COLUMNS($V$1006:AC1006),$V$1006:$AE$1006,0))&gt;=100000), " ",IF(INDEX($V$2:$AE$1001,MATCH(ROWS($O$2:O780),$O$2:$O$1001,0),MATCH(COLUMNS($V$1006:AC1006),$V$1006:$AE$1006,0)), HYPERLINK("#",""), HYPERLINK(CONCATENATE("#Metadata!", ADDRESS(INDEX($Q$2:$Q$1001,MATCH(ROWS($O$2:O780),$O$2:$O$1001,0),0), INDEX($V$1004:$AE$1004,1,MATCH(COLUMNS($V$1006:AC1006),$V$1006:$AE$1006,0)))),"Fix")))</f>
        <v>0</v>
      </c>
      <c r="J780" s="4">
        <f>IF(OR(INDEX($P$2:$P$1001,MATCH(ROWS($O$2:O780),$O$2:$O$1001,0),1)&gt;=100000,INDEX($V$1005:$AE$1005,1,MATCH(COLUMNS($V$1006:AD1006),$V$1006:$AE$1006,0))&gt;=100000), " ",IF(INDEX($V$2:$AE$1001,MATCH(ROWS($O$2:O780),$O$2:$O$1001,0),MATCH(COLUMNS($V$1006:AD1006),$V$1006:$AE$1006,0)), HYPERLINK("#",""), HYPERLINK(CONCATENATE("#Metadata!", ADDRESS(INDEX($Q$2:$Q$1001,MATCH(ROWS($O$2:O780),$O$2:$O$1001,0),0), INDEX($V$1004:$AE$1004,1,MATCH(COLUMNS($V$1006:AD1006),$V$1006:$AE$1006,0)))),"Fix")))</f>
        <v>0</v>
      </c>
      <c r="K780" s="4">
        <f>IF(OR(INDEX($P$2:$P$1001,MATCH(ROWS($O$2:O780),$O$2:$O$1001,0),1)&gt;=100000,INDEX($V$1005:$AE$1005,1,MATCH(COLUMNS($V$1006:AE1006),$V$1006:$AE$1006,0))&gt;=100000), " ",IF(INDEX($V$2:$AE$1001,MATCH(ROWS($O$2:O780),$O$2:$O$1001,0),MATCH(COLUMNS($V$1006:AE1006),$V$1006:$AE$1006,0)), HYPERLINK("#",""), HYPERLINK(CONCATENATE("#Metadata!", ADDRESS(INDEX($Q$2:$Q$1001,MATCH(ROWS($O$2:O780),$O$2:$O$1001,0),0), INDEX($V$1004:$AE$1004,1,MATCH(COLUMNS($V$1006:AE1006),$V$1006:$AE$1006,0)))),"Fix")))</f>
        <v>0</v>
      </c>
      <c r="O780">
        <v>0</v>
      </c>
      <c r="P780">
        <v>0</v>
      </c>
      <c r="Q780">
        <v>0</v>
      </c>
      <c r="R780">
        <f>IF(S780,TRUE,AND(V780:AE780))</f>
        <v>0</v>
      </c>
      <c r="S780">
        <f>COUNTBLANK(Metadata!B780:K780)=COLUMNS(Metadata!B780:K780)</f>
        <v>0</v>
      </c>
      <c r="T780">
        <v>0</v>
      </c>
      <c r="V780">
        <f>AND(IF(Metadata!B780="",FALSE,TRUE),COUNTIF(Metadata!B:B, Metadata!B780) = 1,NOT(ISERROR(SUMPRODUCT(SEARCH(MID(Metadata!B780,ROW(INDIRECT("1:"&amp;LEN(Metadata!B780))), 1),"0123456789abcdefghijklmnopqrstuvwxyzABCDEFGHIJKLMNOPQRSTUVWXYZ.")))))</f>
        <v>0</v>
      </c>
      <c r="W780">
        <f>AND(IF(Metadata!C780="",FALSE,TRUE),exact(Metadata!C780,"urban biome"))</f>
        <v>0</v>
      </c>
      <c r="X780">
        <f>AND(IF(Metadata!D780="",FALSE,TRUE),exact(Metadata!D780,"animal-associated habitat"))</f>
        <v>0</v>
      </c>
      <c r="Y780">
        <f>OR(AND(IF(Metadata!E780="",FALSE,TRUE),OR(exact(Metadata!E780,"not applicable"),exact(Metadata!E780,"missing: not collected"),exact(Metadata!E780,"missing: not provided"),exact(Metadata!E780,"missing: restricted access"))),AND(IF(Metadata!E780="",FALSE,ISNUMBER(VALUE(Metadata!E780))),Metadata!E780&gt;0))</f>
        <v>0</v>
      </c>
      <c r="Z780">
        <f>AND(IF(Metadata!F780="",FALSE,TRUE),exact(Metadata!F780,"weeks"))</f>
        <v>0</v>
      </c>
      <c r="AA780">
        <f>AND(IF(Metadata!G780="",FALSE,TRUE),exact(Metadata!G780,"mouse"))</f>
        <v>0</v>
      </c>
      <c r="AB780">
        <f>AND(IF(Metadata!H780="",FALSE,TRUE),exact(Metadata!H780,"Mus musculus"))</f>
        <v>0</v>
      </c>
      <c r="AC780">
        <f>AND(IF(Metadata!I780="",FALSE,TRUE),exact(Metadata!I780,"10090"))</f>
        <v>0</v>
      </c>
      <c r="AD780">
        <f>OR(AND(IF(Metadata!J780="",FALSE,TRUE),OR(exact(Metadata!J780,"not applicable"),exact(Metadata!J780,"missing: not collected"),exact(Metadata!J780,"missing: not provided"),exact(Metadata!J780,"missing: restricted access"))),AND(IF(Metadata!J780="",FALSE,ISNUMBER(VALUE(Metadata!J780))),Metadata!J780&gt;0))</f>
        <v>0</v>
      </c>
      <c r="AE780">
        <f>AND(IF(Metadata!K780="",FALSE,TRUE),exact(Metadata!K780,"g"))</f>
        <v>0</v>
      </c>
    </row>
    <row r="781" spans="1:31">
      <c r="A781" s="5">
        <f>IF(B781=" "," ",HYPERLINK(CONCATENATE("#metadata!",ADDRESS(INDEX($Q$2:$Q$1001,MATCH(ROWS($O$2:O781),$O$2:$O$1001,0),0),1)),INDEX($T$2:$T$1001,MATCH(ROWS($O$2:O781),$O$2:$O$1001,0),0)))</f>
        <v>0</v>
      </c>
      <c r="B781" s="4">
        <f>IF(OR(INDEX($P$2:$P$1001,MATCH(ROWS($O$2:O781),$O$2:$O$1001,0),1)&gt;=100000,INDEX($V$1005:$AE$1005,1,MATCH(COLUMNS($V$1006:V1006),$V$1006:$AE$1006,0))&gt;=100000), " ",IF(INDEX($V$2:$AE$1001,MATCH(ROWS($O$2:O781),$O$2:$O$1001,0),MATCH(COLUMNS($V$1006:V1006),$V$1006:$AE$1006,0)), HYPERLINK("#",""), HYPERLINK(CONCATENATE("#Metadata!", ADDRESS(INDEX($Q$2:$Q$1001,MATCH(ROWS($O$2:O781),$O$2:$O$1001,0),0), INDEX($V$1004:$AE$1004,1,MATCH(COLUMNS($V$1006:V1006),$V$1006:$AE$1006,0)))),"Fix")))</f>
        <v>0</v>
      </c>
      <c r="C781" s="4">
        <f>IF(OR(INDEX($P$2:$P$1001,MATCH(ROWS($O$2:O781),$O$2:$O$1001,0),1)&gt;=100000,INDEX($V$1005:$AE$1005,1,MATCH(COLUMNS($V$1006:W1006),$V$1006:$AE$1006,0))&gt;=100000), " ",IF(INDEX($V$2:$AE$1001,MATCH(ROWS($O$2:O781),$O$2:$O$1001,0),MATCH(COLUMNS($V$1006:W1006),$V$1006:$AE$1006,0)), HYPERLINK("#",""), HYPERLINK(CONCATENATE("#Metadata!", ADDRESS(INDEX($Q$2:$Q$1001,MATCH(ROWS($O$2:O781),$O$2:$O$1001,0),0), INDEX($V$1004:$AE$1004,1,MATCH(COLUMNS($V$1006:W1006),$V$1006:$AE$1006,0)))),"Fix")))</f>
        <v>0</v>
      </c>
      <c r="D781" s="4">
        <f>IF(OR(INDEX($P$2:$P$1001,MATCH(ROWS($O$2:O781),$O$2:$O$1001,0),1)&gt;=100000,INDEX($V$1005:$AE$1005,1,MATCH(COLUMNS($V$1006:X1006),$V$1006:$AE$1006,0))&gt;=100000), " ",IF(INDEX($V$2:$AE$1001,MATCH(ROWS($O$2:O781),$O$2:$O$1001,0),MATCH(COLUMNS($V$1006:X1006),$V$1006:$AE$1006,0)), HYPERLINK("#",""), HYPERLINK(CONCATENATE("#Metadata!", ADDRESS(INDEX($Q$2:$Q$1001,MATCH(ROWS($O$2:O781),$O$2:$O$1001,0),0), INDEX($V$1004:$AE$1004,1,MATCH(COLUMNS($V$1006:X1006),$V$1006:$AE$1006,0)))),"Fix")))</f>
        <v>0</v>
      </c>
      <c r="E781" s="4">
        <f>IF(OR(INDEX($P$2:$P$1001,MATCH(ROWS($O$2:O781),$O$2:$O$1001,0),1)&gt;=100000,INDEX($V$1005:$AE$1005,1,MATCH(COLUMNS($V$1006:Y1006),$V$1006:$AE$1006,0))&gt;=100000), " ",IF(INDEX($V$2:$AE$1001,MATCH(ROWS($O$2:O781),$O$2:$O$1001,0),MATCH(COLUMNS($V$1006:Y1006),$V$1006:$AE$1006,0)), HYPERLINK("#",""), HYPERLINK(CONCATENATE("#Metadata!", ADDRESS(INDEX($Q$2:$Q$1001,MATCH(ROWS($O$2:O781),$O$2:$O$1001,0),0), INDEX($V$1004:$AE$1004,1,MATCH(COLUMNS($V$1006:Y1006),$V$1006:$AE$1006,0)))),"Fix")))</f>
        <v>0</v>
      </c>
      <c r="F781" s="4">
        <f>IF(OR(INDEX($P$2:$P$1001,MATCH(ROWS($O$2:O781),$O$2:$O$1001,0),1)&gt;=100000,INDEX($V$1005:$AE$1005,1,MATCH(COLUMNS($V$1006:Z1006),$V$1006:$AE$1006,0))&gt;=100000), " ",IF(INDEX($V$2:$AE$1001,MATCH(ROWS($O$2:O781),$O$2:$O$1001,0),MATCH(COLUMNS($V$1006:Z1006),$V$1006:$AE$1006,0)), HYPERLINK("#",""), HYPERLINK(CONCATENATE("#Metadata!", ADDRESS(INDEX($Q$2:$Q$1001,MATCH(ROWS($O$2:O781),$O$2:$O$1001,0),0), INDEX($V$1004:$AE$1004,1,MATCH(COLUMNS($V$1006:Z1006),$V$1006:$AE$1006,0)))),"Fix")))</f>
        <v>0</v>
      </c>
      <c r="G781" s="4">
        <f>IF(OR(INDEX($P$2:$P$1001,MATCH(ROWS($O$2:O781),$O$2:$O$1001,0),1)&gt;=100000,INDEX($V$1005:$AE$1005,1,MATCH(COLUMNS($V$1006:AA1006),$V$1006:$AE$1006,0))&gt;=100000), " ",IF(INDEX($V$2:$AE$1001,MATCH(ROWS($O$2:O781),$O$2:$O$1001,0),MATCH(COLUMNS($V$1006:AA1006),$V$1006:$AE$1006,0)), HYPERLINK("#",""), HYPERLINK(CONCATENATE("#Metadata!", ADDRESS(INDEX($Q$2:$Q$1001,MATCH(ROWS($O$2:O781),$O$2:$O$1001,0),0), INDEX($V$1004:$AE$1004,1,MATCH(COLUMNS($V$1006:AA1006),$V$1006:$AE$1006,0)))),"Fix")))</f>
        <v>0</v>
      </c>
      <c r="H781" s="4">
        <f>IF(OR(INDEX($P$2:$P$1001,MATCH(ROWS($O$2:O781),$O$2:$O$1001,0),1)&gt;=100000,INDEX($V$1005:$AE$1005,1,MATCH(COLUMNS($V$1006:AB1006),$V$1006:$AE$1006,0))&gt;=100000), " ",IF(INDEX($V$2:$AE$1001,MATCH(ROWS($O$2:O781),$O$2:$O$1001,0),MATCH(COLUMNS($V$1006:AB1006),$V$1006:$AE$1006,0)), HYPERLINK("#",""), HYPERLINK(CONCATENATE("#Metadata!", ADDRESS(INDEX($Q$2:$Q$1001,MATCH(ROWS($O$2:O781),$O$2:$O$1001,0),0), INDEX($V$1004:$AE$1004,1,MATCH(COLUMNS($V$1006:AB1006),$V$1006:$AE$1006,0)))),"Fix")))</f>
        <v>0</v>
      </c>
      <c r="I781" s="4">
        <f>IF(OR(INDEX($P$2:$P$1001,MATCH(ROWS($O$2:O781),$O$2:$O$1001,0),1)&gt;=100000,INDEX($V$1005:$AE$1005,1,MATCH(COLUMNS($V$1006:AC1006),$V$1006:$AE$1006,0))&gt;=100000), " ",IF(INDEX($V$2:$AE$1001,MATCH(ROWS($O$2:O781),$O$2:$O$1001,0),MATCH(COLUMNS($V$1006:AC1006),$V$1006:$AE$1006,0)), HYPERLINK("#",""), HYPERLINK(CONCATENATE("#Metadata!", ADDRESS(INDEX($Q$2:$Q$1001,MATCH(ROWS($O$2:O781),$O$2:$O$1001,0),0), INDEX($V$1004:$AE$1004,1,MATCH(COLUMNS($V$1006:AC1006),$V$1006:$AE$1006,0)))),"Fix")))</f>
        <v>0</v>
      </c>
      <c r="J781" s="4">
        <f>IF(OR(INDEX($P$2:$P$1001,MATCH(ROWS($O$2:O781),$O$2:$O$1001,0),1)&gt;=100000,INDEX($V$1005:$AE$1005,1,MATCH(COLUMNS($V$1006:AD1006),$V$1006:$AE$1006,0))&gt;=100000), " ",IF(INDEX($V$2:$AE$1001,MATCH(ROWS($O$2:O781),$O$2:$O$1001,0),MATCH(COLUMNS($V$1006:AD1006),$V$1006:$AE$1006,0)), HYPERLINK("#",""), HYPERLINK(CONCATENATE("#Metadata!", ADDRESS(INDEX($Q$2:$Q$1001,MATCH(ROWS($O$2:O781),$O$2:$O$1001,0),0), INDEX($V$1004:$AE$1004,1,MATCH(COLUMNS($V$1006:AD1006),$V$1006:$AE$1006,0)))),"Fix")))</f>
        <v>0</v>
      </c>
      <c r="K781" s="4">
        <f>IF(OR(INDEX($P$2:$P$1001,MATCH(ROWS($O$2:O781),$O$2:$O$1001,0),1)&gt;=100000,INDEX($V$1005:$AE$1005,1,MATCH(COLUMNS($V$1006:AE1006),$V$1006:$AE$1006,0))&gt;=100000), " ",IF(INDEX($V$2:$AE$1001,MATCH(ROWS($O$2:O781),$O$2:$O$1001,0),MATCH(COLUMNS($V$1006:AE1006),$V$1006:$AE$1006,0)), HYPERLINK("#",""), HYPERLINK(CONCATENATE("#Metadata!", ADDRESS(INDEX($Q$2:$Q$1001,MATCH(ROWS($O$2:O781),$O$2:$O$1001,0),0), INDEX($V$1004:$AE$1004,1,MATCH(COLUMNS($V$1006:AE1006),$V$1006:$AE$1006,0)))),"Fix")))</f>
        <v>0</v>
      </c>
      <c r="O781">
        <v>0</v>
      </c>
      <c r="P781">
        <v>0</v>
      </c>
      <c r="Q781">
        <v>0</v>
      </c>
      <c r="R781">
        <f>IF(S781,TRUE,AND(V781:AE781))</f>
        <v>0</v>
      </c>
      <c r="S781">
        <f>COUNTBLANK(Metadata!B781:K781)=COLUMNS(Metadata!B781:K781)</f>
        <v>0</v>
      </c>
      <c r="T781">
        <v>0</v>
      </c>
      <c r="V781">
        <f>AND(IF(Metadata!B781="",FALSE,TRUE),COUNTIF(Metadata!B:B, Metadata!B781) = 1,NOT(ISERROR(SUMPRODUCT(SEARCH(MID(Metadata!B781,ROW(INDIRECT("1:"&amp;LEN(Metadata!B781))), 1),"0123456789abcdefghijklmnopqrstuvwxyzABCDEFGHIJKLMNOPQRSTUVWXYZ.")))))</f>
        <v>0</v>
      </c>
      <c r="W781">
        <f>AND(IF(Metadata!C781="",FALSE,TRUE),exact(Metadata!C781,"urban biome"))</f>
        <v>0</v>
      </c>
      <c r="X781">
        <f>AND(IF(Metadata!D781="",FALSE,TRUE),exact(Metadata!D781,"animal-associated habitat"))</f>
        <v>0</v>
      </c>
      <c r="Y781">
        <f>OR(AND(IF(Metadata!E781="",FALSE,TRUE),OR(exact(Metadata!E781,"not applicable"),exact(Metadata!E781,"missing: not collected"),exact(Metadata!E781,"missing: not provided"),exact(Metadata!E781,"missing: restricted access"))),AND(IF(Metadata!E781="",FALSE,ISNUMBER(VALUE(Metadata!E781))),Metadata!E781&gt;0))</f>
        <v>0</v>
      </c>
      <c r="Z781">
        <f>AND(IF(Metadata!F781="",FALSE,TRUE),exact(Metadata!F781,"weeks"))</f>
        <v>0</v>
      </c>
      <c r="AA781">
        <f>AND(IF(Metadata!G781="",FALSE,TRUE),exact(Metadata!G781,"mouse"))</f>
        <v>0</v>
      </c>
      <c r="AB781">
        <f>AND(IF(Metadata!H781="",FALSE,TRUE),exact(Metadata!H781,"Mus musculus"))</f>
        <v>0</v>
      </c>
      <c r="AC781">
        <f>AND(IF(Metadata!I781="",FALSE,TRUE),exact(Metadata!I781,"10090"))</f>
        <v>0</v>
      </c>
      <c r="AD781">
        <f>OR(AND(IF(Metadata!J781="",FALSE,TRUE),OR(exact(Metadata!J781,"not applicable"),exact(Metadata!J781,"missing: not collected"),exact(Metadata!J781,"missing: not provided"),exact(Metadata!J781,"missing: restricted access"))),AND(IF(Metadata!J781="",FALSE,ISNUMBER(VALUE(Metadata!J781))),Metadata!J781&gt;0))</f>
        <v>0</v>
      </c>
      <c r="AE781">
        <f>AND(IF(Metadata!K781="",FALSE,TRUE),exact(Metadata!K781,"g"))</f>
        <v>0</v>
      </c>
    </row>
    <row r="782" spans="1:31">
      <c r="A782" s="5">
        <f>IF(B782=" "," ",HYPERLINK(CONCATENATE("#metadata!",ADDRESS(INDEX($Q$2:$Q$1001,MATCH(ROWS($O$2:O782),$O$2:$O$1001,0),0),1)),INDEX($T$2:$T$1001,MATCH(ROWS($O$2:O782),$O$2:$O$1001,0),0)))</f>
        <v>0</v>
      </c>
      <c r="B782" s="4">
        <f>IF(OR(INDEX($P$2:$P$1001,MATCH(ROWS($O$2:O782),$O$2:$O$1001,0),1)&gt;=100000,INDEX($V$1005:$AE$1005,1,MATCH(COLUMNS($V$1006:V1006),$V$1006:$AE$1006,0))&gt;=100000), " ",IF(INDEX($V$2:$AE$1001,MATCH(ROWS($O$2:O782),$O$2:$O$1001,0),MATCH(COLUMNS($V$1006:V1006),$V$1006:$AE$1006,0)), HYPERLINK("#",""), HYPERLINK(CONCATENATE("#Metadata!", ADDRESS(INDEX($Q$2:$Q$1001,MATCH(ROWS($O$2:O782),$O$2:$O$1001,0),0), INDEX($V$1004:$AE$1004,1,MATCH(COLUMNS($V$1006:V1006),$V$1006:$AE$1006,0)))),"Fix")))</f>
        <v>0</v>
      </c>
      <c r="C782" s="4">
        <f>IF(OR(INDEX($P$2:$P$1001,MATCH(ROWS($O$2:O782),$O$2:$O$1001,0),1)&gt;=100000,INDEX($V$1005:$AE$1005,1,MATCH(COLUMNS($V$1006:W1006),$V$1006:$AE$1006,0))&gt;=100000), " ",IF(INDEX($V$2:$AE$1001,MATCH(ROWS($O$2:O782),$O$2:$O$1001,0),MATCH(COLUMNS($V$1006:W1006),$V$1006:$AE$1006,0)), HYPERLINK("#",""), HYPERLINK(CONCATENATE("#Metadata!", ADDRESS(INDEX($Q$2:$Q$1001,MATCH(ROWS($O$2:O782),$O$2:$O$1001,0),0), INDEX($V$1004:$AE$1004,1,MATCH(COLUMNS($V$1006:W1006),$V$1006:$AE$1006,0)))),"Fix")))</f>
        <v>0</v>
      </c>
      <c r="D782" s="4">
        <f>IF(OR(INDEX($P$2:$P$1001,MATCH(ROWS($O$2:O782),$O$2:$O$1001,0),1)&gt;=100000,INDEX($V$1005:$AE$1005,1,MATCH(COLUMNS($V$1006:X1006),$V$1006:$AE$1006,0))&gt;=100000), " ",IF(INDEX($V$2:$AE$1001,MATCH(ROWS($O$2:O782),$O$2:$O$1001,0),MATCH(COLUMNS($V$1006:X1006),$V$1006:$AE$1006,0)), HYPERLINK("#",""), HYPERLINK(CONCATENATE("#Metadata!", ADDRESS(INDEX($Q$2:$Q$1001,MATCH(ROWS($O$2:O782),$O$2:$O$1001,0),0), INDEX($V$1004:$AE$1004,1,MATCH(COLUMNS($V$1006:X1006),$V$1006:$AE$1006,0)))),"Fix")))</f>
        <v>0</v>
      </c>
      <c r="E782" s="4">
        <f>IF(OR(INDEX($P$2:$P$1001,MATCH(ROWS($O$2:O782),$O$2:$O$1001,0),1)&gt;=100000,INDEX($V$1005:$AE$1005,1,MATCH(COLUMNS($V$1006:Y1006),$V$1006:$AE$1006,0))&gt;=100000), " ",IF(INDEX($V$2:$AE$1001,MATCH(ROWS($O$2:O782),$O$2:$O$1001,0),MATCH(COLUMNS($V$1006:Y1006),$V$1006:$AE$1006,0)), HYPERLINK("#",""), HYPERLINK(CONCATENATE("#Metadata!", ADDRESS(INDEX($Q$2:$Q$1001,MATCH(ROWS($O$2:O782),$O$2:$O$1001,0),0), INDEX($V$1004:$AE$1004,1,MATCH(COLUMNS($V$1006:Y1006),$V$1006:$AE$1006,0)))),"Fix")))</f>
        <v>0</v>
      </c>
      <c r="F782" s="4">
        <f>IF(OR(INDEX($P$2:$P$1001,MATCH(ROWS($O$2:O782),$O$2:$O$1001,0),1)&gt;=100000,INDEX($V$1005:$AE$1005,1,MATCH(COLUMNS($V$1006:Z1006),$V$1006:$AE$1006,0))&gt;=100000), " ",IF(INDEX($V$2:$AE$1001,MATCH(ROWS($O$2:O782),$O$2:$O$1001,0),MATCH(COLUMNS($V$1006:Z1006),$V$1006:$AE$1006,0)), HYPERLINK("#",""), HYPERLINK(CONCATENATE("#Metadata!", ADDRESS(INDEX($Q$2:$Q$1001,MATCH(ROWS($O$2:O782),$O$2:$O$1001,0),0), INDEX($V$1004:$AE$1004,1,MATCH(COLUMNS($V$1006:Z1006),$V$1006:$AE$1006,0)))),"Fix")))</f>
        <v>0</v>
      </c>
      <c r="G782" s="4">
        <f>IF(OR(INDEX($P$2:$P$1001,MATCH(ROWS($O$2:O782),$O$2:$O$1001,0),1)&gt;=100000,INDEX($V$1005:$AE$1005,1,MATCH(COLUMNS($V$1006:AA1006),$V$1006:$AE$1006,0))&gt;=100000), " ",IF(INDEX($V$2:$AE$1001,MATCH(ROWS($O$2:O782),$O$2:$O$1001,0),MATCH(COLUMNS($V$1006:AA1006),$V$1006:$AE$1006,0)), HYPERLINK("#",""), HYPERLINK(CONCATENATE("#Metadata!", ADDRESS(INDEX($Q$2:$Q$1001,MATCH(ROWS($O$2:O782),$O$2:$O$1001,0),0), INDEX($V$1004:$AE$1004,1,MATCH(COLUMNS($V$1006:AA1006),$V$1006:$AE$1006,0)))),"Fix")))</f>
        <v>0</v>
      </c>
      <c r="H782" s="4">
        <f>IF(OR(INDEX($P$2:$P$1001,MATCH(ROWS($O$2:O782),$O$2:$O$1001,0),1)&gt;=100000,INDEX($V$1005:$AE$1005,1,MATCH(COLUMNS($V$1006:AB1006),$V$1006:$AE$1006,0))&gt;=100000), " ",IF(INDEX($V$2:$AE$1001,MATCH(ROWS($O$2:O782),$O$2:$O$1001,0),MATCH(COLUMNS($V$1006:AB1006),$V$1006:$AE$1006,0)), HYPERLINK("#",""), HYPERLINK(CONCATENATE("#Metadata!", ADDRESS(INDEX($Q$2:$Q$1001,MATCH(ROWS($O$2:O782),$O$2:$O$1001,0),0), INDEX($V$1004:$AE$1004,1,MATCH(COLUMNS($V$1006:AB1006),$V$1006:$AE$1006,0)))),"Fix")))</f>
        <v>0</v>
      </c>
      <c r="I782" s="4">
        <f>IF(OR(INDEX($P$2:$P$1001,MATCH(ROWS($O$2:O782),$O$2:$O$1001,0),1)&gt;=100000,INDEX($V$1005:$AE$1005,1,MATCH(COLUMNS($V$1006:AC1006),$V$1006:$AE$1006,0))&gt;=100000), " ",IF(INDEX($V$2:$AE$1001,MATCH(ROWS($O$2:O782),$O$2:$O$1001,0),MATCH(COLUMNS($V$1006:AC1006),$V$1006:$AE$1006,0)), HYPERLINK("#",""), HYPERLINK(CONCATENATE("#Metadata!", ADDRESS(INDEX($Q$2:$Q$1001,MATCH(ROWS($O$2:O782),$O$2:$O$1001,0),0), INDEX($V$1004:$AE$1004,1,MATCH(COLUMNS($V$1006:AC1006),$V$1006:$AE$1006,0)))),"Fix")))</f>
        <v>0</v>
      </c>
      <c r="J782" s="4">
        <f>IF(OR(INDEX($P$2:$P$1001,MATCH(ROWS($O$2:O782),$O$2:$O$1001,0),1)&gt;=100000,INDEX($V$1005:$AE$1005,1,MATCH(COLUMNS($V$1006:AD1006),$V$1006:$AE$1006,0))&gt;=100000), " ",IF(INDEX($V$2:$AE$1001,MATCH(ROWS($O$2:O782),$O$2:$O$1001,0),MATCH(COLUMNS($V$1006:AD1006),$V$1006:$AE$1006,0)), HYPERLINK("#",""), HYPERLINK(CONCATENATE("#Metadata!", ADDRESS(INDEX($Q$2:$Q$1001,MATCH(ROWS($O$2:O782),$O$2:$O$1001,0),0), INDEX($V$1004:$AE$1004,1,MATCH(COLUMNS($V$1006:AD1006),$V$1006:$AE$1006,0)))),"Fix")))</f>
        <v>0</v>
      </c>
      <c r="K782" s="4">
        <f>IF(OR(INDEX($P$2:$P$1001,MATCH(ROWS($O$2:O782),$O$2:$O$1001,0),1)&gt;=100000,INDEX($V$1005:$AE$1005,1,MATCH(COLUMNS($V$1006:AE1006),$V$1006:$AE$1006,0))&gt;=100000), " ",IF(INDEX($V$2:$AE$1001,MATCH(ROWS($O$2:O782),$O$2:$O$1001,0),MATCH(COLUMNS($V$1006:AE1006),$V$1006:$AE$1006,0)), HYPERLINK("#",""), HYPERLINK(CONCATENATE("#Metadata!", ADDRESS(INDEX($Q$2:$Q$1001,MATCH(ROWS($O$2:O782),$O$2:$O$1001,0),0), INDEX($V$1004:$AE$1004,1,MATCH(COLUMNS($V$1006:AE1006),$V$1006:$AE$1006,0)))),"Fix")))</f>
        <v>0</v>
      </c>
      <c r="O782">
        <v>0</v>
      </c>
      <c r="P782">
        <v>0</v>
      </c>
      <c r="Q782">
        <v>0</v>
      </c>
      <c r="R782">
        <f>IF(S782,TRUE,AND(V782:AE782))</f>
        <v>0</v>
      </c>
      <c r="S782">
        <f>COUNTBLANK(Metadata!B782:K782)=COLUMNS(Metadata!B782:K782)</f>
        <v>0</v>
      </c>
      <c r="T782">
        <v>0</v>
      </c>
      <c r="V782">
        <f>AND(IF(Metadata!B782="",FALSE,TRUE),COUNTIF(Metadata!B:B, Metadata!B782) = 1,NOT(ISERROR(SUMPRODUCT(SEARCH(MID(Metadata!B782,ROW(INDIRECT("1:"&amp;LEN(Metadata!B782))), 1),"0123456789abcdefghijklmnopqrstuvwxyzABCDEFGHIJKLMNOPQRSTUVWXYZ.")))))</f>
        <v>0</v>
      </c>
      <c r="W782">
        <f>AND(IF(Metadata!C782="",FALSE,TRUE),exact(Metadata!C782,"urban biome"))</f>
        <v>0</v>
      </c>
      <c r="X782">
        <f>AND(IF(Metadata!D782="",FALSE,TRUE),exact(Metadata!D782,"animal-associated habitat"))</f>
        <v>0</v>
      </c>
      <c r="Y782">
        <f>OR(AND(IF(Metadata!E782="",FALSE,TRUE),OR(exact(Metadata!E782,"not applicable"),exact(Metadata!E782,"missing: not collected"),exact(Metadata!E782,"missing: not provided"),exact(Metadata!E782,"missing: restricted access"))),AND(IF(Metadata!E782="",FALSE,ISNUMBER(VALUE(Metadata!E782))),Metadata!E782&gt;0))</f>
        <v>0</v>
      </c>
      <c r="Z782">
        <f>AND(IF(Metadata!F782="",FALSE,TRUE),exact(Metadata!F782,"weeks"))</f>
        <v>0</v>
      </c>
      <c r="AA782">
        <f>AND(IF(Metadata!G782="",FALSE,TRUE),exact(Metadata!G782,"mouse"))</f>
        <v>0</v>
      </c>
      <c r="AB782">
        <f>AND(IF(Metadata!H782="",FALSE,TRUE),exact(Metadata!H782,"Mus musculus"))</f>
        <v>0</v>
      </c>
      <c r="AC782">
        <f>AND(IF(Metadata!I782="",FALSE,TRUE),exact(Metadata!I782,"10090"))</f>
        <v>0</v>
      </c>
      <c r="AD782">
        <f>OR(AND(IF(Metadata!J782="",FALSE,TRUE),OR(exact(Metadata!J782,"not applicable"),exact(Metadata!J782,"missing: not collected"),exact(Metadata!J782,"missing: not provided"),exact(Metadata!J782,"missing: restricted access"))),AND(IF(Metadata!J782="",FALSE,ISNUMBER(VALUE(Metadata!J782))),Metadata!J782&gt;0))</f>
        <v>0</v>
      </c>
      <c r="AE782">
        <f>AND(IF(Metadata!K782="",FALSE,TRUE),exact(Metadata!K782,"g"))</f>
        <v>0</v>
      </c>
    </row>
    <row r="783" spans="1:31">
      <c r="A783" s="5">
        <f>IF(B783=" "," ",HYPERLINK(CONCATENATE("#metadata!",ADDRESS(INDEX($Q$2:$Q$1001,MATCH(ROWS($O$2:O783),$O$2:$O$1001,0),0),1)),INDEX($T$2:$T$1001,MATCH(ROWS($O$2:O783),$O$2:$O$1001,0),0)))</f>
        <v>0</v>
      </c>
      <c r="B783" s="4">
        <f>IF(OR(INDEX($P$2:$P$1001,MATCH(ROWS($O$2:O783),$O$2:$O$1001,0),1)&gt;=100000,INDEX($V$1005:$AE$1005,1,MATCH(COLUMNS($V$1006:V1006),$V$1006:$AE$1006,0))&gt;=100000), " ",IF(INDEX($V$2:$AE$1001,MATCH(ROWS($O$2:O783),$O$2:$O$1001,0),MATCH(COLUMNS($V$1006:V1006),$V$1006:$AE$1006,0)), HYPERLINK("#",""), HYPERLINK(CONCATENATE("#Metadata!", ADDRESS(INDEX($Q$2:$Q$1001,MATCH(ROWS($O$2:O783),$O$2:$O$1001,0),0), INDEX($V$1004:$AE$1004,1,MATCH(COLUMNS($V$1006:V1006),$V$1006:$AE$1006,0)))),"Fix")))</f>
        <v>0</v>
      </c>
      <c r="C783" s="4">
        <f>IF(OR(INDEX($P$2:$P$1001,MATCH(ROWS($O$2:O783),$O$2:$O$1001,0),1)&gt;=100000,INDEX($V$1005:$AE$1005,1,MATCH(COLUMNS($V$1006:W1006),$V$1006:$AE$1006,0))&gt;=100000), " ",IF(INDEX($V$2:$AE$1001,MATCH(ROWS($O$2:O783),$O$2:$O$1001,0),MATCH(COLUMNS($V$1006:W1006),$V$1006:$AE$1006,0)), HYPERLINK("#",""), HYPERLINK(CONCATENATE("#Metadata!", ADDRESS(INDEX($Q$2:$Q$1001,MATCH(ROWS($O$2:O783),$O$2:$O$1001,0),0), INDEX($V$1004:$AE$1004,1,MATCH(COLUMNS($V$1006:W1006),$V$1006:$AE$1006,0)))),"Fix")))</f>
        <v>0</v>
      </c>
      <c r="D783" s="4">
        <f>IF(OR(INDEX($P$2:$P$1001,MATCH(ROWS($O$2:O783),$O$2:$O$1001,0),1)&gt;=100000,INDEX($V$1005:$AE$1005,1,MATCH(COLUMNS($V$1006:X1006),$V$1006:$AE$1006,0))&gt;=100000), " ",IF(INDEX($V$2:$AE$1001,MATCH(ROWS($O$2:O783),$O$2:$O$1001,0),MATCH(COLUMNS($V$1006:X1006),$V$1006:$AE$1006,0)), HYPERLINK("#",""), HYPERLINK(CONCATENATE("#Metadata!", ADDRESS(INDEX($Q$2:$Q$1001,MATCH(ROWS($O$2:O783),$O$2:$O$1001,0),0), INDEX($V$1004:$AE$1004,1,MATCH(COLUMNS($V$1006:X1006),$V$1006:$AE$1006,0)))),"Fix")))</f>
        <v>0</v>
      </c>
      <c r="E783" s="4">
        <f>IF(OR(INDEX($P$2:$P$1001,MATCH(ROWS($O$2:O783),$O$2:$O$1001,0),1)&gt;=100000,INDEX($V$1005:$AE$1005,1,MATCH(COLUMNS($V$1006:Y1006),$V$1006:$AE$1006,0))&gt;=100000), " ",IF(INDEX($V$2:$AE$1001,MATCH(ROWS($O$2:O783),$O$2:$O$1001,0),MATCH(COLUMNS($V$1006:Y1006),$V$1006:$AE$1006,0)), HYPERLINK("#",""), HYPERLINK(CONCATENATE("#Metadata!", ADDRESS(INDEX($Q$2:$Q$1001,MATCH(ROWS($O$2:O783),$O$2:$O$1001,0),0), INDEX($V$1004:$AE$1004,1,MATCH(COLUMNS($V$1006:Y1006),$V$1006:$AE$1006,0)))),"Fix")))</f>
        <v>0</v>
      </c>
      <c r="F783" s="4">
        <f>IF(OR(INDEX($P$2:$P$1001,MATCH(ROWS($O$2:O783),$O$2:$O$1001,0),1)&gt;=100000,INDEX($V$1005:$AE$1005,1,MATCH(COLUMNS($V$1006:Z1006),$V$1006:$AE$1006,0))&gt;=100000), " ",IF(INDEX($V$2:$AE$1001,MATCH(ROWS($O$2:O783),$O$2:$O$1001,0),MATCH(COLUMNS($V$1006:Z1006),$V$1006:$AE$1006,0)), HYPERLINK("#",""), HYPERLINK(CONCATENATE("#Metadata!", ADDRESS(INDEX($Q$2:$Q$1001,MATCH(ROWS($O$2:O783),$O$2:$O$1001,0),0), INDEX($V$1004:$AE$1004,1,MATCH(COLUMNS($V$1006:Z1006),$V$1006:$AE$1006,0)))),"Fix")))</f>
        <v>0</v>
      </c>
      <c r="G783" s="4">
        <f>IF(OR(INDEX($P$2:$P$1001,MATCH(ROWS($O$2:O783),$O$2:$O$1001,0),1)&gt;=100000,INDEX($V$1005:$AE$1005,1,MATCH(COLUMNS($V$1006:AA1006),$V$1006:$AE$1006,0))&gt;=100000), " ",IF(INDEX($V$2:$AE$1001,MATCH(ROWS($O$2:O783),$O$2:$O$1001,0),MATCH(COLUMNS($V$1006:AA1006),$V$1006:$AE$1006,0)), HYPERLINK("#",""), HYPERLINK(CONCATENATE("#Metadata!", ADDRESS(INDEX($Q$2:$Q$1001,MATCH(ROWS($O$2:O783),$O$2:$O$1001,0),0), INDEX($V$1004:$AE$1004,1,MATCH(COLUMNS($V$1006:AA1006),$V$1006:$AE$1006,0)))),"Fix")))</f>
        <v>0</v>
      </c>
      <c r="H783" s="4">
        <f>IF(OR(INDEX($P$2:$P$1001,MATCH(ROWS($O$2:O783),$O$2:$O$1001,0),1)&gt;=100000,INDEX($V$1005:$AE$1005,1,MATCH(COLUMNS($V$1006:AB1006),$V$1006:$AE$1006,0))&gt;=100000), " ",IF(INDEX($V$2:$AE$1001,MATCH(ROWS($O$2:O783),$O$2:$O$1001,0),MATCH(COLUMNS($V$1006:AB1006),$V$1006:$AE$1006,0)), HYPERLINK("#",""), HYPERLINK(CONCATENATE("#Metadata!", ADDRESS(INDEX($Q$2:$Q$1001,MATCH(ROWS($O$2:O783),$O$2:$O$1001,0),0), INDEX($V$1004:$AE$1004,1,MATCH(COLUMNS($V$1006:AB1006),$V$1006:$AE$1006,0)))),"Fix")))</f>
        <v>0</v>
      </c>
      <c r="I783" s="4">
        <f>IF(OR(INDEX($P$2:$P$1001,MATCH(ROWS($O$2:O783),$O$2:$O$1001,0),1)&gt;=100000,INDEX($V$1005:$AE$1005,1,MATCH(COLUMNS($V$1006:AC1006),$V$1006:$AE$1006,0))&gt;=100000), " ",IF(INDEX($V$2:$AE$1001,MATCH(ROWS($O$2:O783),$O$2:$O$1001,0),MATCH(COLUMNS($V$1006:AC1006),$V$1006:$AE$1006,0)), HYPERLINK("#",""), HYPERLINK(CONCATENATE("#Metadata!", ADDRESS(INDEX($Q$2:$Q$1001,MATCH(ROWS($O$2:O783),$O$2:$O$1001,0),0), INDEX($V$1004:$AE$1004,1,MATCH(COLUMNS($V$1006:AC1006),$V$1006:$AE$1006,0)))),"Fix")))</f>
        <v>0</v>
      </c>
      <c r="J783" s="4">
        <f>IF(OR(INDEX($P$2:$P$1001,MATCH(ROWS($O$2:O783),$O$2:$O$1001,0),1)&gt;=100000,INDEX($V$1005:$AE$1005,1,MATCH(COLUMNS($V$1006:AD1006),$V$1006:$AE$1006,0))&gt;=100000), " ",IF(INDEX($V$2:$AE$1001,MATCH(ROWS($O$2:O783),$O$2:$O$1001,0),MATCH(COLUMNS($V$1006:AD1006),$V$1006:$AE$1006,0)), HYPERLINK("#",""), HYPERLINK(CONCATENATE("#Metadata!", ADDRESS(INDEX($Q$2:$Q$1001,MATCH(ROWS($O$2:O783),$O$2:$O$1001,0),0), INDEX($V$1004:$AE$1004,1,MATCH(COLUMNS($V$1006:AD1006),$V$1006:$AE$1006,0)))),"Fix")))</f>
        <v>0</v>
      </c>
      <c r="K783" s="4">
        <f>IF(OR(INDEX($P$2:$P$1001,MATCH(ROWS($O$2:O783),$O$2:$O$1001,0),1)&gt;=100000,INDEX($V$1005:$AE$1005,1,MATCH(COLUMNS($V$1006:AE1006),$V$1006:$AE$1006,0))&gt;=100000), " ",IF(INDEX($V$2:$AE$1001,MATCH(ROWS($O$2:O783),$O$2:$O$1001,0),MATCH(COLUMNS($V$1006:AE1006),$V$1006:$AE$1006,0)), HYPERLINK("#",""), HYPERLINK(CONCATENATE("#Metadata!", ADDRESS(INDEX($Q$2:$Q$1001,MATCH(ROWS($O$2:O783),$O$2:$O$1001,0),0), INDEX($V$1004:$AE$1004,1,MATCH(COLUMNS($V$1006:AE1006),$V$1006:$AE$1006,0)))),"Fix")))</f>
        <v>0</v>
      </c>
      <c r="O783">
        <v>0</v>
      </c>
      <c r="P783">
        <v>0</v>
      </c>
      <c r="Q783">
        <v>0</v>
      </c>
      <c r="R783">
        <f>IF(S783,TRUE,AND(V783:AE783))</f>
        <v>0</v>
      </c>
      <c r="S783">
        <f>COUNTBLANK(Metadata!B783:K783)=COLUMNS(Metadata!B783:K783)</f>
        <v>0</v>
      </c>
      <c r="T783">
        <v>0</v>
      </c>
      <c r="V783">
        <f>AND(IF(Metadata!B783="",FALSE,TRUE),COUNTIF(Metadata!B:B, Metadata!B783) = 1,NOT(ISERROR(SUMPRODUCT(SEARCH(MID(Metadata!B783,ROW(INDIRECT("1:"&amp;LEN(Metadata!B783))), 1),"0123456789abcdefghijklmnopqrstuvwxyzABCDEFGHIJKLMNOPQRSTUVWXYZ.")))))</f>
        <v>0</v>
      </c>
      <c r="W783">
        <f>AND(IF(Metadata!C783="",FALSE,TRUE),exact(Metadata!C783,"urban biome"))</f>
        <v>0</v>
      </c>
      <c r="X783">
        <f>AND(IF(Metadata!D783="",FALSE,TRUE),exact(Metadata!D783,"animal-associated habitat"))</f>
        <v>0</v>
      </c>
      <c r="Y783">
        <f>OR(AND(IF(Metadata!E783="",FALSE,TRUE),OR(exact(Metadata!E783,"not applicable"),exact(Metadata!E783,"missing: not collected"),exact(Metadata!E783,"missing: not provided"),exact(Metadata!E783,"missing: restricted access"))),AND(IF(Metadata!E783="",FALSE,ISNUMBER(VALUE(Metadata!E783))),Metadata!E783&gt;0))</f>
        <v>0</v>
      </c>
      <c r="Z783">
        <f>AND(IF(Metadata!F783="",FALSE,TRUE),exact(Metadata!F783,"weeks"))</f>
        <v>0</v>
      </c>
      <c r="AA783">
        <f>AND(IF(Metadata!G783="",FALSE,TRUE),exact(Metadata!G783,"mouse"))</f>
        <v>0</v>
      </c>
      <c r="AB783">
        <f>AND(IF(Metadata!H783="",FALSE,TRUE),exact(Metadata!H783,"Mus musculus"))</f>
        <v>0</v>
      </c>
      <c r="AC783">
        <f>AND(IF(Metadata!I783="",FALSE,TRUE),exact(Metadata!I783,"10090"))</f>
        <v>0</v>
      </c>
      <c r="AD783">
        <f>OR(AND(IF(Metadata!J783="",FALSE,TRUE),OR(exact(Metadata!J783,"not applicable"),exact(Metadata!J783,"missing: not collected"),exact(Metadata!J783,"missing: not provided"),exact(Metadata!J783,"missing: restricted access"))),AND(IF(Metadata!J783="",FALSE,ISNUMBER(VALUE(Metadata!J783))),Metadata!J783&gt;0))</f>
        <v>0</v>
      </c>
      <c r="AE783">
        <f>AND(IF(Metadata!K783="",FALSE,TRUE),exact(Metadata!K783,"g"))</f>
        <v>0</v>
      </c>
    </row>
    <row r="784" spans="1:31">
      <c r="A784" s="5">
        <f>IF(B784=" "," ",HYPERLINK(CONCATENATE("#metadata!",ADDRESS(INDEX($Q$2:$Q$1001,MATCH(ROWS($O$2:O784),$O$2:$O$1001,0),0),1)),INDEX($T$2:$T$1001,MATCH(ROWS($O$2:O784),$O$2:$O$1001,0),0)))</f>
        <v>0</v>
      </c>
      <c r="B784" s="4">
        <f>IF(OR(INDEX($P$2:$P$1001,MATCH(ROWS($O$2:O784),$O$2:$O$1001,0),1)&gt;=100000,INDEX($V$1005:$AE$1005,1,MATCH(COLUMNS($V$1006:V1006),$V$1006:$AE$1006,0))&gt;=100000), " ",IF(INDEX($V$2:$AE$1001,MATCH(ROWS($O$2:O784),$O$2:$O$1001,0),MATCH(COLUMNS($V$1006:V1006),$V$1006:$AE$1006,0)), HYPERLINK("#",""), HYPERLINK(CONCATENATE("#Metadata!", ADDRESS(INDEX($Q$2:$Q$1001,MATCH(ROWS($O$2:O784),$O$2:$O$1001,0),0), INDEX($V$1004:$AE$1004,1,MATCH(COLUMNS($V$1006:V1006),$V$1006:$AE$1006,0)))),"Fix")))</f>
        <v>0</v>
      </c>
      <c r="C784" s="4">
        <f>IF(OR(INDEX($P$2:$P$1001,MATCH(ROWS($O$2:O784),$O$2:$O$1001,0),1)&gt;=100000,INDEX($V$1005:$AE$1005,1,MATCH(COLUMNS($V$1006:W1006),$V$1006:$AE$1006,0))&gt;=100000), " ",IF(INDEX($V$2:$AE$1001,MATCH(ROWS($O$2:O784),$O$2:$O$1001,0),MATCH(COLUMNS($V$1006:W1006),$V$1006:$AE$1006,0)), HYPERLINK("#",""), HYPERLINK(CONCATENATE("#Metadata!", ADDRESS(INDEX($Q$2:$Q$1001,MATCH(ROWS($O$2:O784),$O$2:$O$1001,0),0), INDEX($V$1004:$AE$1004,1,MATCH(COLUMNS($V$1006:W1006),$V$1006:$AE$1006,0)))),"Fix")))</f>
        <v>0</v>
      </c>
      <c r="D784" s="4">
        <f>IF(OR(INDEX($P$2:$P$1001,MATCH(ROWS($O$2:O784),$O$2:$O$1001,0),1)&gt;=100000,INDEX($V$1005:$AE$1005,1,MATCH(COLUMNS($V$1006:X1006),$V$1006:$AE$1006,0))&gt;=100000), " ",IF(INDEX($V$2:$AE$1001,MATCH(ROWS($O$2:O784),$O$2:$O$1001,0),MATCH(COLUMNS($V$1006:X1006),$V$1006:$AE$1006,0)), HYPERLINK("#",""), HYPERLINK(CONCATENATE("#Metadata!", ADDRESS(INDEX($Q$2:$Q$1001,MATCH(ROWS($O$2:O784),$O$2:$O$1001,0),0), INDEX($V$1004:$AE$1004,1,MATCH(COLUMNS($V$1006:X1006),$V$1006:$AE$1006,0)))),"Fix")))</f>
        <v>0</v>
      </c>
      <c r="E784" s="4">
        <f>IF(OR(INDEX($P$2:$P$1001,MATCH(ROWS($O$2:O784),$O$2:$O$1001,0),1)&gt;=100000,INDEX($V$1005:$AE$1005,1,MATCH(COLUMNS($V$1006:Y1006),$V$1006:$AE$1006,0))&gt;=100000), " ",IF(INDEX($V$2:$AE$1001,MATCH(ROWS($O$2:O784),$O$2:$O$1001,0),MATCH(COLUMNS($V$1006:Y1006),$V$1006:$AE$1006,0)), HYPERLINK("#",""), HYPERLINK(CONCATENATE("#Metadata!", ADDRESS(INDEX($Q$2:$Q$1001,MATCH(ROWS($O$2:O784),$O$2:$O$1001,0),0), INDEX($V$1004:$AE$1004,1,MATCH(COLUMNS($V$1006:Y1006),$V$1006:$AE$1006,0)))),"Fix")))</f>
        <v>0</v>
      </c>
      <c r="F784" s="4">
        <f>IF(OR(INDEX($P$2:$P$1001,MATCH(ROWS($O$2:O784),$O$2:$O$1001,0),1)&gt;=100000,INDEX($V$1005:$AE$1005,1,MATCH(COLUMNS($V$1006:Z1006),$V$1006:$AE$1006,0))&gt;=100000), " ",IF(INDEX($V$2:$AE$1001,MATCH(ROWS($O$2:O784),$O$2:$O$1001,0),MATCH(COLUMNS($V$1006:Z1006),$V$1006:$AE$1006,0)), HYPERLINK("#",""), HYPERLINK(CONCATENATE("#Metadata!", ADDRESS(INDEX($Q$2:$Q$1001,MATCH(ROWS($O$2:O784),$O$2:$O$1001,0),0), INDEX($V$1004:$AE$1004,1,MATCH(COLUMNS($V$1006:Z1006),$V$1006:$AE$1006,0)))),"Fix")))</f>
        <v>0</v>
      </c>
      <c r="G784" s="4">
        <f>IF(OR(INDEX($P$2:$P$1001,MATCH(ROWS($O$2:O784),$O$2:$O$1001,0),1)&gt;=100000,INDEX($V$1005:$AE$1005,1,MATCH(COLUMNS($V$1006:AA1006),$V$1006:$AE$1006,0))&gt;=100000), " ",IF(INDEX($V$2:$AE$1001,MATCH(ROWS($O$2:O784),$O$2:$O$1001,0),MATCH(COLUMNS($V$1006:AA1006),$V$1006:$AE$1006,0)), HYPERLINK("#",""), HYPERLINK(CONCATENATE("#Metadata!", ADDRESS(INDEX($Q$2:$Q$1001,MATCH(ROWS($O$2:O784),$O$2:$O$1001,0),0), INDEX($V$1004:$AE$1004,1,MATCH(COLUMNS($V$1006:AA1006),$V$1006:$AE$1006,0)))),"Fix")))</f>
        <v>0</v>
      </c>
      <c r="H784" s="4">
        <f>IF(OR(INDEX($P$2:$P$1001,MATCH(ROWS($O$2:O784),$O$2:$O$1001,0),1)&gt;=100000,INDEX($V$1005:$AE$1005,1,MATCH(COLUMNS($V$1006:AB1006),$V$1006:$AE$1006,0))&gt;=100000), " ",IF(INDEX($V$2:$AE$1001,MATCH(ROWS($O$2:O784),$O$2:$O$1001,0),MATCH(COLUMNS($V$1006:AB1006),$V$1006:$AE$1006,0)), HYPERLINK("#",""), HYPERLINK(CONCATENATE("#Metadata!", ADDRESS(INDEX($Q$2:$Q$1001,MATCH(ROWS($O$2:O784),$O$2:$O$1001,0),0), INDEX($V$1004:$AE$1004,1,MATCH(COLUMNS($V$1006:AB1006),$V$1006:$AE$1006,0)))),"Fix")))</f>
        <v>0</v>
      </c>
      <c r="I784" s="4">
        <f>IF(OR(INDEX($P$2:$P$1001,MATCH(ROWS($O$2:O784),$O$2:$O$1001,0),1)&gt;=100000,INDEX($V$1005:$AE$1005,1,MATCH(COLUMNS($V$1006:AC1006),$V$1006:$AE$1006,0))&gt;=100000), " ",IF(INDEX($V$2:$AE$1001,MATCH(ROWS($O$2:O784),$O$2:$O$1001,0),MATCH(COLUMNS($V$1006:AC1006),$V$1006:$AE$1006,0)), HYPERLINK("#",""), HYPERLINK(CONCATENATE("#Metadata!", ADDRESS(INDEX($Q$2:$Q$1001,MATCH(ROWS($O$2:O784),$O$2:$O$1001,0),0), INDEX($V$1004:$AE$1004,1,MATCH(COLUMNS($V$1006:AC1006),$V$1006:$AE$1006,0)))),"Fix")))</f>
        <v>0</v>
      </c>
      <c r="J784" s="4">
        <f>IF(OR(INDEX($P$2:$P$1001,MATCH(ROWS($O$2:O784),$O$2:$O$1001,0),1)&gt;=100000,INDEX($V$1005:$AE$1005,1,MATCH(COLUMNS($V$1006:AD1006),$V$1006:$AE$1006,0))&gt;=100000), " ",IF(INDEX($V$2:$AE$1001,MATCH(ROWS($O$2:O784),$O$2:$O$1001,0),MATCH(COLUMNS($V$1006:AD1006),$V$1006:$AE$1006,0)), HYPERLINK("#",""), HYPERLINK(CONCATENATE("#Metadata!", ADDRESS(INDEX($Q$2:$Q$1001,MATCH(ROWS($O$2:O784),$O$2:$O$1001,0),0), INDEX($V$1004:$AE$1004,1,MATCH(COLUMNS($V$1006:AD1006),$V$1006:$AE$1006,0)))),"Fix")))</f>
        <v>0</v>
      </c>
      <c r="K784" s="4">
        <f>IF(OR(INDEX($P$2:$P$1001,MATCH(ROWS($O$2:O784),$O$2:$O$1001,0),1)&gt;=100000,INDEX($V$1005:$AE$1005,1,MATCH(COLUMNS($V$1006:AE1006),$V$1006:$AE$1006,0))&gt;=100000), " ",IF(INDEX($V$2:$AE$1001,MATCH(ROWS($O$2:O784),$O$2:$O$1001,0),MATCH(COLUMNS($V$1006:AE1006),$V$1006:$AE$1006,0)), HYPERLINK("#",""), HYPERLINK(CONCATENATE("#Metadata!", ADDRESS(INDEX($Q$2:$Q$1001,MATCH(ROWS($O$2:O784),$O$2:$O$1001,0),0), INDEX($V$1004:$AE$1004,1,MATCH(COLUMNS($V$1006:AE1006),$V$1006:$AE$1006,0)))),"Fix")))</f>
        <v>0</v>
      </c>
      <c r="O784">
        <v>0</v>
      </c>
      <c r="P784">
        <v>0</v>
      </c>
      <c r="Q784">
        <v>0</v>
      </c>
      <c r="R784">
        <f>IF(S784,TRUE,AND(V784:AE784))</f>
        <v>0</v>
      </c>
      <c r="S784">
        <f>COUNTBLANK(Metadata!B784:K784)=COLUMNS(Metadata!B784:K784)</f>
        <v>0</v>
      </c>
      <c r="T784">
        <v>0</v>
      </c>
      <c r="V784">
        <f>AND(IF(Metadata!B784="",FALSE,TRUE),COUNTIF(Metadata!B:B, Metadata!B784) = 1,NOT(ISERROR(SUMPRODUCT(SEARCH(MID(Metadata!B784,ROW(INDIRECT("1:"&amp;LEN(Metadata!B784))), 1),"0123456789abcdefghijklmnopqrstuvwxyzABCDEFGHIJKLMNOPQRSTUVWXYZ.")))))</f>
        <v>0</v>
      </c>
      <c r="W784">
        <f>AND(IF(Metadata!C784="",FALSE,TRUE),exact(Metadata!C784,"urban biome"))</f>
        <v>0</v>
      </c>
      <c r="X784">
        <f>AND(IF(Metadata!D784="",FALSE,TRUE),exact(Metadata!D784,"animal-associated habitat"))</f>
        <v>0</v>
      </c>
      <c r="Y784">
        <f>OR(AND(IF(Metadata!E784="",FALSE,TRUE),OR(exact(Metadata!E784,"not applicable"),exact(Metadata!E784,"missing: not collected"),exact(Metadata!E784,"missing: not provided"),exact(Metadata!E784,"missing: restricted access"))),AND(IF(Metadata!E784="",FALSE,ISNUMBER(VALUE(Metadata!E784))),Metadata!E784&gt;0))</f>
        <v>0</v>
      </c>
      <c r="Z784">
        <f>AND(IF(Metadata!F784="",FALSE,TRUE),exact(Metadata!F784,"weeks"))</f>
        <v>0</v>
      </c>
      <c r="AA784">
        <f>AND(IF(Metadata!G784="",FALSE,TRUE),exact(Metadata!G784,"mouse"))</f>
        <v>0</v>
      </c>
      <c r="AB784">
        <f>AND(IF(Metadata!H784="",FALSE,TRUE),exact(Metadata!H784,"Mus musculus"))</f>
        <v>0</v>
      </c>
      <c r="AC784">
        <f>AND(IF(Metadata!I784="",FALSE,TRUE),exact(Metadata!I784,"10090"))</f>
        <v>0</v>
      </c>
      <c r="AD784">
        <f>OR(AND(IF(Metadata!J784="",FALSE,TRUE),OR(exact(Metadata!J784,"not applicable"),exact(Metadata!J784,"missing: not collected"),exact(Metadata!J784,"missing: not provided"),exact(Metadata!J784,"missing: restricted access"))),AND(IF(Metadata!J784="",FALSE,ISNUMBER(VALUE(Metadata!J784))),Metadata!J784&gt;0))</f>
        <v>0</v>
      </c>
      <c r="AE784">
        <f>AND(IF(Metadata!K784="",FALSE,TRUE),exact(Metadata!K784,"g"))</f>
        <v>0</v>
      </c>
    </row>
    <row r="785" spans="1:31">
      <c r="A785" s="5">
        <f>IF(B785=" "," ",HYPERLINK(CONCATENATE("#metadata!",ADDRESS(INDEX($Q$2:$Q$1001,MATCH(ROWS($O$2:O785),$O$2:$O$1001,0),0),1)),INDEX($T$2:$T$1001,MATCH(ROWS($O$2:O785),$O$2:$O$1001,0),0)))</f>
        <v>0</v>
      </c>
      <c r="B785" s="4">
        <f>IF(OR(INDEX($P$2:$P$1001,MATCH(ROWS($O$2:O785),$O$2:$O$1001,0),1)&gt;=100000,INDEX($V$1005:$AE$1005,1,MATCH(COLUMNS($V$1006:V1006),$V$1006:$AE$1006,0))&gt;=100000), " ",IF(INDEX($V$2:$AE$1001,MATCH(ROWS($O$2:O785),$O$2:$O$1001,0),MATCH(COLUMNS($V$1006:V1006),$V$1006:$AE$1006,0)), HYPERLINK("#",""), HYPERLINK(CONCATENATE("#Metadata!", ADDRESS(INDEX($Q$2:$Q$1001,MATCH(ROWS($O$2:O785),$O$2:$O$1001,0),0), INDEX($V$1004:$AE$1004,1,MATCH(COLUMNS($V$1006:V1006),$V$1006:$AE$1006,0)))),"Fix")))</f>
        <v>0</v>
      </c>
      <c r="C785" s="4">
        <f>IF(OR(INDEX($P$2:$P$1001,MATCH(ROWS($O$2:O785),$O$2:$O$1001,0),1)&gt;=100000,INDEX($V$1005:$AE$1005,1,MATCH(COLUMNS($V$1006:W1006),$V$1006:$AE$1006,0))&gt;=100000), " ",IF(INDEX($V$2:$AE$1001,MATCH(ROWS($O$2:O785),$O$2:$O$1001,0),MATCH(COLUMNS($V$1006:W1006),$V$1006:$AE$1006,0)), HYPERLINK("#",""), HYPERLINK(CONCATENATE("#Metadata!", ADDRESS(INDEX($Q$2:$Q$1001,MATCH(ROWS($O$2:O785),$O$2:$O$1001,0),0), INDEX($V$1004:$AE$1004,1,MATCH(COLUMNS($V$1006:W1006),$V$1006:$AE$1006,0)))),"Fix")))</f>
        <v>0</v>
      </c>
      <c r="D785" s="4">
        <f>IF(OR(INDEX($P$2:$P$1001,MATCH(ROWS($O$2:O785),$O$2:$O$1001,0),1)&gt;=100000,INDEX($V$1005:$AE$1005,1,MATCH(COLUMNS($V$1006:X1006),$V$1006:$AE$1006,0))&gt;=100000), " ",IF(INDEX($V$2:$AE$1001,MATCH(ROWS($O$2:O785),$O$2:$O$1001,0),MATCH(COLUMNS($V$1006:X1006),$V$1006:$AE$1006,0)), HYPERLINK("#",""), HYPERLINK(CONCATENATE("#Metadata!", ADDRESS(INDEX($Q$2:$Q$1001,MATCH(ROWS($O$2:O785),$O$2:$O$1001,0),0), INDEX($V$1004:$AE$1004,1,MATCH(COLUMNS($V$1006:X1006),$V$1006:$AE$1006,0)))),"Fix")))</f>
        <v>0</v>
      </c>
      <c r="E785" s="4">
        <f>IF(OR(INDEX($P$2:$P$1001,MATCH(ROWS($O$2:O785),$O$2:$O$1001,0),1)&gt;=100000,INDEX($V$1005:$AE$1005,1,MATCH(COLUMNS($V$1006:Y1006),$V$1006:$AE$1006,0))&gt;=100000), " ",IF(INDEX($V$2:$AE$1001,MATCH(ROWS($O$2:O785),$O$2:$O$1001,0),MATCH(COLUMNS($V$1006:Y1006),$V$1006:$AE$1006,0)), HYPERLINK("#",""), HYPERLINK(CONCATENATE("#Metadata!", ADDRESS(INDEX($Q$2:$Q$1001,MATCH(ROWS($O$2:O785),$O$2:$O$1001,0),0), INDEX($V$1004:$AE$1004,1,MATCH(COLUMNS($V$1006:Y1006),$V$1006:$AE$1006,0)))),"Fix")))</f>
        <v>0</v>
      </c>
      <c r="F785" s="4">
        <f>IF(OR(INDEX($P$2:$P$1001,MATCH(ROWS($O$2:O785),$O$2:$O$1001,0),1)&gt;=100000,INDEX($V$1005:$AE$1005,1,MATCH(COLUMNS($V$1006:Z1006),$V$1006:$AE$1006,0))&gt;=100000), " ",IF(INDEX($V$2:$AE$1001,MATCH(ROWS($O$2:O785),$O$2:$O$1001,0),MATCH(COLUMNS($V$1006:Z1006),$V$1006:$AE$1006,0)), HYPERLINK("#",""), HYPERLINK(CONCATENATE("#Metadata!", ADDRESS(INDEX($Q$2:$Q$1001,MATCH(ROWS($O$2:O785),$O$2:$O$1001,0),0), INDEX($V$1004:$AE$1004,1,MATCH(COLUMNS($V$1006:Z1006),$V$1006:$AE$1006,0)))),"Fix")))</f>
        <v>0</v>
      </c>
      <c r="G785" s="4">
        <f>IF(OR(INDEX($P$2:$P$1001,MATCH(ROWS($O$2:O785),$O$2:$O$1001,0),1)&gt;=100000,INDEX($V$1005:$AE$1005,1,MATCH(COLUMNS($V$1006:AA1006),$V$1006:$AE$1006,0))&gt;=100000), " ",IF(INDEX($V$2:$AE$1001,MATCH(ROWS($O$2:O785),$O$2:$O$1001,0),MATCH(COLUMNS($V$1006:AA1006),$V$1006:$AE$1006,0)), HYPERLINK("#",""), HYPERLINK(CONCATENATE("#Metadata!", ADDRESS(INDEX($Q$2:$Q$1001,MATCH(ROWS($O$2:O785),$O$2:$O$1001,0),0), INDEX($V$1004:$AE$1004,1,MATCH(COLUMNS($V$1006:AA1006),$V$1006:$AE$1006,0)))),"Fix")))</f>
        <v>0</v>
      </c>
      <c r="H785" s="4">
        <f>IF(OR(INDEX($P$2:$P$1001,MATCH(ROWS($O$2:O785),$O$2:$O$1001,0),1)&gt;=100000,INDEX($V$1005:$AE$1005,1,MATCH(COLUMNS($V$1006:AB1006),$V$1006:$AE$1006,0))&gt;=100000), " ",IF(INDEX($V$2:$AE$1001,MATCH(ROWS($O$2:O785),$O$2:$O$1001,0),MATCH(COLUMNS($V$1006:AB1006),$V$1006:$AE$1006,0)), HYPERLINK("#",""), HYPERLINK(CONCATENATE("#Metadata!", ADDRESS(INDEX($Q$2:$Q$1001,MATCH(ROWS($O$2:O785),$O$2:$O$1001,0),0), INDEX($V$1004:$AE$1004,1,MATCH(COLUMNS($V$1006:AB1006),$V$1006:$AE$1006,0)))),"Fix")))</f>
        <v>0</v>
      </c>
      <c r="I785" s="4">
        <f>IF(OR(INDEX($P$2:$P$1001,MATCH(ROWS($O$2:O785),$O$2:$O$1001,0),1)&gt;=100000,INDEX($V$1005:$AE$1005,1,MATCH(COLUMNS($V$1006:AC1006),$V$1006:$AE$1006,0))&gt;=100000), " ",IF(INDEX($V$2:$AE$1001,MATCH(ROWS($O$2:O785),$O$2:$O$1001,0),MATCH(COLUMNS($V$1006:AC1006),$V$1006:$AE$1006,0)), HYPERLINK("#",""), HYPERLINK(CONCATENATE("#Metadata!", ADDRESS(INDEX($Q$2:$Q$1001,MATCH(ROWS($O$2:O785),$O$2:$O$1001,0),0), INDEX($V$1004:$AE$1004,1,MATCH(COLUMNS($V$1006:AC1006),$V$1006:$AE$1006,0)))),"Fix")))</f>
        <v>0</v>
      </c>
      <c r="J785" s="4">
        <f>IF(OR(INDEX($P$2:$P$1001,MATCH(ROWS($O$2:O785),$O$2:$O$1001,0),1)&gt;=100000,INDEX($V$1005:$AE$1005,1,MATCH(COLUMNS($V$1006:AD1006),$V$1006:$AE$1006,0))&gt;=100000), " ",IF(INDEX($V$2:$AE$1001,MATCH(ROWS($O$2:O785),$O$2:$O$1001,0),MATCH(COLUMNS($V$1006:AD1006),$V$1006:$AE$1006,0)), HYPERLINK("#",""), HYPERLINK(CONCATENATE("#Metadata!", ADDRESS(INDEX($Q$2:$Q$1001,MATCH(ROWS($O$2:O785),$O$2:$O$1001,0),0), INDEX($V$1004:$AE$1004,1,MATCH(COLUMNS($V$1006:AD1006),$V$1006:$AE$1006,0)))),"Fix")))</f>
        <v>0</v>
      </c>
      <c r="K785" s="4">
        <f>IF(OR(INDEX($P$2:$P$1001,MATCH(ROWS($O$2:O785),$O$2:$O$1001,0),1)&gt;=100000,INDEX($V$1005:$AE$1005,1,MATCH(COLUMNS($V$1006:AE1006),$V$1006:$AE$1006,0))&gt;=100000), " ",IF(INDEX($V$2:$AE$1001,MATCH(ROWS($O$2:O785),$O$2:$O$1001,0),MATCH(COLUMNS($V$1006:AE1006),$V$1006:$AE$1006,0)), HYPERLINK("#",""), HYPERLINK(CONCATENATE("#Metadata!", ADDRESS(INDEX($Q$2:$Q$1001,MATCH(ROWS($O$2:O785),$O$2:$O$1001,0),0), INDEX($V$1004:$AE$1004,1,MATCH(COLUMNS($V$1006:AE1006),$V$1006:$AE$1006,0)))),"Fix")))</f>
        <v>0</v>
      </c>
      <c r="O785">
        <v>0</v>
      </c>
      <c r="P785">
        <v>0</v>
      </c>
      <c r="Q785">
        <v>0</v>
      </c>
      <c r="R785">
        <f>IF(S785,TRUE,AND(V785:AE785))</f>
        <v>0</v>
      </c>
      <c r="S785">
        <f>COUNTBLANK(Metadata!B785:K785)=COLUMNS(Metadata!B785:K785)</f>
        <v>0</v>
      </c>
      <c r="T785">
        <v>0</v>
      </c>
      <c r="V785">
        <f>AND(IF(Metadata!B785="",FALSE,TRUE),COUNTIF(Metadata!B:B, Metadata!B785) = 1,NOT(ISERROR(SUMPRODUCT(SEARCH(MID(Metadata!B785,ROW(INDIRECT("1:"&amp;LEN(Metadata!B785))), 1),"0123456789abcdefghijklmnopqrstuvwxyzABCDEFGHIJKLMNOPQRSTUVWXYZ.")))))</f>
        <v>0</v>
      </c>
      <c r="W785">
        <f>AND(IF(Metadata!C785="",FALSE,TRUE),exact(Metadata!C785,"urban biome"))</f>
        <v>0</v>
      </c>
      <c r="X785">
        <f>AND(IF(Metadata!D785="",FALSE,TRUE),exact(Metadata!D785,"animal-associated habitat"))</f>
        <v>0</v>
      </c>
      <c r="Y785">
        <f>OR(AND(IF(Metadata!E785="",FALSE,TRUE),OR(exact(Metadata!E785,"not applicable"),exact(Metadata!E785,"missing: not collected"),exact(Metadata!E785,"missing: not provided"),exact(Metadata!E785,"missing: restricted access"))),AND(IF(Metadata!E785="",FALSE,ISNUMBER(VALUE(Metadata!E785))),Metadata!E785&gt;0))</f>
        <v>0</v>
      </c>
      <c r="Z785">
        <f>AND(IF(Metadata!F785="",FALSE,TRUE),exact(Metadata!F785,"weeks"))</f>
        <v>0</v>
      </c>
      <c r="AA785">
        <f>AND(IF(Metadata!G785="",FALSE,TRUE),exact(Metadata!G785,"mouse"))</f>
        <v>0</v>
      </c>
      <c r="AB785">
        <f>AND(IF(Metadata!H785="",FALSE,TRUE),exact(Metadata!H785,"Mus musculus"))</f>
        <v>0</v>
      </c>
      <c r="AC785">
        <f>AND(IF(Metadata!I785="",FALSE,TRUE),exact(Metadata!I785,"10090"))</f>
        <v>0</v>
      </c>
      <c r="AD785">
        <f>OR(AND(IF(Metadata!J785="",FALSE,TRUE),OR(exact(Metadata!J785,"not applicable"),exact(Metadata!J785,"missing: not collected"),exact(Metadata!J785,"missing: not provided"),exact(Metadata!J785,"missing: restricted access"))),AND(IF(Metadata!J785="",FALSE,ISNUMBER(VALUE(Metadata!J785))),Metadata!J785&gt;0))</f>
        <v>0</v>
      </c>
      <c r="AE785">
        <f>AND(IF(Metadata!K785="",FALSE,TRUE),exact(Metadata!K785,"g"))</f>
        <v>0</v>
      </c>
    </row>
    <row r="786" spans="1:31">
      <c r="A786" s="5">
        <f>IF(B786=" "," ",HYPERLINK(CONCATENATE("#metadata!",ADDRESS(INDEX($Q$2:$Q$1001,MATCH(ROWS($O$2:O786),$O$2:$O$1001,0),0),1)),INDEX($T$2:$T$1001,MATCH(ROWS($O$2:O786),$O$2:$O$1001,0),0)))</f>
        <v>0</v>
      </c>
      <c r="B786" s="4">
        <f>IF(OR(INDEX($P$2:$P$1001,MATCH(ROWS($O$2:O786),$O$2:$O$1001,0),1)&gt;=100000,INDEX($V$1005:$AE$1005,1,MATCH(COLUMNS($V$1006:V1006),$V$1006:$AE$1006,0))&gt;=100000), " ",IF(INDEX($V$2:$AE$1001,MATCH(ROWS($O$2:O786),$O$2:$O$1001,0),MATCH(COLUMNS($V$1006:V1006),$V$1006:$AE$1006,0)), HYPERLINK("#",""), HYPERLINK(CONCATENATE("#Metadata!", ADDRESS(INDEX($Q$2:$Q$1001,MATCH(ROWS($O$2:O786),$O$2:$O$1001,0),0), INDEX($V$1004:$AE$1004,1,MATCH(COLUMNS($V$1006:V1006),$V$1006:$AE$1006,0)))),"Fix")))</f>
        <v>0</v>
      </c>
      <c r="C786" s="4">
        <f>IF(OR(INDEX($P$2:$P$1001,MATCH(ROWS($O$2:O786),$O$2:$O$1001,0),1)&gt;=100000,INDEX($V$1005:$AE$1005,1,MATCH(COLUMNS($V$1006:W1006),$V$1006:$AE$1006,0))&gt;=100000), " ",IF(INDEX($V$2:$AE$1001,MATCH(ROWS($O$2:O786),$O$2:$O$1001,0),MATCH(COLUMNS($V$1006:W1006),$V$1006:$AE$1006,0)), HYPERLINK("#",""), HYPERLINK(CONCATENATE("#Metadata!", ADDRESS(INDEX($Q$2:$Q$1001,MATCH(ROWS($O$2:O786),$O$2:$O$1001,0),0), INDEX($V$1004:$AE$1004,1,MATCH(COLUMNS($V$1006:W1006),$V$1006:$AE$1006,0)))),"Fix")))</f>
        <v>0</v>
      </c>
      <c r="D786" s="4">
        <f>IF(OR(INDEX($P$2:$P$1001,MATCH(ROWS($O$2:O786),$O$2:$O$1001,0),1)&gt;=100000,INDEX($V$1005:$AE$1005,1,MATCH(COLUMNS($V$1006:X1006),$V$1006:$AE$1006,0))&gt;=100000), " ",IF(INDEX($V$2:$AE$1001,MATCH(ROWS($O$2:O786),$O$2:$O$1001,0),MATCH(COLUMNS($V$1006:X1006),$V$1006:$AE$1006,0)), HYPERLINK("#",""), HYPERLINK(CONCATENATE("#Metadata!", ADDRESS(INDEX($Q$2:$Q$1001,MATCH(ROWS($O$2:O786),$O$2:$O$1001,0),0), INDEX($V$1004:$AE$1004,1,MATCH(COLUMNS($V$1006:X1006),$V$1006:$AE$1006,0)))),"Fix")))</f>
        <v>0</v>
      </c>
      <c r="E786" s="4">
        <f>IF(OR(INDEX($P$2:$P$1001,MATCH(ROWS($O$2:O786),$O$2:$O$1001,0),1)&gt;=100000,INDEX($V$1005:$AE$1005,1,MATCH(COLUMNS($V$1006:Y1006),$V$1006:$AE$1006,0))&gt;=100000), " ",IF(INDEX($V$2:$AE$1001,MATCH(ROWS($O$2:O786),$O$2:$O$1001,0),MATCH(COLUMNS($V$1006:Y1006),$V$1006:$AE$1006,0)), HYPERLINK("#",""), HYPERLINK(CONCATENATE("#Metadata!", ADDRESS(INDEX($Q$2:$Q$1001,MATCH(ROWS($O$2:O786),$O$2:$O$1001,0),0), INDEX($V$1004:$AE$1004,1,MATCH(COLUMNS($V$1006:Y1006),$V$1006:$AE$1006,0)))),"Fix")))</f>
        <v>0</v>
      </c>
      <c r="F786" s="4">
        <f>IF(OR(INDEX($P$2:$P$1001,MATCH(ROWS($O$2:O786),$O$2:$O$1001,0),1)&gt;=100000,INDEX($V$1005:$AE$1005,1,MATCH(COLUMNS($V$1006:Z1006),$V$1006:$AE$1006,0))&gt;=100000), " ",IF(INDEX($V$2:$AE$1001,MATCH(ROWS($O$2:O786),$O$2:$O$1001,0),MATCH(COLUMNS($V$1006:Z1006),$V$1006:$AE$1006,0)), HYPERLINK("#",""), HYPERLINK(CONCATENATE("#Metadata!", ADDRESS(INDEX($Q$2:$Q$1001,MATCH(ROWS($O$2:O786),$O$2:$O$1001,0),0), INDEX($V$1004:$AE$1004,1,MATCH(COLUMNS($V$1006:Z1006),$V$1006:$AE$1006,0)))),"Fix")))</f>
        <v>0</v>
      </c>
      <c r="G786" s="4">
        <f>IF(OR(INDEX($P$2:$P$1001,MATCH(ROWS($O$2:O786),$O$2:$O$1001,0),1)&gt;=100000,INDEX($V$1005:$AE$1005,1,MATCH(COLUMNS($V$1006:AA1006),$V$1006:$AE$1006,0))&gt;=100000), " ",IF(INDEX($V$2:$AE$1001,MATCH(ROWS($O$2:O786),$O$2:$O$1001,0),MATCH(COLUMNS($V$1006:AA1006),$V$1006:$AE$1006,0)), HYPERLINK("#",""), HYPERLINK(CONCATENATE("#Metadata!", ADDRESS(INDEX($Q$2:$Q$1001,MATCH(ROWS($O$2:O786),$O$2:$O$1001,0),0), INDEX($V$1004:$AE$1004,1,MATCH(COLUMNS($V$1006:AA1006),$V$1006:$AE$1006,0)))),"Fix")))</f>
        <v>0</v>
      </c>
      <c r="H786" s="4">
        <f>IF(OR(INDEX($P$2:$P$1001,MATCH(ROWS($O$2:O786),$O$2:$O$1001,0),1)&gt;=100000,INDEX($V$1005:$AE$1005,1,MATCH(COLUMNS($V$1006:AB1006),$V$1006:$AE$1006,0))&gt;=100000), " ",IF(INDEX($V$2:$AE$1001,MATCH(ROWS($O$2:O786),$O$2:$O$1001,0),MATCH(COLUMNS($V$1006:AB1006),$V$1006:$AE$1006,0)), HYPERLINK("#",""), HYPERLINK(CONCATENATE("#Metadata!", ADDRESS(INDEX($Q$2:$Q$1001,MATCH(ROWS($O$2:O786),$O$2:$O$1001,0),0), INDEX($V$1004:$AE$1004,1,MATCH(COLUMNS($V$1006:AB1006),$V$1006:$AE$1006,0)))),"Fix")))</f>
        <v>0</v>
      </c>
      <c r="I786" s="4">
        <f>IF(OR(INDEX($P$2:$P$1001,MATCH(ROWS($O$2:O786),$O$2:$O$1001,0),1)&gt;=100000,INDEX($V$1005:$AE$1005,1,MATCH(COLUMNS($V$1006:AC1006),$V$1006:$AE$1006,0))&gt;=100000), " ",IF(INDEX($V$2:$AE$1001,MATCH(ROWS($O$2:O786),$O$2:$O$1001,0),MATCH(COLUMNS($V$1006:AC1006),$V$1006:$AE$1006,0)), HYPERLINK("#",""), HYPERLINK(CONCATENATE("#Metadata!", ADDRESS(INDEX($Q$2:$Q$1001,MATCH(ROWS($O$2:O786),$O$2:$O$1001,0),0), INDEX($V$1004:$AE$1004,1,MATCH(COLUMNS($V$1006:AC1006),$V$1006:$AE$1006,0)))),"Fix")))</f>
        <v>0</v>
      </c>
      <c r="J786" s="4">
        <f>IF(OR(INDEX($P$2:$P$1001,MATCH(ROWS($O$2:O786),$O$2:$O$1001,0),1)&gt;=100000,INDEX($V$1005:$AE$1005,1,MATCH(COLUMNS($V$1006:AD1006),$V$1006:$AE$1006,0))&gt;=100000), " ",IF(INDEX($V$2:$AE$1001,MATCH(ROWS($O$2:O786),$O$2:$O$1001,0),MATCH(COLUMNS($V$1006:AD1006),$V$1006:$AE$1006,0)), HYPERLINK("#",""), HYPERLINK(CONCATENATE("#Metadata!", ADDRESS(INDEX($Q$2:$Q$1001,MATCH(ROWS($O$2:O786),$O$2:$O$1001,0),0), INDEX($V$1004:$AE$1004,1,MATCH(COLUMNS($V$1006:AD1006),$V$1006:$AE$1006,0)))),"Fix")))</f>
        <v>0</v>
      </c>
      <c r="K786" s="4">
        <f>IF(OR(INDEX($P$2:$P$1001,MATCH(ROWS($O$2:O786),$O$2:$O$1001,0),1)&gt;=100000,INDEX($V$1005:$AE$1005,1,MATCH(COLUMNS($V$1006:AE1006),$V$1006:$AE$1006,0))&gt;=100000), " ",IF(INDEX($V$2:$AE$1001,MATCH(ROWS($O$2:O786),$O$2:$O$1001,0),MATCH(COLUMNS($V$1006:AE1006),$V$1006:$AE$1006,0)), HYPERLINK("#",""), HYPERLINK(CONCATENATE("#Metadata!", ADDRESS(INDEX($Q$2:$Q$1001,MATCH(ROWS($O$2:O786),$O$2:$O$1001,0),0), INDEX($V$1004:$AE$1004,1,MATCH(COLUMNS($V$1006:AE1006),$V$1006:$AE$1006,0)))),"Fix")))</f>
        <v>0</v>
      </c>
      <c r="O786">
        <v>0</v>
      </c>
      <c r="P786">
        <v>0</v>
      </c>
      <c r="Q786">
        <v>0</v>
      </c>
      <c r="R786">
        <f>IF(S786,TRUE,AND(V786:AE786))</f>
        <v>0</v>
      </c>
      <c r="S786">
        <f>COUNTBLANK(Metadata!B786:K786)=COLUMNS(Metadata!B786:K786)</f>
        <v>0</v>
      </c>
      <c r="T786">
        <v>0</v>
      </c>
      <c r="V786">
        <f>AND(IF(Metadata!B786="",FALSE,TRUE),COUNTIF(Metadata!B:B, Metadata!B786) = 1,NOT(ISERROR(SUMPRODUCT(SEARCH(MID(Metadata!B786,ROW(INDIRECT("1:"&amp;LEN(Metadata!B786))), 1),"0123456789abcdefghijklmnopqrstuvwxyzABCDEFGHIJKLMNOPQRSTUVWXYZ.")))))</f>
        <v>0</v>
      </c>
      <c r="W786">
        <f>AND(IF(Metadata!C786="",FALSE,TRUE),exact(Metadata!C786,"urban biome"))</f>
        <v>0</v>
      </c>
      <c r="X786">
        <f>AND(IF(Metadata!D786="",FALSE,TRUE),exact(Metadata!D786,"animal-associated habitat"))</f>
        <v>0</v>
      </c>
      <c r="Y786">
        <f>OR(AND(IF(Metadata!E786="",FALSE,TRUE),OR(exact(Metadata!E786,"not applicable"),exact(Metadata!E786,"missing: not collected"),exact(Metadata!E786,"missing: not provided"),exact(Metadata!E786,"missing: restricted access"))),AND(IF(Metadata!E786="",FALSE,ISNUMBER(VALUE(Metadata!E786))),Metadata!E786&gt;0))</f>
        <v>0</v>
      </c>
      <c r="Z786">
        <f>AND(IF(Metadata!F786="",FALSE,TRUE),exact(Metadata!F786,"weeks"))</f>
        <v>0</v>
      </c>
      <c r="AA786">
        <f>AND(IF(Metadata!G786="",FALSE,TRUE),exact(Metadata!G786,"mouse"))</f>
        <v>0</v>
      </c>
      <c r="AB786">
        <f>AND(IF(Metadata!H786="",FALSE,TRUE),exact(Metadata!H786,"Mus musculus"))</f>
        <v>0</v>
      </c>
      <c r="AC786">
        <f>AND(IF(Metadata!I786="",FALSE,TRUE),exact(Metadata!I786,"10090"))</f>
        <v>0</v>
      </c>
      <c r="AD786">
        <f>OR(AND(IF(Metadata!J786="",FALSE,TRUE),OR(exact(Metadata!J786,"not applicable"),exact(Metadata!J786,"missing: not collected"),exact(Metadata!J786,"missing: not provided"),exact(Metadata!J786,"missing: restricted access"))),AND(IF(Metadata!J786="",FALSE,ISNUMBER(VALUE(Metadata!J786))),Metadata!J786&gt;0))</f>
        <v>0</v>
      </c>
      <c r="AE786">
        <f>AND(IF(Metadata!K786="",FALSE,TRUE),exact(Metadata!K786,"g"))</f>
        <v>0</v>
      </c>
    </row>
    <row r="787" spans="1:31">
      <c r="A787" s="5">
        <f>IF(B787=" "," ",HYPERLINK(CONCATENATE("#metadata!",ADDRESS(INDEX($Q$2:$Q$1001,MATCH(ROWS($O$2:O787),$O$2:$O$1001,0),0),1)),INDEX($T$2:$T$1001,MATCH(ROWS($O$2:O787),$O$2:$O$1001,0),0)))</f>
        <v>0</v>
      </c>
      <c r="B787" s="4">
        <f>IF(OR(INDEX($P$2:$P$1001,MATCH(ROWS($O$2:O787),$O$2:$O$1001,0),1)&gt;=100000,INDEX($V$1005:$AE$1005,1,MATCH(COLUMNS($V$1006:V1006),$V$1006:$AE$1006,0))&gt;=100000), " ",IF(INDEX($V$2:$AE$1001,MATCH(ROWS($O$2:O787),$O$2:$O$1001,0),MATCH(COLUMNS($V$1006:V1006),$V$1006:$AE$1006,0)), HYPERLINK("#",""), HYPERLINK(CONCATENATE("#Metadata!", ADDRESS(INDEX($Q$2:$Q$1001,MATCH(ROWS($O$2:O787),$O$2:$O$1001,0),0), INDEX($V$1004:$AE$1004,1,MATCH(COLUMNS($V$1006:V1006),$V$1006:$AE$1006,0)))),"Fix")))</f>
        <v>0</v>
      </c>
      <c r="C787" s="4">
        <f>IF(OR(INDEX($P$2:$P$1001,MATCH(ROWS($O$2:O787),$O$2:$O$1001,0),1)&gt;=100000,INDEX($V$1005:$AE$1005,1,MATCH(COLUMNS($V$1006:W1006),$V$1006:$AE$1006,0))&gt;=100000), " ",IF(INDEX($V$2:$AE$1001,MATCH(ROWS($O$2:O787),$O$2:$O$1001,0),MATCH(COLUMNS($V$1006:W1006),$V$1006:$AE$1006,0)), HYPERLINK("#",""), HYPERLINK(CONCATENATE("#Metadata!", ADDRESS(INDEX($Q$2:$Q$1001,MATCH(ROWS($O$2:O787),$O$2:$O$1001,0),0), INDEX($V$1004:$AE$1004,1,MATCH(COLUMNS($V$1006:W1006),$V$1006:$AE$1006,0)))),"Fix")))</f>
        <v>0</v>
      </c>
      <c r="D787" s="4">
        <f>IF(OR(INDEX($P$2:$P$1001,MATCH(ROWS($O$2:O787),$O$2:$O$1001,0),1)&gt;=100000,INDEX($V$1005:$AE$1005,1,MATCH(COLUMNS($V$1006:X1006),$V$1006:$AE$1006,0))&gt;=100000), " ",IF(INDEX($V$2:$AE$1001,MATCH(ROWS($O$2:O787),$O$2:$O$1001,0),MATCH(COLUMNS($V$1006:X1006),$V$1006:$AE$1006,0)), HYPERLINK("#",""), HYPERLINK(CONCATENATE("#Metadata!", ADDRESS(INDEX($Q$2:$Q$1001,MATCH(ROWS($O$2:O787),$O$2:$O$1001,0),0), INDEX($V$1004:$AE$1004,1,MATCH(COLUMNS($V$1006:X1006),$V$1006:$AE$1006,0)))),"Fix")))</f>
        <v>0</v>
      </c>
      <c r="E787" s="4">
        <f>IF(OR(INDEX($P$2:$P$1001,MATCH(ROWS($O$2:O787),$O$2:$O$1001,0),1)&gt;=100000,INDEX($V$1005:$AE$1005,1,MATCH(COLUMNS($V$1006:Y1006),$V$1006:$AE$1006,0))&gt;=100000), " ",IF(INDEX($V$2:$AE$1001,MATCH(ROWS($O$2:O787),$O$2:$O$1001,0),MATCH(COLUMNS($V$1006:Y1006),$V$1006:$AE$1006,0)), HYPERLINK("#",""), HYPERLINK(CONCATENATE("#Metadata!", ADDRESS(INDEX($Q$2:$Q$1001,MATCH(ROWS($O$2:O787),$O$2:$O$1001,0),0), INDEX($V$1004:$AE$1004,1,MATCH(COLUMNS($V$1006:Y1006),$V$1006:$AE$1006,0)))),"Fix")))</f>
        <v>0</v>
      </c>
      <c r="F787" s="4">
        <f>IF(OR(INDEX($P$2:$P$1001,MATCH(ROWS($O$2:O787),$O$2:$O$1001,0),1)&gt;=100000,INDEX($V$1005:$AE$1005,1,MATCH(COLUMNS($V$1006:Z1006),$V$1006:$AE$1006,0))&gt;=100000), " ",IF(INDEX($V$2:$AE$1001,MATCH(ROWS($O$2:O787),$O$2:$O$1001,0),MATCH(COLUMNS($V$1006:Z1006),$V$1006:$AE$1006,0)), HYPERLINK("#",""), HYPERLINK(CONCATENATE("#Metadata!", ADDRESS(INDEX($Q$2:$Q$1001,MATCH(ROWS($O$2:O787),$O$2:$O$1001,0),0), INDEX($V$1004:$AE$1004,1,MATCH(COLUMNS($V$1006:Z1006),$V$1006:$AE$1006,0)))),"Fix")))</f>
        <v>0</v>
      </c>
      <c r="G787" s="4">
        <f>IF(OR(INDEX($P$2:$P$1001,MATCH(ROWS($O$2:O787),$O$2:$O$1001,0),1)&gt;=100000,INDEX($V$1005:$AE$1005,1,MATCH(COLUMNS($V$1006:AA1006),$V$1006:$AE$1006,0))&gt;=100000), " ",IF(INDEX($V$2:$AE$1001,MATCH(ROWS($O$2:O787),$O$2:$O$1001,0),MATCH(COLUMNS($V$1006:AA1006),$V$1006:$AE$1006,0)), HYPERLINK("#",""), HYPERLINK(CONCATENATE("#Metadata!", ADDRESS(INDEX($Q$2:$Q$1001,MATCH(ROWS($O$2:O787),$O$2:$O$1001,0),0), INDEX($V$1004:$AE$1004,1,MATCH(COLUMNS($V$1006:AA1006),$V$1006:$AE$1006,0)))),"Fix")))</f>
        <v>0</v>
      </c>
      <c r="H787" s="4">
        <f>IF(OR(INDEX($P$2:$P$1001,MATCH(ROWS($O$2:O787),$O$2:$O$1001,0),1)&gt;=100000,INDEX($V$1005:$AE$1005,1,MATCH(COLUMNS($V$1006:AB1006),$V$1006:$AE$1006,0))&gt;=100000), " ",IF(INDEX($V$2:$AE$1001,MATCH(ROWS($O$2:O787),$O$2:$O$1001,0),MATCH(COLUMNS($V$1006:AB1006),$V$1006:$AE$1006,0)), HYPERLINK("#",""), HYPERLINK(CONCATENATE("#Metadata!", ADDRESS(INDEX($Q$2:$Q$1001,MATCH(ROWS($O$2:O787),$O$2:$O$1001,0),0), INDEX($V$1004:$AE$1004,1,MATCH(COLUMNS($V$1006:AB1006),$V$1006:$AE$1006,0)))),"Fix")))</f>
        <v>0</v>
      </c>
      <c r="I787" s="4">
        <f>IF(OR(INDEX($P$2:$P$1001,MATCH(ROWS($O$2:O787),$O$2:$O$1001,0),1)&gt;=100000,INDEX($V$1005:$AE$1005,1,MATCH(COLUMNS($V$1006:AC1006),$V$1006:$AE$1006,0))&gt;=100000), " ",IF(INDEX($V$2:$AE$1001,MATCH(ROWS($O$2:O787),$O$2:$O$1001,0),MATCH(COLUMNS($V$1006:AC1006),$V$1006:$AE$1006,0)), HYPERLINK("#",""), HYPERLINK(CONCATENATE("#Metadata!", ADDRESS(INDEX($Q$2:$Q$1001,MATCH(ROWS($O$2:O787),$O$2:$O$1001,0),0), INDEX($V$1004:$AE$1004,1,MATCH(COLUMNS($V$1006:AC1006),$V$1006:$AE$1006,0)))),"Fix")))</f>
        <v>0</v>
      </c>
      <c r="J787" s="4">
        <f>IF(OR(INDEX($P$2:$P$1001,MATCH(ROWS($O$2:O787),$O$2:$O$1001,0),1)&gt;=100000,INDEX($V$1005:$AE$1005,1,MATCH(COLUMNS($V$1006:AD1006),$V$1006:$AE$1006,0))&gt;=100000), " ",IF(INDEX($V$2:$AE$1001,MATCH(ROWS($O$2:O787),$O$2:$O$1001,0),MATCH(COLUMNS($V$1006:AD1006),$V$1006:$AE$1006,0)), HYPERLINK("#",""), HYPERLINK(CONCATENATE("#Metadata!", ADDRESS(INDEX($Q$2:$Q$1001,MATCH(ROWS($O$2:O787),$O$2:$O$1001,0),0), INDEX($V$1004:$AE$1004,1,MATCH(COLUMNS($V$1006:AD1006),$V$1006:$AE$1006,0)))),"Fix")))</f>
        <v>0</v>
      </c>
      <c r="K787" s="4">
        <f>IF(OR(INDEX($P$2:$P$1001,MATCH(ROWS($O$2:O787),$O$2:$O$1001,0),1)&gt;=100000,INDEX($V$1005:$AE$1005,1,MATCH(COLUMNS($V$1006:AE1006),$V$1006:$AE$1006,0))&gt;=100000), " ",IF(INDEX($V$2:$AE$1001,MATCH(ROWS($O$2:O787),$O$2:$O$1001,0),MATCH(COLUMNS($V$1006:AE1006),$V$1006:$AE$1006,0)), HYPERLINK("#",""), HYPERLINK(CONCATENATE("#Metadata!", ADDRESS(INDEX($Q$2:$Q$1001,MATCH(ROWS($O$2:O787),$O$2:$O$1001,0),0), INDEX($V$1004:$AE$1004,1,MATCH(COLUMNS($V$1006:AE1006),$V$1006:$AE$1006,0)))),"Fix")))</f>
        <v>0</v>
      </c>
      <c r="O787">
        <v>0</v>
      </c>
      <c r="P787">
        <v>0</v>
      </c>
      <c r="Q787">
        <v>0</v>
      </c>
      <c r="R787">
        <f>IF(S787,TRUE,AND(V787:AE787))</f>
        <v>0</v>
      </c>
      <c r="S787">
        <f>COUNTBLANK(Metadata!B787:K787)=COLUMNS(Metadata!B787:K787)</f>
        <v>0</v>
      </c>
      <c r="T787">
        <v>0</v>
      </c>
      <c r="V787">
        <f>AND(IF(Metadata!B787="",FALSE,TRUE),COUNTIF(Metadata!B:B, Metadata!B787) = 1,NOT(ISERROR(SUMPRODUCT(SEARCH(MID(Metadata!B787,ROW(INDIRECT("1:"&amp;LEN(Metadata!B787))), 1),"0123456789abcdefghijklmnopqrstuvwxyzABCDEFGHIJKLMNOPQRSTUVWXYZ.")))))</f>
        <v>0</v>
      </c>
      <c r="W787">
        <f>AND(IF(Metadata!C787="",FALSE,TRUE),exact(Metadata!C787,"urban biome"))</f>
        <v>0</v>
      </c>
      <c r="X787">
        <f>AND(IF(Metadata!D787="",FALSE,TRUE),exact(Metadata!D787,"animal-associated habitat"))</f>
        <v>0</v>
      </c>
      <c r="Y787">
        <f>OR(AND(IF(Metadata!E787="",FALSE,TRUE),OR(exact(Metadata!E787,"not applicable"),exact(Metadata!E787,"missing: not collected"),exact(Metadata!E787,"missing: not provided"),exact(Metadata!E787,"missing: restricted access"))),AND(IF(Metadata!E787="",FALSE,ISNUMBER(VALUE(Metadata!E787))),Metadata!E787&gt;0))</f>
        <v>0</v>
      </c>
      <c r="Z787">
        <f>AND(IF(Metadata!F787="",FALSE,TRUE),exact(Metadata!F787,"weeks"))</f>
        <v>0</v>
      </c>
      <c r="AA787">
        <f>AND(IF(Metadata!G787="",FALSE,TRUE),exact(Metadata!G787,"mouse"))</f>
        <v>0</v>
      </c>
      <c r="AB787">
        <f>AND(IF(Metadata!H787="",FALSE,TRUE),exact(Metadata!H787,"Mus musculus"))</f>
        <v>0</v>
      </c>
      <c r="AC787">
        <f>AND(IF(Metadata!I787="",FALSE,TRUE),exact(Metadata!I787,"10090"))</f>
        <v>0</v>
      </c>
      <c r="AD787">
        <f>OR(AND(IF(Metadata!J787="",FALSE,TRUE),OR(exact(Metadata!J787,"not applicable"),exact(Metadata!J787,"missing: not collected"),exact(Metadata!J787,"missing: not provided"),exact(Metadata!J787,"missing: restricted access"))),AND(IF(Metadata!J787="",FALSE,ISNUMBER(VALUE(Metadata!J787))),Metadata!J787&gt;0))</f>
        <v>0</v>
      </c>
      <c r="AE787">
        <f>AND(IF(Metadata!K787="",FALSE,TRUE),exact(Metadata!K787,"g"))</f>
        <v>0</v>
      </c>
    </row>
    <row r="788" spans="1:31">
      <c r="A788" s="5">
        <f>IF(B788=" "," ",HYPERLINK(CONCATENATE("#metadata!",ADDRESS(INDEX($Q$2:$Q$1001,MATCH(ROWS($O$2:O788),$O$2:$O$1001,0),0),1)),INDEX($T$2:$T$1001,MATCH(ROWS($O$2:O788),$O$2:$O$1001,0),0)))</f>
        <v>0</v>
      </c>
      <c r="B788" s="4">
        <f>IF(OR(INDEX($P$2:$P$1001,MATCH(ROWS($O$2:O788),$O$2:$O$1001,0),1)&gt;=100000,INDEX($V$1005:$AE$1005,1,MATCH(COLUMNS($V$1006:V1006),$V$1006:$AE$1006,0))&gt;=100000), " ",IF(INDEX($V$2:$AE$1001,MATCH(ROWS($O$2:O788),$O$2:$O$1001,0),MATCH(COLUMNS($V$1006:V1006),$V$1006:$AE$1006,0)), HYPERLINK("#",""), HYPERLINK(CONCATENATE("#Metadata!", ADDRESS(INDEX($Q$2:$Q$1001,MATCH(ROWS($O$2:O788),$O$2:$O$1001,0),0), INDEX($V$1004:$AE$1004,1,MATCH(COLUMNS($V$1006:V1006),$V$1006:$AE$1006,0)))),"Fix")))</f>
        <v>0</v>
      </c>
      <c r="C788" s="4">
        <f>IF(OR(INDEX($P$2:$P$1001,MATCH(ROWS($O$2:O788),$O$2:$O$1001,0),1)&gt;=100000,INDEX($V$1005:$AE$1005,1,MATCH(COLUMNS($V$1006:W1006),$V$1006:$AE$1006,0))&gt;=100000), " ",IF(INDEX($V$2:$AE$1001,MATCH(ROWS($O$2:O788),$O$2:$O$1001,0),MATCH(COLUMNS($V$1006:W1006),$V$1006:$AE$1006,0)), HYPERLINK("#",""), HYPERLINK(CONCATENATE("#Metadata!", ADDRESS(INDEX($Q$2:$Q$1001,MATCH(ROWS($O$2:O788),$O$2:$O$1001,0),0), INDEX($V$1004:$AE$1004,1,MATCH(COLUMNS($V$1006:W1006),$V$1006:$AE$1006,0)))),"Fix")))</f>
        <v>0</v>
      </c>
      <c r="D788" s="4">
        <f>IF(OR(INDEX($P$2:$P$1001,MATCH(ROWS($O$2:O788),$O$2:$O$1001,0),1)&gt;=100000,INDEX($V$1005:$AE$1005,1,MATCH(COLUMNS($V$1006:X1006),$V$1006:$AE$1006,0))&gt;=100000), " ",IF(INDEX($V$2:$AE$1001,MATCH(ROWS($O$2:O788),$O$2:$O$1001,0),MATCH(COLUMNS($V$1006:X1006),$V$1006:$AE$1006,0)), HYPERLINK("#",""), HYPERLINK(CONCATENATE("#Metadata!", ADDRESS(INDEX($Q$2:$Q$1001,MATCH(ROWS($O$2:O788),$O$2:$O$1001,0),0), INDEX($V$1004:$AE$1004,1,MATCH(COLUMNS($V$1006:X1006),$V$1006:$AE$1006,0)))),"Fix")))</f>
        <v>0</v>
      </c>
      <c r="E788" s="4">
        <f>IF(OR(INDEX($P$2:$P$1001,MATCH(ROWS($O$2:O788),$O$2:$O$1001,0),1)&gt;=100000,INDEX($V$1005:$AE$1005,1,MATCH(COLUMNS($V$1006:Y1006),$V$1006:$AE$1006,0))&gt;=100000), " ",IF(INDEX($V$2:$AE$1001,MATCH(ROWS($O$2:O788),$O$2:$O$1001,0),MATCH(COLUMNS($V$1006:Y1006),$V$1006:$AE$1006,0)), HYPERLINK("#",""), HYPERLINK(CONCATENATE("#Metadata!", ADDRESS(INDEX($Q$2:$Q$1001,MATCH(ROWS($O$2:O788),$O$2:$O$1001,0),0), INDEX($V$1004:$AE$1004,1,MATCH(COLUMNS($V$1006:Y1006),$V$1006:$AE$1006,0)))),"Fix")))</f>
        <v>0</v>
      </c>
      <c r="F788" s="4">
        <f>IF(OR(INDEX($P$2:$P$1001,MATCH(ROWS($O$2:O788),$O$2:$O$1001,0),1)&gt;=100000,INDEX($V$1005:$AE$1005,1,MATCH(COLUMNS($V$1006:Z1006),$V$1006:$AE$1006,0))&gt;=100000), " ",IF(INDEX($V$2:$AE$1001,MATCH(ROWS($O$2:O788),$O$2:$O$1001,0),MATCH(COLUMNS($V$1006:Z1006),$V$1006:$AE$1006,0)), HYPERLINK("#",""), HYPERLINK(CONCATENATE("#Metadata!", ADDRESS(INDEX($Q$2:$Q$1001,MATCH(ROWS($O$2:O788),$O$2:$O$1001,0),0), INDEX($V$1004:$AE$1004,1,MATCH(COLUMNS($V$1006:Z1006),$V$1006:$AE$1006,0)))),"Fix")))</f>
        <v>0</v>
      </c>
      <c r="G788" s="4">
        <f>IF(OR(INDEX($P$2:$P$1001,MATCH(ROWS($O$2:O788),$O$2:$O$1001,0),1)&gt;=100000,INDEX($V$1005:$AE$1005,1,MATCH(COLUMNS($V$1006:AA1006),$V$1006:$AE$1006,0))&gt;=100000), " ",IF(INDEX($V$2:$AE$1001,MATCH(ROWS($O$2:O788),$O$2:$O$1001,0),MATCH(COLUMNS($V$1006:AA1006),$V$1006:$AE$1006,0)), HYPERLINK("#",""), HYPERLINK(CONCATENATE("#Metadata!", ADDRESS(INDEX($Q$2:$Q$1001,MATCH(ROWS($O$2:O788),$O$2:$O$1001,0),0), INDEX($V$1004:$AE$1004,1,MATCH(COLUMNS($V$1006:AA1006),$V$1006:$AE$1006,0)))),"Fix")))</f>
        <v>0</v>
      </c>
      <c r="H788" s="4">
        <f>IF(OR(INDEX($P$2:$P$1001,MATCH(ROWS($O$2:O788),$O$2:$O$1001,0),1)&gt;=100000,INDEX($V$1005:$AE$1005,1,MATCH(COLUMNS($V$1006:AB1006),$V$1006:$AE$1006,0))&gt;=100000), " ",IF(INDEX($V$2:$AE$1001,MATCH(ROWS($O$2:O788),$O$2:$O$1001,0),MATCH(COLUMNS($V$1006:AB1006),$V$1006:$AE$1006,0)), HYPERLINK("#",""), HYPERLINK(CONCATENATE("#Metadata!", ADDRESS(INDEX($Q$2:$Q$1001,MATCH(ROWS($O$2:O788),$O$2:$O$1001,0),0), INDEX($V$1004:$AE$1004,1,MATCH(COLUMNS($V$1006:AB1006),$V$1006:$AE$1006,0)))),"Fix")))</f>
        <v>0</v>
      </c>
      <c r="I788" s="4">
        <f>IF(OR(INDEX($P$2:$P$1001,MATCH(ROWS($O$2:O788),$O$2:$O$1001,0),1)&gt;=100000,INDEX($V$1005:$AE$1005,1,MATCH(COLUMNS($V$1006:AC1006),$V$1006:$AE$1006,0))&gt;=100000), " ",IF(INDEX($V$2:$AE$1001,MATCH(ROWS($O$2:O788),$O$2:$O$1001,0),MATCH(COLUMNS($V$1006:AC1006),$V$1006:$AE$1006,0)), HYPERLINK("#",""), HYPERLINK(CONCATENATE("#Metadata!", ADDRESS(INDEX($Q$2:$Q$1001,MATCH(ROWS($O$2:O788),$O$2:$O$1001,0),0), INDEX($V$1004:$AE$1004,1,MATCH(COLUMNS($V$1006:AC1006),$V$1006:$AE$1006,0)))),"Fix")))</f>
        <v>0</v>
      </c>
      <c r="J788" s="4">
        <f>IF(OR(INDEX($P$2:$P$1001,MATCH(ROWS($O$2:O788),$O$2:$O$1001,0),1)&gt;=100000,INDEX($V$1005:$AE$1005,1,MATCH(COLUMNS($V$1006:AD1006),$V$1006:$AE$1006,0))&gt;=100000), " ",IF(INDEX($V$2:$AE$1001,MATCH(ROWS($O$2:O788),$O$2:$O$1001,0),MATCH(COLUMNS($V$1006:AD1006),$V$1006:$AE$1006,0)), HYPERLINK("#",""), HYPERLINK(CONCATENATE("#Metadata!", ADDRESS(INDEX($Q$2:$Q$1001,MATCH(ROWS($O$2:O788),$O$2:$O$1001,0),0), INDEX($V$1004:$AE$1004,1,MATCH(COLUMNS($V$1006:AD1006),$V$1006:$AE$1006,0)))),"Fix")))</f>
        <v>0</v>
      </c>
      <c r="K788" s="4">
        <f>IF(OR(INDEX($P$2:$P$1001,MATCH(ROWS($O$2:O788),$O$2:$O$1001,0),1)&gt;=100000,INDEX($V$1005:$AE$1005,1,MATCH(COLUMNS($V$1006:AE1006),$V$1006:$AE$1006,0))&gt;=100000), " ",IF(INDEX($V$2:$AE$1001,MATCH(ROWS($O$2:O788),$O$2:$O$1001,0),MATCH(COLUMNS($V$1006:AE1006),$V$1006:$AE$1006,0)), HYPERLINK("#",""), HYPERLINK(CONCATENATE("#Metadata!", ADDRESS(INDEX($Q$2:$Q$1001,MATCH(ROWS($O$2:O788),$O$2:$O$1001,0),0), INDEX($V$1004:$AE$1004,1,MATCH(COLUMNS($V$1006:AE1006),$V$1006:$AE$1006,0)))),"Fix")))</f>
        <v>0</v>
      </c>
      <c r="O788">
        <v>0</v>
      </c>
      <c r="P788">
        <v>0</v>
      </c>
      <c r="Q788">
        <v>0</v>
      </c>
      <c r="R788">
        <f>IF(S788,TRUE,AND(V788:AE788))</f>
        <v>0</v>
      </c>
      <c r="S788">
        <f>COUNTBLANK(Metadata!B788:K788)=COLUMNS(Metadata!B788:K788)</f>
        <v>0</v>
      </c>
      <c r="T788">
        <v>0</v>
      </c>
      <c r="V788">
        <f>AND(IF(Metadata!B788="",FALSE,TRUE),COUNTIF(Metadata!B:B, Metadata!B788) = 1,NOT(ISERROR(SUMPRODUCT(SEARCH(MID(Metadata!B788,ROW(INDIRECT("1:"&amp;LEN(Metadata!B788))), 1),"0123456789abcdefghijklmnopqrstuvwxyzABCDEFGHIJKLMNOPQRSTUVWXYZ.")))))</f>
        <v>0</v>
      </c>
      <c r="W788">
        <f>AND(IF(Metadata!C788="",FALSE,TRUE),exact(Metadata!C788,"urban biome"))</f>
        <v>0</v>
      </c>
      <c r="X788">
        <f>AND(IF(Metadata!D788="",FALSE,TRUE),exact(Metadata!D788,"animal-associated habitat"))</f>
        <v>0</v>
      </c>
      <c r="Y788">
        <f>OR(AND(IF(Metadata!E788="",FALSE,TRUE),OR(exact(Metadata!E788,"not applicable"),exact(Metadata!E788,"missing: not collected"),exact(Metadata!E788,"missing: not provided"),exact(Metadata!E788,"missing: restricted access"))),AND(IF(Metadata!E788="",FALSE,ISNUMBER(VALUE(Metadata!E788))),Metadata!E788&gt;0))</f>
        <v>0</v>
      </c>
      <c r="Z788">
        <f>AND(IF(Metadata!F788="",FALSE,TRUE),exact(Metadata!F788,"weeks"))</f>
        <v>0</v>
      </c>
      <c r="AA788">
        <f>AND(IF(Metadata!G788="",FALSE,TRUE),exact(Metadata!G788,"mouse"))</f>
        <v>0</v>
      </c>
      <c r="AB788">
        <f>AND(IF(Metadata!H788="",FALSE,TRUE),exact(Metadata!H788,"Mus musculus"))</f>
        <v>0</v>
      </c>
      <c r="AC788">
        <f>AND(IF(Metadata!I788="",FALSE,TRUE),exact(Metadata!I788,"10090"))</f>
        <v>0</v>
      </c>
      <c r="AD788">
        <f>OR(AND(IF(Metadata!J788="",FALSE,TRUE),OR(exact(Metadata!J788,"not applicable"),exact(Metadata!J788,"missing: not collected"),exact(Metadata!J788,"missing: not provided"),exact(Metadata!J788,"missing: restricted access"))),AND(IF(Metadata!J788="",FALSE,ISNUMBER(VALUE(Metadata!J788))),Metadata!J788&gt;0))</f>
        <v>0</v>
      </c>
      <c r="AE788">
        <f>AND(IF(Metadata!K788="",FALSE,TRUE),exact(Metadata!K788,"g"))</f>
        <v>0</v>
      </c>
    </row>
    <row r="789" spans="1:31">
      <c r="A789" s="5">
        <f>IF(B789=" "," ",HYPERLINK(CONCATENATE("#metadata!",ADDRESS(INDEX($Q$2:$Q$1001,MATCH(ROWS($O$2:O789),$O$2:$O$1001,0),0),1)),INDEX($T$2:$T$1001,MATCH(ROWS($O$2:O789),$O$2:$O$1001,0),0)))</f>
        <v>0</v>
      </c>
      <c r="B789" s="4">
        <f>IF(OR(INDEX($P$2:$P$1001,MATCH(ROWS($O$2:O789),$O$2:$O$1001,0),1)&gt;=100000,INDEX($V$1005:$AE$1005,1,MATCH(COLUMNS($V$1006:V1006),$V$1006:$AE$1006,0))&gt;=100000), " ",IF(INDEX($V$2:$AE$1001,MATCH(ROWS($O$2:O789),$O$2:$O$1001,0),MATCH(COLUMNS($V$1006:V1006),$V$1006:$AE$1006,0)), HYPERLINK("#",""), HYPERLINK(CONCATENATE("#Metadata!", ADDRESS(INDEX($Q$2:$Q$1001,MATCH(ROWS($O$2:O789),$O$2:$O$1001,0),0), INDEX($V$1004:$AE$1004,1,MATCH(COLUMNS($V$1006:V1006),$V$1006:$AE$1006,0)))),"Fix")))</f>
        <v>0</v>
      </c>
      <c r="C789" s="4">
        <f>IF(OR(INDEX($P$2:$P$1001,MATCH(ROWS($O$2:O789),$O$2:$O$1001,0),1)&gt;=100000,INDEX($V$1005:$AE$1005,1,MATCH(COLUMNS($V$1006:W1006),$V$1006:$AE$1006,0))&gt;=100000), " ",IF(INDEX($V$2:$AE$1001,MATCH(ROWS($O$2:O789),$O$2:$O$1001,0),MATCH(COLUMNS($V$1006:W1006),$V$1006:$AE$1006,0)), HYPERLINK("#",""), HYPERLINK(CONCATENATE("#Metadata!", ADDRESS(INDEX($Q$2:$Q$1001,MATCH(ROWS($O$2:O789),$O$2:$O$1001,0),0), INDEX($V$1004:$AE$1004,1,MATCH(COLUMNS($V$1006:W1006),$V$1006:$AE$1006,0)))),"Fix")))</f>
        <v>0</v>
      </c>
      <c r="D789" s="4">
        <f>IF(OR(INDEX($P$2:$P$1001,MATCH(ROWS($O$2:O789),$O$2:$O$1001,0),1)&gt;=100000,INDEX($V$1005:$AE$1005,1,MATCH(COLUMNS($V$1006:X1006),$V$1006:$AE$1006,0))&gt;=100000), " ",IF(INDEX($V$2:$AE$1001,MATCH(ROWS($O$2:O789),$O$2:$O$1001,0),MATCH(COLUMNS($V$1006:X1006),$V$1006:$AE$1006,0)), HYPERLINK("#",""), HYPERLINK(CONCATENATE("#Metadata!", ADDRESS(INDEX($Q$2:$Q$1001,MATCH(ROWS($O$2:O789),$O$2:$O$1001,0),0), INDEX($V$1004:$AE$1004,1,MATCH(COLUMNS($V$1006:X1006),$V$1006:$AE$1006,0)))),"Fix")))</f>
        <v>0</v>
      </c>
      <c r="E789" s="4">
        <f>IF(OR(INDEX($P$2:$P$1001,MATCH(ROWS($O$2:O789),$O$2:$O$1001,0),1)&gt;=100000,INDEX($V$1005:$AE$1005,1,MATCH(COLUMNS($V$1006:Y1006),$V$1006:$AE$1006,0))&gt;=100000), " ",IF(INDEX($V$2:$AE$1001,MATCH(ROWS($O$2:O789),$O$2:$O$1001,0),MATCH(COLUMNS($V$1006:Y1006),$V$1006:$AE$1006,0)), HYPERLINK("#",""), HYPERLINK(CONCATENATE("#Metadata!", ADDRESS(INDEX($Q$2:$Q$1001,MATCH(ROWS($O$2:O789),$O$2:$O$1001,0),0), INDEX($V$1004:$AE$1004,1,MATCH(COLUMNS($V$1006:Y1006),$V$1006:$AE$1006,0)))),"Fix")))</f>
        <v>0</v>
      </c>
      <c r="F789" s="4">
        <f>IF(OR(INDEX($P$2:$P$1001,MATCH(ROWS($O$2:O789),$O$2:$O$1001,0),1)&gt;=100000,INDEX($V$1005:$AE$1005,1,MATCH(COLUMNS($V$1006:Z1006),$V$1006:$AE$1006,0))&gt;=100000), " ",IF(INDEX($V$2:$AE$1001,MATCH(ROWS($O$2:O789),$O$2:$O$1001,0),MATCH(COLUMNS($V$1006:Z1006),$V$1006:$AE$1006,0)), HYPERLINK("#",""), HYPERLINK(CONCATENATE("#Metadata!", ADDRESS(INDEX($Q$2:$Q$1001,MATCH(ROWS($O$2:O789),$O$2:$O$1001,0),0), INDEX($V$1004:$AE$1004,1,MATCH(COLUMNS($V$1006:Z1006),$V$1006:$AE$1006,0)))),"Fix")))</f>
        <v>0</v>
      </c>
      <c r="G789" s="4">
        <f>IF(OR(INDEX($P$2:$P$1001,MATCH(ROWS($O$2:O789),$O$2:$O$1001,0),1)&gt;=100000,INDEX($V$1005:$AE$1005,1,MATCH(COLUMNS($V$1006:AA1006),$V$1006:$AE$1006,0))&gt;=100000), " ",IF(INDEX($V$2:$AE$1001,MATCH(ROWS($O$2:O789),$O$2:$O$1001,0),MATCH(COLUMNS($V$1006:AA1006),$V$1006:$AE$1006,0)), HYPERLINK("#",""), HYPERLINK(CONCATENATE("#Metadata!", ADDRESS(INDEX($Q$2:$Q$1001,MATCH(ROWS($O$2:O789),$O$2:$O$1001,0),0), INDEX($V$1004:$AE$1004,1,MATCH(COLUMNS($V$1006:AA1006),$V$1006:$AE$1006,0)))),"Fix")))</f>
        <v>0</v>
      </c>
      <c r="H789" s="4">
        <f>IF(OR(INDEX($P$2:$P$1001,MATCH(ROWS($O$2:O789),$O$2:$O$1001,0),1)&gt;=100000,INDEX($V$1005:$AE$1005,1,MATCH(COLUMNS($V$1006:AB1006),$V$1006:$AE$1006,0))&gt;=100000), " ",IF(INDEX($V$2:$AE$1001,MATCH(ROWS($O$2:O789),$O$2:$O$1001,0),MATCH(COLUMNS($V$1006:AB1006),$V$1006:$AE$1006,0)), HYPERLINK("#",""), HYPERLINK(CONCATENATE("#Metadata!", ADDRESS(INDEX($Q$2:$Q$1001,MATCH(ROWS($O$2:O789),$O$2:$O$1001,0),0), INDEX($V$1004:$AE$1004,1,MATCH(COLUMNS($V$1006:AB1006),$V$1006:$AE$1006,0)))),"Fix")))</f>
        <v>0</v>
      </c>
      <c r="I789" s="4">
        <f>IF(OR(INDEX($P$2:$P$1001,MATCH(ROWS($O$2:O789),$O$2:$O$1001,0),1)&gt;=100000,INDEX($V$1005:$AE$1005,1,MATCH(COLUMNS($V$1006:AC1006),$V$1006:$AE$1006,0))&gt;=100000), " ",IF(INDEX($V$2:$AE$1001,MATCH(ROWS($O$2:O789),$O$2:$O$1001,0),MATCH(COLUMNS($V$1006:AC1006),$V$1006:$AE$1006,0)), HYPERLINK("#",""), HYPERLINK(CONCATENATE("#Metadata!", ADDRESS(INDEX($Q$2:$Q$1001,MATCH(ROWS($O$2:O789),$O$2:$O$1001,0),0), INDEX($V$1004:$AE$1004,1,MATCH(COLUMNS($V$1006:AC1006),$V$1006:$AE$1006,0)))),"Fix")))</f>
        <v>0</v>
      </c>
      <c r="J789" s="4">
        <f>IF(OR(INDEX($P$2:$P$1001,MATCH(ROWS($O$2:O789),$O$2:$O$1001,0),1)&gt;=100000,INDEX($V$1005:$AE$1005,1,MATCH(COLUMNS($V$1006:AD1006),$V$1006:$AE$1006,0))&gt;=100000), " ",IF(INDEX($V$2:$AE$1001,MATCH(ROWS($O$2:O789),$O$2:$O$1001,0),MATCH(COLUMNS($V$1006:AD1006),$V$1006:$AE$1006,0)), HYPERLINK("#",""), HYPERLINK(CONCATENATE("#Metadata!", ADDRESS(INDEX($Q$2:$Q$1001,MATCH(ROWS($O$2:O789),$O$2:$O$1001,0),0), INDEX($V$1004:$AE$1004,1,MATCH(COLUMNS($V$1006:AD1006),$V$1006:$AE$1006,0)))),"Fix")))</f>
        <v>0</v>
      </c>
      <c r="K789" s="4">
        <f>IF(OR(INDEX($P$2:$P$1001,MATCH(ROWS($O$2:O789),$O$2:$O$1001,0),1)&gt;=100000,INDEX($V$1005:$AE$1005,1,MATCH(COLUMNS($V$1006:AE1006),$V$1006:$AE$1006,0))&gt;=100000), " ",IF(INDEX($V$2:$AE$1001,MATCH(ROWS($O$2:O789),$O$2:$O$1001,0),MATCH(COLUMNS($V$1006:AE1006),$V$1006:$AE$1006,0)), HYPERLINK("#",""), HYPERLINK(CONCATENATE("#Metadata!", ADDRESS(INDEX($Q$2:$Q$1001,MATCH(ROWS($O$2:O789),$O$2:$O$1001,0),0), INDEX($V$1004:$AE$1004,1,MATCH(COLUMNS($V$1006:AE1006),$V$1006:$AE$1006,0)))),"Fix")))</f>
        <v>0</v>
      </c>
      <c r="O789">
        <v>0</v>
      </c>
      <c r="P789">
        <v>0</v>
      </c>
      <c r="Q789">
        <v>0</v>
      </c>
      <c r="R789">
        <f>IF(S789,TRUE,AND(V789:AE789))</f>
        <v>0</v>
      </c>
      <c r="S789">
        <f>COUNTBLANK(Metadata!B789:K789)=COLUMNS(Metadata!B789:K789)</f>
        <v>0</v>
      </c>
      <c r="T789">
        <v>0</v>
      </c>
      <c r="V789">
        <f>AND(IF(Metadata!B789="",FALSE,TRUE),COUNTIF(Metadata!B:B, Metadata!B789) = 1,NOT(ISERROR(SUMPRODUCT(SEARCH(MID(Metadata!B789,ROW(INDIRECT("1:"&amp;LEN(Metadata!B789))), 1),"0123456789abcdefghijklmnopqrstuvwxyzABCDEFGHIJKLMNOPQRSTUVWXYZ.")))))</f>
        <v>0</v>
      </c>
      <c r="W789">
        <f>AND(IF(Metadata!C789="",FALSE,TRUE),exact(Metadata!C789,"urban biome"))</f>
        <v>0</v>
      </c>
      <c r="X789">
        <f>AND(IF(Metadata!D789="",FALSE,TRUE),exact(Metadata!D789,"animal-associated habitat"))</f>
        <v>0</v>
      </c>
      <c r="Y789">
        <f>OR(AND(IF(Metadata!E789="",FALSE,TRUE),OR(exact(Metadata!E789,"not applicable"),exact(Metadata!E789,"missing: not collected"),exact(Metadata!E789,"missing: not provided"),exact(Metadata!E789,"missing: restricted access"))),AND(IF(Metadata!E789="",FALSE,ISNUMBER(VALUE(Metadata!E789))),Metadata!E789&gt;0))</f>
        <v>0</v>
      </c>
      <c r="Z789">
        <f>AND(IF(Metadata!F789="",FALSE,TRUE),exact(Metadata!F789,"weeks"))</f>
        <v>0</v>
      </c>
      <c r="AA789">
        <f>AND(IF(Metadata!G789="",FALSE,TRUE),exact(Metadata!G789,"mouse"))</f>
        <v>0</v>
      </c>
      <c r="AB789">
        <f>AND(IF(Metadata!H789="",FALSE,TRUE),exact(Metadata!H789,"Mus musculus"))</f>
        <v>0</v>
      </c>
      <c r="AC789">
        <f>AND(IF(Metadata!I789="",FALSE,TRUE),exact(Metadata!I789,"10090"))</f>
        <v>0</v>
      </c>
      <c r="AD789">
        <f>OR(AND(IF(Metadata!J789="",FALSE,TRUE),OR(exact(Metadata!J789,"not applicable"),exact(Metadata!J789,"missing: not collected"),exact(Metadata!J789,"missing: not provided"),exact(Metadata!J789,"missing: restricted access"))),AND(IF(Metadata!J789="",FALSE,ISNUMBER(VALUE(Metadata!J789))),Metadata!J789&gt;0))</f>
        <v>0</v>
      </c>
      <c r="AE789">
        <f>AND(IF(Metadata!K789="",FALSE,TRUE),exact(Metadata!K789,"g"))</f>
        <v>0</v>
      </c>
    </row>
    <row r="790" spans="1:31">
      <c r="A790" s="5">
        <f>IF(B790=" "," ",HYPERLINK(CONCATENATE("#metadata!",ADDRESS(INDEX($Q$2:$Q$1001,MATCH(ROWS($O$2:O790),$O$2:$O$1001,0),0),1)),INDEX($T$2:$T$1001,MATCH(ROWS($O$2:O790),$O$2:$O$1001,0),0)))</f>
        <v>0</v>
      </c>
      <c r="B790" s="4">
        <f>IF(OR(INDEX($P$2:$P$1001,MATCH(ROWS($O$2:O790),$O$2:$O$1001,0),1)&gt;=100000,INDEX($V$1005:$AE$1005,1,MATCH(COLUMNS($V$1006:V1006),$V$1006:$AE$1006,0))&gt;=100000), " ",IF(INDEX($V$2:$AE$1001,MATCH(ROWS($O$2:O790),$O$2:$O$1001,0),MATCH(COLUMNS($V$1006:V1006),$V$1006:$AE$1006,0)), HYPERLINK("#",""), HYPERLINK(CONCATENATE("#Metadata!", ADDRESS(INDEX($Q$2:$Q$1001,MATCH(ROWS($O$2:O790),$O$2:$O$1001,0),0), INDEX($V$1004:$AE$1004,1,MATCH(COLUMNS($V$1006:V1006),$V$1006:$AE$1006,0)))),"Fix")))</f>
        <v>0</v>
      </c>
      <c r="C790" s="4">
        <f>IF(OR(INDEX($P$2:$P$1001,MATCH(ROWS($O$2:O790),$O$2:$O$1001,0),1)&gt;=100000,INDEX($V$1005:$AE$1005,1,MATCH(COLUMNS($V$1006:W1006),$V$1006:$AE$1006,0))&gt;=100000), " ",IF(INDEX($V$2:$AE$1001,MATCH(ROWS($O$2:O790),$O$2:$O$1001,0),MATCH(COLUMNS($V$1006:W1006),$V$1006:$AE$1006,0)), HYPERLINK("#",""), HYPERLINK(CONCATENATE("#Metadata!", ADDRESS(INDEX($Q$2:$Q$1001,MATCH(ROWS($O$2:O790),$O$2:$O$1001,0),0), INDEX($V$1004:$AE$1004,1,MATCH(COLUMNS($V$1006:W1006),$V$1006:$AE$1006,0)))),"Fix")))</f>
        <v>0</v>
      </c>
      <c r="D790" s="4">
        <f>IF(OR(INDEX($P$2:$P$1001,MATCH(ROWS($O$2:O790),$O$2:$O$1001,0),1)&gt;=100000,INDEX($V$1005:$AE$1005,1,MATCH(COLUMNS($V$1006:X1006),$V$1006:$AE$1006,0))&gt;=100000), " ",IF(INDEX($V$2:$AE$1001,MATCH(ROWS($O$2:O790),$O$2:$O$1001,0),MATCH(COLUMNS($V$1006:X1006),$V$1006:$AE$1006,0)), HYPERLINK("#",""), HYPERLINK(CONCATENATE("#Metadata!", ADDRESS(INDEX($Q$2:$Q$1001,MATCH(ROWS($O$2:O790),$O$2:$O$1001,0),0), INDEX($V$1004:$AE$1004,1,MATCH(COLUMNS($V$1006:X1006),$V$1006:$AE$1006,0)))),"Fix")))</f>
        <v>0</v>
      </c>
      <c r="E790" s="4">
        <f>IF(OR(INDEX($P$2:$P$1001,MATCH(ROWS($O$2:O790),$O$2:$O$1001,0),1)&gt;=100000,INDEX($V$1005:$AE$1005,1,MATCH(COLUMNS($V$1006:Y1006),$V$1006:$AE$1006,0))&gt;=100000), " ",IF(INDEX($V$2:$AE$1001,MATCH(ROWS($O$2:O790),$O$2:$O$1001,0),MATCH(COLUMNS($V$1006:Y1006),$V$1006:$AE$1006,0)), HYPERLINK("#",""), HYPERLINK(CONCATENATE("#Metadata!", ADDRESS(INDEX($Q$2:$Q$1001,MATCH(ROWS($O$2:O790),$O$2:$O$1001,0),0), INDEX($V$1004:$AE$1004,1,MATCH(COLUMNS($V$1006:Y1006),$V$1006:$AE$1006,0)))),"Fix")))</f>
        <v>0</v>
      </c>
      <c r="F790" s="4">
        <f>IF(OR(INDEX($P$2:$P$1001,MATCH(ROWS($O$2:O790),$O$2:$O$1001,0),1)&gt;=100000,INDEX($V$1005:$AE$1005,1,MATCH(COLUMNS($V$1006:Z1006),$V$1006:$AE$1006,0))&gt;=100000), " ",IF(INDEX($V$2:$AE$1001,MATCH(ROWS($O$2:O790),$O$2:$O$1001,0),MATCH(COLUMNS($V$1006:Z1006),$V$1006:$AE$1006,0)), HYPERLINK("#",""), HYPERLINK(CONCATENATE("#Metadata!", ADDRESS(INDEX($Q$2:$Q$1001,MATCH(ROWS($O$2:O790),$O$2:$O$1001,0),0), INDEX($V$1004:$AE$1004,1,MATCH(COLUMNS($V$1006:Z1006),$V$1006:$AE$1006,0)))),"Fix")))</f>
        <v>0</v>
      </c>
      <c r="G790" s="4">
        <f>IF(OR(INDEX($P$2:$P$1001,MATCH(ROWS($O$2:O790),$O$2:$O$1001,0),1)&gt;=100000,INDEX($V$1005:$AE$1005,1,MATCH(COLUMNS($V$1006:AA1006),$V$1006:$AE$1006,0))&gt;=100000), " ",IF(INDEX($V$2:$AE$1001,MATCH(ROWS($O$2:O790),$O$2:$O$1001,0),MATCH(COLUMNS($V$1006:AA1006),$V$1006:$AE$1006,0)), HYPERLINK("#",""), HYPERLINK(CONCATENATE("#Metadata!", ADDRESS(INDEX($Q$2:$Q$1001,MATCH(ROWS($O$2:O790),$O$2:$O$1001,0),0), INDEX($V$1004:$AE$1004,1,MATCH(COLUMNS($V$1006:AA1006),$V$1006:$AE$1006,0)))),"Fix")))</f>
        <v>0</v>
      </c>
      <c r="H790" s="4">
        <f>IF(OR(INDEX($P$2:$P$1001,MATCH(ROWS($O$2:O790),$O$2:$O$1001,0),1)&gt;=100000,INDEX($V$1005:$AE$1005,1,MATCH(COLUMNS($V$1006:AB1006),$V$1006:$AE$1006,0))&gt;=100000), " ",IF(INDEX($V$2:$AE$1001,MATCH(ROWS($O$2:O790),$O$2:$O$1001,0),MATCH(COLUMNS($V$1006:AB1006),$V$1006:$AE$1006,0)), HYPERLINK("#",""), HYPERLINK(CONCATENATE("#Metadata!", ADDRESS(INDEX($Q$2:$Q$1001,MATCH(ROWS($O$2:O790),$O$2:$O$1001,0),0), INDEX($V$1004:$AE$1004,1,MATCH(COLUMNS($V$1006:AB1006),$V$1006:$AE$1006,0)))),"Fix")))</f>
        <v>0</v>
      </c>
      <c r="I790" s="4">
        <f>IF(OR(INDEX($P$2:$P$1001,MATCH(ROWS($O$2:O790),$O$2:$O$1001,0),1)&gt;=100000,INDEX($V$1005:$AE$1005,1,MATCH(COLUMNS($V$1006:AC1006),$V$1006:$AE$1006,0))&gt;=100000), " ",IF(INDEX($V$2:$AE$1001,MATCH(ROWS($O$2:O790),$O$2:$O$1001,0),MATCH(COLUMNS($V$1006:AC1006),$V$1006:$AE$1006,0)), HYPERLINK("#",""), HYPERLINK(CONCATENATE("#Metadata!", ADDRESS(INDEX($Q$2:$Q$1001,MATCH(ROWS($O$2:O790),$O$2:$O$1001,0),0), INDEX($V$1004:$AE$1004,1,MATCH(COLUMNS($V$1006:AC1006),$V$1006:$AE$1006,0)))),"Fix")))</f>
        <v>0</v>
      </c>
      <c r="J790" s="4">
        <f>IF(OR(INDEX($P$2:$P$1001,MATCH(ROWS($O$2:O790),$O$2:$O$1001,0),1)&gt;=100000,INDEX($V$1005:$AE$1005,1,MATCH(COLUMNS($V$1006:AD1006),$V$1006:$AE$1006,0))&gt;=100000), " ",IF(INDEX($V$2:$AE$1001,MATCH(ROWS($O$2:O790),$O$2:$O$1001,0),MATCH(COLUMNS($V$1006:AD1006),$V$1006:$AE$1006,0)), HYPERLINK("#",""), HYPERLINK(CONCATENATE("#Metadata!", ADDRESS(INDEX($Q$2:$Q$1001,MATCH(ROWS($O$2:O790),$O$2:$O$1001,0),0), INDEX($V$1004:$AE$1004,1,MATCH(COLUMNS($V$1006:AD1006),$V$1006:$AE$1006,0)))),"Fix")))</f>
        <v>0</v>
      </c>
      <c r="K790" s="4">
        <f>IF(OR(INDEX($P$2:$P$1001,MATCH(ROWS($O$2:O790),$O$2:$O$1001,0),1)&gt;=100000,INDEX($V$1005:$AE$1005,1,MATCH(COLUMNS($V$1006:AE1006),$V$1006:$AE$1006,0))&gt;=100000), " ",IF(INDEX($V$2:$AE$1001,MATCH(ROWS($O$2:O790),$O$2:$O$1001,0),MATCH(COLUMNS($V$1006:AE1006),$V$1006:$AE$1006,0)), HYPERLINK("#",""), HYPERLINK(CONCATENATE("#Metadata!", ADDRESS(INDEX($Q$2:$Q$1001,MATCH(ROWS($O$2:O790),$O$2:$O$1001,0),0), INDEX($V$1004:$AE$1004,1,MATCH(COLUMNS($V$1006:AE1006),$V$1006:$AE$1006,0)))),"Fix")))</f>
        <v>0</v>
      </c>
      <c r="O790">
        <v>0</v>
      </c>
      <c r="P790">
        <v>0</v>
      </c>
      <c r="Q790">
        <v>0</v>
      </c>
      <c r="R790">
        <f>IF(S790,TRUE,AND(V790:AE790))</f>
        <v>0</v>
      </c>
      <c r="S790">
        <f>COUNTBLANK(Metadata!B790:K790)=COLUMNS(Metadata!B790:K790)</f>
        <v>0</v>
      </c>
      <c r="T790">
        <v>0</v>
      </c>
      <c r="V790">
        <f>AND(IF(Metadata!B790="",FALSE,TRUE),COUNTIF(Metadata!B:B, Metadata!B790) = 1,NOT(ISERROR(SUMPRODUCT(SEARCH(MID(Metadata!B790,ROW(INDIRECT("1:"&amp;LEN(Metadata!B790))), 1),"0123456789abcdefghijklmnopqrstuvwxyzABCDEFGHIJKLMNOPQRSTUVWXYZ.")))))</f>
        <v>0</v>
      </c>
      <c r="W790">
        <f>AND(IF(Metadata!C790="",FALSE,TRUE),exact(Metadata!C790,"urban biome"))</f>
        <v>0</v>
      </c>
      <c r="X790">
        <f>AND(IF(Metadata!D790="",FALSE,TRUE),exact(Metadata!D790,"animal-associated habitat"))</f>
        <v>0</v>
      </c>
      <c r="Y790">
        <f>OR(AND(IF(Metadata!E790="",FALSE,TRUE),OR(exact(Metadata!E790,"not applicable"),exact(Metadata!E790,"missing: not collected"),exact(Metadata!E790,"missing: not provided"),exact(Metadata!E790,"missing: restricted access"))),AND(IF(Metadata!E790="",FALSE,ISNUMBER(VALUE(Metadata!E790))),Metadata!E790&gt;0))</f>
        <v>0</v>
      </c>
      <c r="Z790">
        <f>AND(IF(Metadata!F790="",FALSE,TRUE),exact(Metadata!F790,"weeks"))</f>
        <v>0</v>
      </c>
      <c r="AA790">
        <f>AND(IF(Metadata!G790="",FALSE,TRUE),exact(Metadata!G790,"mouse"))</f>
        <v>0</v>
      </c>
      <c r="AB790">
        <f>AND(IF(Metadata!H790="",FALSE,TRUE),exact(Metadata!H790,"Mus musculus"))</f>
        <v>0</v>
      </c>
      <c r="AC790">
        <f>AND(IF(Metadata!I790="",FALSE,TRUE),exact(Metadata!I790,"10090"))</f>
        <v>0</v>
      </c>
      <c r="AD790">
        <f>OR(AND(IF(Metadata!J790="",FALSE,TRUE),OR(exact(Metadata!J790,"not applicable"),exact(Metadata!J790,"missing: not collected"),exact(Metadata!J790,"missing: not provided"),exact(Metadata!J790,"missing: restricted access"))),AND(IF(Metadata!J790="",FALSE,ISNUMBER(VALUE(Metadata!J790))),Metadata!J790&gt;0))</f>
        <v>0</v>
      </c>
      <c r="AE790">
        <f>AND(IF(Metadata!K790="",FALSE,TRUE),exact(Metadata!K790,"g"))</f>
        <v>0</v>
      </c>
    </row>
    <row r="791" spans="1:31">
      <c r="A791" s="5">
        <f>IF(B791=" "," ",HYPERLINK(CONCATENATE("#metadata!",ADDRESS(INDEX($Q$2:$Q$1001,MATCH(ROWS($O$2:O791),$O$2:$O$1001,0),0),1)),INDEX($T$2:$T$1001,MATCH(ROWS($O$2:O791),$O$2:$O$1001,0),0)))</f>
        <v>0</v>
      </c>
      <c r="B791" s="4">
        <f>IF(OR(INDEX($P$2:$P$1001,MATCH(ROWS($O$2:O791),$O$2:$O$1001,0),1)&gt;=100000,INDEX($V$1005:$AE$1005,1,MATCH(COLUMNS($V$1006:V1006),$V$1006:$AE$1006,0))&gt;=100000), " ",IF(INDEX($V$2:$AE$1001,MATCH(ROWS($O$2:O791),$O$2:$O$1001,0),MATCH(COLUMNS($V$1006:V1006),$V$1006:$AE$1006,0)), HYPERLINK("#",""), HYPERLINK(CONCATENATE("#Metadata!", ADDRESS(INDEX($Q$2:$Q$1001,MATCH(ROWS($O$2:O791),$O$2:$O$1001,0),0), INDEX($V$1004:$AE$1004,1,MATCH(COLUMNS($V$1006:V1006),$V$1006:$AE$1006,0)))),"Fix")))</f>
        <v>0</v>
      </c>
      <c r="C791" s="4">
        <f>IF(OR(INDEX($P$2:$P$1001,MATCH(ROWS($O$2:O791),$O$2:$O$1001,0),1)&gt;=100000,INDEX($V$1005:$AE$1005,1,MATCH(COLUMNS($V$1006:W1006),$V$1006:$AE$1006,0))&gt;=100000), " ",IF(INDEX($V$2:$AE$1001,MATCH(ROWS($O$2:O791),$O$2:$O$1001,0),MATCH(COLUMNS($V$1006:W1006),$V$1006:$AE$1006,0)), HYPERLINK("#",""), HYPERLINK(CONCATENATE("#Metadata!", ADDRESS(INDEX($Q$2:$Q$1001,MATCH(ROWS($O$2:O791),$O$2:$O$1001,0),0), INDEX($V$1004:$AE$1004,1,MATCH(COLUMNS($V$1006:W1006),$V$1006:$AE$1006,0)))),"Fix")))</f>
        <v>0</v>
      </c>
      <c r="D791" s="4">
        <f>IF(OR(INDEX($P$2:$P$1001,MATCH(ROWS($O$2:O791),$O$2:$O$1001,0),1)&gt;=100000,INDEX($V$1005:$AE$1005,1,MATCH(COLUMNS($V$1006:X1006),$V$1006:$AE$1006,0))&gt;=100000), " ",IF(INDEX($V$2:$AE$1001,MATCH(ROWS($O$2:O791),$O$2:$O$1001,0),MATCH(COLUMNS($V$1006:X1006),$V$1006:$AE$1006,0)), HYPERLINK("#",""), HYPERLINK(CONCATENATE("#Metadata!", ADDRESS(INDEX($Q$2:$Q$1001,MATCH(ROWS($O$2:O791),$O$2:$O$1001,0),0), INDEX($V$1004:$AE$1004,1,MATCH(COLUMNS($V$1006:X1006),$V$1006:$AE$1006,0)))),"Fix")))</f>
        <v>0</v>
      </c>
      <c r="E791" s="4">
        <f>IF(OR(INDEX($P$2:$P$1001,MATCH(ROWS($O$2:O791),$O$2:$O$1001,0),1)&gt;=100000,INDEX($V$1005:$AE$1005,1,MATCH(COLUMNS($V$1006:Y1006),$V$1006:$AE$1006,0))&gt;=100000), " ",IF(INDEX($V$2:$AE$1001,MATCH(ROWS($O$2:O791),$O$2:$O$1001,0),MATCH(COLUMNS($V$1006:Y1006),$V$1006:$AE$1006,0)), HYPERLINK("#",""), HYPERLINK(CONCATENATE("#Metadata!", ADDRESS(INDEX($Q$2:$Q$1001,MATCH(ROWS($O$2:O791),$O$2:$O$1001,0),0), INDEX($V$1004:$AE$1004,1,MATCH(COLUMNS($V$1006:Y1006),$V$1006:$AE$1006,0)))),"Fix")))</f>
        <v>0</v>
      </c>
      <c r="F791" s="4">
        <f>IF(OR(INDEX($P$2:$P$1001,MATCH(ROWS($O$2:O791),$O$2:$O$1001,0),1)&gt;=100000,INDEX($V$1005:$AE$1005,1,MATCH(COLUMNS($V$1006:Z1006),$V$1006:$AE$1006,0))&gt;=100000), " ",IF(INDEX($V$2:$AE$1001,MATCH(ROWS($O$2:O791),$O$2:$O$1001,0),MATCH(COLUMNS($V$1006:Z1006),$V$1006:$AE$1006,0)), HYPERLINK("#",""), HYPERLINK(CONCATENATE("#Metadata!", ADDRESS(INDEX($Q$2:$Q$1001,MATCH(ROWS($O$2:O791),$O$2:$O$1001,0),0), INDEX($V$1004:$AE$1004,1,MATCH(COLUMNS($V$1006:Z1006),$V$1006:$AE$1006,0)))),"Fix")))</f>
        <v>0</v>
      </c>
      <c r="G791" s="4">
        <f>IF(OR(INDEX($P$2:$P$1001,MATCH(ROWS($O$2:O791),$O$2:$O$1001,0),1)&gt;=100000,INDEX($V$1005:$AE$1005,1,MATCH(COLUMNS($V$1006:AA1006),$V$1006:$AE$1006,0))&gt;=100000), " ",IF(INDEX($V$2:$AE$1001,MATCH(ROWS($O$2:O791),$O$2:$O$1001,0),MATCH(COLUMNS($V$1006:AA1006),$V$1006:$AE$1006,0)), HYPERLINK("#",""), HYPERLINK(CONCATENATE("#Metadata!", ADDRESS(INDEX($Q$2:$Q$1001,MATCH(ROWS($O$2:O791),$O$2:$O$1001,0),0), INDEX($V$1004:$AE$1004,1,MATCH(COLUMNS($V$1006:AA1006),$V$1006:$AE$1006,0)))),"Fix")))</f>
        <v>0</v>
      </c>
      <c r="H791" s="4">
        <f>IF(OR(INDEX($P$2:$P$1001,MATCH(ROWS($O$2:O791),$O$2:$O$1001,0),1)&gt;=100000,INDEX($V$1005:$AE$1005,1,MATCH(COLUMNS($V$1006:AB1006),$V$1006:$AE$1006,0))&gt;=100000), " ",IF(INDEX($V$2:$AE$1001,MATCH(ROWS($O$2:O791),$O$2:$O$1001,0),MATCH(COLUMNS($V$1006:AB1006),$V$1006:$AE$1006,0)), HYPERLINK("#",""), HYPERLINK(CONCATENATE("#Metadata!", ADDRESS(INDEX($Q$2:$Q$1001,MATCH(ROWS($O$2:O791),$O$2:$O$1001,0),0), INDEX($V$1004:$AE$1004,1,MATCH(COLUMNS($V$1006:AB1006),$V$1006:$AE$1006,0)))),"Fix")))</f>
        <v>0</v>
      </c>
      <c r="I791" s="4">
        <f>IF(OR(INDEX($P$2:$P$1001,MATCH(ROWS($O$2:O791),$O$2:$O$1001,0),1)&gt;=100000,INDEX($V$1005:$AE$1005,1,MATCH(COLUMNS($V$1006:AC1006),$V$1006:$AE$1006,0))&gt;=100000), " ",IF(INDEX($V$2:$AE$1001,MATCH(ROWS($O$2:O791),$O$2:$O$1001,0),MATCH(COLUMNS($V$1006:AC1006),$V$1006:$AE$1006,0)), HYPERLINK("#",""), HYPERLINK(CONCATENATE("#Metadata!", ADDRESS(INDEX($Q$2:$Q$1001,MATCH(ROWS($O$2:O791),$O$2:$O$1001,0),0), INDEX($V$1004:$AE$1004,1,MATCH(COLUMNS($V$1006:AC1006),$V$1006:$AE$1006,0)))),"Fix")))</f>
        <v>0</v>
      </c>
      <c r="J791" s="4">
        <f>IF(OR(INDEX($P$2:$P$1001,MATCH(ROWS($O$2:O791),$O$2:$O$1001,0),1)&gt;=100000,INDEX($V$1005:$AE$1005,1,MATCH(COLUMNS($V$1006:AD1006),$V$1006:$AE$1006,0))&gt;=100000), " ",IF(INDEX($V$2:$AE$1001,MATCH(ROWS($O$2:O791),$O$2:$O$1001,0),MATCH(COLUMNS($V$1006:AD1006),$V$1006:$AE$1006,0)), HYPERLINK("#",""), HYPERLINK(CONCATENATE("#Metadata!", ADDRESS(INDEX($Q$2:$Q$1001,MATCH(ROWS($O$2:O791),$O$2:$O$1001,0),0), INDEX($V$1004:$AE$1004,1,MATCH(COLUMNS($V$1006:AD1006),$V$1006:$AE$1006,0)))),"Fix")))</f>
        <v>0</v>
      </c>
      <c r="K791" s="4">
        <f>IF(OR(INDEX($P$2:$P$1001,MATCH(ROWS($O$2:O791),$O$2:$O$1001,0),1)&gt;=100000,INDEX($V$1005:$AE$1005,1,MATCH(COLUMNS($V$1006:AE1006),$V$1006:$AE$1006,0))&gt;=100000), " ",IF(INDEX($V$2:$AE$1001,MATCH(ROWS($O$2:O791),$O$2:$O$1001,0),MATCH(COLUMNS($V$1006:AE1006),$V$1006:$AE$1006,0)), HYPERLINK("#",""), HYPERLINK(CONCATENATE("#Metadata!", ADDRESS(INDEX($Q$2:$Q$1001,MATCH(ROWS($O$2:O791),$O$2:$O$1001,0),0), INDEX($V$1004:$AE$1004,1,MATCH(COLUMNS($V$1006:AE1006),$V$1006:$AE$1006,0)))),"Fix")))</f>
        <v>0</v>
      </c>
      <c r="O791">
        <v>0</v>
      </c>
      <c r="P791">
        <v>0</v>
      </c>
      <c r="Q791">
        <v>0</v>
      </c>
      <c r="R791">
        <f>IF(S791,TRUE,AND(V791:AE791))</f>
        <v>0</v>
      </c>
      <c r="S791">
        <f>COUNTBLANK(Metadata!B791:K791)=COLUMNS(Metadata!B791:K791)</f>
        <v>0</v>
      </c>
      <c r="T791">
        <v>0</v>
      </c>
      <c r="V791">
        <f>AND(IF(Metadata!B791="",FALSE,TRUE),COUNTIF(Metadata!B:B, Metadata!B791) = 1,NOT(ISERROR(SUMPRODUCT(SEARCH(MID(Metadata!B791,ROW(INDIRECT("1:"&amp;LEN(Metadata!B791))), 1),"0123456789abcdefghijklmnopqrstuvwxyzABCDEFGHIJKLMNOPQRSTUVWXYZ.")))))</f>
        <v>0</v>
      </c>
      <c r="W791">
        <f>AND(IF(Metadata!C791="",FALSE,TRUE),exact(Metadata!C791,"urban biome"))</f>
        <v>0</v>
      </c>
      <c r="X791">
        <f>AND(IF(Metadata!D791="",FALSE,TRUE),exact(Metadata!D791,"animal-associated habitat"))</f>
        <v>0</v>
      </c>
      <c r="Y791">
        <f>OR(AND(IF(Metadata!E791="",FALSE,TRUE),OR(exact(Metadata!E791,"not applicable"),exact(Metadata!E791,"missing: not collected"),exact(Metadata!E791,"missing: not provided"),exact(Metadata!E791,"missing: restricted access"))),AND(IF(Metadata!E791="",FALSE,ISNUMBER(VALUE(Metadata!E791))),Metadata!E791&gt;0))</f>
        <v>0</v>
      </c>
      <c r="Z791">
        <f>AND(IF(Metadata!F791="",FALSE,TRUE),exact(Metadata!F791,"weeks"))</f>
        <v>0</v>
      </c>
      <c r="AA791">
        <f>AND(IF(Metadata!G791="",FALSE,TRUE),exact(Metadata!G791,"mouse"))</f>
        <v>0</v>
      </c>
      <c r="AB791">
        <f>AND(IF(Metadata!H791="",FALSE,TRUE),exact(Metadata!H791,"Mus musculus"))</f>
        <v>0</v>
      </c>
      <c r="AC791">
        <f>AND(IF(Metadata!I791="",FALSE,TRUE),exact(Metadata!I791,"10090"))</f>
        <v>0</v>
      </c>
      <c r="AD791">
        <f>OR(AND(IF(Metadata!J791="",FALSE,TRUE),OR(exact(Metadata!J791,"not applicable"),exact(Metadata!J791,"missing: not collected"),exact(Metadata!J791,"missing: not provided"),exact(Metadata!J791,"missing: restricted access"))),AND(IF(Metadata!J791="",FALSE,ISNUMBER(VALUE(Metadata!J791))),Metadata!J791&gt;0))</f>
        <v>0</v>
      </c>
      <c r="AE791">
        <f>AND(IF(Metadata!K791="",FALSE,TRUE),exact(Metadata!K791,"g"))</f>
        <v>0</v>
      </c>
    </row>
    <row r="792" spans="1:31">
      <c r="A792" s="5">
        <f>IF(B792=" "," ",HYPERLINK(CONCATENATE("#metadata!",ADDRESS(INDEX($Q$2:$Q$1001,MATCH(ROWS($O$2:O792),$O$2:$O$1001,0),0),1)),INDEX($T$2:$T$1001,MATCH(ROWS($O$2:O792),$O$2:$O$1001,0),0)))</f>
        <v>0</v>
      </c>
      <c r="B792" s="4">
        <f>IF(OR(INDEX($P$2:$P$1001,MATCH(ROWS($O$2:O792),$O$2:$O$1001,0),1)&gt;=100000,INDEX($V$1005:$AE$1005,1,MATCH(COLUMNS($V$1006:V1006),$V$1006:$AE$1006,0))&gt;=100000), " ",IF(INDEX($V$2:$AE$1001,MATCH(ROWS($O$2:O792),$O$2:$O$1001,0),MATCH(COLUMNS($V$1006:V1006),$V$1006:$AE$1006,0)), HYPERLINK("#",""), HYPERLINK(CONCATENATE("#Metadata!", ADDRESS(INDEX($Q$2:$Q$1001,MATCH(ROWS($O$2:O792),$O$2:$O$1001,0),0), INDEX($V$1004:$AE$1004,1,MATCH(COLUMNS($V$1006:V1006),$V$1006:$AE$1006,0)))),"Fix")))</f>
        <v>0</v>
      </c>
      <c r="C792" s="4">
        <f>IF(OR(INDEX($P$2:$P$1001,MATCH(ROWS($O$2:O792),$O$2:$O$1001,0),1)&gt;=100000,INDEX($V$1005:$AE$1005,1,MATCH(COLUMNS($V$1006:W1006),$V$1006:$AE$1006,0))&gt;=100000), " ",IF(INDEX($V$2:$AE$1001,MATCH(ROWS($O$2:O792),$O$2:$O$1001,0),MATCH(COLUMNS($V$1006:W1006),$V$1006:$AE$1006,0)), HYPERLINK("#",""), HYPERLINK(CONCATENATE("#Metadata!", ADDRESS(INDEX($Q$2:$Q$1001,MATCH(ROWS($O$2:O792),$O$2:$O$1001,0),0), INDEX($V$1004:$AE$1004,1,MATCH(COLUMNS($V$1006:W1006),$V$1006:$AE$1006,0)))),"Fix")))</f>
        <v>0</v>
      </c>
      <c r="D792" s="4">
        <f>IF(OR(INDEX($P$2:$P$1001,MATCH(ROWS($O$2:O792),$O$2:$O$1001,0),1)&gt;=100000,INDEX($V$1005:$AE$1005,1,MATCH(COLUMNS($V$1006:X1006),$V$1006:$AE$1006,0))&gt;=100000), " ",IF(INDEX($V$2:$AE$1001,MATCH(ROWS($O$2:O792),$O$2:$O$1001,0),MATCH(COLUMNS($V$1006:X1006),$V$1006:$AE$1006,0)), HYPERLINK("#",""), HYPERLINK(CONCATENATE("#Metadata!", ADDRESS(INDEX($Q$2:$Q$1001,MATCH(ROWS($O$2:O792),$O$2:$O$1001,0),0), INDEX($V$1004:$AE$1004,1,MATCH(COLUMNS($V$1006:X1006),$V$1006:$AE$1006,0)))),"Fix")))</f>
        <v>0</v>
      </c>
      <c r="E792" s="4">
        <f>IF(OR(INDEX($P$2:$P$1001,MATCH(ROWS($O$2:O792),$O$2:$O$1001,0),1)&gt;=100000,INDEX($V$1005:$AE$1005,1,MATCH(COLUMNS($V$1006:Y1006),$V$1006:$AE$1006,0))&gt;=100000), " ",IF(INDEX($V$2:$AE$1001,MATCH(ROWS($O$2:O792),$O$2:$O$1001,0),MATCH(COLUMNS($V$1006:Y1006),$V$1006:$AE$1006,0)), HYPERLINK("#",""), HYPERLINK(CONCATENATE("#Metadata!", ADDRESS(INDEX($Q$2:$Q$1001,MATCH(ROWS($O$2:O792),$O$2:$O$1001,0),0), INDEX($V$1004:$AE$1004,1,MATCH(COLUMNS($V$1006:Y1006),$V$1006:$AE$1006,0)))),"Fix")))</f>
        <v>0</v>
      </c>
      <c r="F792" s="4">
        <f>IF(OR(INDEX($P$2:$P$1001,MATCH(ROWS($O$2:O792),$O$2:$O$1001,0),1)&gt;=100000,INDEX($V$1005:$AE$1005,1,MATCH(COLUMNS($V$1006:Z1006),$V$1006:$AE$1006,0))&gt;=100000), " ",IF(INDEX($V$2:$AE$1001,MATCH(ROWS($O$2:O792),$O$2:$O$1001,0),MATCH(COLUMNS($V$1006:Z1006),$V$1006:$AE$1006,0)), HYPERLINK("#",""), HYPERLINK(CONCATENATE("#Metadata!", ADDRESS(INDEX($Q$2:$Q$1001,MATCH(ROWS($O$2:O792),$O$2:$O$1001,0),0), INDEX($V$1004:$AE$1004,1,MATCH(COLUMNS($V$1006:Z1006),$V$1006:$AE$1006,0)))),"Fix")))</f>
        <v>0</v>
      </c>
      <c r="G792" s="4">
        <f>IF(OR(INDEX($P$2:$P$1001,MATCH(ROWS($O$2:O792),$O$2:$O$1001,0),1)&gt;=100000,INDEX($V$1005:$AE$1005,1,MATCH(COLUMNS($V$1006:AA1006),$V$1006:$AE$1006,0))&gt;=100000), " ",IF(INDEX($V$2:$AE$1001,MATCH(ROWS($O$2:O792),$O$2:$O$1001,0),MATCH(COLUMNS($V$1006:AA1006),$V$1006:$AE$1006,0)), HYPERLINK("#",""), HYPERLINK(CONCATENATE("#Metadata!", ADDRESS(INDEX($Q$2:$Q$1001,MATCH(ROWS($O$2:O792),$O$2:$O$1001,0),0), INDEX($V$1004:$AE$1004,1,MATCH(COLUMNS($V$1006:AA1006),$V$1006:$AE$1006,0)))),"Fix")))</f>
        <v>0</v>
      </c>
      <c r="H792" s="4">
        <f>IF(OR(INDEX($P$2:$P$1001,MATCH(ROWS($O$2:O792),$O$2:$O$1001,0),1)&gt;=100000,INDEX($V$1005:$AE$1005,1,MATCH(COLUMNS($V$1006:AB1006),$V$1006:$AE$1006,0))&gt;=100000), " ",IF(INDEX($V$2:$AE$1001,MATCH(ROWS($O$2:O792),$O$2:$O$1001,0),MATCH(COLUMNS($V$1006:AB1006),$V$1006:$AE$1006,0)), HYPERLINK("#",""), HYPERLINK(CONCATENATE("#Metadata!", ADDRESS(INDEX($Q$2:$Q$1001,MATCH(ROWS($O$2:O792),$O$2:$O$1001,0),0), INDEX($V$1004:$AE$1004,1,MATCH(COLUMNS($V$1006:AB1006),$V$1006:$AE$1006,0)))),"Fix")))</f>
        <v>0</v>
      </c>
      <c r="I792" s="4">
        <f>IF(OR(INDEX($P$2:$P$1001,MATCH(ROWS($O$2:O792),$O$2:$O$1001,0),1)&gt;=100000,INDEX($V$1005:$AE$1005,1,MATCH(COLUMNS($V$1006:AC1006),$V$1006:$AE$1006,0))&gt;=100000), " ",IF(INDEX($V$2:$AE$1001,MATCH(ROWS($O$2:O792),$O$2:$O$1001,0),MATCH(COLUMNS($V$1006:AC1006),$V$1006:$AE$1006,0)), HYPERLINK("#",""), HYPERLINK(CONCATENATE("#Metadata!", ADDRESS(INDEX($Q$2:$Q$1001,MATCH(ROWS($O$2:O792),$O$2:$O$1001,0),0), INDEX($V$1004:$AE$1004,1,MATCH(COLUMNS($V$1006:AC1006),$V$1006:$AE$1006,0)))),"Fix")))</f>
        <v>0</v>
      </c>
      <c r="J792" s="4">
        <f>IF(OR(INDEX($P$2:$P$1001,MATCH(ROWS($O$2:O792),$O$2:$O$1001,0),1)&gt;=100000,INDEX($V$1005:$AE$1005,1,MATCH(COLUMNS($V$1006:AD1006),$V$1006:$AE$1006,0))&gt;=100000), " ",IF(INDEX($V$2:$AE$1001,MATCH(ROWS($O$2:O792),$O$2:$O$1001,0),MATCH(COLUMNS($V$1006:AD1006),$V$1006:$AE$1006,0)), HYPERLINK("#",""), HYPERLINK(CONCATENATE("#Metadata!", ADDRESS(INDEX($Q$2:$Q$1001,MATCH(ROWS($O$2:O792),$O$2:$O$1001,0),0), INDEX($V$1004:$AE$1004,1,MATCH(COLUMNS($V$1006:AD1006),$V$1006:$AE$1006,0)))),"Fix")))</f>
        <v>0</v>
      </c>
      <c r="K792" s="4">
        <f>IF(OR(INDEX($P$2:$P$1001,MATCH(ROWS($O$2:O792),$O$2:$O$1001,0),1)&gt;=100000,INDEX($V$1005:$AE$1005,1,MATCH(COLUMNS($V$1006:AE1006),$V$1006:$AE$1006,0))&gt;=100000), " ",IF(INDEX($V$2:$AE$1001,MATCH(ROWS($O$2:O792),$O$2:$O$1001,0),MATCH(COLUMNS($V$1006:AE1006),$V$1006:$AE$1006,0)), HYPERLINK("#",""), HYPERLINK(CONCATENATE("#Metadata!", ADDRESS(INDEX($Q$2:$Q$1001,MATCH(ROWS($O$2:O792),$O$2:$O$1001,0),0), INDEX($V$1004:$AE$1004,1,MATCH(COLUMNS($V$1006:AE1006),$V$1006:$AE$1006,0)))),"Fix")))</f>
        <v>0</v>
      </c>
      <c r="O792">
        <v>0</v>
      </c>
      <c r="P792">
        <v>0</v>
      </c>
      <c r="Q792">
        <v>0</v>
      </c>
      <c r="R792">
        <f>IF(S792,TRUE,AND(V792:AE792))</f>
        <v>0</v>
      </c>
      <c r="S792">
        <f>COUNTBLANK(Metadata!B792:K792)=COLUMNS(Metadata!B792:K792)</f>
        <v>0</v>
      </c>
      <c r="T792">
        <v>0</v>
      </c>
      <c r="V792">
        <f>AND(IF(Metadata!B792="",FALSE,TRUE),COUNTIF(Metadata!B:B, Metadata!B792) = 1,NOT(ISERROR(SUMPRODUCT(SEARCH(MID(Metadata!B792,ROW(INDIRECT("1:"&amp;LEN(Metadata!B792))), 1),"0123456789abcdefghijklmnopqrstuvwxyzABCDEFGHIJKLMNOPQRSTUVWXYZ.")))))</f>
        <v>0</v>
      </c>
      <c r="W792">
        <f>AND(IF(Metadata!C792="",FALSE,TRUE),exact(Metadata!C792,"urban biome"))</f>
        <v>0</v>
      </c>
      <c r="X792">
        <f>AND(IF(Metadata!D792="",FALSE,TRUE),exact(Metadata!D792,"animal-associated habitat"))</f>
        <v>0</v>
      </c>
      <c r="Y792">
        <f>OR(AND(IF(Metadata!E792="",FALSE,TRUE),OR(exact(Metadata!E792,"not applicable"),exact(Metadata!E792,"missing: not collected"),exact(Metadata!E792,"missing: not provided"),exact(Metadata!E792,"missing: restricted access"))),AND(IF(Metadata!E792="",FALSE,ISNUMBER(VALUE(Metadata!E792))),Metadata!E792&gt;0))</f>
        <v>0</v>
      </c>
      <c r="Z792">
        <f>AND(IF(Metadata!F792="",FALSE,TRUE),exact(Metadata!F792,"weeks"))</f>
        <v>0</v>
      </c>
      <c r="AA792">
        <f>AND(IF(Metadata!G792="",FALSE,TRUE),exact(Metadata!G792,"mouse"))</f>
        <v>0</v>
      </c>
      <c r="AB792">
        <f>AND(IF(Metadata!H792="",FALSE,TRUE),exact(Metadata!H792,"Mus musculus"))</f>
        <v>0</v>
      </c>
      <c r="AC792">
        <f>AND(IF(Metadata!I792="",FALSE,TRUE),exact(Metadata!I792,"10090"))</f>
        <v>0</v>
      </c>
      <c r="AD792">
        <f>OR(AND(IF(Metadata!J792="",FALSE,TRUE),OR(exact(Metadata!J792,"not applicable"),exact(Metadata!J792,"missing: not collected"),exact(Metadata!J792,"missing: not provided"),exact(Metadata!J792,"missing: restricted access"))),AND(IF(Metadata!J792="",FALSE,ISNUMBER(VALUE(Metadata!J792))),Metadata!J792&gt;0))</f>
        <v>0</v>
      </c>
      <c r="AE792">
        <f>AND(IF(Metadata!K792="",FALSE,TRUE),exact(Metadata!K792,"g"))</f>
        <v>0</v>
      </c>
    </row>
    <row r="793" spans="1:31">
      <c r="A793" s="5">
        <f>IF(B793=" "," ",HYPERLINK(CONCATENATE("#metadata!",ADDRESS(INDEX($Q$2:$Q$1001,MATCH(ROWS($O$2:O793),$O$2:$O$1001,0),0),1)),INDEX($T$2:$T$1001,MATCH(ROWS($O$2:O793),$O$2:$O$1001,0),0)))</f>
        <v>0</v>
      </c>
      <c r="B793" s="4">
        <f>IF(OR(INDEX($P$2:$P$1001,MATCH(ROWS($O$2:O793),$O$2:$O$1001,0),1)&gt;=100000,INDEX($V$1005:$AE$1005,1,MATCH(COLUMNS($V$1006:V1006),$V$1006:$AE$1006,0))&gt;=100000), " ",IF(INDEX($V$2:$AE$1001,MATCH(ROWS($O$2:O793),$O$2:$O$1001,0),MATCH(COLUMNS($V$1006:V1006),$V$1006:$AE$1006,0)), HYPERLINK("#",""), HYPERLINK(CONCATENATE("#Metadata!", ADDRESS(INDEX($Q$2:$Q$1001,MATCH(ROWS($O$2:O793),$O$2:$O$1001,0),0), INDEX($V$1004:$AE$1004,1,MATCH(COLUMNS($V$1006:V1006),$V$1006:$AE$1006,0)))),"Fix")))</f>
        <v>0</v>
      </c>
      <c r="C793" s="4">
        <f>IF(OR(INDEX($P$2:$P$1001,MATCH(ROWS($O$2:O793),$O$2:$O$1001,0),1)&gt;=100000,INDEX($V$1005:$AE$1005,1,MATCH(COLUMNS($V$1006:W1006),$V$1006:$AE$1006,0))&gt;=100000), " ",IF(INDEX($V$2:$AE$1001,MATCH(ROWS($O$2:O793),$O$2:$O$1001,0),MATCH(COLUMNS($V$1006:W1006),$V$1006:$AE$1006,0)), HYPERLINK("#",""), HYPERLINK(CONCATENATE("#Metadata!", ADDRESS(INDEX($Q$2:$Q$1001,MATCH(ROWS($O$2:O793),$O$2:$O$1001,0),0), INDEX($V$1004:$AE$1004,1,MATCH(COLUMNS($V$1006:W1006),$V$1006:$AE$1006,0)))),"Fix")))</f>
        <v>0</v>
      </c>
      <c r="D793" s="4">
        <f>IF(OR(INDEX($P$2:$P$1001,MATCH(ROWS($O$2:O793),$O$2:$O$1001,0),1)&gt;=100000,INDEX($V$1005:$AE$1005,1,MATCH(COLUMNS($V$1006:X1006),$V$1006:$AE$1006,0))&gt;=100000), " ",IF(INDEX($V$2:$AE$1001,MATCH(ROWS($O$2:O793),$O$2:$O$1001,0),MATCH(COLUMNS($V$1006:X1006),$V$1006:$AE$1006,0)), HYPERLINK("#",""), HYPERLINK(CONCATENATE("#Metadata!", ADDRESS(INDEX($Q$2:$Q$1001,MATCH(ROWS($O$2:O793),$O$2:$O$1001,0),0), INDEX($V$1004:$AE$1004,1,MATCH(COLUMNS($V$1006:X1006),$V$1006:$AE$1006,0)))),"Fix")))</f>
        <v>0</v>
      </c>
      <c r="E793" s="4">
        <f>IF(OR(INDEX($P$2:$P$1001,MATCH(ROWS($O$2:O793),$O$2:$O$1001,0),1)&gt;=100000,INDEX($V$1005:$AE$1005,1,MATCH(COLUMNS($V$1006:Y1006),$V$1006:$AE$1006,0))&gt;=100000), " ",IF(INDEX($V$2:$AE$1001,MATCH(ROWS($O$2:O793),$O$2:$O$1001,0),MATCH(COLUMNS($V$1006:Y1006),$V$1006:$AE$1006,0)), HYPERLINK("#",""), HYPERLINK(CONCATENATE("#Metadata!", ADDRESS(INDEX($Q$2:$Q$1001,MATCH(ROWS($O$2:O793),$O$2:$O$1001,0),0), INDEX($V$1004:$AE$1004,1,MATCH(COLUMNS($V$1006:Y1006),$V$1006:$AE$1006,0)))),"Fix")))</f>
        <v>0</v>
      </c>
      <c r="F793" s="4">
        <f>IF(OR(INDEX($P$2:$P$1001,MATCH(ROWS($O$2:O793),$O$2:$O$1001,0),1)&gt;=100000,INDEX($V$1005:$AE$1005,1,MATCH(COLUMNS($V$1006:Z1006),$V$1006:$AE$1006,0))&gt;=100000), " ",IF(INDEX($V$2:$AE$1001,MATCH(ROWS($O$2:O793),$O$2:$O$1001,0),MATCH(COLUMNS($V$1006:Z1006),$V$1006:$AE$1006,0)), HYPERLINK("#",""), HYPERLINK(CONCATENATE("#Metadata!", ADDRESS(INDEX($Q$2:$Q$1001,MATCH(ROWS($O$2:O793),$O$2:$O$1001,0),0), INDEX($V$1004:$AE$1004,1,MATCH(COLUMNS($V$1006:Z1006),$V$1006:$AE$1006,0)))),"Fix")))</f>
        <v>0</v>
      </c>
      <c r="G793" s="4">
        <f>IF(OR(INDEX($P$2:$P$1001,MATCH(ROWS($O$2:O793),$O$2:$O$1001,0),1)&gt;=100000,INDEX($V$1005:$AE$1005,1,MATCH(COLUMNS($V$1006:AA1006),$V$1006:$AE$1006,0))&gt;=100000), " ",IF(INDEX($V$2:$AE$1001,MATCH(ROWS($O$2:O793),$O$2:$O$1001,0),MATCH(COLUMNS($V$1006:AA1006),$V$1006:$AE$1006,0)), HYPERLINK("#",""), HYPERLINK(CONCATENATE("#Metadata!", ADDRESS(INDEX($Q$2:$Q$1001,MATCH(ROWS($O$2:O793),$O$2:$O$1001,0),0), INDEX($V$1004:$AE$1004,1,MATCH(COLUMNS($V$1006:AA1006),$V$1006:$AE$1006,0)))),"Fix")))</f>
        <v>0</v>
      </c>
      <c r="H793" s="4">
        <f>IF(OR(INDEX($P$2:$P$1001,MATCH(ROWS($O$2:O793),$O$2:$O$1001,0),1)&gt;=100000,INDEX($V$1005:$AE$1005,1,MATCH(COLUMNS($V$1006:AB1006),$V$1006:$AE$1006,0))&gt;=100000), " ",IF(INDEX($V$2:$AE$1001,MATCH(ROWS($O$2:O793),$O$2:$O$1001,0),MATCH(COLUMNS($V$1006:AB1006),$V$1006:$AE$1006,0)), HYPERLINK("#",""), HYPERLINK(CONCATENATE("#Metadata!", ADDRESS(INDEX($Q$2:$Q$1001,MATCH(ROWS($O$2:O793),$O$2:$O$1001,0),0), INDEX($V$1004:$AE$1004,1,MATCH(COLUMNS($V$1006:AB1006),$V$1006:$AE$1006,0)))),"Fix")))</f>
        <v>0</v>
      </c>
      <c r="I793" s="4">
        <f>IF(OR(INDEX($P$2:$P$1001,MATCH(ROWS($O$2:O793),$O$2:$O$1001,0),1)&gt;=100000,INDEX($V$1005:$AE$1005,1,MATCH(COLUMNS($V$1006:AC1006),$V$1006:$AE$1006,0))&gt;=100000), " ",IF(INDEX($V$2:$AE$1001,MATCH(ROWS($O$2:O793),$O$2:$O$1001,0),MATCH(COLUMNS($V$1006:AC1006),$V$1006:$AE$1006,0)), HYPERLINK("#",""), HYPERLINK(CONCATENATE("#Metadata!", ADDRESS(INDEX($Q$2:$Q$1001,MATCH(ROWS($O$2:O793),$O$2:$O$1001,0),0), INDEX($V$1004:$AE$1004,1,MATCH(COLUMNS($V$1006:AC1006),$V$1006:$AE$1006,0)))),"Fix")))</f>
        <v>0</v>
      </c>
      <c r="J793" s="4">
        <f>IF(OR(INDEX($P$2:$P$1001,MATCH(ROWS($O$2:O793),$O$2:$O$1001,0),1)&gt;=100000,INDEX($V$1005:$AE$1005,1,MATCH(COLUMNS($V$1006:AD1006),$V$1006:$AE$1006,0))&gt;=100000), " ",IF(INDEX($V$2:$AE$1001,MATCH(ROWS($O$2:O793),$O$2:$O$1001,0),MATCH(COLUMNS($V$1006:AD1006),$V$1006:$AE$1006,0)), HYPERLINK("#",""), HYPERLINK(CONCATENATE("#Metadata!", ADDRESS(INDEX($Q$2:$Q$1001,MATCH(ROWS($O$2:O793),$O$2:$O$1001,0),0), INDEX($V$1004:$AE$1004,1,MATCH(COLUMNS($V$1006:AD1006),$V$1006:$AE$1006,0)))),"Fix")))</f>
        <v>0</v>
      </c>
      <c r="K793" s="4">
        <f>IF(OR(INDEX($P$2:$P$1001,MATCH(ROWS($O$2:O793),$O$2:$O$1001,0),1)&gt;=100000,INDEX($V$1005:$AE$1005,1,MATCH(COLUMNS($V$1006:AE1006),$V$1006:$AE$1006,0))&gt;=100000), " ",IF(INDEX($V$2:$AE$1001,MATCH(ROWS($O$2:O793),$O$2:$O$1001,0),MATCH(COLUMNS($V$1006:AE1006),$V$1006:$AE$1006,0)), HYPERLINK("#",""), HYPERLINK(CONCATENATE("#Metadata!", ADDRESS(INDEX($Q$2:$Q$1001,MATCH(ROWS($O$2:O793),$O$2:$O$1001,0),0), INDEX($V$1004:$AE$1004,1,MATCH(COLUMNS($V$1006:AE1006),$V$1006:$AE$1006,0)))),"Fix")))</f>
        <v>0</v>
      </c>
      <c r="O793">
        <v>0</v>
      </c>
      <c r="P793">
        <v>0</v>
      </c>
      <c r="Q793">
        <v>0</v>
      </c>
      <c r="R793">
        <f>IF(S793,TRUE,AND(V793:AE793))</f>
        <v>0</v>
      </c>
      <c r="S793">
        <f>COUNTBLANK(Metadata!B793:K793)=COLUMNS(Metadata!B793:K793)</f>
        <v>0</v>
      </c>
      <c r="T793">
        <v>0</v>
      </c>
      <c r="V793">
        <f>AND(IF(Metadata!B793="",FALSE,TRUE),COUNTIF(Metadata!B:B, Metadata!B793) = 1,NOT(ISERROR(SUMPRODUCT(SEARCH(MID(Metadata!B793,ROW(INDIRECT("1:"&amp;LEN(Metadata!B793))), 1),"0123456789abcdefghijklmnopqrstuvwxyzABCDEFGHIJKLMNOPQRSTUVWXYZ.")))))</f>
        <v>0</v>
      </c>
      <c r="W793">
        <f>AND(IF(Metadata!C793="",FALSE,TRUE),exact(Metadata!C793,"urban biome"))</f>
        <v>0</v>
      </c>
      <c r="X793">
        <f>AND(IF(Metadata!D793="",FALSE,TRUE),exact(Metadata!D793,"animal-associated habitat"))</f>
        <v>0</v>
      </c>
      <c r="Y793">
        <f>OR(AND(IF(Metadata!E793="",FALSE,TRUE),OR(exact(Metadata!E793,"not applicable"),exact(Metadata!E793,"missing: not collected"),exact(Metadata!E793,"missing: not provided"),exact(Metadata!E793,"missing: restricted access"))),AND(IF(Metadata!E793="",FALSE,ISNUMBER(VALUE(Metadata!E793))),Metadata!E793&gt;0))</f>
        <v>0</v>
      </c>
      <c r="Z793">
        <f>AND(IF(Metadata!F793="",FALSE,TRUE),exact(Metadata!F793,"weeks"))</f>
        <v>0</v>
      </c>
      <c r="AA793">
        <f>AND(IF(Metadata!G793="",FALSE,TRUE),exact(Metadata!G793,"mouse"))</f>
        <v>0</v>
      </c>
      <c r="AB793">
        <f>AND(IF(Metadata!H793="",FALSE,TRUE),exact(Metadata!H793,"Mus musculus"))</f>
        <v>0</v>
      </c>
      <c r="AC793">
        <f>AND(IF(Metadata!I793="",FALSE,TRUE),exact(Metadata!I793,"10090"))</f>
        <v>0</v>
      </c>
      <c r="AD793">
        <f>OR(AND(IF(Metadata!J793="",FALSE,TRUE),OR(exact(Metadata!J793,"not applicable"),exact(Metadata!J793,"missing: not collected"),exact(Metadata!J793,"missing: not provided"),exact(Metadata!J793,"missing: restricted access"))),AND(IF(Metadata!J793="",FALSE,ISNUMBER(VALUE(Metadata!J793))),Metadata!J793&gt;0))</f>
        <v>0</v>
      </c>
      <c r="AE793">
        <f>AND(IF(Metadata!K793="",FALSE,TRUE),exact(Metadata!K793,"g"))</f>
        <v>0</v>
      </c>
    </row>
    <row r="794" spans="1:31">
      <c r="A794" s="5">
        <f>IF(B794=" "," ",HYPERLINK(CONCATENATE("#metadata!",ADDRESS(INDEX($Q$2:$Q$1001,MATCH(ROWS($O$2:O794),$O$2:$O$1001,0),0),1)),INDEX($T$2:$T$1001,MATCH(ROWS($O$2:O794),$O$2:$O$1001,0),0)))</f>
        <v>0</v>
      </c>
      <c r="B794" s="4">
        <f>IF(OR(INDEX($P$2:$P$1001,MATCH(ROWS($O$2:O794),$O$2:$O$1001,0),1)&gt;=100000,INDEX($V$1005:$AE$1005,1,MATCH(COLUMNS($V$1006:V1006),$V$1006:$AE$1006,0))&gt;=100000), " ",IF(INDEX($V$2:$AE$1001,MATCH(ROWS($O$2:O794),$O$2:$O$1001,0),MATCH(COLUMNS($V$1006:V1006),$V$1006:$AE$1006,0)), HYPERLINK("#",""), HYPERLINK(CONCATENATE("#Metadata!", ADDRESS(INDEX($Q$2:$Q$1001,MATCH(ROWS($O$2:O794),$O$2:$O$1001,0),0), INDEX($V$1004:$AE$1004,1,MATCH(COLUMNS($V$1006:V1006),$V$1006:$AE$1006,0)))),"Fix")))</f>
        <v>0</v>
      </c>
      <c r="C794" s="4">
        <f>IF(OR(INDEX($P$2:$P$1001,MATCH(ROWS($O$2:O794),$O$2:$O$1001,0),1)&gt;=100000,INDEX($V$1005:$AE$1005,1,MATCH(COLUMNS($V$1006:W1006),$V$1006:$AE$1006,0))&gt;=100000), " ",IF(INDEX($V$2:$AE$1001,MATCH(ROWS($O$2:O794),$O$2:$O$1001,0),MATCH(COLUMNS($V$1006:W1006),$V$1006:$AE$1006,0)), HYPERLINK("#",""), HYPERLINK(CONCATENATE("#Metadata!", ADDRESS(INDEX($Q$2:$Q$1001,MATCH(ROWS($O$2:O794),$O$2:$O$1001,0),0), INDEX($V$1004:$AE$1004,1,MATCH(COLUMNS($V$1006:W1006),$V$1006:$AE$1006,0)))),"Fix")))</f>
        <v>0</v>
      </c>
      <c r="D794" s="4">
        <f>IF(OR(INDEX($P$2:$P$1001,MATCH(ROWS($O$2:O794),$O$2:$O$1001,0),1)&gt;=100000,INDEX($V$1005:$AE$1005,1,MATCH(COLUMNS($V$1006:X1006),$V$1006:$AE$1006,0))&gt;=100000), " ",IF(INDEX($V$2:$AE$1001,MATCH(ROWS($O$2:O794),$O$2:$O$1001,0),MATCH(COLUMNS($V$1006:X1006),$V$1006:$AE$1006,0)), HYPERLINK("#",""), HYPERLINK(CONCATENATE("#Metadata!", ADDRESS(INDEX($Q$2:$Q$1001,MATCH(ROWS($O$2:O794),$O$2:$O$1001,0),0), INDEX($V$1004:$AE$1004,1,MATCH(COLUMNS($V$1006:X1006),$V$1006:$AE$1006,0)))),"Fix")))</f>
        <v>0</v>
      </c>
      <c r="E794" s="4">
        <f>IF(OR(INDEX($P$2:$P$1001,MATCH(ROWS($O$2:O794),$O$2:$O$1001,0),1)&gt;=100000,INDEX($V$1005:$AE$1005,1,MATCH(COLUMNS($V$1006:Y1006),$V$1006:$AE$1006,0))&gt;=100000), " ",IF(INDEX($V$2:$AE$1001,MATCH(ROWS($O$2:O794),$O$2:$O$1001,0),MATCH(COLUMNS($V$1006:Y1006),$V$1006:$AE$1006,0)), HYPERLINK("#",""), HYPERLINK(CONCATENATE("#Metadata!", ADDRESS(INDEX($Q$2:$Q$1001,MATCH(ROWS($O$2:O794),$O$2:$O$1001,0),0), INDEX($V$1004:$AE$1004,1,MATCH(COLUMNS($V$1006:Y1006),$V$1006:$AE$1006,0)))),"Fix")))</f>
        <v>0</v>
      </c>
      <c r="F794" s="4">
        <f>IF(OR(INDEX($P$2:$P$1001,MATCH(ROWS($O$2:O794),$O$2:$O$1001,0),1)&gt;=100000,INDEX($V$1005:$AE$1005,1,MATCH(COLUMNS($V$1006:Z1006),$V$1006:$AE$1006,0))&gt;=100000), " ",IF(INDEX($V$2:$AE$1001,MATCH(ROWS($O$2:O794),$O$2:$O$1001,0),MATCH(COLUMNS($V$1006:Z1006),$V$1006:$AE$1006,0)), HYPERLINK("#",""), HYPERLINK(CONCATENATE("#Metadata!", ADDRESS(INDEX($Q$2:$Q$1001,MATCH(ROWS($O$2:O794),$O$2:$O$1001,0),0), INDEX($V$1004:$AE$1004,1,MATCH(COLUMNS($V$1006:Z1006),$V$1006:$AE$1006,0)))),"Fix")))</f>
        <v>0</v>
      </c>
      <c r="G794" s="4">
        <f>IF(OR(INDEX($P$2:$P$1001,MATCH(ROWS($O$2:O794),$O$2:$O$1001,0),1)&gt;=100000,INDEX($V$1005:$AE$1005,1,MATCH(COLUMNS($V$1006:AA1006),$V$1006:$AE$1006,0))&gt;=100000), " ",IF(INDEX($V$2:$AE$1001,MATCH(ROWS($O$2:O794),$O$2:$O$1001,0),MATCH(COLUMNS($V$1006:AA1006),$V$1006:$AE$1006,0)), HYPERLINK("#",""), HYPERLINK(CONCATENATE("#Metadata!", ADDRESS(INDEX($Q$2:$Q$1001,MATCH(ROWS($O$2:O794),$O$2:$O$1001,0),0), INDEX($V$1004:$AE$1004,1,MATCH(COLUMNS($V$1006:AA1006),$V$1006:$AE$1006,0)))),"Fix")))</f>
        <v>0</v>
      </c>
      <c r="H794" s="4">
        <f>IF(OR(INDEX($P$2:$P$1001,MATCH(ROWS($O$2:O794),$O$2:$O$1001,0),1)&gt;=100000,INDEX($V$1005:$AE$1005,1,MATCH(COLUMNS($V$1006:AB1006),$V$1006:$AE$1006,0))&gt;=100000), " ",IF(INDEX($V$2:$AE$1001,MATCH(ROWS($O$2:O794),$O$2:$O$1001,0),MATCH(COLUMNS($V$1006:AB1006),$V$1006:$AE$1006,0)), HYPERLINK("#",""), HYPERLINK(CONCATENATE("#Metadata!", ADDRESS(INDEX($Q$2:$Q$1001,MATCH(ROWS($O$2:O794),$O$2:$O$1001,0),0), INDEX($V$1004:$AE$1004,1,MATCH(COLUMNS($V$1006:AB1006),$V$1006:$AE$1006,0)))),"Fix")))</f>
        <v>0</v>
      </c>
      <c r="I794" s="4">
        <f>IF(OR(INDEX($P$2:$P$1001,MATCH(ROWS($O$2:O794),$O$2:$O$1001,0),1)&gt;=100000,INDEX($V$1005:$AE$1005,1,MATCH(COLUMNS($V$1006:AC1006),$V$1006:$AE$1006,0))&gt;=100000), " ",IF(INDEX($V$2:$AE$1001,MATCH(ROWS($O$2:O794),$O$2:$O$1001,0),MATCH(COLUMNS($V$1006:AC1006),$V$1006:$AE$1006,0)), HYPERLINK("#",""), HYPERLINK(CONCATENATE("#Metadata!", ADDRESS(INDEX($Q$2:$Q$1001,MATCH(ROWS($O$2:O794),$O$2:$O$1001,0),0), INDEX($V$1004:$AE$1004,1,MATCH(COLUMNS($V$1006:AC1006),$V$1006:$AE$1006,0)))),"Fix")))</f>
        <v>0</v>
      </c>
      <c r="J794" s="4">
        <f>IF(OR(INDEX($P$2:$P$1001,MATCH(ROWS($O$2:O794),$O$2:$O$1001,0),1)&gt;=100000,INDEX($V$1005:$AE$1005,1,MATCH(COLUMNS($V$1006:AD1006),$V$1006:$AE$1006,0))&gt;=100000), " ",IF(INDEX($V$2:$AE$1001,MATCH(ROWS($O$2:O794),$O$2:$O$1001,0),MATCH(COLUMNS($V$1006:AD1006),$V$1006:$AE$1006,0)), HYPERLINK("#",""), HYPERLINK(CONCATENATE("#Metadata!", ADDRESS(INDEX($Q$2:$Q$1001,MATCH(ROWS($O$2:O794),$O$2:$O$1001,0),0), INDEX($V$1004:$AE$1004,1,MATCH(COLUMNS($V$1006:AD1006),$V$1006:$AE$1006,0)))),"Fix")))</f>
        <v>0</v>
      </c>
      <c r="K794" s="4">
        <f>IF(OR(INDEX($P$2:$P$1001,MATCH(ROWS($O$2:O794),$O$2:$O$1001,0),1)&gt;=100000,INDEX($V$1005:$AE$1005,1,MATCH(COLUMNS($V$1006:AE1006),$V$1006:$AE$1006,0))&gt;=100000), " ",IF(INDEX($V$2:$AE$1001,MATCH(ROWS($O$2:O794),$O$2:$O$1001,0),MATCH(COLUMNS($V$1006:AE1006),$V$1006:$AE$1006,0)), HYPERLINK("#",""), HYPERLINK(CONCATENATE("#Metadata!", ADDRESS(INDEX($Q$2:$Q$1001,MATCH(ROWS($O$2:O794),$O$2:$O$1001,0),0), INDEX($V$1004:$AE$1004,1,MATCH(COLUMNS($V$1006:AE1006),$V$1006:$AE$1006,0)))),"Fix")))</f>
        <v>0</v>
      </c>
      <c r="O794">
        <v>0</v>
      </c>
      <c r="P794">
        <v>0</v>
      </c>
      <c r="Q794">
        <v>0</v>
      </c>
      <c r="R794">
        <f>IF(S794,TRUE,AND(V794:AE794))</f>
        <v>0</v>
      </c>
      <c r="S794">
        <f>COUNTBLANK(Metadata!B794:K794)=COLUMNS(Metadata!B794:K794)</f>
        <v>0</v>
      </c>
      <c r="T794">
        <v>0</v>
      </c>
      <c r="V794">
        <f>AND(IF(Metadata!B794="",FALSE,TRUE),COUNTIF(Metadata!B:B, Metadata!B794) = 1,NOT(ISERROR(SUMPRODUCT(SEARCH(MID(Metadata!B794,ROW(INDIRECT("1:"&amp;LEN(Metadata!B794))), 1),"0123456789abcdefghijklmnopqrstuvwxyzABCDEFGHIJKLMNOPQRSTUVWXYZ.")))))</f>
        <v>0</v>
      </c>
      <c r="W794">
        <f>AND(IF(Metadata!C794="",FALSE,TRUE),exact(Metadata!C794,"urban biome"))</f>
        <v>0</v>
      </c>
      <c r="X794">
        <f>AND(IF(Metadata!D794="",FALSE,TRUE),exact(Metadata!D794,"animal-associated habitat"))</f>
        <v>0</v>
      </c>
      <c r="Y794">
        <f>OR(AND(IF(Metadata!E794="",FALSE,TRUE),OR(exact(Metadata!E794,"not applicable"),exact(Metadata!E794,"missing: not collected"),exact(Metadata!E794,"missing: not provided"),exact(Metadata!E794,"missing: restricted access"))),AND(IF(Metadata!E794="",FALSE,ISNUMBER(VALUE(Metadata!E794))),Metadata!E794&gt;0))</f>
        <v>0</v>
      </c>
      <c r="Z794">
        <f>AND(IF(Metadata!F794="",FALSE,TRUE),exact(Metadata!F794,"weeks"))</f>
        <v>0</v>
      </c>
      <c r="AA794">
        <f>AND(IF(Metadata!G794="",FALSE,TRUE),exact(Metadata!G794,"mouse"))</f>
        <v>0</v>
      </c>
      <c r="AB794">
        <f>AND(IF(Metadata!H794="",FALSE,TRUE),exact(Metadata!H794,"Mus musculus"))</f>
        <v>0</v>
      </c>
      <c r="AC794">
        <f>AND(IF(Metadata!I794="",FALSE,TRUE),exact(Metadata!I794,"10090"))</f>
        <v>0</v>
      </c>
      <c r="AD794">
        <f>OR(AND(IF(Metadata!J794="",FALSE,TRUE),OR(exact(Metadata!J794,"not applicable"),exact(Metadata!J794,"missing: not collected"),exact(Metadata!J794,"missing: not provided"),exact(Metadata!J794,"missing: restricted access"))),AND(IF(Metadata!J794="",FALSE,ISNUMBER(VALUE(Metadata!J794))),Metadata!J794&gt;0))</f>
        <v>0</v>
      </c>
      <c r="AE794">
        <f>AND(IF(Metadata!K794="",FALSE,TRUE),exact(Metadata!K794,"g"))</f>
        <v>0</v>
      </c>
    </row>
    <row r="795" spans="1:31">
      <c r="A795" s="5">
        <f>IF(B795=" "," ",HYPERLINK(CONCATENATE("#metadata!",ADDRESS(INDEX($Q$2:$Q$1001,MATCH(ROWS($O$2:O795),$O$2:$O$1001,0),0),1)),INDEX($T$2:$T$1001,MATCH(ROWS($O$2:O795),$O$2:$O$1001,0),0)))</f>
        <v>0</v>
      </c>
      <c r="B795" s="4">
        <f>IF(OR(INDEX($P$2:$P$1001,MATCH(ROWS($O$2:O795),$O$2:$O$1001,0),1)&gt;=100000,INDEX($V$1005:$AE$1005,1,MATCH(COLUMNS($V$1006:V1006),$V$1006:$AE$1006,0))&gt;=100000), " ",IF(INDEX($V$2:$AE$1001,MATCH(ROWS($O$2:O795),$O$2:$O$1001,0),MATCH(COLUMNS($V$1006:V1006),$V$1006:$AE$1006,0)), HYPERLINK("#",""), HYPERLINK(CONCATENATE("#Metadata!", ADDRESS(INDEX($Q$2:$Q$1001,MATCH(ROWS($O$2:O795),$O$2:$O$1001,0),0), INDEX($V$1004:$AE$1004,1,MATCH(COLUMNS($V$1006:V1006),$V$1006:$AE$1006,0)))),"Fix")))</f>
        <v>0</v>
      </c>
      <c r="C795" s="4">
        <f>IF(OR(INDEX($P$2:$P$1001,MATCH(ROWS($O$2:O795),$O$2:$O$1001,0),1)&gt;=100000,INDEX($V$1005:$AE$1005,1,MATCH(COLUMNS($V$1006:W1006),$V$1006:$AE$1006,0))&gt;=100000), " ",IF(INDEX($V$2:$AE$1001,MATCH(ROWS($O$2:O795),$O$2:$O$1001,0),MATCH(COLUMNS($V$1006:W1006),$V$1006:$AE$1006,0)), HYPERLINK("#",""), HYPERLINK(CONCATENATE("#Metadata!", ADDRESS(INDEX($Q$2:$Q$1001,MATCH(ROWS($O$2:O795),$O$2:$O$1001,0),0), INDEX($V$1004:$AE$1004,1,MATCH(COLUMNS($V$1006:W1006),$V$1006:$AE$1006,0)))),"Fix")))</f>
        <v>0</v>
      </c>
      <c r="D795" s="4">
        <f>IF(OR(INDEX($P$2:$P$1001,MATCH(ROWS($O$2:O795),$O$2:$O$1001,0),1)&gt;=100000,INDEX($V$1005:$AE$1005,1,MATCH(COLUMNS($V$1006:X1006),$V$1006:$AE$1006,0))&gt;=100000), " ",IF(INDEX($V$2:$AE$1001,MATCH(ROWS($O$2:O795),$O$2:$O$1001,0),MATCH(COLUMNS($V$1006:X1006),$V$1006:$AE$1006,0)), HYPERLINK("#",""), HYPERLINK(CONCATENATE("#Metadata!", ADDRESS(INDEX($Q$2:$Q$1001,MATCH(ROWS($O$2:O795),$O$2:$O$1001,0),0), INDEX($V$1004:$AE$1004,1,MATCH(COLUMNS($V$1006:X1006),$V$1006:$AE$1006,0)))),"Fix")))</f>
        <v>0</v>
      </c>
      <c r="E795" s="4">
        <f>IF(OR(INDEX($P$2:$P$1001,MATCH(ROWS($O$2:O795),$O$2:$O$1001,0),1)&gt;=100000,INDEX($V$1005:$AE$1005,1,MATCH(COLUMNS($V$1006:Y1006),$V$1006:$AE$1006,0))&gt;=100000), " ",IF(INDEX($V$2:$AE$1001,MATCH(ROWS($O$2:O795),$O$2:$O$1001,0),MATCH(COLUMNS($V$1006:Y1006),$V$1006:$AE$1006,0)), HYPERLINK("#",""), HYPERLINK(CONCATENATE("#Metadata!", ADDRESS(INDEX($Q$2:$Q$1001,MATCH(ROWS($O$2:O795),$O$2:$O$1001,0),0), INDEX($V$1004:$AE$1004,1,MATCH(COLUMNS($V$1006:Y1006),$V$1006:$AE$1006,0)))),"Fix")))</f>
        <v>0</v>
      </c>
      <c r="F795" s="4">
        <f>IF(OR(INDEX($P$2:$P$1001,MATCH(ROWS($O$2:O795),$O$2:$O$1001,0),1)&gt;=100000,INDEX($V$1005:$AE$1005,1,MATCH(COLUMNS($V$1006:Z1006),$V$1006:$AE$1006,0))&gt;=100000), " ",IF(INDEX($V$2:$AE$1001,MATCH(ROWS($O$2:O795),$O$2:$O$1001,0),MATCH(COLUMNS($V$1006:Z1006),$V$1006:$AE$1006,0)), HYPERLINK("#",""), HYPERLINK(CONCATENATE("#Metadata!", ADDRESS(INDEX($Q$2:$Q$1001,MATCH(ROWS($O$2:O795),$O$2:$O$1001,0),0), INDEX($V$1004:$AE$1004,1,MATCH(COLUMNS($V$1006:Z1006),$V$1006:$AE$1006,0)))),"Fix")))</f>
        <v>0</v>
      </c>
      <c r="G795" s="4">
        <f>IF(OR(INDEX($P$2:$P$1001,MATCH(ROWS($O$2:O795),$O$2:$O$1001,0),1)&gt;=100000,INDEX($V$1005:$AE$1005,1,MATCH(COLUMNS($V$1006:AA1006),$V$1006:$AE$1006,0))&gt;=100000), " ",IF(INDEX($V$2:$AE$1001,MATCH(ROWS($O$2:O795),$O$2:$O$1001,0),MATCH(COLUMNS($V$1006:AA1006),$V$1006:$AE$1006,0)), HYPERLINK("#",""), HYPERLINK(CONCATENATE("#Metadata!", ADDRESS(INDEX($Q$2:$Q$1001,MATCH(ROWS($O$2:O795),$O$2:$O$1001,0),0), INDEX($V$1004:$AE$1004,1,MATCH(COLUMNS($V$1006:AA1006),$V$1006:$AE$1006,0)))),"Fix")))</f>
        <v>0</v>
      </c>
      <c r="H795" s="4">
        <f>IF(OR(INDEX($P$2:$P$1001,MATCH(ROWS($O$2:O795),$O$2:$O$1001,0),1)&gt;=100000,INDEX($V$1005:$AE$1005,1,MATCH(COLUMNS($V$1006:AB1006),$V$1006:$AE$1006,0))&gt;=100000), " ",IF(INDEX($V$2:$AE$1001,MATCH(ROWS($O$2:O795),$O$2:$O$1001,0),MATCH(COLUMNS($V$1006:AB1006),$V$1006:$AE$1006,0)), HYPERLINK("#",""), HYPERLINK(CONCATENATE("#Metadata!", ADDRESS(INDEX($Q$2:$Q$1001,MATCH(ROWS($O$2:O795),$O$2:$O$1001,0),0), INDEX($V$1004:$AE$1004,1,MATCH(COLUMNS($V$1006:AB1006),$V$1006:$AE$1006,0)))),"Fix")))</f>
        <v>0</v>
      </c>
      <c r="I795" s="4">
        <f>IF(OR(INDEX($P$2:$P$1001,MATCH(ROWS($O$2:O795),$O$2:$O$1001,0),1)&gt;=100000,INDEX($V$1005:$AE$1005,1,MATCH(COLUMNS($V$1006:AC1006),$V$1006:$AE$1006,0))&gt;=100000), " ",IF(INDEX($V$2:$AE$1001,MATCH(ROWS($O$2:O795),$O$2:$O$1001,0),MATCH(COLUMNS($V$1006:AC1006),$V$1006:$AE$1006,0)), HYPERLINK("#",""), HYPERLINK(CONCATENATE("#Metadata!", ADDRESS(INDEX($Q$2:$Q$1001,MATCH(ROWS($O$2:O795),$O$2:$O$1001,0),0), INDEX($V$1004:$AE$1004,1,MATCH(COLUMNS($V$1006:AC1006),$V$1006:$AE$1006,0)))),"Fix")))</f>
        <v>0</v>
      </c>
      <c r="J795" s="4">
        <f>IF(OR(INDEX($P$2:$P$1001,MATCH(ROWS($O$2:O795),$O$2:$O$1001,0),1)&gt;=100000,INDEX($V$1005:$AE$1005,1,MATCH(COLUMNS($V$1006:AD1006),$V$1006:$AE$1006,0))&gt;=100000), " ",IF(INDEX($V$2:$AE$1001,MATCH(ROWS($O$2:O795),$O$2:$O$1001,0),MATCH(COLUMNS($V$1006:AD1006),$V$1006:$AE$1006,0)), HYPERLINK("#",""), HYPERLINK(CONCATENATE("#Metadata!", ADDRESS(INDEX($Q$2:$Q$1001,MATCH(ROWS($O$2:O795),$O$2:$O$1001,0),0), INDEX($V$1004:$AE$1004,1,MATCH(COLUMNS($V$1006:AD1006),$V$1006:$AE$1006,0)))),"Fix")))</f>
        <v>0</v>
      </c>
      <c r="K795" s="4">
        <f>IF(OR(INDEX($P$2:$P$1001,MATCH(ROWS($O$2:O795),$O$2:$O$1001,0),1)&gt;=100000,INDEX($V$1005:$AE$1005,1,MATCH(COLUMNS($V$1006:AE1006),$V$1006:$AE$1006,0))&gt;=100000), " ",IF(INDEX($V$2:$AE$1001,MATCH(ROWS($O$2:O795),$O$2:$O$1001,0),MATCH(COLUMNS($V$1006:AE1006),$V$1006:$AE$1006,0)), HYPERLINK("#",""), HYPERLINK(CONCATENATE("#Metadata!", ADDRESS(INDEX($Q$2:$Q$1001,MATCH(ROWS($O$2:O795),$O$2:$O$1001,0),0), INDEX($V$1004:$AE$1004,1,MATCH(COLUMNS($V$1006:AE1006),$V$1006:$AE$1006,0)))),"Fix")))</f>
        <v>0</v>
      </c>
      <c r="O795">
        <v>0</v>
      </c>
      <c r="P795">
        <v>0</v>
      </c>
      <c r="Q795">
        <v>0</v>
      </c>
      <c r="R795">
        <f>IF(S795,TRUE,AND(V795:AE795))</f>
        <v>0</v>
      </c>
      <c r="S795">
        <f>COUNTBLANK(Metadata!B795:K795)=COLUMNS(Metadata!B795:K795)</f>
        <v>0</v>
      </c>
      <c r="T795">
        <v>0</v>
      </c>
      <c r="V795">
        <f>AND(IF(Metadata!B795="",FALSE,TRUE),COUNTIF(Metadata!B:B, Metadata!B795) = 1,NOT(ISERROR(SUMPRODUCT(SEARCH(MID(Metadata!B795,ROW(INDIRECT("1:"&amp;LEN(Metadata!B795))), 1),"0123456789abcdefghijklmnopqrstuvwxyzABCDEFGHIJKLMNOPQRSTUVWXYZ.")))))</f>
        <v>0</v>
      </c>
      <c r="W795">
        <f>AND(IF(Metadata!C795="",FALSE,TRUE),exact(Metadata!C795,"urban biome"))</f>
        <v>0</v>
      </c>
      <c r="X795">
        <f>AND(IF(Metadata!D795="",FALSE,TRUE),exact(Metadata!D795,"animal-associated habitat"))</f>
        <v>0</v>
      </c>
      <c r="Y795">
        <f>OR(AND(IF(Metadata!E795="",FALSE,TRUE),OR(exact(Metadata!E795,"not applicable"),exact(Metadata!E795,"missing: not collected"),exact(Metadata!E795,"missing: not provided"),exact(Metadata!E795,"missing: restricted access"))),AND(IF(Metadata!E795="",FALSE,ISNUMBER(VALUE(Metadata!E795))),Metadata!E795&gt;0))</f>
        <v>0</v>
      </c>
      <c r="Z795">
        <f>AND(IF(Metadata!F795="",FALSE,TRUE),exact(Metadata!F795,"weeks"))</f>
        <v>0</v>
      </c>
      <c r="AA795">
        <f>AND(IF(Metadata!G795="",FALSE,TRUE),exact(Metadata!G795,"mouse"))</f>
        <v>0</v>
      </c>
      <c r="AB795">
        <f>AND(IF(Metadata!H795="",FALSE,TRUE),exact(Metadata!H795,"Mus musculus"))</f>
        <v>0</v>
      </c>
      <c r="AC795">
        <f>AND(IF(Metadata!I795="",FALSE,TRUE),exact(Metadata!I795,"10090"))</f>
        <v>0</v>
      </c>
      <c r="AD795">
        <f>OR(AND(IF(Metadata!J795="",FALSE,TRUE),OR(exact(Metadata!J795,"not applicable"),exact(Metadata!J795,"missing: not collected"),exact(Metadata!J795,"missing: not provided"),exact(Metadata!J795,"missing: restricted access"))),AND(IF(Metadata!J795="",FALSE,ISNUMBER(VALUE(Metadata!J795))),Metadata!J795&gt;0))</f>
        <v>0</v>
      </c>
      <c r="AE795">
        <f>AND(IF(Metadata!K795="",FALSE,TRUE),exact(Metadata!K795,"g"))</f>
        <v>0</v>
      </c>
    </row>
    <row r="796" spans="1:31">
      <c r="A796" s="5">
        <f>IF(B796=" "," ",HYPERLINK(CONCATENATE("#metadata!",ADDRESS(INDEX($Q$2:$Q$1001,MATCH(ROWS($O$2:O796),$O$2:$O$1001,0),0),1)),INDEX($T$2:$T$1001,MATCH(ROWS($O$2:O796),$O$2:$O$1001,0),0)))</f>
        <v>0</v>
      </c>
      <c r="B796" s="4">
        <f>IF(OR(INDEX($P$2:$P$1001,MATCH(ROWS($O$2:O796),$O$2:$O$1001,0),1)&gt;=100000,INDEX($V$1005:$AE$1005,1,MATCH(COLUMNS($V$1006:V1006),$V$1006:$AE$1006,0))&gt;=100000), " ",IF(INDEX($V$2:$AE$1001,MATCH(ROWS($O$2:O796),$O$2:$O$1001,0),MATCH(COLUMNS($V$1006:V1006),$V$1006:$AE$1006,0)), HYPERLINK("#",""), HYPERLINK(CONCATENATE("#Metadata!", ADDRESS(INDEX($Q$2:$Q$1001,MATCH(ROWS($O$2:O796),$O$2:$O$1001,0),0), INDEX($V$1004:$AE$1004,1,MATCH(COLUMNS($V$1006:V1006),$V$1006:$AE$1006,0)))),"Fix")))</f>
        <v>0</v>
      </c>
      <c r="C796" s="4">
        <f>IF(OR(INDEX($P$2:$P$1001,MATCH(ROWS($O$2:O796),$O$2:$O$1001,0),1)&gt;=100000,INDEX($V$1005:$AE$1005,1,MATCH(COLUMNS($V$1006:W1006),$V$1006:$AE$1006,0))&gt;=100000), " ",IF(INDEX($V$2:$AE$1001,MATCH(ROWS($O$2:O796),$O$2:$O$1001,0),MATCH(COLUMNS($V$1006:W1006),$V$1006:$AE$1006,0)), HYPERLINK("#",""), HYPERLINK(CONCATENATE("#Metadata!", ADDRESS(INDEX($Q$2:$Q$1001,MATCH(ROWS($O$2:O796),$O$2:$O$1001,0),0), INDEX($V$1004:$AE$1004,1,MATCH(COLUMNS($V$1006:W1006),$V$1006:$AE$1006,0)))),"Fix")))</f>
        <v>0</v>
      </c>
      <c r="D796" s="4">
        <f>IF(OR(INDEX($P$2:$P$1001,MATCH(ROWS($O$2:O796),$O$2:$O$1001,0),1)&gt;=100000,INDEX($V$1005:$AE$1005,1,MATCH(COLUMNS($V$1006:X1006),$V$1006:$AE$1006,0))&gt;=100000), " ",IF(INDEX($V$2:$AE$1001,MATCH(ROWS($O$2:O796),$O$2:$O$1001,0),MATCH(COLUMNS($V$1006:X1006),$V$1006:$AE$1006,0)), HYPERLINK("#",""), HYPERLINK(CONCATENATE("#Metadata!", ADDRESS(INDEX($Q$2:$Q$1001,MATCH(ROWS($O$2:O796),$O$2:$O$1001,0),0), INDEX($V$1004:$AE$1004,1,MATCH(COLUMNS($V$1006:X1006),$V$1006:$AE$1006,0)))),"Fix")))</f>
        <v>0</v>
      </c>
      <c r="E796" s="4">
        <f>IF(OR(INDEX($P$2:$P$1001,MATCH(ROWS($O$2:O796),$O$2:$O$1001,0),1)&gt;=100000,INDEX($V$1005:$AE$1005,1,MATCH(COLUMNS($V$1006:Y1006),$V$1006:$AE$1006,0))&gt;=100000), " ",IF(INDEX($V$2:$AE$1001,MATCH(ROWS($O$2:O796),$O$2:$O$1001,0),MATCH(COLUMNS($V$1006:Y1006),$V$1006:$AE$1006,0)), HYPERLINK("#",""), HYPERLINK(CONCATENATE("#Metadata!", ADDRESS(INDEX($Q$2:$Q$1001,MATCH(ROWS($O$2:O796),$O$2:$O$1001,0),0), INDEX($V$1004:$AE$1004,1,MATCH(COLUMNS($V$1006:Y1006),$V$1006:$AE$1006,0)))),"Fix")))</f>
        <v>0</v>
      </c>
      <c r="F796" s="4">
        <f>IF(OR(INDEX($P$2:$P$1001,MATCH(ROWS($O$2:O796),$O$2:$O$1001,0),1)&gt;=100000,INDEX($V$1005:$AE$1005,1,MATCH(COLUMNS($V$1006:Z1006),$V$1006:$AE$1006,0))&gt;=100000), " ",IF(INDEX($V$2:$AE$1001,MATCH(ROWS($O$2:O796),$O$2:$O$1001,0),MATCH(COLUMNS($V$1006:Z1006),$V$1006:$AE$1006,0)), HYPERLINK("#",""), HYPERLINK(CONCATENATE("#Metadata!", ADDRESS(INDEX($Q$2:$Q$1001,MATCH(ROWS($O$2:O796),$O$2:$O$1001,0),0), INDEX($V$1004:$AE$1004,1,MATCH(COLUMNS($V$1006:Z1006),$V$1006:$AE$1006,0)))),"Fix")))</f>
        <v>0</v>
      </c>
      <c r="G796" s="4">
        <f>IF(OR(INDEX($P$2:$P$1001,MATCH(ROWS($O$2:O796),$O$2:$O$1001,0),1)&gt;=100000,INDEX($V$1005:$AE$1005,1,MATCH(COLUMNS($V$1006:AA1006),$V$1006:$AE$1006,0))&gt;=100000), " ",IF(INDEX($V$2:$AE$1001,MATCH(ROWS($O$2:O796),$O$2:$O$1001,0),MATCH(COLUMNS($V$1006:AA1006),$V$1006:$AE$1006,0)), HYPERLINK("#",""), HYPERLINK(CONCATENATE("#Metadata!", ADDRESS(INDEX($Q$2:$Q$1001,MATCH(ROWS($O$2:O796),$O$2:$O$1001,0),0), INDEX($V$1004:$AE$1004,1,MATCH(COLUMNS($V$1006:AA1006),$V$1006:$AE$1006,0)))),"Fix")))</f>
        <v>0</v>
      </c>
      <c r="H796" s="4">
        <f>IF(OR(INDEX($P$2:$P$1001,MATCH(ROWS($O$2:O796),$O$2:$O$1001,0),1)&gt;=100000,INDEX($V$1005:$AE$1005,1,MATCH(COLUMNS($V$1006:AB1006),$V$1006:$AE$1006,0))&gt;=100000), " ",IF(INDEX($V$2:$AE$1001,MATCH(ROWS($O$2:O796),$O$2:$O$1001,0),MATCH(COLUMNS($V$1006:AB1006),$V$1006:$AE$1006,0)), HYPERLINK("#",""), HYPERLINK(CONCATENATE("#Metadata!", ADDRESS(INDEX($Q$2:$Q$1001,MATCH(ROWS($O$2:O796),$O$2:$O$1001,0),0), INDEX($V$1004:$AE$1004,1,MATCH(COLUMNS($V$1006:AB1006),$V$1006:$AE$1006,0)))),"Fix")))</f>
        <v>0</v>
      </c>
      <c r="I796" s="4">
        <f>IF(OR(INDEX($P$2:$P$1001,MATCH(ROWS($O$2:O796),$O$2:$O$1001,0),1)&gt;=100000,INDEX($V$1005:$AE$1005,1,MATCH(COLUMNS($V$1006:AC1006),$V$1006:$AE$1006,0))&gt;=100000), " ",IF(INDEX($V$2:$AE$1001,MATCH(ROWS($O$2:O796),$O$2:$O$1001,0),MATCH(COLUMNS($V$1006:AC1006),$V$1006:$AE$1006,0)), HYPERLINK("#",""), HYPERLINK(CONCATENATE("#Metadata!", ADDRESS(INDEX($Q$2:$Q$1001,MATCH(ROWS($O$2:O796),$O$2:$O$1001,0),0), INDEX($V$1004:$AE$1004,1,MATCH(COLUMNS($V$1006:AC1006),$V$1006:$AE$1006,0)))),"Fix")))</f>
        <v>0</v>
      </c>
      <c r="J796" s="4">
        <f>IF(OR(INDEX($P$2:$P$1001,MATCH(ROWS($O$2:O796),$O$2:$O$1001,0),1)&gt;=100000,INDEX($V$1005:$AE$1005,1,MATCH(COLUMNS($V$1006:AD1006),$V$1006:$AE$1006,0))&gt;=100000), " ",IF(INDEX($V$2:$AE$1001,MATCH(ROWS($O$2:O796),$O$2:$O$1001,0),MATCH(COLUMNS($V$1006:AD1006),$V$1006:$AE$1006,0)), HYPERLINK("#",""), HYPERLINK(CONCATENATE("#Metadata!", ADDRESS(INDEX($Q$2:$Q$1001,MATCH(ROWS($O$2:O796),$O$2:$O$1001,0),0), INDEX($V$1004:$AE$1004,1,MATCH(COLUMNS($V$1006:AD1006),$V$1006:$AE$1006,0)))),"Fix")))</f>
        <v>0</v>
      </c>
      <c r="K796" s="4">
        <f>IF(OR(INDEX($P$2:$P$1001,MATCH(ROWS($O$2:O796),$O$2:$O$1001,0),1)&gt;=100000,INDEX($V$1005:$AE$1005,1,MATCH(COLUMNS($V$1006:AE1006),$V$1006:$AE$1006,0))&gt;=100000), " ",IF(INDEX($V$2:$AE$1001,MATCH(ROWS($O$2:O796),$O$2:$O$1001,0),MATCH(COLUMNS($V$1006:AE1006),$V$1006:$AE$1006,0)), HYPERLINK("#",""), HYPERLINK(CONCATENATE("#Metadata!", ADDRESS(INDEX($Q$2:$Q$1001,MATCH(ROWS($O$2:O796),$O$2:$O$1001,0),0), INDEX($V$1004:$AE$1004,1,MATCH(COLUMNS($V$1006:AE1006),$V$1006:$AE$1006,0)))),"Fix")))</f>
        <v>0</v>
      </c>
      <c r="O796">
        <v>0</v>
      </c>
      <c r="P796">
        <v>0</v>
      </c>
      <c r="Q796">
        <v>0</v>
      </c>
      <c r="R796">
        <f>IF(S796,TRUE,AND(V796:AE796))</f>
        <v>0</v>
      </c>
      <c r="S796">
        <f>COUNTBLANK(Metadata!B796:K796)=COLUMNS(Metadata!B796:K796)</f>
        <v>0</v>
      </c>
      <c r="T796">
        <v>0</v>
      </c>
      <c r="V796">
        <f>AND(IF(Metadata!B796="",FALSE,TRUE),COUNTIF(Metadata!B:B, Metadata!B796) = 1,NOT(ISERROR(SUMPRODUCT(SEARCH(MID(Metadata!B796,ROW(INDIRECT("1:"&amp;LEN(Metadata!B796))), 1),"0123456789abcdefghijklmnopqrstuvwxyzABCDEFGHIJKLMNOPQRSTUVWXYZ.")))))</f>
        <v>0</v>
      </c>
      <c r="W796">
        <f>AND(IF(Metadata!C796="",FALSE,TRUE),exact(Metadata!C796,"urban biome"))</f>
        <v>0</v>
      </c>
      <c r="X796">
        <f>AND(IF(Metadata!D796="",FALSE,TRUE),exact(Metadata!D796,"animal-associated habitat"))</f>
        <v>0</v>
      </c>
      <c r="Y796">
        <f>OR(AND(IF(Metadata!E796="",FALSE,TRUE),OR(exact(Metadata!E796,"not applicable"),exact(Metadata!E796,"missing: not collected"),exact(Metadata!E796,"missing: not provided"),exact(Metadata!E796,"missing: restricted access"))),AND(IF(Metadata!E796="",FALSE,ISNUMBER(VALUE(Metadata!E796))),Metadata!E796&gt;0))</f>
        <v>0</v>
      </c>
      <c r="Z796">
        <f>AND(IF(Metadata!F796="",FALSE,TRUE),exact(Metadata!F796,"weeks"))</f>
        <v>0</v>
      </c>
      <c r="AA796">
        <f>AND(IF(Metadata!G796="",FALSE,TRUE),exact(Metadata!G796,"mouse"))</f>
        <v>0</v>
      </c>
      <c r="AB796">
        <f>AND(IF(Metadata!H796="",FALSE,TRUE),exact(Metadata!H796,"Mus musculus"))</f>
        <v>0</v>
      </c>
      <c r="AC796">
        <f>AND(IF(Metadata!I796="",FALSE,TRUE),exact(Metadata!I796,"10090"))</f>
        <v>0</v>
      </c>
      <c r="AD796">
        <f>OR(AND(IF(Metadata!J796="",FALSE,TRUE),OR(exact(Metadata!J796,"not applicable"),exact(Metadata!J796,"missing: not collected"),exact(Metadata!J796,"missing: not provided"),exact(Metadata!J796,"missing: restricted access"))),AND(IF(Metadata!J796="",FALSE,ISNUMBER(VALUE(Metadata!J796))),Metadata!J796&gt;0))</f>
        <v>0</v>
      </c>
      <c r="AE796">
        <f>AND(IF(Metadata!K796="",FALSE,TRUE),exact(Metadata!K796,"g"))</f>
        <v>0</v>
      </c>
    </row>
    <row r="797" spans="1:31">
      <c r="A797" s="5">
        <f>IF(B797=" "," ",HYPERLINK(CONCATENATE("#metadata!",ADDRESS(INDEX($Q$2:$Q$1001,MATCH(ROWS($O$2:O797),$O$2:$O$1001,0),0),1)),INDEX($T$2:$T$1001,MATCH(ROWS($O$2:O797),$O$2:$O$1001,0),0)))</f>
        <v>0</v>
      </c>
      <c r="B797" s="4">
        <f>IF(OR(INDEX($P$2:$P$1001,MATCH(ROWS($O$2:O797),$O$2:$O$1001,0),1)&gt;=100000,INDEX($V$1005:$AE$1005,1,MATCH(COLUMNS($V$1006:V1006),$V$1006:$AE$1006,0))&gt;=100000), " ",IF(INDEX($V$2:$AE$1001,MATCH(ROWS($O$2:O797),$O$2:$O$1001,0),MATCH(COLUMNS($V$1006:V1006),$V$1006:$AE$1006,0)), HYPERLINK("#",""), HYPERLINK(CONCATENATE("#Metadata!", ADDRESS(INDEX($Q$2:$Q$1001,MATCH(ROWS($O$2:O797),$O$2:$O$1001,0),0), INDEX($V$1004:$AE$1004,1,MATCH(COLUMNS($V$1006:V1006),$V$1006:$AE$1006,0)))),"Fix")))</f>
        <v>0</v>
      </c>
      <c r="C797" s="4">
        <f>IF(OR(INDEX($P$2:$P$1001,MATCH(ROWS($O$2:O797),$O$2:$O$1001,0),1)&gt;=100000,INDEX($V$1005:$AE$1005,1,MATCH(COLUMNS($V$1006:W1006),$V$1006:$AE$1006,0))&gt;=100000), " ",IF(INDEX($V$2:$AE$1001,MATCH(ROWS($O$2:O797),$O$2:$O$1001,0),MATCH(COLUMNS($V$1006:W1006),$V$1006:$AE$1006,0)), HYPERLINK("#",""), HYPERLINK(CONCATENATE("#Metadata!", ADDRESS(INDEX($Q$2:$Q$1001,MATCH(ROWS($O$2:O797),$O$2:$O$1001,0),0), INDEX($V$1004:$AE$1004,1,MATCH(COLUMNS($V$1006:W1006),$V$1006:$AE$1006,0)))),"Fix")))</f>
        <v>0</v>
      </c>
      <c r="D797" s="4">
        <f>IF(OR(INDEX($P$2:$P$1001,MATCH(ROWS($O$2:O797),$O$2:$O$1001,0),1)&gt;=100000,INDEX($V$1005:$AE$1005,1,MATCH(COLUMNS($V$1006:X1006),$V$1006:$AE$1006,0))&gt;=100000), " ",IF(INDEX($V$2:$AE$1001,MATCH(ROWS($O$2:O797),$O$2:$O$1001,0),MATCH(COLUMNS($V$1006:X1006),$V$1006:$AE$1006,0)), HYPERLINK("#",""), HYPERLINK(CONCATENATE("#Metadata!", ADDRESS(INDEX($Q$2:$Q$1001,MATCH(ROWS($O$2:O797),$O$2:$O$1001,0),0), INDEX($V$1004:$AE$1004,1,MATCH(COLUMNS($V$1006:X1006),$V$1006:$AE$1006,0)))),"Fix")))</f>
        <v>0</v>
      </c>
      <c r="E797" s="4">
        <f>IF(OR(INDEX($P$2:$P$1001,MATCH(ROWS($O$2:O797),$O$2:$O$1001,0),1)&gt;=100000,INDEX($V$1005:$AE$1005,1,MATCH(COLUMNS($V$1006:Y1006),$V$1006:$AE$1006,0))&gt;=100000), " ",IF(INDEX($V$2:$AE$1001,MATCH(ROWS($O$2:O797),$O$2:$O$1001,0),MATCH(COLUMNS($V$1006:Y1006),$V$1006:$AE$1006,0)), HYPERLINK("#",""), HYPERLINK(CONCATENATE("#Metadata!", ADDRESS(INDEX($Q$2:$Q$1001,MATCH(ROWS($O$2:O797),$O$2:$O$1001,0),0), INDEX($V$1004:$AE$1004,1,MATCH(COLUMNS($V$1006:Y1006),$V$1006:$AE$1006,0)))),"Fix")))</f>
        <v>0</v>
      </c>
      <c r="F797" s="4">
        <f>IF(OR(INDEX($P$2:$P$1001,MATCH(ROWS($O$2:O797),$O$2:$O$1001,0),1)&gt;=100000,INDEX($V$1005:$AE$1005,1,MATCH(COLUMNS($V$1006:Z1006),$V$1006:$AE$1006,0))&gt;=100000), " ",IF(INDEX($V$2:$AE$1001,MATCH(ROWS($O$2:O797),$O$2:$O$1001,0),MATCH(COLUMNS($V$1006:Z1006),$V$1006:$AE$1006,0)), HYPERLINK("#",""), HYPERLINK(CONCATENATE("#Metadata!", ADDRESS(INDEX($Q$2:$Q$1001,MATCH(ROWS($O$2:O797),$O$2:$O$1001,0),0), INDEX($V$1004:$AE$1004,1,MATCH(COLUMNS($V$1006:Z1006),$V$1006:$AE$1006,0)))),"Fix")))</f>
        <v>0</v>
      </c>
      <c r="G797" s="4">
        <f>IF(OR(INDEX($P$2:$P$1001,MATCH(ROWS($O$2:O797),$O$2:$O$1001,0),1)&gt;=100000,INDEX($V$1005:$AE$1005,1,MATCH(COLUMNS($V$1006:AA1006),$V$1006:$AE$1006,0))&gt;=100000), " ",IF(INDEX($V$2:$AE$1001,MATCH(ROWS($O$2:O797),$O$2:$O$1001,0),MATCH(COLUMNS($V$1006:AA1006),$V$1006:$AE$1006,0)), HYPERLINK("#",""), HYPERLINK(CONCATENATE("#Metadata!", ADDRESS(INDEX($Q$2:$Q$1001,MATCH(ROWS($O$2:O797),$O$2:$O$1001,0),0), INDEX($V$1004:$AE$1004,1,MATCH(COLUMNS($V$1006:AA1006),$V$1006:$AE$1006,0)))),"Fix")))</f>
        <v>0</v>
      </c>
      <c r="H797" s="4">
        <f>IF(OR(INDEX($P$2:$P$1001,MATCH(ROWS($O$2:O797),$O$2:$O$1001,0),1)&gt;=100000,INDEX($V$1005:$AE$1005,1,MATCH(COLUMNS($V$1006:AB1006),$V$1006:$AE$1006,0))&gt;=100000), " ",IF(INDEX($V$2:$AE$1001,MATCH(ROWS($O$2:O797),$O$2:$O$1001,0),MATCH(COLUMNS($V$1006:AB1006),$V$1006:$AE$1006,0)), HYPERLINK("#",""), HYPERLINK(CONCATENATE("#Metadata!", ADDRESS(INDEX($Q$2:$Q$1001,MATCH(ROWS($O$2:O797),$O$2:$O$1001,0),0), INDEX($V$1004:$AE$1004,1,MATCH(COLUMNS($V$1006:AB1006),$V$1006:$AE$1006,0)))),"Fix")))</f>
        <v>0</v>
      </c>
      <c r="I797" s="4">
        <f>IF(OR(INDEX($P$2:$P$1001,MATCH(ROWS($O$2:O797),$O$2:$O$1001,0),1)&gt;=100000,INDEX($V$1005:$AE$1005,1,MATCH(COLUMNS($V$1006:AC1006),$V$1006:$AE$1006,0))&gt;=100000), " ",IF(INDEX($V$2:$AE$1001,MATCH(ROWS($O$2:O797),$O$2:$O$1001,0),MATCH(COLUMNS($V$1006:AC1006),$V$1006:$AE$1006,0)), HYPERLINK("#",""), HYPERLINK(CONCATENATE("#Metadata!", ADDRESS(INDEX($Q$2:$Q$1001,MATCH(ROWS($O$2:O797),$O$2:$O$1001,0),0), INDEX($V$1004:$AE$1004,1,MATCH(COLUMNS($V$1006:AC1006),$V$1006:$AE$1006,0)))),"Fix")))</f>
        <v>0</v>
      </c>
      <c r="J797" s="4">
        <f>IF(OR(INDEX($P$2:$P$1001,MATCH(ROWS($O$2:O797),$O$2:$O$1001,0),1)&gt;=100000,INDEX($V$1005:$AE$1005,1,MATCH(COLUMNS($V$1006:AD1006),$V$1006:$AE$1006,0))&gt;=100000), " ",IF(INDEX($V$2:$AE$1001,MATCH(ROWS($O$2:O797),$O$2:$O$1001,0),MATCH(COLUMNS($V$1006:AD1006),$V$1006:$AE$1006,0)), HYPERLINK("#",""), HYPERLINK(CONCATENATE("#Metadata!", ADDRESS(INDEX($Q$2:$Q$1001,MATCH(ROWS($O$2:O797),$O$2:$O$1001,0),0), INDEX($V$1004:$AE$1004,1,MATCH(COLUMNS($V$1006:AD1006),$V$1006:$AE$1006,0)))),"Fix")))</f>
        <v>0</v>
      </c>
      <c r="K797" s="4">
        <f>IF(OR(INDEX($P$2:$P$1001,MATCH(ROWS($O$2:O797),$O$2:$O$1001,0),1)&gt;=100000,INDEX($V$1005:$AE$1005,1,MATCH(COLUMNS($V$1006:AE1006),$V$1006:$AE$1006,0))&gt;=100000), " ",IF(INDEX($V$2:$AE$1001,MATCH(ROWS($O$2:O797),$O$2:$O$1001,0),MATCH(COLUMNS($V$1006:AE1006),$V$1006:$AE$1006,0)), HYPERLINK("#",""), HYPERLINK(CONCATENATE("#Metadata!", ADDRESS(INDEX($Q$2:$Q$1001,MATCH(ROWS($O$2:O797),$O$2:$O$1001,0),0), INDEX($V$1004:$AE$1004,1,MATCH(COLUMNS($V$1006:AE1006),$V$1006:$AE$1006,0)))),"Fix")))</f>
        <v>0</v>
      </c>
      <c r="O797">
        <v>0</v>
      </c>
      <c r="P797">
        <v>0</v>
      </c>
      <c r="Q797">
        <v>0</v>
      </c>
      <c r="R797">
        <f>IF(S797,TRUE,AND(V797:AE797))</f>
        <v>0</v>
      </c>
      <c r="S797">
        <f>COUNTBLANK(Metadata!B797:K797)=COLUMNS(Metadata!B797:K797)</f>
        <v>0</v>
      </c>
      <c r="T797">
        <v>0</v>
      </c>
      <c r="V797">
        <f>AND(IF(Metadata!B797="",FALSE,TRUE),COUNTIF(Metadata!B:B, Metadata!B797) = 1,NOT(ISERROR(SUMPRODUCT(SEARCH(MID(Metadata!B797,ROW(INDIRECT("1:"&amp;LEN(Metadata!B797))), 1),"0123456789abcdefghijklmnopqrstuvwxyzABCDEFGHIJKLMNOPQRSTUVWXYZ.")))))</f>
        <v>0</v>
      </c>
      <c r="W797">
        <f>AND(IF(Metadata!C797="",FALSE,TRUE),exact(Metadata!C797,"urban biome"))</f>
        <v>0</v>
      </c>
      <c r="X797">
        <f>AND(IF(Metadata!D797="",FALSE,TRUE),exact(Metadata!D797,"animal-associated habitat"))</f>
        <v>0</v>
      </c>
      <c r="Y797">
        <f>OR(AND(IF(Metadata!E797="",FALSE,TRUE),OR(exact(Metadata!E797,"not applicable"),exact(Metadata!E797,"missing: not collected"),exact(Metadata!E797,"missing: not provided"),exact(Metadata!E797,"missing: restricted access"))),AND(IF(Metadata!E797="",FALSE,ISNUMBER(VALUE(Metadata!E797))),Metadata!E797&gt;0))</f>
        <v>0</v>
      </c>
      <c r="Z797">
        <f>AND(IF(Metadata!F797="",FALSE,TRUE),exact(Metadata!F797,"weeks"))</f>
        <v>0</v>
      </c>
      <c r="AA797">
        <f>AND(IF(Metadata!G797="",FALSE,TRUE),exact(Metadata!G797,"mouse"))</f>
        <v>0</v>
      </c>
      <c r="AB797">
        <f>AND(IF(Metadata!H797="",FALSE,TRUE),exact(Metadata!H797,"Mus musculus"))</f>
        <v>0</v>
      </c>
      <c r="AC797">
        <f>AND(IF(Metadata!I797="",FALSE,TRUE),exact(Metadata!I797,"10090"))</f>
        <v>0</v>
      </c>
      <c r="AD797">
        <f>OR(AND(IF(Metadata!J797="",FALSE,TRUE),OR(exact(Metadata!J797,"not applicable"),exact(Metadata!J797,"missing: not collected"),exact(Metadata!J797,"missing: not provided"),exact(Metadata!J797,"missing: restricted access"))),AND(IF(Metadata!J797="",FALSE,ISNUMBER(VALUE(Metadata!J797))),Metadata!J797&gt;0))</f>
        <v>0</v>
      </c>
      <c r="AE797">
        <f>AND(IF(Metadata!K797="",FALSE,TRUE),exact(Metadata!K797,"g"))</f>
        <v>0</v>
      </c>
    </row>
    <row r="798" spans="1:31">
      <c r="A798" s="5">
        <f>IF(B798=" "," ",HYPERLINK(CONCATENATE("#metadata!",ADDRESS(INDEX($Q$2:$Q$1001,MATCH(ROWS($O$2:O798),$O$2:$O$1001,0),0),1)),INDEX($T$2:$T$1001,MATCH(ROWS($O$2:O798),$O$2:$O$1001,0),0)))</f>
        <v>0</v>
      </c>
      <c r="B798" s="4">
        <f>IF(OR(INDEX($P$2:$P$1001,MATCH(ROWS($O$2:O798),$O$2:$O$1001,0),1)&gt;=100000,INDEX($V$1005:$AE$1005,1,MATCH(COLUMNS($V$1006:V1006),$V$1006:$AE$1006,0))&gt;=100000), " ",IF(INDEX($V$2:$AE$1001,MATCH(ROWS($O$2:O798),$O$2:$O$1001,0),MATCH(COLUMNS($V$1006:V1006),$V$1006:$AE$1006,0)), HYPERLINK("#",""), HYPERLINK(CONCATENATE("#Metadata!", ADDRESS(INDEX($Q$2:$Q$1001,MATCH(ROWS($O$2:O798),$O$2:$O$1001,0),0), INDEX($V$1004:$AE$1004,1,MATCH(COLUMNS($V$1006:V1006),$V$1006:$AE$1006,0)))),"Fix")))</f>
        <v>0</v>
      </c>
      <c r="C798" s="4">
        <f>IF(OR(INDEX($P$2:$P$1001,MATCH(ROWS($O$2:O798),$O$2:$O$1001,0),1)&gt;=100000,INDEX($V$1005:$AE$1005,1,MATCH(COLUMNS($V$1006:W1006),$V$1006:$AE$1006,0))&gt;=100000), " ",IF(INDEX($V$2:$AE$1001,MATCH(ROWS($O$2:O798),$O$2:$O$1001,0),MATCH(COLUMNS($V$1006:W1006),$V$1006:$AE$1006,0)), HYPERLINK("#",""), HYPERLINK(CONCATENATE("#Metadata!", ADDRESS(INDEX($Q$2:$Q$1001,MATCH(ROWS($O$2:O798),$O$2:$O$1001,0),0), INDEX($V$1004:$AE$1004,1,MATCH(COLUMNS($V$1006:W1006),$V$1006:$AE$1006,0)))),"Fix")))</f>
        <v>0</v>
      </c>
      <c r="D798" s="4">
        <f>IF(OR(INDEX($P$2:$P$1001,MATCH(ROWS($O$2:O798),$O$2:$O$1001,0),1)&gt;=100000,INDEX($V$1005:$AE$1005,1,MATCH(COLUMNS($V$1006:X1006),$V$1006:$AE$1006,0))&gt;=100000), " ",IF(INDEX($V$2:$AE$1001,MATCH(ROWS($O$2:O798),$O$2:$O$1001,0),MATCH(COLUMNS($V$1006:X1006),$V$1006:$AE$1006,0)), HYPERLINK("#",""), HYPERLINK(CONCATENATE("#Metadata!", ADDRESS(INDEX($Q$2:$Q$1001,MATCH(ROWS($O$2:O798),$O$2:$O$1001,0),0), INDEX($V$1004:$AE$1004,1,MATCH(COLUMNS($V$1006:X1006),$V$1006:$AE$1006,0)))),"Fix")))</f>
        <v>0</v>
      </c>
      <c r="E798" s="4">
        <f>IF(OR(INDEX($P$2:$P$1001,MATCH(ROWS($O$2:O798),$O$2:$O$1001,0),1)&gt;=100000,INDEX($V$1005:$AE$1005,1,MATCH(COLUMNS($V$1006:Y1006),$V$1006:$AE$1006,0))&gt;=100000), " ",IF(INDEX($V$2:$AE$1001,MATCH(ROWS($O$2:O798),$O$2:$O$1001,0),MATCH(COLUMNS($V$1006:Y1006),$V$1006:$AE$1006,0)), HYPERLINK("#",""), HYPERLINK(CONCATENATE("#Metadata!", ADDRESS(INDEX($Q$2:$Q$1001,MATCH(ROWS($O$2:O798),$O$2:$O$1001,0),0), INDEX($V$1004:$AE$1004,1,MATCH(COLUMNS($V$1006:Y1006),$V$1006:$AE$1006,0)))),"Fix")))</f>
        <v>0</v>
      </c>
      <c r="F798" s="4">
        <f>IF(OR(INDEX($P$2:$P$1001,MATCH(ROWS($O$2:O798),$O$2:$O$1001,0),1)&gt;=100000,INDEX($V$1005:$AE$1005,1,MATCH(COLUMNS($V$1006:Z1006),$V$1006:$AE$1006,0))&gt;=100000), " ",IF(INDEX($V$2:$AE$1001,MATCH(ROWS($O$2:O798),$O$2:$O$1001,0),MATCH(COLUMNS($V$1006:Z1006),$V$1006:$AE$1006,0)), HYPERLINK("#",""), HYPERLINK(CONCATENATE("#Metadata!", ADDRESS(INDEX($Q$2:$Q$1001,MATCH(ROWS($O$2:O798),$O$2:$O$1001,0),0), INDEX($V$1004:$AE$1004,1,MATCH(COLUMNS($V$1006:Z1006),$V$1006:$AE$1006,0)))),"Fix")))</f>
        <v>0</v>
      </c>
      <c r="G798" s="4">
        <f>IF(OR(INDEX($P$2:$P$1001,MATCH(ROWS($O$2:O798),$O$2:$O$1001,0),1)&gt;=100000,INDEX($V$1005:$AE$1005,1,MATCH(COLUMNS($V$1006:AA1006),$V$1006:$AE$1006,0))&gt;=100000), " ",IF(INDEX($V$2:$AE$1001,MATCH(ROWS($O$2:O798),$O$2:$O$1001,0),MATCH(COLUMNS($V$1006:AA1006),$V$1006:$AE$1006,0)), HYPERLINK("#",""), HYPERLINK(CONCATENATE("#Metadata!", ADDRESS(INDEX($Q$2:$Q$1001,MATCH(ROWS($O$2:O798),$O$2:$O$1001,0),0), INDEX($V$1004:$AE$1004,1,MATCH(COLUMNS($V$1006:AA1006),$V$1006:$AE$1006,0)))),"Fix")))</f>
        <v>0</v>
      </c>
      <c r="H798" s="4">
        <f>IF(OR(INDEX($P$2:$P$1001,MATCH(ROWS($O$2:O798),$O$2:$O$1001,0),1)&gt;=100000,INDEX($V$1005:$AE$1005,1,MATCH(COLUMNS($V$1006:AB1006),$V$1006:$AE$1006,0))&gt;=100000), " ",IF(INDEX($V$2:$AE$1001,MATCH(ROWS($O$2:O798),$O$2:$O$1001,0),MATCH(COLUMNS($V$1006:AB1006),$V$1006:$AE$1006,0)), HYPERLINK("#",""), HYPERLINK(CONCATENATE("#Metadata!", ADDRESS(INDEX($Q$2:$Q$1001,MATCH(ROWS($O$2:O798),$O$2:$O$1001,0),0), INDEX($V$1004:$AE$1004,1,MATCH(COLUMNS($V$1006:AB1006),$V$1006:$AE$1006,0)))),"Fix")))</f>
        <v>0</v>
      </c>
      <c r="I798" s="4">
        <f>IF(OR(INDEX($P$2:$P$1001,MATCH(ROWS($O$2:O798),$O$2:$O$1001,0),1)&gt;=100000,INDEX($V$1005:$AE$1005,1,MATCH(COLUMNS($V$1006:AC1006),$V$1006:$AE$1006,0))&gt;=100000), " ",IF(INDEX($V$2:$AE$1001,MATCH(ROWS($O$2:O798),$O$2:$O$1001,0),MATCH(COLUMNS($V$1006:AC1006),$V$1006:$AE$1006,0)), HYPERLINK("#",""), HYPERLINK(CONCATENATE("#Metadata!", ADDRESS(INDEX($Q$2:$Q$1001,MATCH(ROWS($O$2:O798),$O$2:$O$1001,0),0), INDEX($V$1004:$AE$1004,1,MATCH(COLUMNS($V$1006:AC1006),$V$1006:$AE$1006,0)))),"Fix")))</f>
        <v>0</v>
      </c>
      <c r="J798" s="4">
        <f>IF(OR(INDEX($P$2:$P$1001,MATCH(ROWS($O$2:O798),$O$2:$O$1001,0),1)&gt;=100000,INDEX($V$1005:$AE$1005,1,MATCH(COLUMNS($V$1006:AD1006),$V$1006:$AE$1006,0))&gt;=100000), " ",IF(INDEX($V$2:$AE$1001,MATCH(ROWS($O$2:O798),$O$2:$O$1001,0),MATCH(COLUMNS($V$1006:AD1006),$V$1006:$AE$1006,0)), HYPERLINK("#",""), HYPERLINK(CONCATENATE("#Metadata!", ADDRESS(INDEX($Q$2:$Q$1001,MATCH(ROWS($O$2:O798),$O$2:$O$1001,0),0), INDEX($V$1004:$AE$1004,1,MATCH(COLUMNS($V$1006:AD1006),$V$1006:$AE$1006,0)))),"Fix")))</f>
        <v>0</v>
      </c>
      <c r="K798" s="4">
        <f>IF(OR(INDEX($P$2:$P$1001,MATCH(ROWS($O$2:O798),$O$2:$O$1001,0),1)&gt;=100000,INDEX($V$1005:$AE$1005,1,MATCH(COLUMNS($V$1006:AE1006),$V$1006:$AE$1006,0))&gt;=100000), " ",IF(INDEX($V$2:$AE$1001,MATCH(ROWS($O$2:O798),$O$2:$O$1001,0),MATCH(COLUMNS($V$1006:AE1006),$V$1006:$AE$1006,0)), HYPERLINK("#",""), HYPERLINK(CONCATENATE("#Metadata!", ADDRESS(INDEX($Q$2:$Q$1001,MATCH(ROWS($O$2:O798),$O$2:$O$1001,0),0), INDEX($V$1004:$AE$1004,1,MATCH(COLUMNS($V$1006:AE1006),$V$1006:$AE$1006,0)))),"Fix")))</f>
        <v>0</v>
      </c>
      <c r="O798">
        <v>0</v>
      </c>
      <c r="P798">
        <v>0</v>
      </c>
      <c r="Q798">
        <v>0</v>
      </c>
      <c r="R798">
        <f>IF(S798,TRUE,AND(V798:AE798))</f>
        <v>0</v>
      </c>
      <c r="S798">
        <f>COUNTBLANK(Metadata!B798:K798)=COLUMNS(Metadata!B798:K798)</f>
        <v>0</v>
      </c>
      <c r="T798">
        <v>0</v>
      </c>
      <c r="V798">
        <f>AND(IF(Metadata!B798="",FALSE,TRUE),COUNTIF(Metadata!B:B, Metadata!B798) = 1,NOT(ISERROR(SUMPRODUCT(SEARCH(MID(Metadata!B798,ROW(INDIRECT("1:"&amp;LEN(Metadata!B798))), 1),"0123456789abcdefghijklmnopqrstuvwxyzABCDEFGHIJKLMNOPQRSTUVWXYZ.")))))</f>
        <v>0</v>
      </c>
      <c r="W798">
        <f>AND(IF(Metadata!C798="",FALSE,TRUE),exact(Metadata!C798,"urban biome"))</f>
        <v>0</v>
      </c>
      <c r="X798">
        <f>AND(IF(Metadata!D798="",FALSE,TRUE),exact(Metadata!D798,"animal-associated habitat"))</f>
        <v>0</v>
      </c>
      <c r="Y798">
        <f>OR(AND(IF(Metadata!E798="",FALSE,TRUE),OR(exact(Metadata!E798,"not applicable"),exact(Metadata!E798,"missing: not collected"),exact(Metadata!E798,"missing: not provided"),exact(Metadata!E798,"missing: restricted access"))),AND(IF(Metadata!E798="",FALSE,ISNUMBER(VALUE(Metadata!E798))),Metadata!E798&gt;0))</f>
        <v>0</v>
      </c>
      <c r="Z798">
        <f>AND(IF(Metadata!F798="",FALSE,TRUE),exact(Metadata!F798,"weeks"))</f>
        <v>0</v>
      </c>
      <c r="AA798">
        <f>AND(IF(Metadata!G798="",FALSE,TRUE),exact(Metadata!G798,"mouse"))</f>
        <v>0</v>
      </c>
      <c r="AB798">
        <f>AND(IF(Metadata!H798="",FALSE,TRUE),exact(Metadata!H798,"Mus musculus"))</f>
        <v>0</v>
      </c>
      <c r="AC798">
        <f>AND(IF(Metadata!I798="",FALSE,TRUE),exact(Metadata!I798,"10090"))</f>
        <v>0</v>
      </c>
      <c r="AD798">
        <f>OR(AND(IF(Metadata!J798="",FALSE,TRUE),OR(exact(Metadata!J798,"not applicable"),exact(Metadata!J798,"missing: not collected"),exact(Metadata!J798,"missing: not provided"),exact(Metadata!J798,"missing: restricted access"))),AND(IF(Metadata!J798="",FALSE,ISNUMBER(VALUE(Metadata!J798))),Metadata!J798&gt;0))</f>
        <v>0</v>
      </c>
      <c r="AE798">
        <f>AND(IF(Metadata!K798="",FALSE,TRUE),exact(Metadata!K798,"g"))</f>
        <v>0</v>
      </c>
    </row>
    <row r="799" spans="1:31">
      <c r="A799" s="5">
        <f>IF(B799=" "," ",HYPERLINK(CONCATENATE("#metadata!",ADDRESS(INDEX($Q$2:$Q$1001,MATCH(ROWS($O$2:O799),$O$2:$O$1001,0),0),1)),INDEX($T$2:$T$1001,MATCH(ROWS($O$2:O799),$O$2:$O$1001,0),0)))</f>
        <v>0</v>
      </c>
      <c r="B799" s="4">
        <f>IF(OR(INDEX($P$2:$P$1001,MATCH(ROWS($O$2:O799),$O$2:$O$1001,0),1)&gt;=100000,INDEX($V$1005:$AE$1005,1,MATCH(COLUMNS($V$1006:V1006),$V$1006:$AE$1006,0))&gt;=100000), " ",IF(INDEX($V$2:$AE$1001,MATCH(ROWS($O$2:O799),$O$2:$O$1001,0),MATCH(COLUMNS($V$1006:V1006),$V$1006:$AE$1006,0)), HYPERLINK("#",""), HYPERLINK(CONCATENATE("#Metadata!", ADDRESS(INDEX($Q$2:$Q$1001,MATCH(ROWS($O$2:O799),$O$2:$O$1001,0),0), INDEX($V$1004:$AE$1004,1,MATCH(COLUMNS($V$1006:V1006),$V$1006:$AE$1006,0)))),"Fix")))</f>
        <v>0</v>
      </c>
      <c r="C799" s="4">
        <f>IF(OR(INDEX($P$2:$P$1001,MATCH(ROWS($O$2:O799),$O$2:$O$1001,0),1)&gt;=100000,INDEX($V$1005:$AE$1005,1,MATCH(COLUMNS($V$1006:W1006),$V$1006:$AE$1006,0))&gt;=100000), " ",IF(INDEX($V$2:$AE$1001,MATCH(ROWS($O$2:O799),$O$2:$O$1001,0),MATCH(COLUMNS($V$1006:W1006),$V$1006:$AE$1006,0)), HYPERLINK("#",""), HYPERLINK(CONCATENATE("#Metadata!", ADDRESS(INDEX($Q$2:$Q$1001,MATCH(ROWS($O$2:O799),$O$2:$O$1001,0),0), INDEX($V$1004:$AE$1004,1,MATCH(COLUMNS($V$1006:W1006),$V$1006:$AE$1006,0)))),"Fix")))</f>
        <v>0</v>
      </c>
      <c r="D799" s="4">
        <f>IF(OR(INDEX($P$2:$P$1001,MATCH(ROWS($O$2:O799),$O$2:$O$1001,0),1)&gt;=100000,INDEX($V$1005:$AE$1005,1,MATCH(COLUMNS($V$1006:X1006),$V$1006:$AE$1006,0))&gt;=100000), " ",IF(INDEX($V$2:$AE$1001,MATCH(ROWS($O$2:O799),$O$2:$O$1001,0),MATCH(COLUMNS($V$1006:X1006),$V$1006:$AE$1006,0)), HYPERLINK("#",""), HYPERLINK(CONCATENATE("#Metadata!", ADDRESS(INDEX($Q$2:$Q$1001,MATCH(ROWS($O$2:O799),$O$2:$O$1001,0),0), INDEX($V$1004:$AE$1004,1,MATCH(COLUMNS($V$1006:X1006),$V$1006:$AE$1006,0)))),"Fix")))</f>
        <v>0</v>
      </c>
      <c r="E799" s="4">
        <f>IF(OR(INDEX($P$2:$P$1001,MATCH(ROWS($O$2:O799),$O$2:$O$1001,0),1)&gt;=100000,INDEX($V$1005:$AE$1005,1,MATCH(COLUMNS($V$1006:Y1006),$V$1006:$AE$1006,0))&gt;=100000), " ",IF(INDEX($V$2:$AE$1001,MATCH(ROWS($O$2:O799),$O$2:$O$1001,0),MATCH(COLUMNS($V$1006:Y1006),$V$1006:$AE$1006,0)), HYPERLINK("#",""), HYPERLINK(CONCATENATE("#Metadata!", ADDRESS(INDEX($Q$2:$Q$1001,MATCH(ROWS($O$2:O799),$O$2:$O$1001,0),0), INDEX($V$1004:$AE$1004,1,MATCH(COLUMNS($V$1006:Y1006),$V$1006:$AE$1006,0)))),"Fix")))</f>
        <v>0</v>
      </c>
      <c r="F799" s="4">
        <f>IF(OR(INDEX($P$2:$P$1001,MATCH(ROWS($O$2:O799),$O$2:$O$1001,0),1)&gt;=100000,INDEX($V$1005:$AE$1005,1,MATCH(COLUMNS($V$1006:Z1006),$V$1006:$AE$1006,0))&gt;=100000), " ",IF(INDEX($V$2:$AE$1001,MATCH(ROWS($O$2:O799),$O$2:$O$1001,0),MATCH(COLUMNS($V$1006:Z1006),$V$1006:$AE$1006,0)), HYPERLINK("#",""), HYPERLINK(CONCATENATE("#Metadata!", ADDRESS(INDEX($Q$2:$Q$1001,MATCH(ROWS($O$2:O799),$O$2:$O$1001,0),0), INDEX($V$1004:$AE$1004,1,MATCH(COLUMNS($V$1006:Z1006),$V$1006:$AE$1006,0)))),"Fix")))</f>
        <v>0</v>
      </c>
      <c r="G799" s="4">
        <f>IF(OR(INDEX($P$2:$P$1001,MATCH(ROWS($O$2:O799),$O$2:$O$1001,0),1)&gt;=100000,INDEX($V$1005:$AE$1005,1,MATCH(COLUMNS($V$1006:AA1006),$V$1006:$AE$1006,0))&gt;=100000), " ",IF(INDEX($V$2:$AE$1001,MATCH(ROWS($O$2:O799),$O$2:$O$1001,0),MATCH(COLUMNS($V$1006:AA1006),$V$1006:$AE$1006,0)), HYPERLINK("#",""), HYPERLINK(CONCATENATE("#Metadata!", ADDRESS(INDEX($Q$2:$Q$1001,MATCH(ROWS($O$2:O799),$O$2:$O$1001,0),0), INDEX($V$1004:$AE$1004,1,MATCH(COLUMNS($V$1006:AA1006),$V$1006:$AE$1006,0)))),"Fix")))</f>
        <v>0</v>
      </c>
      <c r="H799" s="4">
        <f>IF(OR(INDEX($P$2:$P$1001,MATCH(ROWS($O$2:O799),$O$2:$O$1001,0),1)&gt;=100000,INDEX($V$1005:$AE$1005,1,MATCH(COLUMNS($V$1006:AB1006),$V$1006:$AE$1006,0))&gt;=100000), " ",IF(INDEX($V$2:$AE$1001,MATCH(ROWS($O$2:O799),$O$2:$O$1001,0),MATCH(COLUMNS($V$1006:AB1006),$V$1006:$AE$1006,0)), HYPERLINK("#",""), HYPERLINK(CONCATENATE("#Metadata!", ADDRESS(INDEX($Q$2:$Q$1001,MATCH(ROWS($O$2:O799),$O$2:$O$1001,0),0), INDEX($V$1004:$AE$1004,1,MATCH(COLUMNS($V$1006:AB1006),$V$1006:$AE$1006,0)))),"Fix")))</f>
        <v>0</v>
      </c>
      <c r="I799" s="4">
        <f>IF(OR(INDEX($P$2:$P$1001,MATCH(ROWS($O$2:O799),$O$2:$O$1001,0),1)&gt;=100000,INDEX($V$1005:$AE$1005,1,MATCH(COLUMNS($V$1006:AC1006),$V$1006:$AE$1006,0))&gt;=100000), " ",IF(INDEX($V$2:$AE$1001,MATCH(ROWS($O$2:O799),$O$2:$O$1001,0),MATCH(COLUMNS($V$1006:AC1006),$V$1006:$AE$1006,0)), HYPERLINK("#",""), HYPERLINK(CONCATENATE("#Metadata!", ADDRESS(INDEX($Q$2:$Q$1001,MATCH(ROWS($O$2:O799),$O$2:$O$1001,0),0), INDEX($V$1004:$AE$1004,1,MATCH(COLUMNS($V$1006:AC1006),$V$1006:$AE$1006,0)))),"Fix")))</f>
        <v>0</v>
      </c>
      <c r="J799" s="4">
        <f>IF(OR(INDEX($P$2:$P$1001,MATCH(ROWS($O$2:O799),$O$2:$O$1001,0),1)&gt;=100000,INDEX($V$1005:$AE$1005,1,MATCH(COLUMNS($V$1006:AD1006),$V$1006:$AE$1006,0))&gt;=100000), " ",IF(INDEX($V$2:$AE$1001,MATCH(ROWS($O$2:O799),$O$2:$O$1001,0),MATCH(COLUMNS($V$1006:AD1006),$V$1006:$AE$1006,0)), HYPERLINK("#",""), HYPERLINK(CONCATENATE("#Metadata!", ADDRESS(INDEX($Q$2:$Q$1001,MATCH(ROWS($O$2:O799),$O$2:$O$1001,0),0), INDEX($V$1004:$AE$1004,1,MATCH(COLUMNS($V$1006:AD1006),$V$1006:$AE$1006,0)))),"Fix")))</f>
        <v>0</v>
      </c>
      <c r="K799" s="4">
        <f>IF(OR(INDEX($P$2:$P$1001,MATCH(ROWS($O$2:O799),$O$2:$O$1001,0),1)&gt;=100000,INDEX($V$1005:$AE$1005,1,MATCH(COLUMNS($V$1006:AE1006),$V$1006:$AE$1006,0))&gt;=100000), " ",IF(INDEX($V$2:$AE$1001,MATCH(ROWS($O$2:O799),$O$2:$O$1001,0),MATCH(COLUMNS($V$1006:AE1006),$V$1006:$AE$1006,0)), HYPERLINK("#",""), HYPERLINK(CONCATENATE("#Metadata!", ADDRESS(INDEX($Q$2:$Q$1001,MATCH(ROWS($O$2:O799),$O$2:$O$1001,0),0), INDEX($V$1004:$AE$1004,1,MATCH(COLUMNS($V$1006:AE1006),$V$1006:$AE$1006,0)))),"Fix")))</f>
        <v>0</v>
      </c>
      <c r="O799">
        <v>0</v>
      </c>
      <c r="P799">
        <v>0</v>
      </c>
      <c r="Q799">
        <v>0</v>
      </c>
      <c r="R799">
        <f>IF(S799,TRUE,AND(V799:AE799))</f>
        <v>0</v>
      </c>
      <c r="S799">
        <f>COUNTBLANK(Metadata!B799:K799)=COLUMNS(Metadata!B799:K799)</f>
        <v>0</v>
      </c>
      <c r="T799">
        <v>0</v>
      </c>
      <c r="V799">
        <f>AND(IF(Metadata!B799="",FALSE,TRUE),COUNTIF(Metadata!B:B, Metadata!B799) = 1,NOT(ISERROR(SUMPRODUCT(SEARCH(MID(Metadata!B799,ROW(INDIRECT("1:"&amp;LEN(Metadata!B799))), 1),"0123456789abcdefghijklmnopqrstuvwxyzABCDEFGHIJKLMNOPQRSTUVWXYZ.")))))</f>
        <v>0</v>
      </c>
      <c r="W799">
        <f>AND(IF(Metadata!C799="",FALSE,TRUE),exact(Metadata!C799,"urban biome"))</f>
        <v>0</v>
      </c>
      <c r="X799">
        <f>AND(IF(Metadata!D799="",FALSE,TRUE),exact(Metadata!D799,"animal-associated habitat"))</f>
        <v>0</v>
      </c>
      <c r="Y799">
        <f>OR(AND(IF(Metadata!E799="",FALSE,TRUE),OR(exact(Metadata!E799,"not applicable"),exact(Metadata!E799,"missing: not collected"),exact(Metadata!E799,"missing: not provided"),exact(Metadata!E799,"missing: restricted access"))),AND(IF(Metadata!E799="",FALSE,ISNUMBER(VALUE(Metadata!E799))),Metadata!E799&gt;0))</f>
        <v>0</v>
      </c>
      <c r="Z799">
        <f>AND(IF(Metadata!F799="",FALSE,TRUE),exact(Metadata!F799,"weeks"))</f>
        <v>0</v>
      </c>
      <c r="AA799">
        <f>AND(IF(Metadata!G799="",FALSE,TRUE),exact(Metadata!G799,"mouse"))</f>
        <v>0</v>
      </c>
      <c r="AB799">
        <f>AND(IF(Metadata!H799="",FALSE,TRUE),exact(Metadata!H799,"Mus musculus"))</f>
        <v>0</v>
      </c>
      <c r="AC799">
        <f>AND(IF(Metadata!I799="",FALSE,TRUE),exact(Metadata!I799,"10090"))</f>
        <v>0</v>
      </c>
      <c r="AD799">
        <f>OR(AND(IF(Metadata!J799="",FALSE,TRUE),OR(exact(Metadata!J799,"not applicable"),exact(Metadata!J799,"missing: not collected"),exact(Metadata!J799,"missing: not provided"),exact(Metadata!J799,"missing: restricted access"))),AND(IF(Metadata!J799="",FALSE,ISNUMBER(VALUE(Metadata!J799))),Metadata!J799&gt;0))</f>
        <v>0</v>
      </c>
      <c r="AE799">
        <f>AND(IF(Metadata!K799="",FALSE,TRUE),exact(Metadata!K799,"g"))</f>
        <v>0</v>
      </c>
    </row>
    <row r="800" spans="1:31">
      <c r="A800" s="5">
        <f>IF(B800=" "," ",HYPERLINK(CONCATENATE("#metadata!",ADDRESS(INDEX($Q$2:$Q$1001,MATCH(ROWS($O$2:O800),$O$2:$O$1001,0),0),1)),INDEX($T$2:$T$1001,MATCH(ROWS($O$2:O800),$O$2:$O$1001,0),0)))</f>
        <v>0</v>
      </c>
      <c r="B800" s="4">
        <f>IF(OR(INDEX($P$2:$P$1001,MATCH(ROWS($O$2:O800),$O$2:$O$1001,0),1)&gt;=100000,INDEX($V$1005:$AE$1005,1,MATCH(COLUMNS($V$1006:V1006),$V$1006:$AE$1006,0))&gt;=100000), " ",IF(INDEX($V$2:$AE$1001,MATCH(ROWS($O$2:O800),$O$2:$O$1001,0),MATCH(COLUMNS($V$1006:V1006),$V$1006:$AE$1006,0)), HYPERLINK("#",""), HYPERLINK(CONCATENATE("#Metadata!", ADDRESS(INDEX($Q$2:$Q$1001,MATCH(ROWS($O$2:O800),$O$2:$O$1001,0),0), INDEX($V$1004:$AE$1004,1,MATCH(COLUMNS($V$1006:V1006),$V$1006:$AE$1006,0)))),"Fix")))</f>
        <v>0</v>
      </c>
      <c r="C800" s="4">
        <f>IF(OR(INDEX($P$2:$P$1001,MATCH(ROWS($O$2:O800),$O$2:$O$1001,0),1)&gt;=100000,INDEX($V$1005:$AE$1005,1,MATCH(COLUMNS($V$1006:W1006),$V$1006:$AE$1006,0))&gt;=100000), " ",IF(INDEX($V$2:$AE$1001,MATCH(ROWS($O$2:O800),$O$2:$O$1001,0),MATCH(COLUMNS($V$1006:W1006),$V$1006:$AE$1006,0)), HYPERLINK("#",""), HYPERLINK(CONCATENATE("#Metadata!", ADDRESS(INDEX($Q$2:$Q$1001,MATCH(ROWS($O$2:O800),$O$2:$O$1001,0),0), INDEX($V$1004:$AE$1004,1,MATCH(COLUMNS($V$1006:W1006),$V$1006:$AE$1006,0)))),"Fix")))</f>
        <v>0</v>
      </c>
      <c r="D800" s="4">
        <f>IF(OR(INDEX($P$2:$P$1001,MATCH(ROWS($O$2:O800),$O$2:$O$1001,0),1)&gt;=100000,INDEX($V$1005:$AE$1005,1,MATCH(COLUMNS($V$1006:X1006),$V$1006:$AE$1006,0))&gt;=100000), " ",IF(INDEX($V$2:$AE$1001,MATCH(ROWS($O$2:O800),$O$2:$O$1001,0),MATCH(COLUMNS($V$1006:X1006),$V$1006:$AE$1006,0)), HYPERLINK("#",""), HYPERLINK(CONCATENATE("#Metadata!", ADDRESS(INDEX($Q$2:$Q$1001,MATCH(ROWS($O$2:O800),$O$2:$O$1001,0),0), INDEX($V$1004:$AE$1004,1,MATCH(COLUMNS($V$1006:X1006),$V$1006:$AE$1006,0)))),"Fix")))</f>
        <v>0</v>
      </c>
      <c r="E800" s="4">
        <f>IF(OR(INDEX($P$2:$P$1001,MATCH(ROWS($O$2:O800),$O$2:$O$1001,0),1)&gt;=100000,INDEX($V$1005:$AE$1005,1,MATCH(COLUMNS($V$1006:Y1006),$V$1006:$AE$1006,0))&gt;=100000), " ",IF(INDEX($V$2:$AE$1001,MATCH(ROWS($O$2:O800),$O$2:$O$1001,0),MATCH(COLUMNS($V$1006:Y1006),$V$1006:$AE$1006,0)), HYPERLINK("#",""), HYPERLINK(CONCATENATE("#Metadata!", ADDRESS(INDEX($Q$2:$Q$1001,MATCH(ROWS($O$2:O800),$O$2:$O$1001,0),0), INDEX($V$1004:$AE$1004,1,MATCH(COLUMNS($V$1006:Y1006),$V$1006:$AE$1006,0)))),"Fix")))</f>
        <v>0</v>
      </c>
      <c r="F800" s="4">
        <f>IF(OR(INDEX($P$2:$P$1001,MATCH(ROWS($O$2:O800),$O$2:$O$1001,0),1)&gt;=100000,INDEX($V$1005:$AE$1005,1,MATCH(COLUMNS($V$1006:Z1006),$V$1006:$AE$1006,0))&gt;=100000), " ",IF(INDEX($V$2:$AE$1001,MATCH(ROWS($O$2:O800),$O$2:$O$1001,0),MATCH(COLUMNS($V$1006:Z1006),$V$1006:$AE$1006,0)), HYPERLINK("#",""), HYPERLINK(CONCATENATE("#Metadata!", ADDRESS(INDEX($Q$2:$Q$1001,MATCH(ROWS($O$2:O800),$O$2:$O$1001,0),0), INDEX($V$1004:$AE$1004,1,MATCH(COLUMNS($V$1006:Z1006),$V$1006:$AE$1006,0)))),"Fix")))</f>
        <v>0</v>
      </c>
      <c r="G800" s="4">
        <f>IF(OR(INDEX($P$2:$P$1001,MATCH(ROWS($O$2:O800),$O$2:$O$1001,0),1)&gt;=100000,INDEX($V$1005:$AE$1005,1,MATCH(COLUMNS($V$1006:AA1006),$V$1006:$AE$1006,0))&gt;=100000), " ",IF(INDEX($V$2:$AE$1001,MATCH(ROWS($O$2:O800),$O$2:$O$1001,0),MATCH(COLUMNS($V$1006:AA1006),$V$1006:$AE$1006,0)), HYPERLINK("#",""), HYPERLINK(CONCATENATE("#Metadata!", ADDRESS(INDEX($Q$2:$Q$1001,MATCH(ROWS($O$2:O800),$O$2:$O$1001,0),0), INDEX($V$1004:$AE$1004,1,MATCH(COLUMNS($V$1006:AA1006),$V$1006:$AE$1006,0)))),"Fix")))</f>
        <v>0</v>
      </c>
      <c r="H800" s="4">
        <f>IF(OR(INDEX($P$2:$P$1001,MATCH(ROWS($O$2:O800),$O$2:$O$1001,0),1)&gt;=100000,INDEX($V$1005:$AE$1005,1,MATCH(COLUMNS($V$1006:AB1006),$V$1006:$AE$1006,0))&gt;=100000), " ",IF(INDEX($V$2:$AE$1001,MATCH(ROWS($O$2:O800),$O$2:$O$1001,0),MATCH(COLUMNS($V$1006:AB1006),$V$1006:$AE$1006,0)), HYPERLINK("#",""), HYPERLINK(CONCATENATE("#Metadata!", ADDRESS(INDEX($Q$2:$Q$1001,MATCH(ROWS($O$2:O800),$O$2:$O$1001,0),0), INDEX($V$1004:$AE$1004,1,MATCH(COLUMNS($V$1006:AB1006),$V$1006:$AE$1006,0)))),"Fix")))</f>
        <v>0</v>
      </c>
      <c r="I800" s="4">
        <f>IF(OR(INDEX($P$2:$P$1001,MATCH(ROWS($O$2:O800),$O$2:$O$1001,0),1)&gt;=100000,INDEX($V$1005:$AE$1005,1,MATCH(COLUMNS($V$1006:AC1006),$V$1006:$AE$1006,0))&gt;=100000), " ",IF(INDEX($V$2:$AE$1001,MATCH(ROWS($O$2:O800),$O$2:$O$1001,0),MATCH(COLUMNS($V$1006:AC1006),$V$1006:$AE$1006,0)), HYPERLINK("#",""), HYPERLINK(CONCATENATE("#Metadata!", ADDRESS(INDEX($Q$2:$Q$1001,MATCH(ROWS($O$2:O800),$O$2:$O$1001,0),0), INDEX($V$1004:$AE$1004,1,MATCH(COLUMNS($V$1006:AC1006),$V$1006:$AE$1006,0)))),"Fix")))</f>
        <v>0</v>
      </c>
      <c r="J800" s="4">
        <f>IF(OR(INDEX($P$2:$P$1001,MATCH(ROWS($O$2:O800),$O$2:$O$1001,0),1)&gt;=100000,INDEX($V$1005:$AE$1005,1,MATCH(COLUMNS($V$1006:AD1006),$V$1006:$AE$1006,0))&gt;=100000), " ",IF(INDEX($V$2:$AE$1001,MATCH(ROWS($O$2:O800),$O$2:$O$1001,0),MATCH(COLUMNS($V$1006:AD1006),$V$1006:$AE$1006,0)), HYPERLINK("#",""), HYPERLINK(CONCATENATE("#Metadata!", ADDRESS(INDEX($Q$2:$Q$1001,MATCH(ROWS($O$2:O800),$O$2:$O$1001,0),0), INDEX($V$1004:$AE$1004,1,MATCH(COLUMNS($V$1006:AD1006),$V$1006:$AE$1006,0)))),"Fix")))</f>
        <v>0</v>
      </c>
      <c r="K800" s="4">
        <f>IF(OR(INDEX($P$2:$P$1001,MATCH(ROWS($O$2:O800),$O$2:$O$1001,0),1)&gt;=100000,INDEX($V$1005:$AE$1005,1,MATCH(COLUMNS($V$1006:AE1006),$V$1006:$AE$1006,0))&gt;=100000), " ",IF(INDEX($V$2:$AE$1001,MATCH(ROWS($O$2:O800),$O$2:$O$1001,0),MATCH(COLUMNS($V$1006:AE1006),$V$1006:$AE$1006,0)), HYPERLINK("#",""), HYPERLINK(CONCATENATE("#Metadata!", ADDRESS(INDEX($Q$2:$Q$1001,MATCH(ROWS($O$2:O800),$O$2:$O$1001,0),0), INDEX($V$1004:$AE$1004,1,MATCH(COLUMNS($V$1006:AE1006),$V$1006:$AE$1006,0)))),"Fix")))</f>
        <v>0</v>
      </c>
      <c r="O800">
        <v>0</v>
      </c>
      <c r="P800">
        <v>0</v>
      </c>
      <c r="Q800">
        <v>0</v>
      </c>
      <c r="R800">
        <f>IF(S800,TRUE,AND(V800:AE800))</f>
        <v>0</v>
      </c>
      <c r="S800">
        <f>COUNTBLANK(Metadata!B800:K800)=COLUMNS(Metadata!B800:K800)</f>
        <v>0</v>
      </c>
      <c r="T800">
        <v>0</v>
      </c>
      <c r="V800">
        <f>AND(IF(Metadata!B800="",FALSE,TRUE),COUNTIF(Metadata!B:B, Metadata!B800) = 1,NOT(ISERROR(SUMPRODUCT(SEARCH(MID(Metadata!B800,ROW(INDIRECT("1:"&amp;LEN(Metadata!B800))), 1),"0123456789abcdefghijklmnopqrstuvwxyzABCDEFGHIJKLMNOPQRSTUVWXYZ.")))))</f>
        <v>0</v>
      </c>
      <c r="W800">
        <f>AND(IF(Metadata!C800="",FALSE,TRUE),exact(Metadata!C800,"urban biome"))</f>
        <v>0</v>
      </c>
      <c r="X800">
        <f>AND(IF(Metadata!D800="",FALSE,TRUE),exact(Metadata!D800,"animal-associated habitat"))</f>
        <v>0</v>
      </c>
      <c r="Y800">
        <f>OR(AND(IF(Metadata!E800="",FALSE,TRUE),OR(exact(Metadata!E800,"not applicable"),exact(Metadata!E800,"missing: not collected"),exact(Metadata!E800,"missing: not provided"),exact(Metadata!E800,"missing: restricted access"))),AND(IF(Metadata!E800="",FALSE,ISNUMBER(VALUE(Metadata!E800))),Metadata!E800&gt;0))</f>
        <v>0</v>
      </c>
      <c r="Z800">
        <f>AND(IF(Metadata!F800="",FALSE,TRUE),exact(Metadata!F800,"weeks"))</f>
        <v>0</v>
      </c>
      <c r="AA800">
        <f>AND(IF(Metadata!G800="",FALSE,TRUE),exact(Metadata!G800,"mouse"))</f>
        <v>0</v>
      </c>
      <c r="AB800">
        <f>AND(IF(Metadata!H800="",FALSE,TRUE),exact(Metadata!H800,"Mus musculus"))</f>
        <v>0</v>
      </c>
      <c r="AC800">
        <f>AND(IF(Metadata!I800="",FALSE,TRUE),exact(Metadata!I800,"10090"))</f>
        <v>0</v>
      </c>
      <c r="AD800">
        <f>OR(AND(IF(Metadata!J800="",FALSE,TRUE),OR(exact(Metadata!J800,"not applicable"),exact(Metadata!J800,"missing: not collected"),exact(Metadata!J800,"missing: not provided"),exact(Metadata!J800,"missing: restricted access"))),AND(IF(Metadata!J800="",FALSE,ISNUMBER(VALUE(Metadata!J800))),Metadata!J800&gt;0))</f>
        <v>0</v>
      </c>
      <c r="AE800">
        <f>AND(IF(Metadata!K800="",FALSE,TRUE),exact(Metadata!K800,"g"))</f>
        <v>0</v>
      </c>
    </row>
    <row r="801" spans="1:31">
      <c r="A801" s="5">
        <f>IF(B801=" "," ",HYPERLINK(CONCATENATE("#metadata!",ADDRESS(INDEX($Q$2:$Q$1001,MATCH(ROWS($O$2:O801),$O$2:$O$1001,0),0),1)),INDEX($T$2:$T$1001,MATCH(ROWS($O$2:O801),$O$2:$O$1001,0),0)))</f>
        <v>0</v>
      </c>
      <c r="B801" s="4">
        <f>IF(OR(INDEX($P$2:$P$1001,MATCH(ROWS($O$2:O801),$O$2:$O$1001,0),1)&gt;=100000,INDEX($V$1005:$AE$1005,1,MATCH(COLUMNS($V$1006:V1006),$V$1006:$AE$1006,0))&gt;=100000), " ",IF(INDEX($V$2:$AE$1001,MATCH(ROWS($O$2:O801),$O$2:$O$1001,0),MATCH(COLUMNS($V$1006:V1006),$V$1006:$AE$1006,0)), HYPERLINK("#",""), HYPERLINK(CONCATENATE("#Metadata!", ADDRESS(INDEX($Q$2:$Q$1001,MATCH(ROWS($O$2:O801),$O$2:$O$1001,0),0), INDEX($V$1004:$AE$1004,1,MATCH(COLUMNS($V$1006:V1006),$V$1006:$AE$1006,0)))),"Fix")))</f>
        <v>0</v>
      </c>
      <c r="C801" s="4">
        <f>IF(OR(INDEX($P$2:$P$1001,MATCH(ROWS($O$2:O801),$O$2:$O$1001,0),1)&gt;=100000,INDEX($V$1005:$AE$1005,1,MATCH(COLUMNS($V$1006:W1006),$V$1006:$AE$1006,0))&gt;=100000), " ",IF(INDEX($V$2:$AE$1001,MATCH(ROWS($O$2:O801),$O$2:$O$1001,0),MATCH(COLUMNS($V$1006:W1006),$V$1006:$AE$1006,0)), HYPERLINK("#",""), HYPERLINK(CONCATENATE("#Metadata!", ADDRESS(INDEX($Q$2:$Q$1001,MATCH(ROWS($O$2:O801),$O$2:$O$1001,0),0), INDEX($V$1004:$AE$1004,1,MATCH(COLUMNS($V$1006:W1006),$V$1006:$AE$1006,0)))),"Fix")))</f>
        <v>0</v>
      </c>
      <c r="D801" s="4">
        <f>IF(OR(INDEX($P$2:$P$1001,MATCH(ROWS($O$2:O801),$O$2:$O$1001,0),1)&gt;=100000,INDEX($V$1005:$AE$1005,1,MATCH(COLUMNS($V$1006:X1006),$V$1006:$AE$1006,0))&gt;=100000), " ",IF(INDEX($V$2:$AE$1001,MATCH(ROWS($O$2:O801),$O$2:$O$1001,0),MATCH(COLUMNS($V$1006:X1006),$V$1006:$AE$1006,0)), HYPERLINK("#",""), HYPERLINK(CONCATENATE("#Metadata!", ADDRESS(INDEX($Q$2:$Q$1001,MATCH(ROWS($O$2:O801),$O$2:$O$1001,0),0), INDEX($V$1004:$AE$1004,1,MATCH(COLUMNS($V$1006:X1006),$V$1006:$AE$1006,0)))),"Fix")))</f>
        <v>0</v>
      </c>
      <c r="E801" s="4">
        <f>IF(OR(INDEX($P$2:$P$1001,MATCH(ROWS($O$2:O801),$O$2:$O$1001,0),1)&gt;=100000,INDEX($V$1005:$AE$1005,1,MATCH(COLUMNS($V$1006:Y1006),$V$1006:$AE$1006,0))&gt;=100000), " ",IF(INDEX($V$2:$AE$1001,MATCH(ROWS($O$2:O801),$O$2:$O$1001,0),MATCH(COLUMNS($V$1006:Y1006),$V$1006:$AE$1006,0)), HYPERLINK("#",""), HYPERLINK(CONCATENATE("#Metadata!", ADDRESS(INDEX($Q$2:$Q$1001,MATCH(ROWS($O$2:O801),$O$2:$O$1001,0),0), INDEX($V$1004:$AE$1004,1,MATCH(COLUMNS($V$1006:Y1006),$V$1006:$AE$1006,0)))),"Fix")))</f>
        <v>0</v>
      </c>
      <c r="F801" s="4">
        <f>IF(OR(INDEX($P$2:$P$1001,MATCH(ROWS($O$2:O801),$O$2:$O$1001,0),1)&gt;=100000,INDEX($V$1005:$AE$1005,1,MATCH(COLUMNS($V$1006:Z1006),$V$1006:$AE$1006,0))&gt;=100000), " ",IF(INDEX($V$2:$AE$1001,MATCH(ROWS($O$2:O801),$O$2:$O$1001,0),MATCH(COLUMNS($V$1006:Z1006),$V$1006:$AE$1006,0)), HYPERLINK("#",""), HYPERLINK(CONCATENATE("#Metadata!", ADDRESS(INDEX($Q$2:$Q$1001,MATCH(ROWS($O$2:O801),$O$2:$O$1001,0),0), INDEX($V$1004:$AE$1004,1,MATCH(COLUMNS($V$1006:Z1006),$V$1006:$AE$1006,0)))),"Fix")))</f>
        <v>0</v>
      </c>
      <c r="G801" s="4">
        <f>IF(OR(INDEX($P$2:$P$1001,MATCH(ROWS($O$2:O801),$O$2:$O$1001,0),1)&gt;=100000,INDEX($V$1005:$AE$1005,1,MATCH(COLUMNS($V$1006:AA1006),$V$1006:$AE$1006,0))&gt;=100000), " ",IF(INDEX($V$2:$AE$1001,MATCH(ROWS($O$2:O801),$O$2:$O$1001,0),MATCH(COLUMNS($V$1006:AA1006),$V$1006:$AE$1006,0)), HYPERLINK("#",""), HYPERLINK(CONCATENATE("#Metadata!", ADDRESS(INDEX($Q$2:$Q$1001,MATCH(ROWS($O$2:O801),$O$2:$O$1001,0),0), INDEX($V$1004:$AE$1004,1,MATCH(COLUMNS($V$1006:AA1006),$V$1006:$AE$1006,0)))),"Fix")))</f>
        <v>0</v>
      </c>
      <c r="H801" s="4">
        <f>IF(OR(INDEX($P$2:$P$1001,MATCH(ROWS($O$2:O801),$O$2:$O$1001,0),1)&gt;=100000,INDEX($V$1005:$AE$1005,1,MATCH(COLUMNS($V$1006:AB1006),$V$1006:$AE$1006,0))&gt;=100000), " ",IF(INDEX($V$2:$AE$1001,MATCH(ROWS($O$2:O801),$O$2:$O$1001,0),MATCH(COLUMNS($V$1006:AB1006),$V$1006:$AE$1006,0)), HYPERLINK("#",""), HYPERLINK(CONCATENATE("#Metadata!", ADDRESS(INDEX($Q$2:$Q$1001,MATCH(ROWS($O$2:O801),$O$2:$O$1001,0),0), INDEX($V$1004:$AE$1004,1,MATCH(COLUMNS($V$1006:AB1006),$V$1006:$AE$1006,0)))),"Fix")))</f>
        <v>0</v>
      </c>
      <c r="I801" s="4">
        <f>IF(OR(INDEX($P$2:$P$1001,MATCH(ROWS($O$2:O801),$O$2:$O$1001,0),1)&gt;=100000,INDEX($V$1005:$AE$1005,1,MATCH(COLUMNS($V$1006:AC1006),$V$1006:$AE$1006,0))&gt;=100000), " ",IF(INDEX($V$2:$AE$1001,MATCH(ROWS($O$2:O801),$O$2:$O$1001,0),MATCH(COLUMNS($V$1006:AC1006),$V$1006:$AE$1006,0)), HYPERLINK("#",""), HYPERLINK(CONCATENATE("#Metadata!", ADDRESS(INDEX($Q$2:$Q$1001,MATCH(ROWS($O$2:O801),$O$2:$O$1001,0),0), INDEX($V$1004:$AE$1004,1,MATCH(COLUMNS($V$1006:AC1006),$V$1006:$AE$1006,0)))),"Fix")))</f>
        <v>0</v>
      </c>
      <c r="J801" s="4">
        <f>IF(OR(INDEX($P$2:$P$1001,MATCH(ROWS($O$2:O801),$O$2:$O$1001,0),1)&gt;=100000,INDEX($V$1005:$AE$1005,1,MATCH(COLUMNS($V$1006:AD1006),$V$1006:$AE$1006,0))&gt;=100000), " ",IF(INDEX($V$2:$AE$1001,MATCH(ROWS($O$2:O801),$O$2:$O$1001,0),MATCH(COLUMNS($V$1006:AD1006),$V$1006:$AE$1006,0)), HYPERLINK("#",""), HYPERLINK(CONCATENATE("#Metadata!", ADDRESS(INDEX($Q$2:$Q$1001,MATCH(ROWS($O$2:O801),$O$2:$O$1001,0),0), INDEX($V$1004:$AE$1004,1,MATCH(COLUMNS($V$1006:AD1006),$V$1006:$AE$1006,0)))),"Fix")))</f>
        <v>0</v>
      </c>
      <c r="K801" s="4">
        <f>IF(OR(INDEX($P$2:$P$1001,MATCH(ROWS($O$2:O801),$O$2:$O$1001,0),1)&gt;=100000,INDEX($V$1005:$AE$1005,1,MATCH(COLUMNS($V$1006:AE1006),$V$1006:$AE$1006,0))&gt;=100000), " ",IF(INDEX($V$2:$AE$1001,MATCH(ROWS($O$2:O801),$O$2:$O$1001,0),MATCH(COLUMNS($V$1006:AE1006),$V$1006:$AE$1006,0)), HYPERLINK("#",""), HYPERLINK(CONCATENATE("#Metadata!", ADDRESS(INDEX($Q$2:$Q$1001,MATCH(ROWS($O$2:O801),$O$2:$O$1001,0),0), INDEX($V$1004:$AE$1004,1,MATCH(COLUMNS($V$1006:AE1006),$V$1006:$AE$1006,0)))),"Fix")))</f>
        <v>0</v>
      </c>
      <c r="O801">
        <v>0</v>
      </c>
      <c r="P801">
        <v>0</v>
      </c>
      <c r="Q801">
        <v>0</v>
      </c>
      <c r="R801">
        <f>IF(S801,TRUE,AND(V801:AE801))</f>
        <v>0</v>
      </c>
      <c r="S801">
        <f>COUNTBLANK(Metadata!B801:K801)=COLUMNS(Metadata!B801:K801)</f>
        <v>0</v>
      </c>
      <c r="T801">
        <v>0</v>
      </c>
      <c r="V801">
        <f>AND(IF(Metadata!B801="",FALSE,TRUE),COUNTIF(Metadata!B:B, Metadata!B801) = 1,NOT(ISERROR(SUMPRODUCT(SEARCH(MID(Metadata!B801,ROW(INDIRECT("1:"&amp;LEN(Metadata!B801))), 1),"0123456789abcdefghijklmnopqrstuvwxyzABCDEFGHIJKLMNOPQRSTUVWXYZ.")))))</f>
        <v>0</v>
      </c>
      <c r="W801">
        <f>AND(IF(Metadata!C801="",FALSE,TRUE),exact(Metadata!C801,"urban biome"))</f>
        <v>0</v>
      </c>
      <c r="X801">
        <f>AND(IF(Metadata!D801="",FALSE,TRUE),exact(Metadata!D801,"animal-associated habitat"))</f>
        <v>0</v>
      </c>
      <c r="Y801">
        <f>OR(AND(IF(Metadata!E801="",FALSE,TRUE),OR(exact(Metadata!E801,"not applicable"),exact(Metadata!E801,"missing: not collected"),exact(Metadata!E801,"missing: not provided"),exact(Metadata!E801,"missing: restricted access"))),AND(IF(Metadata!E801="",FALSE,ISNUMBER(VALUE(Metadata!E801))),Metadata!E801&gt;0))</f>
        <v>0</v>
      </c>
      <c r="Z801">
        <f>AND(IF(Metadata!F801="",FALSE,TRUE),exact(Metadata!F801,"weeks"))</f>
        <v>0</v>
      </c>
      <c r="AA801">
        <f>AND(IF(Metadata!G801="",FALSE,TRUE),exact(Metadata!G801,"mouse"))</f>
        <v>0</v>
      </c>
      <c r="AB801">
        <f>AND(IF(Metadata!H801="",FALSE,TRUE),exact(Metadata!H801,"Mus musculus"))</f>
        <v>0</v>
      </c>
      <c r="AC801">
        <f>AND(IF(Metadata!I801="",FALSE,TRUE),exact(Metadata!I801,"10090"))</f>
        <v>0</v>
      </c>
      <c r="AD801">
        <f>OR(AND(IF(Metadata!J801="",FALSE,TRUE),OR(exact(Metadata!J801,"not applicable"),exact(Metadata!J801,"missing: not collected"),exact(Metadata!J801,"missing: not provided"),exact(Metadata!J801,"missing: restricted access"))),AND(IF(Metadata!J801="",FALSE,ISNUMBER(VALUE(Metadata!J801))),Metadata!J801&gt;0))</f>
        <v>0</v>
      </c>
      <c r="AE801">
        <f>AND(IF(Metadata!K801="",FALSE,TRUE),exact(Metadata!K801,"g"))</f>
        <v>0</v>
      </c>
    </row>
    <row r="802" spans="1:31">
      <c r="A802" s="5">
        <f>IF(B802=" "," ",HYPERLINK(CONCATENATE("#metadata!",ADDRESS(INDEX($Q$2:$Q$1001,MATCH(ROWS($O$2:O802),$O$2:$O$1001,0),0),1)),INDEX($T$2:$T$1001,MATCH(ROWS($O$2:O802),$O$2:$O$1001,0),0)))</f>
        <v>0</v>
      </c>
      <c r="B802" s="4">
        <f>IF(OR(INDEX($P$2:$P$1001,MATCH(ROWS($O$2:O802),$O$2:$O$1001,0),1)&gt;=100000,INDEX($V$1005:$AE$1005,1,MATCH(COLUMNS($V$1006:V1006),$V$1006:$AE$1006,0))&gt;=100000), " ",IF(INDEX($V$2:$AE$1001,MATCH(ROWS($O$2:O802),$O$2:$O$1001,0),MATCH(COLUMNS($V$1006:V1006),$V$1006:$AE$1006,0)), HYPERLINK("#",""), HYPERLINK(CONCATENATE("#Metadata!", ADDRESS(INDEX($Q$2:$Q$1001,MATCH(ROWS($O$2:O802),$O$2:$O$1001,0),0), INDEX($V$1004:$AE$1004,1,MATCH(COLUMNS($V$1006:V1006),$V$1006:$AE$1006,0)))),"Fix")))</f>
        <v>0</v>
      </c>
      <c r="C802" s="4">
        <f>IF(OR(INDEX($P$2:$P$1001,MATCH(ROWS($O$2:O802),$O$2:$O$1001,0),1)&gt;=100000,INDEX($V$1005:$AE$1005,1,MATCH(COLUMNS($V$1006:W1006),$V$1006:$AE$1006,0))&gt;=100000), " ",IF(INDEX($V$2:$AE$1001,MATCH(ROWS($O$2:O802),$O$2:$O$1001,0),MATCH(COLUMNS($V$1006:W1006),$V$1006:$AE$1006,0)), HYPERLINK("#",""), HYPERLINK(CONCATENATE("#Metadata!", ADDRESS(INDEX($Q$2:$Q$1001,MATCH(ROWS($O$2:O802),$O$2:$O$1001,0),0), INDEX($V$1004:$AE$1004,1,MATCH(COLUMNS($V$1006:W1006),$V$1006:$AE$1006,0)))),"Fix")))</f>
        <v>0</v>
      </c>
      <c r="D802" s="4">
        <f>IF(OR(INDEX($P$2:$P$1001,MATCH(ROWS($O$2:O802),$O$2:$O$1001,0),1)&gt;=100000,INDEX($V$1005:$AE$1005,1,MATCH(COLUMNS($V$1006:X1006),$V$1006:$AE$1006,0))&gt;=100000), " ",IF(INDEX($V$2:$AE$1001,MATCH(ROWS($O$2:O802),$O$2:$O$1001,0),MATCH(COLUMNS($V$1006:X1006),$V$1006:$AE$1006,0)), HYPERLINK("#",""), HYPERLINK(CONCATENATE("#Metadata!", ADDRESS(INDEX($Q$2:$Q$1001,MATCH(ROWS($O$2:O802),$O$2:$O$1001,0),0), INDEX($V$1004:$AE$1004,1,MATCH(COLUMNS($V$1006:X1006),$V$1006:$AE$1006,0)))),"Fix")))</f>
        <v>0</v>
      </c>
      <c r="E802" s="4">
        <f>IF(OR(INDEX($P$2:$P$1001,MATCH(ROWS($O$2:O802),$O$2:$O$1001,0),1)&gt;=100000,INDEX($V$1005:$AE$1005,1,MATCH(COLUMNS($V$1006:Y1006),$V$1006:$AE$1006,0))&gt;=100000), " ",IF(INDEX($V$2:$AE$1001,MATCH(ROWS($O$2:O802),$O$2:$O$1001,0),MATCH(COLUMNS($V$1006:Y1006),$V$1006:$AE$1006,0)), HYPERLINK("#",""), HYPERLINK(CONCATENATE("#Metadata!", ADDRESS(INDEX($Q$2:$Q$1001,MATCH(ROWS($O$2:O802),$O$2:$O$1001,0),0), INDEX($V$1004:$AE$1004,1,MATCH(COLUMNS($V$1006:Y1006),$V$1006:$AE$1006,0)))),"Fix")))</f>
        <v>0</v>
      </c>
      <c r="F802" s="4">
        <f>IF(OR(INDEX($P$2:$P$1001,MATCH(ROWS($O$2:O802),$O$2:$O$1001,0),1)&gt;=100000,INDEX($V$1005:$AE$1005,1,MATCH(COLUMNS($V$1006:Z1006),$V$1006:$AE$1006,0))&gt;=100000), " ",IF(INDEX($V$2:$AE$1001,MATCH(ROWS($O$2:O802),$O$2:$O$1001,0),MATCH(COLUMNS($V$1006:Z1006),$V$1006:$AE$1006,0)), HYPERLINK("#",""), HYPERLINK(CONCATENATE("#Metadata!", ADDRESS(INDEX($Q$2:$Q$1001,MATCH(ROWS($O$2:O802),$O$2:$O$1001,0),0), INDEX($V$1004:$AE$1004,1,MATCH(COLUMNS($V$1006:Z1006),$V$1006:$AE$1006,0)))),"Fix")))</f>
        <v>0</v>
      </c>
      <c r="G802" s="4">
        <f>IF(OR(INDEX($P$2:$P$1001,MATCH(ROWS($O$2:O802),$O$2:$O$1001,0),1)&gt;=100000,INDEX($V$1005:$AE$1005,1,MATCH(COLUMNS($V$1006:AA1006),$V$1006:$AE$1006,0))&gt;=100000), " ",IF(INDEX($V$2:$AE$1001,MATCH(ROWS($O$2:O802),$O$2:$O$1001,0),MATCH(COLUMNS($V$1006:AA1006),$V$1006:$AE$1006,0)), HYPERLINK("#",""), HYPERLINK(CONCATENATE("#Metadata!", ADDRESS(INDEX($Q$2:$Q$1001,MATCH(ROWS($O$2:O802),$O$2:$O$1001,0),0), INDEX($V$1004:$AE$1004,1,MATCH(COLUMNS($V$1006:AA1006),$V$1006:$AE$1006,0)))),"Fix")))</f>
        <v>0</v>
      </c>
      <c r="H802" s="4">
        <f>IF(OR(INDEX($P$2:$P$1001,MATCH(ROWS($O$2:O802),$O$2:$O$1001,0),1)&gt;=100000,INDEX($V$1005:$AE$1005,1,MATCH(COLUMNS($V$1006:AB1006),$V$1006:$AE$1006,0))&gt;=100000), " ",IF(INDEX($V$2:$AE$1001,MATCH(ROWS($O$2:O802),$O$2:$O$1001,0),MATCH(COLUMNS($V$1006:AB1006),$V$1006:$AE$1006,0)), HYPERLINK("#",""), HYPERLINK(CONCATENATE("#Metadata!", ADDRESS(INDEX($Q$2:$Q$1001,MATCH(ROWS($O$2:O802),$O$2:$O$1001,0),0), INDEX($V$1004:$AE$1004,1,MATCH(COLUMNS($V$1006:AB1006),$V$1006:$AE$1006,0)))),"Fix")))</f>
        <v>0</v>
      </c>
      <c r="I802" s="4">
        <f>IF(OR(INDEX($P$2:$P$1001,MATCH(ROWS($O$2:O802),$O$2:$O$1001,0),1)&gt;=100000,INDEX($V$1005:$AE$1005,1,MATCH(COLUMNS($V$1006:AC1006),$V$1006:$AE$1006,0))&gt;=100000), " ",IF(INDEX($V$2:$AE$1001,MATCH(ROWS($O$2:O802),$O$2:$O$1001,0),MATCH(COLUMNS($V$1006:AC1006),$V$1006:$AE$1006,0)), HYPERLINK("#",""), HYPERLINK(CONCATENATE("#Metadata!", ADDRESS(INDEX($Q$2:$Q$1001,MATCH(ROWS($O$2:O802),$O$2:$O$1001,0),0), INDEX($V$1004:$AE$1004,1,MATCH(COLUMNS($V$1006:AC1006),$V$1006:$AE$1006,0)))),"Fix")))</f>
        <v>0</v>
      </c>
      <c r="J802" s="4">
        <f>IF(OR(INDEX($P$2:$P$1001,MATCH(ROWS($O$2:O802),$O$2:$O$1001,0),1)&gt;=100000,INDEX($V$1005:$AE$1005,1,MATCH(COLUMNS($V$1006:AD1006),$V$1006:$AE$1006,0))&gt;=100000), " ",IF(INDEX($V$2:$AE$1001,MATCH(ROWS($O$2:O802),$O$2:$O$1001,0),MATCH(COLUMNS($V$1006:AD1006),$V$1006:$AE$1006,0)), HYPERLINK("#",""), HYPERLINK(CONCATENATE("#Metadata!", ADDRESS(INDEX($Q$2:$Q$1001,MATCH(ROWS($O$2:O802),$O$2:$O$1001,0),0), INDEX($V$1004:$AE$1004,1,MATCH(COLUMNS($V$1006:AD1006),$V$1006:$AE$1006,0)))),"Fix")))</f>
        <v>0</v>
      </c>
      <c r="K802" s="4">
        <f>IF(OR(INDEX($P$2:$P$1001,MATCH(ROWS($O$2:O802),$O$2:$O$1001,0),1)&gt;=100000,INDEX($V$1005:$AE$1005,1,MATCH(COLUMNS($V$1006:AE1006),$V$1006:$AE$1006,0))&gt;=100000), " ",IF(INDEX($V$2:$AE$1001,MATCH(ROWS($O$2:O802),$O$2:$O$1001,0),MATCH(COLUMNS($V$1006:AE1006),$V$1006:$AE$1006,0)), HYPERLINK("#",""), HYPERLINK(CONCATENATE("#Metadata!", ADDRESS(INDEX($Q$2:$Q$1001,MATCH(ROWS($O$2:O802),$O$2:$O$1001,0),0), INDEX($V$1004:$AE$1004,1,MATCH(COLUMNS($V$1006:AE1006),$V$1006:$AE$1006,0)))),"Fix")))</f>
        <v>0</v>
      </c>
      <c r="O802">
        <v>0</v>
      </c>
      <c r="P802">
        <v>0</v>
      </c>
      <c r="Q802">
        <v>0</v>
      </c>
      <c r="R802">
        <f>IF(S802,TRUE,AND(V802:AE802))</f>
        <v>0</v>
      </c>
      <c r="S802">
        <f>COUNTBLANK(Metadata!B802:K802)=COLUMNS(Metadata!B802:K802)</f>
        <v>0</v>
      </c>
      <c r="T802">
        <v>0</v>
      </c>
      <c r="V802">
        <f>AND(IF(Metadata!B802="",FALSE,TRUE),COUNTIF(Metadata!B:B, Metadata!B802) = 1,NOT(ISERROR(SUMPRODUCT(SEARCH(MID(Metadata!B802,ROW(INDIRECT("1:"&amp;LEN(Metadata!B802))), 1),"0123456789abcdefghijklmnopqrstuvwxyzABCDEFGHIJKLMNOPQRSTUVWXYZ.")))))</f>
        <v>0</v>
      </c>
      <c r="W802">
        <f>AND(IF(Metadata!C802="",FALSE,TRUE),exact(Metadata!C802,"urban biome"))</f>
        <v>0</v>
      </c>
      <c r="X802">
        <f>AND(IF(Metadata!D802="",FALSE,TRUE),exact(Metadata!D802,"animal-associated habitat"))</f>
        <v>0</v>
      </c>
      <c r="Y802">
        <f>OR(AND(IF(Metadata!E802="",FALSE,TRUE),OR(exact(Metadata!E802,"not applicable"),exact(Metadata!E802,"missing: not collected"),exact(Metadata!E802,"missing: not provided"),exact(Metadata!E802,"missing: restricted access"))),AND(IF(Metadata!E802="",FALSE,ISNUMBER(VALUE(Metadata!E802))),Metadata!E802&gt;0))</f>
        <v>0</v>
      </c>
      <c r="Z802">
        <f>AND(IF(Metadata!F802="",FALSE,TRUE),exact(Metadata!F802,"weeks"))</f>
        <v>0</v>
      </c>
      <c r="AA802">
        <f>AND(IF(Metadata!G802="",FALSE,TRUE),exact(Metadata!G802,"mouse"))</f>
        <v>0</v>
      </c>
      <c r="AB802">
        <f>AND(IF(Metadata!H802="",FALSE,TRUE),exact(Metadata!H802,"Mus musculus"))</f>
        <v>0</v>
      </c>
      <c r="AC802">
        <f>AND(IF(Metadata!I802="",FALSE,TRUE),exact(Metadata!I802,"10090"))</f>
        <v>0</v>
      </c>
      <c r="AD802">
        <f>OR(AND(IF(Metadata!J802="",FALSE,TRUE),OR(exact(Metadata!J802,"not applicable"),exact(Metadata!J802,"missing: not collected"),exact(Metadata!J802,"missing: not provided"),exact(Metadata!J802,"missing: restricted access"))),AND(IF(Metadata!J802="",FALSE,ISNUMBER(VALUE(Metadata!J802))),Metadata!J802&gt;0))</f>
        <v>0</v>
      </c>
      <c r="AE802">
        <f>AND(IF(Metadata!K802="",FALSE,TRUE),exact(Metadata!K802,"g"))</f>
        <v>0</v>
      </c>
    </row>
    <row r="803" spans="1:31">
      <c r="A803" s="5">
        <f>IF(B803=" "," ",HYPERLINK(CONCATENATE("#metadata!",ADDRESS(INDEX($Q$2:$Q$1001,MATCH(ROWS($O$2:O803),$O$2:$O$1001,0),0),1)),INDEX($T$2:$T$1001,MATCH(ROWS($O$2:O803),$O$2:$O$1001,0),0)))</f>
        <v>0</v>
      </c>
      <c r="B803" s="4">
        <f>IF(OR(INDEX($P$2:$P$1001,MATCH(ROWS($O$2:O803),$O$2:$O$1001,0),1)&gt;=100000,INDEX($V$1005:$AE$1005,1,MATCH(COLUMNS($V$1006:V1006),$V$1006:$AE$1006,0))&gt;=100000), " ",IF(INDEX($V$2:$AE$1001,MATCH(ROWS($O$2:O803),$O$2:$O$1001,0),MATCH(COLUMNS($V$1006:V1006),$V$1006:$AE$1006,0)), HYPERLINK("#",""), HYPERLINK(CONCATENATE("#Metadata!", ADDRESS(INDEX($Q$2:$Q$1001,MATCH(ROWS($O$2:O803),$O$2:$O$1001,0),0), INDEX($V$1004:$AE$1004,1,MATCH(COLUMNS($V$1006:V1006),$V$1006:$AE$1006,0)))),"Fix")))</f>
        <v>0</v>
      </c>
      <c r="C803" s="4">
        <f>IF(OR(INDEX($P$2:$P$1001,MATCH(ROWS($O$2:O803),$O$2:$O$1001,0),1)&gt;=100000,INDEX($V$1005:$AE$1005,1,MATCH(COLUMNS($V$1006:W1006),$V$1006:$AE$1006,0))&gt;=100000), " ",IF(INDEX($V$2:$AE$1001,MATCH(ROWS($O$2:O803),$O$2:$O$1001,0),MATCH(COLUMNS($V$1006:W1006),$V$1006:$AE$1006,0)), HYPERLINK("#",""), HYPERLINK(CONCATENATE("#Metadata!", ADDRESS(INDEX($Q$2:$Q$1001,MATCH(ROWS($O$2:O803),$O$2:$O$1001,0),0), INDEX($V$1004:$AE$1004,1,MATCH(COLUMNS($V$1006:W1006),$V$1006:$AE$1006,0)))),"Fix")))</f>
        <v>0</v>
      </c>
      <c r="D803" s="4">
        <f>IF(OR(INDEX($P$2:$P$1001,MATCH(ROWS($O$2:O803),$O$2:$O$1001,0),1)&gt;=100000,INDEX($V$1005:$AE$1005,1,MATCH(COLUMNS($V$1006:X1006),$V$1006:$AE$1006,0))&gt;=100000), " ",IF(INDEX($V$2:$AE$1001,MATCH(ROWS($O$2:O803),$O$2:$O$1001,0),MATCH(COLUMNS($V$1006:X1006),$V$1006:$AE$1006,0)), HYPERLINK("#",""), HYPERLINK(CONCATENATE("#Metadata!", ADDRESS(INDEX($Q$2:$Q$1001,MATCH(ROWS($O$2:O803),$O$2:$O$1001,0),0), INDEX($V$1004:$AE$1004,1,MATCH(COLUMNS($V$1006:X1006),$V$1006:$AE$1006,0)))),"Fix")))</f>
        <v>0</v>
      </c>
      <c r="E803" s="4">
        <f>IF(OR(INDEX($P$2:$P$1001,MATCH(ROWS($O$2:O803),$O$2:$O$1001,0),1)&gt;=100000,INDEX($V$1005:$AE$1005,1,MATCH(COLUMNS($V$1006:Y1006),$V$1006:$AE$1006,0))&gt;=100000), " ",IF(INDEX($V$2:$AE$1001,MATCH(ROWS($O$2:O803),$O$2:$O$1001,0),MATCH(COLUMNS($V$1006:Y1006),$V$1006:$AE$1006,0)), HYPERLINK("#",""), HYPERLINK(CONCATENATE("#Metadata!", ADDRESS(INDEX($Q$2:$Q$1001,MATCH(ROWS($O$2:O803),$O$2:$O$1001,0),0), INDEX($V$1004:$AE$1004,1,MATCH(COLUMNS($V$1006:Y1006),$V$1006:$AE$1006,0)))),"Fix")))</f>
        <v>0</v>
      </c>
      <c r="F803" s="4">
        <f>IF(OR(INDEX($P$2:$P$1001,MATCH(ROWS($O$2:O803),$O$2:$O$1001,0),1)&gt;=100000,INDEX($V$1005:$AE$1005,1,MATCH(COLUMNS($V$1006:Z1006),$V$1006:$AE$1006,0))&gt;=100000), " ",IF(INDEX($V$2:$AE$1001,MATCH(ROWS($O$2:O803),$O$2:$O$1001,0),MATCH(COLUMNS($V$1006:Z1006),$V$1006:$AE$1006,0)), HYPERLINK("#",""), HYPERLINK(CONCATENATE("#Metadata!", ADDRESS(INDEX($Q$2:$Q$1001,MATCH(ROWS($O$2:O803),$O$2:$O$1001,0),0), INDEX($V$1004:$AE$1004,1,MATCH(COLUMNS($V$1006:Z1006),$V$1006:$AE$1006,0)))),"Fix")))</f>
        <v>0</v>
      </c>
      <c r="G803" s="4">
        <f>IF(OR(INDEX($P$2:$P$1001,MATCH(ROWS($O$2:O803),$O$2:$O$1001,0),1)&gt;=100000,INDEX($V$1005:$AE$1005,1,MATCH(COLUMNS($V$1006:AA1006),$V$1006:$AE$1006,0))&gt;=100000), " ",IF(INDEX($V$2:$AE$1001,MATCH(ROWS($O$2:O803),$O$2:$O$1001,0),MATCH(COLUMNS($V$1006:AA1006),$V$1006:$AE$1006,0)), HYPERLINK("#",""), HYPERLINK(CONCATENATE("#Metadata!", ADDRESS(INDEX($Q$2:$Q$1001,MATCH(ROWS($O$2:O803),$O$2:$O$1001,0),0), INDEX($V$1004:$AE$1004,1,MATCH(COLUMNS($V$1006:AA1006),$V$1006:$AE$1006,0)))),"Fix")))</f>
        <v>0</v>
      </c>
      <c r="H803" s="4">
        <f>IF(OR(INDEX($P$2:$P$1001,MATCH(ROWS($O$2:O803),$O$2:$O$1001,0),1)&gt;=100000,INDEX($V$1005:$AE$1005,1,MATCH(COLUMNS($V$1006:AB1006),$V$1006:$AE$1006,0))&gt;=100000), " ",IF(INDEX($V$2:$AE$1001,MATCH(ROWS($O$2:O803),$O$2:$O$1001,0),MATCH(COLUMNS($V$1006:AB1006),$V$1006:$AE$1006,0)), HYPERLINK("#",""), HYPERLINK(CONCATENATE("#Metadata!", ADDRESS(INDEX($Q$2:$Q$1001,MATCH(ROWS($O$2:O803),$O$2:$O$1001,0),0), INDEX($V$1004:$AE$1004,1,MATCH(COLUMNS($V$1006:AB1006),$V$1006:$AE$1006,0)))),"Fix")))</f>
        <v>0</v>
      </c>
      <c r="I803" s="4">
        <f>IF(OR(INDEX($P$2:$P$1001,MATCH(ROWS($O$2:O803),$O$2:$O$1001,0),1)&gt;=100000,INDEX($V$1005:$AE$1005,1,MATCH(COLUMNS($V$1006:AC1006),$V$1006:$AE$1006,0))&gt;=100000), " ",IF(INDEX($V$2:$AE$1001,MATCH(ROWS($O$2:O803),$O$2:$O$1001,0),MATCH(COLUMNS($V$1006:AC1006),$V$1006:$AE$1006,0)), HYPERLINK("#",""), HYPERLINK(CONCATENATE("#Metadata!", ADDRESS(INDEX($Q$2:$Q$1001,MATCH(ROWS($O$2:O803),$O$2:$O$1001,0),0), INDEX($V$1004:$AE$1004,1,MATCH(COLUMNS($V$1006:AC1006),$V$1006:$AE$1006,0)))),"Fix")))</f>
        <v>0</v>
      </c>
      <c r="J803" s="4">
        <f>IF(OR(INDEX($P$2:$P$1001,MATCH(ROWS($O$2:O803),$O$2:$O$1001,0),1)&gt;=100000,INDEX($V$1005:$AE$1005,1,MATCH(COLUMNS($V$1006:AD1006),$V$1006:$AE$1006,0))&gt;=100000), " ",IF(INDEX($V$2:$AE$1001,MATCH(ROWS($O$2:O803),$O$2:$O$1001,0),MATCH(COLUMNS($V$1006:AD1006),$V$1006:$AE$1006,0)), HYPERLINK("#",""), HYPERLINK(CONCATENATE("#Metadata!", ADDRESS(INDEX($Q$2:$Q$1001,MATCH(ROWS($O$2:O803),$O$2:$O$1001,0),0), INDEX($V$1004:$AE$1004,1,MATCH(COLUMNS($V$1006:AD1006),$V$1006:$AE$1006,0)))),"Fix")))</f>
        <v>0</v>
      </c>
      <c r="K803" s="4">
        <f>IF(OR(INDEX($P$2:$P$1001,MATCH(ROWS($O$2:O803),$O$2:$O$1001,0),1)&gt;=100000,INDEX($V$1005:$AE$1005,1,MATCH(COLUMNS($V$1006:AE1006),$V$1006:$AE$1006,0))&gt;=100000), " ",IF(INDEX($V$2:$AE$1001,MATCH(ROWS($O$2:O803),$O$2:$O$1001,0),MATCH(COLUMNS($V$1006:AE1006),$V$1006:$AE$1006,0)), HYPERLINK("#",""), HYPERLINK(CONCATENATE("#Metadata!", ADDRESS(INDEX($Q$2:$Q$1001,MATCH(ROWS($O$2:O803),$O$2:$O$1001,0),0), INDEX($V$1004:$AE$1004,1,MATCH(COLUMNS($V$1006:AE1006),$V$1006:$AE$1006,0)))),"Fix")))</f>
        <v>0</v>
      </c>
      <c r="O803">
        <v>0</v>
      </c>
      <c r="P803">
        <v>0</v>
      </c>
      <c r="Q803">
        <v>0</v>
      </c>
      <c r="R803">
        <f>IF(S803,TRUE,AND(V803:AE803))</f>
        <v>0</v>
      </c>
      <c r="S803">
        <f>COUNTBLANK(Metadata!B803:K803)=COLUMNS(Metadata!B803:K803)</f>
        <v>0</v>
      </c>
      <c r="T803">
        <v>0</v>
      </c>
      <c r="V803">
        <f>AND(IF(Metadata!B803="",FALSE,TRUE),COUNTIF(Metadata!B:B, Metadata!B803) = 1,NOT(ISERROR(SUMPRODUCT(SEARCH(MID(Metadata!B803,ROW(INDIRECT("1:"&amp;LEN(Metadata!B803))), 1),"0123456789abcdefghijklmnopqrstuvwxyzABCDEFGHIJKLMNOPQRSTUVWXYZ.")))))</f>
        <v>0</v>
      </c>
      <c r="W803">
        <f>AND(IF(Metadata!C803="",FALSE,TRUE),exact(Metadata!C803,"urban biome"))</f>
        <v>0</v>
      </c>
      <c r="X803">
        <f>AND(IF(Metadata!D803="",FALSE,TRUE),exact(Metadata!D803,"animal-associated habitat"))</f>
        <v>0</v>
      </c>
      <c r="Y803">
        <f>OR(AND(IF(Metadata!E803="",FALSE,TRUE),OR(exact(Metadata!E803,"not applicable"),exact(Metadata!E803,"missing: not collected"),exact(Metadata!E803,"missing: not provided"),exact(Metadata!E803,"missing: restricted access"))),AND(IF(Metadata!E803="",FALSE,ISNUMBER(VALUE(Metadata!E803))),Metadata!E803&gt;0))</f>
        <v>0</v>
      </c>
      <c r="Z803">
        <f>AND(IF(Metadata!F803="",FALSE,TRUE),exact(Metadata!F803,"weeks"))</f>
        <v>0</v>
      </c>
      <c r="AA803">
        <f>AND(IF(Metadata!G803="",FALSE,TRUE),exact(Metadata!G803,"mouse"))</f>
        <v>0</v>
      </c>
      <c r="AB803">
        <f>AND(IF(Metadata!H803="",FALSE,TRUE),exact(Metadata!H803,"Mus musculus"))</f>
        <v>0</v>
      </c>
      <c r="AC803">
        <f>AND(IF(Metadata!I803="",FALSE,TRUE),exact(Metadata!I803,"10090"))</f>
        <v>0</v>
      </c>
      <c r="AD803">
        <f>OR(AND(IF(Metadata!J803="",FALSE,TRUE),OR(exact(Metadata!J803,"not applicable"),exact(Metadata!J803,"missing: not collected"),exact(Metadata!J803,"missing: not provided"),exact(Metadata!J803,"missing: restricted access"))),AND(IF(Metadata!J803="",FALSE,ISNUMBER(VALUE(Metadata!J803))),Metadata!J803&gt;0))</f>
        <v>0</v>
      </c>
      <c r="AE803">
        <f>AND(IF(Metadata!K803="",FALSE,TRUE),exact(Metadata!K803,"g"))</f>
        <v>0</v>
      </c>
    </row>
    <row r="804" spans="1:31">
      <c r="A804" s="5">
        <f>IF(B804=" "," ",HYPERLINK(CONCATENATE("#metadata!",ADDRESS(INDEX($Q$2:$Q$1001,MATCH(ROWS($O$2:O804),$O$2:$O$1001,0),0),1)),INDEX($T$2:$T$1001,MATCH(ROWS($O$2:O804),$O$2:$O$1001,0),0)))</f>
        <v>0</v>
      </c>
      <c r="B804" s="4">
        <f>IF(OR(INDEX($P$2:$P$1001,MATCH(ROWS($O$2:O804),$O$2:$O$1001,0),1)&gt;=100000,INDEX($V$1005:$AE$1005,1,MATCH(COLUMNS($V$1006:V1006),$V$1006:$AE$1006,0))&gt;=100000), " ",IF(INDEX($V$2:$AE$1001,MATCH(ROWS($O$2:O804),$O$2:$O$1001,0),MATCH(COLUMNS($V$1006:V1006),$V$1006:$AE$1006,0)), HYPERLINK("#",""), HYPERLINK(CONCATENATE("#Metadata!", ADDRESS(INDEX($Q$2:$Q$1001,MATCH(ROWS($O$2:O804),$O$2:$O$1001,0),0), INDEX($V$1004:$AE$1004,1,MATCH(COLUMNS($V$1006:V1006),$V$1006:$AE$1006,0)))),"Fix")))</f>
        <v>0</v>
      </c>
      <c r="C804" s="4">
        <f>IF(OR(INDEX($P$2:$P$1001,MATCH(ROWS($O$2:O804),$O$2:$O$1001,0),1)&gt;=100000,INDEX($V$1005:$AE$1005,1,MATCH(COLUMNS($V$1006:W1006),$V$1006:$AE$1006,0))&gt;=100000), " ",IF(INDEX($V$2:$AE$1001,MATCH(ROWS($O$2:O804),$O$2:$O$1001,0),MATCH(COLUMNS($V$1006:W1006),$V$1006:$AE$1006,0)), HYPERLINK("#",""), HYPERLINK(CONCATENATE("#Metadata!", ADDRESS(INDEX($Q$2:$Q$1001,MATCH(ROWS($O$2:O804),$O$2:$O$1001,0),0), INDEX($V$1004:$AE$1004,1,MATCH(COLUMNS($V$1006:W1006),$V$1006:$AE$1006,0)))),"Fix")))</f>
        <v>0</v>
      </c>
      <c r="D804" s="4">
        <f>IF(OR(INDEX($P$2:$P$1001,MATCH(ROWS($O$2:O804),$O$2:$O$1001,0),1)&gt;=100000,INDEX($V$1005:$AE$1005,1,MATCH(COLUMNS($V$1006:X1006),$V$1006:$AE$1006,0))&gt;=100000), " ",IF(INDEX($V$2:$AE$1001,MATCH(ROWS($O$2:O804),$O$2:$O$1001,0),MATCH(COLUMNS($V$1006:X1006),$V$1006:$AE$1006,0)), HYPERLINK("#",""), HYPERLINK(CONCATENATE("#Metadata!", ADDRESS(INDEX($Q$2:$Q$1001,MATCH(ROWS($O$2:O804),$O$2:$O$1001,0),0), INDEX($V$1004:$AE$1004,1,MATCH(COLUMNS($V$1006:X1006),$V$1006:$AE$1006,0)))),"Fix")))</f>
        <v>0</v>
      </c>
      <c r="E804" s="4">
        <f>IF(OR(INDEX($P$2:$P$1001,MATCH(ROWS($O$2:O804),$O$2:$O$1001,0),1)&gt;=100000,INDEX($V$1005:$AE$1005,1,MATCH(COLUMNS($V$1006:Y1006),$V$1006:$AE$1006,0))&gt;=100000), " ",IF(INDEX($V$2:$AE$1001,MATCH(ROWS($O$2:O804),$O$2:$O$1001,0),MATCH(COLUMNS($V$1006:Y1006),$V$1006:$AE$1006,0)), HYPERLINK("#",""), HYPERLINK(CONCATENATE("#Metadata!", ADDRESS(INDEX($Q$2:$Q$1001,MATCH(ROWS($O$2:O804),$O$2:$O$1001,0),0), INDEX($V$1004:$AE$1004,1,MATCH(COLUMNS($V$1006:Y1006),$V$1006:$AE$1006,0)))),"Fix")))</f>
        <v>0</v>
      </c>
      <c r="F804" s="4">
        <f>IF(OR(INDEX($P$2:$P$1001,MATCH(ROWS($O$2:O804),$O$2:$O$1001,0),1)&gt;=100000,INDEX($V$1005:$AE$1005,1,MATCH(COLUMNS($V$1006:Z1006),$V$1006:$AE$1006,0))&gt;=100000), " ",IF(INDEX($V$2:$AE$1001,MATCH(ROWS($O$2:O804),$O$2:$O$1001,0),MATCH(COLUMNS($V$1006:Z1006),$V$1006:$AE$1006,0)), HYPERLINK("#",""), HYPERLINK(CONCATENATE("#Metadata!", ADDRESS(INDEX($Q$2:$Q$1001,MATCH(ROWS($O$2:O804),$O$2:$O$1001,0),0), INDEX($V$1004:$AE$1004,1,MATCH(COLUMNS($V$1006:Z1006),$V$1006:$AE$1006,0)))),"Fix")))</f>
        <v>0</v>
      </c>
      <c r="G804" s="4">
        <f>IF(OR(INDEX($P$2:$P$1001,MATCH(ROWS($O$2:O804),$O$2:$O$1001,0),1)&gt;=100000,INDEX($V$1005:$AE$1005,1,MATCH(COLUMNS($V$1006:AA1006),$V$1006:$AE$1006,0))&gt;=100000), " ",IF(INDEX($V$2:$AE$1001,MATCH(ROWS($O$2:O804),$O$2:$O$1001,0),MATCH(COLUMNS($V$1006:AA1006),$V$1006:$AE$1006,0)), HYPERLINK("#",""), HYPERLINK(CONCATENATE("#Metadata!", ADDRESS(INDEX($Q$2:$Q$1001,MATCH(ROWS($O$2:O804),$O$2:$O$1001,0),0), INDEX($V$1004:$AE$1004,1,MATCH(COLUMNS($V$1006:AA1006),$V$1006:$AE$1006,0)))),"Fix")))</f>
        <v>0</v>
      </c>
      <c r="H804" s="4">
        <f>IF(OR(INDEX($P$2:$P$1001,MATCH(ROWS($O$2:O804),$O$2:$O$1001,0),1)&gt;=100000,INDEX($V$1005:$AE$1005,1,MATCH(COLUMNS($V$1006:AB1006),$V$1006:$AE$1006,0))&gt;=100000), " ",IF(INDEX($V$2:$AE$1001,MATCH(ROWS($O$2:O804),$O$2:$O$1001,0),MATCH(COLUMNS($V$1006:AB1006),$V$1006:$AE$1006,0)), HYPERLINK("#",""), HYPERLINK(CONCATENATE("#Metadata!", ADDRESS(INDEX($Q$2:$Q$1001,MATCH(ROWS($O$2:O804),$O$2:$O$1001,0),0), INDEX($V$1004:$AE$1004,1,MATCH(COLUMNS($V$1006:AB1006),$V$1006:$AE$1006,0)))),"Fix")))</f>
        <v>0</v>
      </c>
      <c r="I804" s="4">
        <f>IF(OR(INDEX($P$2:$P$1001,MATCH(ROWS($O$2:O804),$O$2:$O$1001,0),1)&gt;=100000,INDEX($V$1005:$AE$1005,1,MATCH(COLUMNS($V$1006:AC1006),$V$1006:$AE$1006,0))&gt;=100000), " ",IF(INDEX($V$2:$AE$1001,MATCH(ROWS($O$2:O804),$O$2:$O$1001,0),MATCH(COLUMNS($V$1006:AC1006),$V$1006:$AE$1006,0)), HYPERLINK("#",""), HYPERLINK(CONCATENATE("#Metadata!", ADDRESS(INDEX($Q$2:$Q$1001,MATCH(ROWS($O$2:O804),$O$2:$O$1001,0),0), INDEX($V$1004:$AE$1004,1,MATCH(COLUMNS($V$1006:AC1006),$V$1006:$AE$1006,0)))),"Fix")))</f>
        <v>0</v>
      </c>
      <c r="J804" s="4">
        <f>IF(OR(INDEX($P$2:$P$1001,MATCH(ROWS($O$2:O804),$O$2:$O$1001,0),1)&gt;=100000,INDEX($V$1005:$AE$1005,1,MATCH(COLUMNS($V$1006:AD1006),$V$1006:$AE$1006,0))&gt;=100000), " ",IF(INDEX($V$2:$AE$1001,MATCH(ROWS($O$2:O804),$O$2:$O$1001,0),MATCH(COLUMNS($V$1006:AD1006),$V$1006:$AE$1006,0)), HYPERLINK("#",""), HYPERLINK(CONCATENATE("#Metadata!", ADDRESS(INDEX($Q$2:$Q$1001,MATCH(ROWS($O$2:O804),$O$2:$O$1001,0),0), INDEX($V$1004:$AE$1004,1,MATCH(COLUMNS($V$1006:AD1006),$V$1006:$AE$1006,0)))),"Fix")))</f>
        <v>0</v>
      </c>
      <c r="K804" s="4">
        <f>IF(OR(INDEX($P$2:$P$1001,MATCH(ROWS($O$2:O804),$O$2:$O$1001,0),1)&gt;=100000,INDEX($V$1005:$AE$1005,1,MATCH(COLUMNS($V$1006:AE1006),$V$1006:$AE$1006,0))&gt;=100000), " ",IF(INDEX($V$2:$AE$1001,MATCH(ROWS($O$2:O804),$O$2:$O$1001,0),MATCH(COLUMNS($V$1006:AE1006),$V$1006:$AE$1006,0)), HYPERLINK("#",""), HYPERLINK(CONCATENATE("#Metadata!", ADDRESS(INDEX($Q$2:$Q$1001,MATCH(ROWS($O$2:O804),$O$2:$O$1001,0),0), INDEX($V$1004:$AE$1004,1,MATCH(COLUMNS($V$1006:AE1006),$V$1006:$AE$1006,0)))),"Fix")))</f>
        <v>0</v>
      </c>
      <c r="O804">
        <v>0</v>
      </c>
      <c r="P804">
        <v>0</v>
      </c>
      <c r="Q804">
        <v>0</v>
      </c>
      <c r="R804">
        <f>IF(S804,TRUE,AND(V804:AE804))</f>
        <v>0</v>
      </c>
      <c r="S804">
        <f>COUNTBLANK(Metadata!B804:K804)=COLUMNS(Metadata!B804:K804)</f>
        <v>0</v>
      </c>
      <c r="T804">
        <v>0</v>
      </c>
      <c r="V804">
        <f>AND(IF(Metadata!B804="",FALSE,TRUE),COUNTIF(Metadata!B:B, Metadata!B804) = 1,NOT(ISERROR(SUMPRODUCT(SEARCH(MID(Metadata!B804,ROW(INDIRECT("1:"&amp;LEN(Metadata!B804))), 1),"0123456789abcdefghijklmnopqrstuvwxyzABCDEFGHIJKLMNOPQRSTUVWXYZ.")))))</f>
        <v>0</v>
      </c>
      <c r="W804">
        <f>AND(IF(Metadata!C804="",FALSE,TRUE),exact(Metadata!C804,"urban biome"))</f>
        <v>0</v>
      </c>
      <c r="X804">
        <f>AND(IF(Metadata!D804="",FALSE,TRUE),exact(Metadata!D804,"animal-associated habitat"))</f>
        <v>0</v>
      </c>
      <c r="Y804">
        <f>OR(AND(IF(Metadata!E804="",FALSE,TRUE),OR(exact(Metadata!E804,"not applicable"),exact(Metadata!E804,"missing: not collected"),exact(Metadata!E804,"missing: not provided"),exact(Metadata!E804,"missing: restricted access"))),AND(IF(Metadata!E804="",FALSE,ISNUMBER(VALUE(Metadata!E804))),Metadata!E804&gt;0))</f>
        <v>0</v>
      </c>
      <c r="Z804">
        <f>AND(IF(Metadata!F804="",FALSE,TRUE),exact(Metadata!F804,"weeks"))</f>
        <v>0</v>
      </c>
      <c r="AA804">
        <f>AND(IF(Metadata!G804="",FALSE,TRUE),exact(Metadata!G804,"mouse"))</f>
        <v>0</v>
      </c>
      <c r="AB804">
        <f>AND(IF(Metadata!H804="",FALSE,TRUE),exact(Metadata!H804,"Mus musculus"))</f>
        <v>0</v>
      </c>
      <c r="AC804">
        <f>AND(IF(Metadata!I804="",FALSE,TRUE),exact(Metadata!I804,"10090"))</f>
        <v>0</v>
      </c>
      <c r="AD804">
        <f>OR(AND(IF(Metadata!J804="",FALSE,TRUE),OR(exact(Metadata!J804,"not applicable"),exact(Metadata!J804,"missing: not collected"),exact(Metadata!J804,"missing: not provided"),exact(Metadata!J804,"missing: restricted access"))),AND(IF(Metadata!J804="",FALSE,ISNUMBER(VALUE(Metadata!J804))),Metadata!J804&gt;0))</f>
        <v>0</v>
      </c>
      <c r="AE804">
        <f>AND(IF(Metadata!K804="",FALSE,TRUE),exact(Metadata!K804,"g"))</f>
        <v>0</v>
      </c>
    </row>
    <row r="805" spans="1:31">
      <c r="A805" s="5">
        <f>IF(B805=" "," ",HYPERLINK(CONCATENATE("#metadata!",ADDRESS(INDEX($Q$2:$Q$1001,MATCH(ROWS($O$2:O805),$O$2:$O$1001,0),0),1)),INDEX($T$2:$T$1001,MATCH(ROWS($O$2:O805),$O$2:$O$1001,0),0)))</f>
        <v>0</v>
      </c>
      <c r="B805" s="4">
        <f>IF(OR(INDEX($P$2:$P$1001,MATCH(ROWS($O$2:O805),$O$2:$O$1001,0),1)&gt;=100000,INDEX($V$1005:$AE$1005,1,MATCH(COLUMNS($V$1006:V1006),$V$1006:$AE$1006,0))&gt;=100000), " ",IF(INDEX($V$2:$AE$1001,MATCH(ROWS($O$2:O805),$O$2:$O$1001,0),MATCH(COLUMNS($V$1006:V1006),$V$1006:$AE$1006,0)), HYPERLINK("#",""), HYPERLINK(CONCATENATE("#Metadata!", ADDRESS(INDEX($Q$2:$Q$1001,MATCH(ROWS($O$2:O805),$O$2:$O$1001,0),0), INDEX($V$1004:$AE$1004,1,MATCH(COLUMNS($V$1006:V1006),$V$1006:$AE$1006,0)))),"Fix")))</f>
        <v>0</v>
      </c>
      <c r="C805" s="4">
        <f>IF(OR(INDEX($P$2:$P$1001,MATCH(ROWS($O$2:O805),$O$2:$O$1001,0),1)&gt;=100000,INDEX($V$1005:$AE$1005,1,MATCH(COLUMNS($V$1006:W1006),$V$1006:$AE$1006,0))&gt;=100000), " ",IF(INDEX($V$2:$AE$1001,MATCH(ROWS($O$2:O805),$O$2:$O$1001,0),MATCH(COLUMNS($V$1006:W1006),$V$1006:$AE$1006,0)), HYPERLINK("#",""), HYPERLINK(CONCATENATE("#Metadata!", ADDRESS(INDEX($Q$2:$Q$1001,MATCH(ROWS($O$2:O805),$O$2:$O$1001,0),0), INDEX($V$1004:$AE$1004,1,MATCH(COLUMNS($V$1006:W1006),$V$1006:$AE$1006,0)))),"Fix")))</f>
        <v>0</v>
      </c>
      <c r="D805" s="4">
        <f>IF(OR(INDEX($P$2:$P$1001,MATCH(ROWS($O$2:O805),$O$2:$O$1001,0),1)&gt;=100000,INDEX($V$1005:$AE$1005,1,MATCH(COLUMNS($V$1006:X1006),$V$1006:$AE$1006,0))&gt;=100000), " ",IF(INDEX($V$2:$AE$1001,MATCH(ROWS($O$2:O805),$O$2:$O$1001,0),MATCH(COLUMNS($V$1006:X1006),$V$1006:$AE$1006,0)), HYPERLINK("#",""), HYPERLINK(CONCATENATE("#Metadata!", ADDRESS(INDEX($Q$2:$Q$1001,MATCH(ROWS($O$2:O805),$O$2:$O$1001,0),0), INDEX($V$1004:$AE$1004,1,MATCH(COLUMNS($V$1006:X1006),$V$1006:$AE$1006,0)))),"Fix")))</f>
        <v>0</v>
      </c>
      <c r="E805" s="4">
        <f>IF(OR(INDEX($P$2:$P$1001,MATCH(ROWS($O$2:O805),$O$2:$O$1001,0),1)&gt;=100000,INDEX($V$1005:$AE$1005,1,MATCH(COLUMNS($V$1006:Y1006),$V$1006:$AE$1006,0))&gt;=100000), " ",IF(INDEX($V$2:$AE$1001,MATCH(ROWS($O$2:O805),$O$2:$O$1001,0),MATCH(COLUMNS($V$1006:Y1006),$V$1006:$AE$1006,0)), HYPERLINK("#",""), HYPERLINK(CONCATENATE("#Metadata!", ADDRESS(INDEX($Q$2:$Q$1001,MATCH(ROWS($O$2:O805),$O$2:$O$1001,0),0), INDEX($V$1004:$AE$1004,1,MATCH(COLUMNS($V$1006:Y1006),$V$1006:$AE$1006,0)))),"Fix")))</f>
        <v>0</v>
      </c>
      <c r="F805" s="4">
        <f>IF(OR(INDEX($P$2:$P$1001,MATCH(ROWS($O$2:O805),$O$2:$O$1001,0),1)&gt;=100000,INDEX($V$1005:$AE$1005,1,MATCH(COLUMNS($V$1006:Z1006),$V$1006:$AE$1006,0))&gt;=100000), " ",IF(INDEX($V$2:$AE$1001,MATCH(ROWS($O$2:O805),$O$2:$O$1001,0),MATCH(COLUMNS($V$1006:Z1006),$V$1006:$AE$1006,0)), HYPERLINK("#",""), HYPERLINK(CONCATENATE("#Metadata!", ADDRESS(INDEX($Q$2:$Q$1001,MATCH(ROWS($O$2:O805),$O$2:$O$1001,0),0), INDEX($V$1004:$AE$1004,1,MATCH(COLUMNS($V$1006:Z1006),$V$1006:$AE$1006,0)))),"Fix")))</f>
        <v>0</v>
      </c>
      <c r="G805" s="4">
        <f>IF(OR(INDEX($P$2:$P$1001,MATCH(ROWS($O$2:O805),$O$2:$O$1001,0),1)&gt;=100000,INDEX($V$1005:$AE$1005,1,MATCH(COLUMNS($V$1006:AA1006),$V$1006:$AE$1006,0))&gt;=100000), " ",IF(INDEX($V$2:$AE$1001,MATCH(ROWS($O$2:O805),$O$2:$O$1001,0),MATCH(COLUMNS($V$1006:AA1006),$V$1006:$AE$1006,0)), HYPERLINK("#",""), HYPERLINK(CONCATENATE("#Metadata!", ADDRESS(INDEX($Q$2:$Q$1001,MATCH(ROWS($O$2:O805),$O$2:$O$1001,0),0), INDEX($V$1004:$AE$1004,1,MATCH(COLUMNS($V$1006:AA1006),$V$1006:$AE$1006,0)))),"Fix")))</f>
        <v>0</v>
      </c>
      <c r="H805" s="4">
        <f>IF(OR(INDEX($P$2:$P$1001,MATCH(ROWS($O$2:O805),$O$2:$O$1001,0),1)&gt;=100000,INDEX($V$1005:$AE$1005,1,MATCH(COLUMNS($V$1006:AB1006),$V$1006:$AE$1006,0))&gt;=100000), " ",IF(INDEX($V$2:$AE$1001,MATCH(ROWS($O$2:O805),$O$2:$O$1001,0),MATCH(COLUMNS($V$1006:AB1006),$V$1006:$AE$1006,0)), HYPERLINK("#",""), HYPERLINK(CONCATENATE("#Metadata!", ADDRESS(INDEX($Q$2:$Q$1001,MATCH(ROWS($O$2:O805),$O$2:$O$1001,0),0), INDEX($V$1004:$AE$1004,1,MATCH(COLUMNS($V$1006:AB1006),$V$1006:$AE$1006,0)))),"Fix")))</f>
        <v>0</v>
      </c>
      <c r="I805" s="4">
        <f>IF(OR(INDEX($P$2:$P$1001,MATCH(ROWS($O$2:O805),$O$2:$O$1001,0),1)&gt;=100000,INDEX($V$1005:$AE$1005,1,MATCH(COLUMNS($V$1006:AC1006),$V$1006:$AE$1006,0))&gt;=100000), " ",IF(INDEX($V$2:$AE$1001,MATCH(ROWS($O$2:O805),$O$2:$O$1001,0),MATCH(COLUMNS($V$1006:AC1006),$V$1006:$AE$1006,0)), HYPERLINK("#",""), HYPERLINK(CONCATENATE("#Metadata!", ADDRESS(INDEX($Q$2:$Q$1001,MATCH(ROWS($O$2:O805),$O$2:$O$1001,0),0), INDEX($V$1004:$AE$1004,1,MATCH(COLUMNS($V$1006:AC1006),$V$1006:$AE$1006,0)))),"Fix")))</f>
        <v>0</v>
      </c>
      <c r="J805" s="4">
        <f>IF(OR(INDEX($P$2:$P$1001,MATCH(ROWS($O$2:O805),$O$2:$O$1001,0),1)&gt;=100000,INDEX($V$1005:$AE$1005,1,MATCH(COLUMNS($V$1006:AD1006),$V$1006:$AE$1006,0))&gt;=100000), " ",IF(INDEX($V$2:$AE$1001,MATCH(ROWS($O$2:O805),$O$2:$O$1001,0),MATCH(COLUMNS($V$1006:AD1006),$V$1006:$AE$1006,0)), HYPERLINK("#",""), HYPERLINK(CONCATENATE("#Metadata!", ADDRESS(INDEX($Q$2:$Q$1001,MATCH(ROWS($O$2:O805),$O$2:$O$1001,0),0), INDEX($V$1004:$AE$1004,1,MATCH(COLUMNS($V$1006:AD1006),$V$1006:$AE$1006,0)))),"Fix")))</f>
        <v>0</v>
      </c>
      <c r="K805" s="4">
        <f>IF(OR(INDEX($P$2:$P$1001,MATCH(ROWS($O$2:O805),$O$2:$O$1001,0),1)&gt;=100000,INDEX($V$1005:$AE$1005,1,MATCH(COLUMNS($V$1006:AE1006),$V$1006:$AE$1006,0))&gt;=100000), " ",IF(INDEX($V$2:$AE$1001,MATCH(ROWS($O$2:O805),$O$2:$O$1001,0),MATCH(COLUMNS($V$1006:AE1006),$V$1006:$AE$1006,0)), HYPERLINK("#",""), HYPERLINK(CONCATENATE("#Metadata!", ADDRESS(INDEX($Q$2:$Q$1001,MATCH(ROWS($O$2:O805),$O$2:$O$1001,0),0), INDEX($V$1004:$AE$1004,1,MATCH(COLUMNS($V$1006:AE1006),$V$1006:$AE$1006,0)))),"Fix")))</f>
        <v>0</v>
      </c>
      <c r="O805">
        <v>0</v>
      </c>
      <c r="P805">
        <v>0</v>
      </c>
      <c r="Q805">
        <v>0</v>
      </c>
      <c r="R805">
        <f>IF(S805,TRUE,AND(V805:AE805))</f>
        <v>0</v>
      </c>
      <c r="S805">
        <f>COUNTBLANK(Metadata!B805:K805)=COLUMNS(Metadata!B805:K805)</f>
        <v>0</v>
      </c>
      <c r="T805">
        <v>0</v>
      </c>
      <c r="V805">
        <f>AND(IF(Metadata!B805="",FALSE,TRUE),COUNTIF(Metadata!B:B, Metadata!B805) = 1,NOT(ISERROR(SUMPRODUCT(SEARCH(MID(Metadata!B805,ROW(INDIRECT("1:"&amp;LEN(Metadata!B805))), 1),"0123456789abcdefghijklmnopqrstuvwxyzABCDEFGHIJKLMNOPQRSTUVWXYZ.")))))</f>
        <v>0</v>
      </c>
      <c r="W805">
        <f>AND(IF(Metadata!C805="",FALSE,TRUE),exact(Metadata!C805,"urban biome"))</f>
        <v>0</v>
      </c>
      <c r="X805">
        <f>AND(IF(Metadata!D805="",FALSE,TRUE),exact(Metadata!D805,"animal-associated habitat"))</f>
        <v>0</v>
      </c>
      <c r="Y805">
        <f>OR(AND(IF(Metadata!E805="",FALSE,TRUE),OR(exact(Metadata!E805,"not applicable"),exact(Metadata!E805,"missing: not collected"),exact(Metadata!E805,"missing: not provided"),exact(Metadata!E805,"missing: restricted access"))),AND(IF(Metadata!E805="",FALSE,ISNUMBER(VALUE(Metadata!E805))),Metadata!E805&gt;0))</f>
        <v>0</v>
      </c>
      <c r="Z805">
        <f>AND(IF(Metadata!F805="",FALSE,TRUE),exact(Metadata!F805,"weeks"))</f>
        <v>0</v>
      </c>
      <c r="AA805">
        <f>AND(IF(Metadata!G805="",FALSE,TRUE),exact(Metadata!G805,"mouse"))</f>
        <v>0</v>
      </c>
      <c r="AB805">
        <f>AND(IF(Metadata!H805="",FALSE,TRUE),exact(Metadata!H805,"Mus musculus"))</f>
        <v>0</v>
      </c>
      <c r="AC805">
        <f>AND(IF(Metadata!I805="",FALSE,TRUE),exact(Metadata!I805,"10090"))</f>
        <v>0</v>
      </c>
      <c r="AD805">
        <f>OR(AND(IF(Metadata!J805="",FALSE,TRUE),OR(exact(Metadata!J805,"not applicable"),exact(Metadata!J805,"missing: not collected"),exact(Metadata!J805,"missing: not provided"),exact(Metadata!J805,"missing: restricted access"))),AND(IF(Metadata!J805="",FALSE,ISNUMBER(VALUE(Metadata!J805))),Metadata!J805&gt;0))</f>
        <v>0</v>
      </c>
      <c r="AE805">
        <f>AND(IF(Metadata!K805="",FALSE,TRUE),exact(Metadata!K805,"g"))</f>
        <v>0</v>
      </c>
    </row>
    <row r="806" spans="1:31">
      <c r="A806" s="5">
        <f>IF(B806=" "," ",HYPERLINK(CONCATENATE("#metadata!",ADDRESS(INDEX($Q$2:$Q$1001,MATCH(ROWS($O$2:O806),$O$2:$O$1001,0),0),1)),INDEX($T$2:$T$1001,MATCH(ROWS($O$2:O806),$O$2:$O$1001,0),0)))</f>
        <v>0</v>
      </c>
      <c r="B806" s="4">
        <f>IF(OR(INDEX($P$2:$P$1001,MATCH(ROWS($O$2:O806),$O$2:$O$1001,0),1)&gt;=100000,INDEX($V$1005:$AE$1005,1,MATCH(COLUMNS($V$1006:V1006),$V$1006:$AE$1006,0))&gt;=100000), " ",IF(INDEX($V$2:$AE$1001,MATCH(ROWS($O$2:O806),$O$2:$O$1001,0),MATCH(COLUMNS($V$1006:V1006),$V$1006:$AE$1006,0)), HYPERLINK("#",""), HYPERLINK(CONCATENATE("#Metadata!", ADDRESS(INDEX($Q$2:$Q$1001,MATCH(ROWS($O$2:O806),$O$2:$O$1001,0),0), INDEX($V$1004:$AE$1004,1,MATCH(COLUMNS($V$1006:V1006),$V$1006:$AE$1006,0)))),"Fix")))</f>
        <v>0</v>
      </c>
      <c r="C806" s="4">
        <f>IF(OR(INDEX($P$2:$P$1001,MATCH(ROWS($O$2:O806),$O$2:$O$1001,0),1)&gt;=100000,INDEX($V$1005:$AE$1005,1,MATCH(COLUMNS($V$1006:W1006),$V$1006:$AE$1006,0))&gt;=100000), " ",IF(INDEX($V$2:$AE$1001,MATCH(ROWS($O$2:O806),$O$2:$O$1001,0),MATCH(COLUMNS($V$1006:W1006),$V$1006:$AE$1006,0)), HYPERLINK("#",""), HYPERLINK(CONCATENATE("#Metadata!", ADDRESS(INDEX($Q$2:$Q$1001,MATCH(ROWS($O$2:O806),$O$2:$O$1001,0),0), INDEX($V$1004:$AE$1004,1,MATCH(COLUMNS($V$1006:W1006),$V$1006:$AE$1006,0)))),"Fix")))</f>
        <v>0</v>
      </c>
      <c r="D806" s="4">
        <f>IF(OR(INDEX($P$2:$P$1001,MATCH(ROWS($O$2:O806),$O$2:$O$1001,0),1)&gt;=100000,INDEX($V$1005:$AE$1005,1,MATCH(COLUMNS($V$1006:X1006),$V$1006:$AE$1006,0))&gt;=100000), " ",IF(INDEX($V$2:$AE$1001,MATCH(ROWS($O$2:O806),$O$2:$O$1001,0),MATCH(COLUMNS($V$1006:X1006),$V$1006:$AE$1006,0)), HYPERLINK("#",""), HYPERLINK(CONCATENATE("#Metadata!", ADDRESS(INDEX($Q$2:$Q$1001,MATCH(ROWS($O$2:O806),$O$2:$O$1001,0),0), INDEX($V$1004:$AE$1004,1,MATCH(COLUMNS($V$1006:X1006),$V$1006:$AE$1006,0)))),"Fix")))</f>
        <v>0</v>
      </c>
      <c r="E806" s="4">
        <f>IF(OR(INDEX($P$2:$P$1001,MATCH(ROWS($O$2:O806),$O$2:$O$1001,0),1)&gt;=100000,INDEX($V$1005:$AE$1005,1,MATCH(COLUMNS($V$1006:Y1006),$V$1006:$AE$1006,0))&gt;=100000), " ",IF(INDEX($V$2:$AE$1001,MATCH(ROWS($O$2:O806),$O$2:$O$1001,0),MATCH(COLUMNS($V$1006:Y1006),$V$1006:$AE$1006,0)), HYPERLINK("#",""), HYPERLINK(CONCATENATE("#Metadata!", ADDRESS(INDEX($Q$2:$Q$1001,MATCH(ROWS($O$2:O806),$O$2:$O$1001,0),0), INDEX($V$1004:$AE$1004,1,MATCH(COLUMNS($V$1006:Y1006),$V$1006:$AE$1006,0)))),"Fix")))</f>
        <v>0</v>
      </c>
      <c r="F806" s="4">
        <f>IF(OR(INDEX($P$2:$P$1001,MATCH(ROWS($O$2:O806),$O$2:$O$1001,0),1)&gt;=100000,INDEX($V$1005:$AE$1005,1,MATCH(COLUMNS($V$1006:Z1006),$V$1006:$AE$1006,0))&gt;=100000), " ",IF(INDEX($V$2:$AE$1001,MATCH(ROWS($O$2:O806),$O$2:$O$1001,0),MATCH(COLUMNS($V$1006:Z1006),$V$1006:$AE$1006,0)), HYPERLINK("#",""), HYPERLINK(CONCATENATE("#Metadata!", ADDRESS(INDEX($Q$2:$Q$1001,MATCH(ROWS($O$2:O806),$O$2:$O$1001,0),0), INDEX($V$1004:$AE$1004,1,MATCH(COLUMNS($V$1006:Z1006),$V$1006:$AE$1006,0)))),"Fix")))</f>
        <v>0</v>
      </c>
      <c r="G806" s="4">
        <f>IF(OR(INDEX($P$2:$P$1001,MATCH(ROWS($O$2:O806),$O$2:$O$1001,0),1)&gt;=100000,INDEX($V$1005:$AE$1005,1,MATCH(COLUMNS($V$1006:AA1006),$V$1006:$AE$1006,0))&gt;=100000), " ",IF(INDEX($V$2:$AE$1001,MATCH(ROWS($O$2:O806),$O$2:$O$1001,0),MATCH(COLUMNS($V$1006:AA1006),$V$1006:$AE$1006,0)), HYPERLINK("#",""), HYPERLINK(CONCATENATE("#Metadata!", ADDRESS(INDEX($Q$2:$Q$1001,MATCH(ROWS($O$2:O806),$O$2:$O$1001,0),0), INDEX($V$1004:$AE$1004,1,MATCH(COLUMNS($V$1006:AA1006),$V$1006:$AE$1006,0)))),"Fix")))</f>
        <v>0</v>
      </c>
      <c r="H806" s="4">
        <f>IF(OR(INDEX($P$2:$P$1001,MATCH(ROWS($O$2:O806),$O$2:$O$1001,0),1)&gt;=100000,INDEX($V$1005:$AE$1005,1,MATCH(COLUMNS($V$1006:AB1006),$V$1006:$AE$1006,0))&gt;=100000), " ",IF(INDEX($V$2:$AE$1001,MATCH(ROWS($O$2:O806),$O$2:$O$1001,0),MATCH(COLUMNS($V$1006:AB1006),$V$1006:$AE$1006,0)), HYPERLINK("#",""), HYPERLINK(CONCATENATE("#Metadata!", ADDRESS(INDEX($Q$2:$Q$1001,MATCH(ROWS($O$2:O806),$O$2:$O$1001,0),0), INDEX($V$1004:$AE$1004,1,MATCH(COLUMNS($V$1006:AB1006),$V$1006:$AE$1006,0)))),"Fix")))</f>
        <v>0</v>
      </c>
      <c r="I806" s="4">
        <f>IF(OR(INDEX($P$2:$P$1001,MATCH(ROWS($O$2:O806),$O$2:$O$1001,0),1)&gt;=100000,INDEX($V$1005:$AE$1005,1,MATCH(COLUMNS($V$1006:AC1006),$V$1006:$AE$1006,0))&gt;=100000), " ",IF(INDEX($V$2:$AE$1001,MATCH(ROWS($O$2:O806),$O$2:$O$1001,0),MATCH(COLUMNS($V$1006:AC1006),$V$1006:$AE$1006,0)), HYPERLINK("#",""), HYPERLINK(CONCATENATE("#Metadata!", ADDRESS(INDEX($Q$2:$Q$1001,MATCH(ROWS($O$2:O806),$O$2:$O$1001,0),0), INDEX($V$1004:$AE$1004,1,MATCH(COLUMNS($V$1006:AC1006),$V$1006:$AE$1006,0)))),"Fix")))</f>
        <v>0</v>
      </c>
      <c r="J806" s="4">
        <f>IF(OR(INDEX($P$2:$P$1001,MATCH(ROWS($O$2:O806),$O$2:$O$1001,0),1)&gt;=100000,INDEX($V$1005:$AE$1005,1,MATCH(COLUMNS($V$1006:AD1006),$V$1006:$AE$1006,0))&gt;=100000), " ",IF(INDEX($V$2:$AE$1001,MATCH(ROWS($O$2:O806),$O$2:$O$1001,0),MATCH(COLUMNS($V$1006:AD1006),$V$1006:$AE$1006,0)), HYPERLINK("#",""), HYPERLINK(CONCATENATE("#Metadata!", ADDRESS(INDEX($Q$2:$Q$1001,MATCH(ROWS($O$2:O806),$O$2:$O$1001,0),0), INDEX($V$1004:$AE$1004,1,MATCH(COLUMNS($V$1006:AD1006),$V$1006:$AE$1006,0)))),"Fix")))</f>
        <v>0</v>
      </c>
      <c r="K806" s="4">
        <f>IF(OR(INDEX($P$2:$P$1001,MATCH(ROWS($O$2:O806),$O$2:$O$1001,0),1)&gt;=100000,INDEX($V$1005:$AE$1005,1,MATCH(COLUMNS($V$1006:AE1006),$V$1006:$AE$1006,0))&gt;=100000), " ",IF(INDEX($V$2:$AE$1001,MATCH(ROWS($O$2:O806),$O$2:$O$1001,0),MATCH(COLUMNS($V$1006:AE1006),$V$1006:$AE$1006,0)), HYPERLINK("#",""), HYPERLINK(CONCATENATE("#Metadata!", ADDRESS(INDEX($Q$2:$Q$1001,MATCH(ROWS($O$2:O806),$O$2:$O$1001,0),0), INDEX($V$1004:$AE$1004,1,MATCH(COLUMNS($V$1006:AE1006),$V$1006:$AE$1006,0)))),"Fix")))</f>
        <v>0</v>
      </c>
      <c r="O806">
        <v>0</v>
      </c>
      <c r="P806">
        <v>0</v>
      </c>
      <c r="Q806">
        <v>0</v>
      </c>
      <c r="R806">
        <f>IF(S806,TRUE,AND(V806:AE806))</f>
        <v>0</v>
      </c>
      <c r="S806">
        <f>COUNTBLANK(Metadata!B806:K806)=COLUMNS(Metadata!B806:K806)</f>
        <v>0</v>
      </c>
      <c r="T806">
        <v>0</v>
      </c>
      <c r="V806">
        <f>AND(IF(Metadata!B806="",FALSE,TRUE),COUNTIF(Metadata!B:B, Metadata!B806) = 1,NOT(ISERROR(SUMPRODUCT(SEARCH(MID(Metadata!B806,ROW(INDIRECT("1:"&amp;LEN(Metadata!B806))), 1),"0123456789abcdefghijklmnopqrstuvwxyzABCDEFGHIJKLMNOPQRSTUVWXYZ.")))))</f>
        <v>0</v>
      </c>
      <c r="W806">
        <f>AND(IF(Metadata!C806="",FALSE,TRUE),exact(Metadata!C806,"urban biome"))</f>
        <v>0</v>
      </c>
      <c r="X806">
        <f>AND(IF(Metadata!D806="",FALSE,TRUE),exact(Metadata!D806,"animal-associated habitat"))</f>
        <v>0</v>
      </c>
      <c r="Y806">
        <f>OR(AND(IF(Metadata!E806="",FALSE,TRUE),OR(exact(Metadata!E806,"not applicable"),exact(Metadata!E806,"missing: not collected"),exact(Metadata!E806,"missing: not provided"),exact(Metadata!E806,"missing: restricted access"))),AND(IF(Metadata!E806="",FALSE,ISNUMBER(VALUE(Metadata!E806))),Metadata!E806&gt;0))</f>
        <v>0</v>
      </c>
      <c r="Z806">
        <f>AND(IF(Metadata!F806="",FALSE,TRUE),exact(Metadata!F806,"weeks"))</f>
        <v>0</v>
      </c>
      <c r="AA806">
        <f>AND(IF(Metadata!G806="",FALSE,TRUE),exact(Metadata!G806,"mouse"))</f>
        <v>0</v>
      </c>
      <c r="AB806">
        <f>AND(IF(Metadata!H806="",FALSE,TRUE),exact(Metadata!H806,"Mus musculus"))</f>
        <v>0</v>
      </c>
      <c r="AC806">
        <f>AND(IF(Metadata!I806="",FALSE,TRUE),exact(Metadata!I806,"10090"))</f>
        <v>0</v>
      </c>
      <c r="AD806">
        <f>OR(AND(IF(Metadata!J806="",FALSE,TRUE),OR(exact(Metadata!J806,"not applicable"),exact(Metadata!J806,"missing: not collected"),exact(Metadata!J806,"missing: not provided"),exact(Metadata!J806,"missing: restricted access"))),AND(IF(Metadata!J806="",FALSE,ISNUMBER(VALUE(Metadata!J806))),Metadata!J806&gt;0))</f>
        <v>0</v>
      </c>
      <c r="AE806">
        <f>AND(IF(Metadata!K806="",FALSE,TRUE),exact(Metadata!K806,"g"))</f>
        <v>0</v>
      </c>
    </row>
    <row r="807" spans="1:31">
      <c r="A807" s="5">
        <f>IF(B807=" "," ",HYPERLINK(CONCATENATE("#metadata!",ADDRESS(INDEX($Q$2:$Q$1001,MATCH(ROWS($O$2:O807),$O$2:$O$1001,0),0),1)),INDEX($T$2:$T$1001,MATCH(ROWS($O$2:O807),$O$2:$O$1001,0),0)))</f>
        <v>0</v>
      </c>
      <c r="B807" s="4">
        <f>IF(OR(INDEX($P$2:$P$1001,MATCH(ROWS($O$2:O807),$O$2:$O$1001,0),1)&gt;=100000,INDEX($V$1005:$AE$1005,1,MATCH(COLUMNS($V$1006:V1006),$V$1006:$AE$1006,0))&gt;=100000), " ",IF(INDEX($V$2:$AE$1001,MATCH(ROWS($O$2:O807),$O$2:$O$1001,0),MATCH(COLUMNS($V$1006:V1006),$V$1006:$AE$1006,0)), HYPERLINK("#",""), HYPERLINK(CONCATENATE("#Metadata!", ADDRESS(INDEX($Q$2:$Q$1001,MATCH(ROWS($O$2:O807),$O$2:$O$1001,0),0), INDEX($V$1004:$AE$1004,1,MATCH(COLUMNS($V$1006:V1006),$V$1006:$AE$1006,0)))),"Fix")))</f>
        <v>0</v>
      </c>
      <c r="C807" s="4">
        <f>IF(OR(INDEX($P$2:$P$1001,MATCH(ROWS($O$2:O807),$O$2:$O$1001,0),1)&gt;=100000,INDEX($V$1005:$AE$1005,1,MATCH(COLUMNS($V$1006:W1006),$V$1006:$AE$1006,0))&gt;=100000), " ",IF(INDEX($V$2:$AE$1001,MATCH(ROWS($O$2:O807),$O$2:$O$1001,0),MATCH(COLUMNS($V$1006:W1006),$V$1006:$AE$1006,0)), HYPERLINK("#",""), HYPERLINK(CONCATENATE("#Metadata!", ADDRESS(INDEX($Q$2:$Q$1001,MATCH(ROWS($O$2:O807),$O$2:$O$1001,0),0), INDEX($V$1004:$AE$1004,1,MATCH(COLUMNS($V$1006:W1006),$V$1006:$AE$1006,0)))),"Fix")))</f>
        <v>0</v>
      </c>
      <c r="D807" s="4">
        <f>IF(OR(INDEX($P$2:$P$1001,MATCH(ROWS($O$2:O807),$O$2:$O$1001,0),1)&gt;=100000,INDEX($V$1005:$AE$1005,1,MATCH(COLUMNS($V$1006:X1006),$V$1006:$AE$1006,0))&gt;=100000), " ",IF(INDEX($V$2:$AE$1001,MATCH(ROWS($O$2:O807),$O$2:$O$1001,0),MATCH(COLUMNS($V$1006:X1006),$V$1006:$AE$1006,0)), HYPERLINK("#",""), HYPERLINK(CONCATENATE("#Metadata!", ADDRESS(INDEX($Q$2:$Q$1001,MATCH(ROWS($O$2:O807),$O$2:$O$1001,0),0), INDEX($V$1004:$AE$1004,1,MATCH(COLUMNS($V$1006:X1006),$V$1006:$AE$1006,0)))),"Fix")))</f>
        <v>0</v>
      </c>
      <c r="E807" s="4">
        <f>IF(OR(INDEX($P$2:$P$1001,MATCH(ROWS($O$2:O807),$O$2:$O$1001,0),1)&gt;=100000,INDEX($V$1005:$AE$1005,1,MATCH(COLUMNS($V$1006:Y1006),$V$1006:$AE$1006,0))&gt;=100000), " ",IF(INDEX($V$2:$AE$1001,MATCH(ROWS($O$2:O807),$O$2:$O$1001,0),MATCH(COLUMNS($V$1006:Y1006),$V$1006:$AE$1006,0)), HYPERLINK("#",""), HYPERLINK(CONCATENATE("#Metadata!", ADDRESS(INDEX($Q$2:$Q$1001,MATCH(ROWS($O$2:O807),$O$2:$O$1001,0),0), INDEX($V$1004:$AE$1004,1,MATCH(COLUMNS($V$1006:Y1006),$V$1006:$AE$1006,0)))),"Fix")))</f>
        <v>0</v>
      </c>
      <c r="F807" s="4">
        <f>IF(OR(INDEX($P$2:$P$1001,MATCH(ROWS($O$2:O807),$O$2:$O$1001,0),1)&gt;=100000,INDEX($V$1005:$AE$1005,1,MATCH(COLUMNS($V$1006:Z1006),$V$1006:$AE$1006,0))&gt;=100000), " ",IF(INDEX($V$2:$AE$1001,MATCH(ROWS($O$2:O807),$O$2:$O$1001,0),MATCH(COLUMNS($V$1006:Z1006),$V$1006:$AE$1006,0)), HYPERLINK("#",""), HYPERLINK(CONCATENATE("#Metadata!", ADDRESS(INDEX($Q$2:$Q$1001,MATCH(ROWS($O$2:O807),$O$2:$O$1001,0),0), INDEX($V$1004:$AE$1004,1,MATCH(COLUMNS($V$1006:Z1006),$V$1006:$AE$1006,0)))),"Fix")))</f>
        <v>0</v>
      </c>
      <c r="G807" s="4">
        <f>IF(OR(INDEX($P$2:$P$1001,MATCH(ROWS($O$2:O807),$O$2:$O$1001,0),1)&gt;=100000,INDEX($V$1005:$AE$1005,1,MATCH(COLUMNS($V$1006:AA1006),$V$1006:$AE$1006,0))&gt;=100000), " ",IF(INDEX($V$2:$AE$1001,MATCH(ROWS($O$2:O807),$O$2:$O$1001,0),MATCH(COLUMNS($V$1006:AA1006),$V$1006:$AE$1006,0)), HYPERLINK("#",""), HYPERLINK(CONCATENATE("#Metadata!", ADDRESS(INDEX($Q$2:$Q$1001,MATCH(ROWS($O$2:O807),$O$2:$O$1001,0),0), INDEX($V$1004:$AE$1004,1,MATCH(COLUMNS($V$1006:AA1006),$V$1006:$AE$1006,0)))),"Fix")))</f>
        <v>0</v>
      </c>
      <c r="H807" s="4">
        <f>IF(OR(INDEX($P$2:$P$1001,MATCH(ROWS($O$2:O807),$O$2:$O$1001,0),1)&gt;=100000,INDEX($V$1005:$AE$1005,1,MATCH(COLUMNS($V$1006:AB1006),$V$1006:$AE$1006,0))&gt;=100000), " ",IF(INDEX($V$2:$AE$1001,MATCH(ROWS($O$2:O807),$O$2:$O$1001,0),MATCH(COLUMNS($V$1006:AB1006),$V$1006:$AE$1006,0)), HYPERLINK("#",""), HYPERLINK(CONCATENATE("#Metadata!", ADDRESS(INDEX($Q$2:$Q$1001,MATCH(ROWS($O$2:O807),$O$2:$O$1001,0),0), INDEX($V$1004:$AE$1004,1,MATCH(COLUMNS($V$1006:AB1006),$V$1006:$AE$1006,0)))),"Fix")))</f>
        <v>0</v>
      </c>
      <c r="I807" s="4">
        <f>IF(OR(INDEX($P$2:$P$1001,MATCH(ROWS($O$2:O807),$O$2:$O$1001,0),1)&gt;=100000,INDEX($V$1005:$AE$1005,1,MATCH(COLUMNS($V$1006:AC1006),$V$1006:$AE$1006,0))&gt;=100000), " ",IF(INDEX($V$2:$AE$1001,MATCH(ROWS($O$2:O807),$O$2:$O$1001,0),MATCH(COLUMNS($V$1006:AC1006),$V$1006:$AE$1006,0)), HYPERLINK("#",""), HYPERLINK(CONCATENATE("#Metadata!", ADDRESS(INDEX($Q$2:$Q$1001,MATCH(ROWS($O$2:O807),$O$2:$O$1001,0),0), INDEX($V$1004:$AE$1004,1,MATCH(COLUMNS($V$1006:AC1006),$V$1006:$AE$1006,0)))),"Fix")))</f>
        <v>0</v>
      </c>
      <c r="J807" s="4">
        <f>IF(OR(INDEX($P$2:$P$1001,MATCH(ROWS($O$2:O807),$O$2:$O$1001,0),1)&gt;=100000,INDEX($V$1005:$AE$1005,1,MATCH(COLUMNS($V$1006:AD1006),$V$1006:$AE$1006,0))&gt;=100000), " ",IF(INDEX($V$2:$AE$1001,MATCH(ROWS($O$2:O807),$O$2:$O$1001,0),MATCH(COLUMNS($V$1006:AD1006),$V$1006:$AE$1006,0)), HYPERLINK("#",""), HYPERLINK(CONCATENATE("#Metadata!", ADDRESS(INDEX($Q$2:$Q$1001,MATCH(ROWS($O$2:O807),$O$2:$O$1001,0),0), INDEX($V$1004:$AE$1004,1,MATCH(COLUMNS($V$1006:AD1006),$V$1006:$AE$1006,0)))),"Fix")))</f>
        <v>0</v>
      </c>
      <c r="K807" s="4">
        <f>IF(OR(INDEX($P$2:$P$1001,MATCH(ROWS($O$2:O807),$O$2:$O$1001,0),1)&gt;=100000,INDEX($V$1005:$AE$1005,1,MATCH(COLUMNS($V$1006:AE1006),$V$1006:$AE$1006,0))&gt;=100000), " ",IF(INDEX($V$2:$AE$1001,MATCH(ROWS($O$2:O807),$O$2:$O$1001,0),MATCH(COLUMNS($V$1006:AE1006),$V$1006:$AE$1006,0)), HYPERLINK("#",""), HYPERLINK(CONCATENATE("#Metadata!", ADDRESS(INDEX($Q$2:$Q$1001,MATCH(ROWS($O$2:O807),$O$2:$O$1001,0),0), INDEX($V$1004:$AE$1004,1,MATCH(COLUMNS($V$1006:AE1006),$V$1006:$AE$1006,0)))),"Fix")))</f>
        <v>0</v>
      </c>
      <c r="O807">
        <v>0</v>
      </c>
      <c r="P807">
        <v>0</v>
      </c>
      <c r="Q807">
        <v>0</v>
      </c>
      <c r="R807">
        <f>IF(S807,TRUE,AND(V807:AE807))</f>
        <v>0</v>
      </c>
      <c r="S807">
        <f>COUNTBLANK(Metadata!B807:K807)=COLUMNS(Metadata!B807:K807)</f>
        <v>0</v>
      </c>
      <c r="T807">
        <v>0</v>
      </c>
      <c r="V807">
        <f>AND(IF(Metadata!B807="",FALSE,TRUE),COUNTIF(Metadata!B:B, Metadata!B807) = 1,NOT(ISERROR(SUMPRODUCT(SEARCH(MID(Metadata!B807,ROW(INDIRECT("1:"&amp;LEN(Metadata!B807))), 1),"0123456789abcdefghijklmnopqrstuvwxyzABCDEFGHIJKLMNOPQRSTUVWXYZ.")))))</f>
        <v>0</v>
      </c>
      <c r="W807">
        <f>AND(IF(Metadata!C807="",FALSE,TRUE),exact(Metadata!C807,"urban biome"))</f>
        <v>0</v>
      </c>
      <c r="X807">
        <f>AND(IF(Metadata!D807="",FALSE,TRUE),exact(Metadata!D807,"animal-associated habitat"))</f>
        <v>0</v>
      </c>
      <c r="Y807">
        <f>OR(AND(IF(Metadata!E807="",FALSE,TRUE),OR(exact(Metadata!E807,"not applicable"),exact(Metadata!E807,"missing: not collected"),exact(Metadata!E807,"missing: not provided"),exact(Metadata!E807,"missing: restricted access"))),AND(IF(Metadata!E807="",FALSE,ISNUMBER(VALUE(Metadata!E807))),Metadata!E807&gt;0))</f>
        <v>0</v>
      </c>
      <c r="Z807">
        <f>AND(IF(Metadata!F807="",FALSE,TRUE),exact(Metadata!F807,"weeks"))</f>
        <v>0</v>
      </c>
      <c r="AA807">
        <f>AND(IF(Metadata!G807="",FALSE,TRUE),exact(Metadata!G807,"mouse"))</f>
        <v>0</v>
      </c>
      <c r="AB807">
        <f>AND(IF(Metadata!H807="",FALSE,TRUE),exact(Metadata!H807,"Mus musculus"))</f>
        <v>0</v>
      </c>
      <c r="AC807">
        <f>AND(IF(Metadata!I807="",FALSE,TRUE),exact(Metadata!I807,"10090"))</f>
        <v>0</v>
      </c>
      <c r="AD807">
        <f>OR(AND(IF(Metadata!J807="",FALSE,TRUE),OR(exact(Metadata!J807,"not applicable"),exact(Metadata!J807,"missing: not collected"),exact(Metadata!J807,"missing: not provided"),exact(Metadata!J807,"missing: restricted access"))),AND(IF(Metadata!J807="",FALSE,ISNUMBER(VALUE(Metadata!J807))),Metadata!J807&gt;0))</f>
        <v>0</v>
      </c>
      <c r="AE807">
        <f>AND(IF(Metadata!K807="",FALSE,TRUE),exact(Metadata!K807,"g"))</f>
        <v>0</v>
      </c>
    </row>
    <row r="808" spans="1:31">
      <c r="A808" s="5">
        <f>IF(B808=" "," ",HYPERLINK(CONCATENATE("#metadata!",ADDRESS(INDEX($Q$2:$Q$1001,MATCH(ROWS($O$2:O808),$O$2:$O$1001,0),0),1)),INDEX($T$2:$T$1001,MATCH(ROWS($O$2:O808),$O$2:$O$1001,0),0)))</f>
        <v>0</v>
      </c>
      <c r="B808" s="4">
        <f>IF(OR(INDEX($P$2:$P$1001,MATCH(ROWS($O$2:O808),$O$2:$O$1001,0),1)&gt;=100000,INDEX($V$1005:$AE$1005,1,MATCH(COLUMNS($V$1006:V1006),$V$1006:$AE$1006,0))&gt;=100000), " ",IF(INDEX($V$2:$AE$1001,MATCH(ROWS($O$2:O808),$O$2:$O$1001,0),MATCH(COLUMNS($V$1006:V1006),$V$1006:$AE$1006,0)), HYPERLINK("#",""), HYPERLINK(CONCATENATE("#Metadata!", ADDRESS(INDEX($Q$2:$Q$1001,MATCH(ROWS($O$2:O808),$O$2:$O$1001,0),0), INDEX($V$1004:$AE$1004,1,MATCH(COLUMNS($V$1006:V1006),$V$1006:$AE$1006,0)))),"Fix")))</f>
        <v>0</v>
      </c>
      <c r="C808" s="4">
        <f>IF(OR(INDEX($P$2:$P$1001,MATCH(ROWS($O$2:O808),$O$2:$O$1001,0),1)&gt;=100000,INDEX($V$1005:$AE$1005,1,MATCH(COLUMNS($V$1006:W1006),$V$1006:$AE$1006,0))&gt;=100000), " ",IF(INDEX($V$2:$AE$1001,MATCH(ROWS($O$2:O808),$O$2:$O$1001,0),MATCH(COLUMNS($V$1006:W1006),$V$1006:$AE$1006,0)), HYPERLINK("#",""), HYPERLINK(CONCATENATE("#Metadata!", ADDRESS(INDEX($Q$2:$Q$1001,MATCH(ROWS($O$2:O808),$O$2:$O$1001,0),0), INDEX($V$1004:$AE$1004,1,MATCH(COLUMNS($V$1006:W1006),$V$1006:$AE$1006,0)))),"Fix")))</f>
        <v>0</v>
      </c>
      <c r="D808" s="4">
        <f>IF(OR(INDEX($P$2:$P$1001,MATCH(ROWS($O$2:O808),$O$2:$O$1001,0),1)&gt;=100000,INDEX($V$1005:$AE$1005,1,MATCH(COLUMNS($V$1006:X1006),$V$1006:$AE$1006,0))&gt;=100000), " ",IF(INDEX($V$2:$AE$1001,MATCH(ROWS($O$2:O808),$O$2:$O$1001,0),MATCH(COLUMNS($V$1006:X1006),$V$1006:$AE$1006,0)), HYPERLINK("#",""), HYPERLINK(CONCATENATE("#Metadata!", ADDRESS(INDEX($Q$2:$Q$1001,MATCH(ROWS($O$2:O808),$O$2:$O$1001,0),0), INDEX($V$1004:$AE$1004,1,MATCH(COLUMNS($V$1006:X1006),$V$1006:$AE$1006,0)))),"Fix")))</f>
        <v>0</v>
      </c>
      <c r="E808" s="4">
        <f>IF(OR(INDEX($P$2:$P$1001,MATCH(ROWS($O$2:O808),$O$2:$O$1001,0),1)&gt;=100000,INDEX($V$1005:$AE$1005,1,MATCH(COLUMNS($V$1006:Y1006),$V$1006:$AE$1006,0))&gt;=100000), " ",IF(INDEX($V$2:$AE$1001,MATCH(ROWS($O$2:O808),$O$2:$O$1001,0),MATCH(COLUMNS($V$1006:Y1006),$V$1006:$AE$1006,0)), HYPERLINK("#",""), HYPERLINK(CONCATENATE("#Metadata!", ADDRESS(INDEX($Q$2:$Q$1001,MATCH(ROWS($O$2:O808),$O$2:$O$1001,0),0), INDEX($V$1004:$AE$1004,1,MATCH(COLUMNS($V$1006:Y1006),$V$1006:$AE$1006,0)))),"Fix")))</f>
        <v>0</v>
      </c>
      <c r="F808" s="4">
        <f>IF(OR(INDEX($P$2:$P$1001,MATCH(ROWS($O$2:O808),$O$2:$O$1001,0),1)&gt;=100000,INDEX($V$1005:$AE$1005,1,MATCH(COLUMNS($V$1006:Z1006),$V$1006:$AE$1006,0))&gt;=100000), " ",IF(INDEX($V$2:$AE$1001,MATCH(ROWS($O$2:O808),$O$2:$O$1001,0),MATCH(COLUMNS($V$1006:Z1006),$V$1006:$AE$1006,0)), HYPERLINK("#",""), HYPERLINK(CONCATENATE("#Metadata!", ADDRESS(INDEX($Q$2:$Q$1001,MATCH(ROWS($O$2:O808),$O$2:$O$1001,0),0), INDEX($V$1004:$AE$1004,1,MATCH(COLUMNS($V$1006:Z1006),$V$1006:$AE$1006,0)))),"Fix")))</f>
        <v>0</v>
      </c>
      <c r="G808" s="4">
        <f>IF(OR(INDEX($P$2:$P$1001,MATCH(ROWS($O$2:O808),$O$2:$O$1001,0),1)&gt;=100000,INDEX($V$1005:$AE$1005,1,MATCH(COLUMNS($V$1006:AA1006),$V$1006:$AE$1006,0))&gt;=100000), " ",IF(INDEX($V$2:$AE$1001,MATCH(ROWS($O$2:O808),$O$2:$O$1001,0),MATCH(COLUMNS($V$1006:AA1006),$V$1006:$AE$1006,0)), HYPERLINK("#",""), HYPERLINK(CONCATENATE("#Metadata!", ADDRESS(INDEX($Q$2:$Q$1001,MATCH(ROWS($O$2:O808),$O$2:$O$1001,0),0), INDEX($V$1004:$AE$1004,1,MATCH(COLUMNS($V$1006:AA1006),$V$1006:$AE$1006,0)))),"Fix")))</f>
        <v>0</v>
      </c>
      <c r="H808" s="4">
        <f>IF(OR(INDEX($P$2:$P$1001,MATCH(ROWS($O$2:O808),$O$2:$O$1001,0),1)&gt;=100000,INDEX($V$1005:$AE$1005,1,MATCH(COLUMNS($V$1006:AB1006),$V$1006:$AE$1006,0))&gt;=100000), " ",IF(INDEX($V$2:$AE$1001,MATCH(ROWS($O$2:O808),$O$2:$O$1001,0),MATCH(COLUMNS($V$1006:AB1006),$V$1006:$AE$1006,0)), HYPERLINK("#",""), HYPERLINK(CONCATENATE("#Metadata!", ADDRESS(INDEX($Q$2:$Q$1001,MATCH(ROWS($O$2:O808),$O$2:$O$1001,0),0), INDEX($V$1004:$AE$1004,1,MATCH(COLUMNS($V$1006:AB1006),$V$1006:$AE$1006,0)))),"Fix")))</f>
        <v>0</v>
      </c>
      <c r="I808" s="4">
        <f>IF(OR(INDEX($P$2:$P$1001,MATCH(ROWS($O$2:O808),$O$2:$O$1001,0),1)&gt;=100000,INDEX($V$1005:$AE$1005,1,MATCH(COLUMNS($V$1006:AC1006),$V$1006:$AE$1006,0))&gt;=100000), " ",IF(INDEX($V$2:$AE$1001,MATCH(ROWS($O$2:O808),$O$2:$O$1001,0),MATCH(COLUMNS($V$1006:AC1006),$V$1006:$AE$1006,0)), HYPERLINK("#",""), HYPERLINK(CONCATENATE("#Metadata!", ADDRESS(INDEX($Q$2:$Q$1001,MATCH(ROWS($O$2:O808),$O$2:$O$1001,0),0), INDEX($V$1004:$AE$1004,1,MATCH(COLUMNS($V$1006:AC1006),$V$1006:$AE$1006,0)))),"Fix")))</f>
        <v>0</v>
      </c>
      <c r="J808" s="4">
        <f>IF(OR(INDEX($P$2:$P$1001,MATCH(ROWS($O$2:O808),$O$2:$O$1001,0),1)&gt;=100000,INDEX($V$1005:$AE$1005,1,MATCH(COLUMNS($V$1006:AD1006),$V$1006:$AE$1006,0))&gt;=100000), " ",IF(INDEX($V$2:$AE$1001,MATCH(ROWS($O$2:O808),$O$2:$O$1001,0),MATCH(COLUMNS($V$1006:AD1006),$V$1006:$AE$1006,0)), HYPERLINK("#",""), HYPERLINK(CONCATENATE("#Metadata!", ADDRESS(INDEX($Q$2:$Q$1001,MATCH(ROWS($O$2:O808),$O$2:$O$1001,0),0), INDEX($V$1004:$AE$1004,1,MATCH(COLUMNS($V$1006:AD1006),$V$1006:$AE$1006,0)))),"Fix")))</f>
        <v>0</v>
      </c>
      <c r="K808" s="4">
        <f>IF(OR(INDEX($P$2:$P$1001,MATCH(ROWS($O$2:O808),$O$2:$O$1001,0),1)&gt;=100000,INDEX($V$1005:$AE$1005,1,MATCH(COLUMNS($V$1006:AE1006),$V$1006:$AE$1006,0))&gt;=100000), " ",IF(INDEX($V$2:$AE$1001,MATCH(ROWS($O$2:O808),$O$2:$O$1001,0),MATCH(COLUMNS($V$1006:AE1006),$V$1006:$AE$1006,0)), HYPERLINK("#",""), HYPERLINK(CONCATENATE("#Metadata!", ADDRESS(INDEX($Q$2:$Q$1001,MATCH(ROWS($O$2:O808),$O$2:$O$1001,0),0), INDEX($V$1004:$AE$1004,1,MATCH(COLUMNS($V$1006:AE1006),$V$1006:$AE$1006,0)))),"Fix")))</f>
        <v>0</v>
      </c>
      <c r="O808">
        <v>0</v>
      </c>
      <c r="P808">
        <v>0</v>
      </c>
      <c r="Q808">
        <v>0</v>
      </c>
      <c r="R808">
        <f>IF(S808,TRUE,AND(V808:AE808))</f>
        <v>0</v>
      </c>
      <c r="S808">
        <f>COUNTBLANK(Metadata!B808:K808)=COLUMNS(Metadata!B808:K808)</f>
        <v>0</v>
      </c>
      <c r="T808">
        <v>0</v>
      </c>
      <c r="V808">
        <f>AND(IF(Metadata!B808="",FALSE,TRUE),COUNTIF(Metadata!B:B, Metadata!B808) = 1,NOT(ISERROR(SUMPRODUCT(SEARCH(MID(Metadata!B808,ROW(INDIRECT("1:"&amp;LEN(Metadata!B808))), 1),"0123456789abcdefghijklmnopqrstuvwxyzABCDEFGHIJKLMNOPQRSTUVWXYZ.")))))</f>
        <v>0</v>
      </c>
      <c r="W808">
        <f>AND(IF(Metadata!C808="",FALSE,TRUE),exact(Metadata!C808,"urban biome"))</f>
        <v>0</v>
      </c>
      <c r="X808">
        <f>AND(IF(Metadata!D808="",FALSE,TRUE),exact(Metadata!D808,"animal-associated habitat"))</f>
        <v>0</v>
      </c>
      <c r="Y808">
        <f>OR(AND(IF(Metadata!E808="",FALSE,TRUE),OR(exact(Metadata!E808,"not applicable"),exact(Metadata!E808,"missing: not collected"),exact(Metadata!E808,"missing: not provided"),exact(Metadata!E808,"missing: restricted access"))),AND(IF(Metadata!E808="",FALSE,ISNUMBER(VALUE(Metadata!E808))),Metadata!E808&gt;0))</f>
        <v>0</v>
      </c>
      <c r="Z808">
        <f>AND(IF(Metadata!F808="",FALSE,TRUE),exact(Metadata!F808,"weeks"))</f>
        <v>0</v>
      </c>
      <c r="AA808">
        <f>AND(IF(Metadata!G808="",FALSE,TRUE),exact(Metadata!G808,"mouse"))</f>
        <v>0</v>
      </c>
      <c r="AB808">
        <f>AND(IF(Metadata!H808="",FALSE,TRUE),exact(Metadata!H808,"Mus musculus"))</f>
        <v>0</v>
      </c>
      <c r="AC808">
        <f>AND(IF(Metadata!I808="",FALSE,TRUE),exact(Metadata!I808,"10090"))</f>
        <v>0</v>
      </c>
      <c r="AD808">
        <f>OR(AND(IF(Metadata!J808="",FALSE,TRUE),OR(exact(Metadata!J808,"not applicable"),exact(Metadata!J808,"missing: not collected"),exact(Metadata!J808,"missing: not provided"),exact(Metadata!J808,"missing: restricted access"))),AND(IF(Metadata!J808="",FALSE,ISNUMBER(VALUE(Metadata!J808))),Metadata!J808&gt;0))</f>
        <v>0</v>
      </c>
      <c r="AE808">
        <f>AND(IF(Metadata!K808="",FALSE,TRUE),exact(Metadata!K808,"g"))</f>
        <v>0</v>
      </c>
    </row>
    <row r="809" spans="1:31">
      <c r="A809" s="5">
        <f>IF(B809=" "," ",HYPERLINK(CONCATENATE("#metadata!",ADDRESS(INDEX($Q$2:$Q$1001,MATCH(ROWS($O$2:O809),$O$2:$O$1001,0),0),1)),INDEX($T$2:$T$1001,MATCH(ROWS($O$2:O809),$O$2:$O$1001,0),0)))</f>
        <v>0</v>
      </c>
      <c r="B809" s="4">
        <f>IF(OR(INDEX($P$2:$P$1001,MATCH(ROWS($O$2:O809),$O$2:$O$1001,0),1)&gt;=100000,INDEX($V$1005:$AE$1005,1,MATCH(COLUMNS($V$1006:V1006),$V$1006:$AE$1006,0))&gt;=100000), " ",IF(INDEX($V$2:$AE$1001,MATCH(ROWS($O$2:O809),$O$2:$O$1001,0),MATCH(COLUMNS($V$1006:V1006),$V$1006:$AE$1006,0)), HYPERLINK("#",""), HYPERLINK(CONCATENATE("#Metadata!", ADDRESS(INDEX($Q$2:$Q$1001,MATCH(ROWS($O$2:O809),$O$2:$O$1001,0),0), INDEX($V$1004:$AE$1004,1,MATCH(COLUMNS($V$1006:V1006),$V$1006:$AE$1006,0)))),"Fix")))</f>
        <v>0</v>
      </c>
      <c r="C809" s="4">
        <f>IF(OR(INDEX($P$2:$P$1001,MATCH(ROWS($O$2:O809),$O$2:$O$1001,0),1)&gt;=100000,INDEX($V$1005:$AE$1005,1,MATCH(COLUMNS($V$1006:W1006),$V$1006:$AE$1006,0))&gt;=100000), " ",IF(INDEX($V$2:$AE$1001,MATCH(ROWS($O$2:O809),$O$2:$O$1001,0),MATCH(COLUMNS($V$1006:W1006),$V$1006:$AE$1006,0)), HYPERLINK("#",""), HYPERLINK(CONCATENATE("#Metadata!", ADDRESS(INDEX($Q$2:$Q$1001,MATCH(ROWS($O$2:O809),$O$2:$O$1001,0),0), INDEX($V$1004:$AE$1004,1,MATCH(COLUMNS($V$1006:W1006),$V$1006:$AE$1006,0)))),"Fix")))</f>
        <v>0</v>
      </c>
      <c r="D809" s="4">
        <f>IF(OR(INDEX($P$2:$P$1001,MATCH(ROWS($O$2:O809),$O$2:$O$1001,0),1)&gt;=100000,INDEX($V$1005:$AE$1005,1,MATCH(COLUMNS($V$1006:X1006),$V$1006:$AE$1006,0))&gt;=100000), " ",IF(INDEX($V$2:$AE$1001,MATCH(ROWS($O$2:O809),$O$2:$O$1001,0),MATCH(COLUMNS($V$1006:X1006),$V$1006:$AE$1006,0)), HYPERLINK("#",""), HYPERLINK(CONCATENATE("#Metadata!", ADDRESS(INDEX($Q$2:$Q$1001,MATCH(ROWS($O$2:O809),$O$2:$O$1001,0),0), INDEX($V$1004:$AE$1004,1,MATCH(COLUMNS($V$1006:X1006),$V$1006:$AE$1006,0)))),"Fix")))</f>
        <v>0</v>
      </c>
      <c r="E809" s="4">
        <f>IF(OR(INDEX($P$2:$P$1001,MATCH(ROWS($O$2:O809),$O$2:$O$1001,0),1)&gt;=100000,INDEX($V$1005:$AE$1005,1,MATCH(COLUMNS($V$1006:Y1006),$V$1006:$AE$1006,0))&gt;=100000), " ",IF(INDEX($V$2:$AE$1001,MATCH(ROWS($O$2:O809),$O$2:$O$1001,0),MATCH(COLUMNS($V$1006:Y1006),$V$1006:$AE$1006,0)), HYPERLINK("#",""), HYPERLINK(CONCATENATE("#Metadata!", ADDRESS(INDEX($Q$2:$Q$1001,MATCH(ROWS($O$2:O809),$O$2:$O$1001,0),0), INDEX($V$1004:$AE$1004,1,MATCH(COLUMNS($V$1006:Y1006),$V$1006:$AE$1006,0)))),"Fix")))</f>
        <v>0</v>
      </c>
      <c r="F809" s="4">
        <f>IF(OR(INDEX($P$2:$P$1001,MATCH(ROWS($O$2:O809),$O$2:$O$1001,0),1)&gt;=100000,INDEX($V$1005:$AE$1005,1,MATCH(COLUMNS($V$1006:Z1006),$V$1006:$AE$1006,0))&gt;=100000), " ",IF(INDEX($V$2:$AE$1001,MATCH(ROWS($O$2:O809),$O$2:$O$1001,0),MATCH(COLUMNS($V$1006:Z1006),$V$1006:$AE$1006,0)), HYPERLINK("#",""), HYPERLINK(CONCATENATE("#Metadata!", ADDRESS(INDEX($Q$2:$Q$1001,MATCH(ROWS($O$2:O809),$O$2:$O$1001,0),0), INDEX($V$1004:$AE$1004,1,MATCH(COLUMNS($V$1006:Z1006),$V$1006:$AE$1006,0)))),"Fix")))</f>
        <v>0</v>
      </c>
      <c r="G809" s="4">
        <f>IF(OR(INDEX($P$2:$P$1001,MATCH(ROWS($O$2:O809),$O$2:$O$1001,0),1)&gt;=100000,INDEX($V$1005:$AE$1005,1,MATCH(COLUMNS($V$1006:AA1006),$V$1006:$AE$1006,0))&gt;=100000), " ",IF(INDEX($V$2:$AE$1001,MATCH(ROWS($O$2:O809),$O$2:$O$1001,0),MATCH(COLUMNS($V$1006:AA1006),$V$1006:$AE$1006,0)), HYPERLINK("#",""), HYPERLINK(CONCATENATE("#Metadata!", ADDRESS(INDEX($Q$2:$Q$1001,MATCH(ROWS($O$2:O809),$O$2:$O$1001,0),0), INDEX($V$1004:$AE$1004,1,MATCH(COLUMNS($V$1006:AA1006),$V$1006:$AE$1006,0)))),"Fix")))</f>
        <v>0</v>
      </c>
      <c r="H809" s="4">
        <f>IF(OR(INDEX($P$2:$P$1001,MATCH(ROWS($O$2:O809),$O$2:$O$1001,0),1)&gt;=100000,INDEX($V$1005:$AE$1005,1,MATCH(COLUMNS($V$1006:AB1006),$V$1006:$AE$1006,0))&gt;=100000), " ",IF(INDEX($V$2:$AE$1001,MATCH(ROWS($O$2:O809),$O$2:$O$1001,0),MATCH(COLUMNS($V$1006:AB1006),$V$1006:$AE$1006,0)), HYPERLINK("#",""), HYPERLINK(CONCATENATE("#Metadata!", ADDRESS(INDEX($Q$2:$Q$1001,MATCH(ROWS($O$2:O809),$O$2:$O$1001,0),0), INDEX($V$1004:$AE$1004,1,MATCH(COLUMNS($V$1006:AB1006),$V$1006:$AE$1006,0)))),"Fix")))</f>
        <v>0</v>
      </c>
      <c r="I809" s="4">
        <f>IF(OR(INDEX($P$2:$P$1001,MATCH(ROWS($O$2:O809),$O$2:$O$1001,0),1)&gt;=100000,INDEX($V$1005:$AE$1005,1,MATCH(COLUMNS($V$1006:AC1006),$V$1006:$AE$1006,0))&gt;=100000), " ",IF(INDEX($V$2:$AE$1001,MATCH(ROWS($O$2:O809),$O$2:$O$1001,0),MATCH(COLUMNS($V$1006:AC1006),$V$1006:$AE$1006,0)), HYPERLINK("#",""), HYPERLINK(CONCATENATE("#Metadata!", ADDRESS(INDEX($Q$2:$Q$1001,MATCH(ROWS($O$2:O809),$O$2:$O$1001,0),0), INDEX($V$1004:$AE$1004,1,MATCH(COLUMNS($V$1006:AC1006),$V$1006:$AE$1006,0)))),"Fix")))</f>
        <v>0</v>
      </c>
      <c r="J809" s="4">
        <f>IF(OR(INDEX($P$2:$P$1001,MATCH(ROWS($O$2:O809),$O$2:$O$1001,0),1)&gt;=100000,INDEX($V$1005:$AE$1005,1,MATCH(COLUMNS($V$1006:AD1006),$V$1006:$AE$1006,0))&gt;=100000), " ",IF(INDEX($V$2:$AE$1001,MATCH(ROWS($O$2:O809),$O$2:$O$1001,0),MATCH(COLUMNS($V$1006:AD1006),$V$1006:$AE$1006,0)), HYPERLINK("#",""), HYPERLINK(CONCATENATE("#Metadata!", ADDRESS(INDEX($Q$2:$Q$1001,MATCH(ROWS($O$2:O809),$O$2:$O$1001,0),0), INDEX($V$1004:$AE$1004,1,MATCH(COLUMNS($V$1006:AD1006),$V$1006:$AE$1006,0)))),"Fix")))</f>
        <v>0</v>
      </c>
      <c r="K809" s="4">
        <f>IF(OR(INDEX($P$2:$P$1001,MATCH(ROWS($O$2:O809),$O$2:$O$1001,0),1)&gt;=100000,INDEX($V$1005:$AE$1005,1,MATCH(COLUMNS($V$1006:AE1006),$V$1006:$AE$1006,0))&gt;=100000), " ",IF(INDEX($V$2:$AE$1001,MATCH(ROWS($O$2:O809),$O$2:$O$1001,0),MATCH(COLUMNS($V$1006:AE1006),$V$1006:$AE$1006,0)), HYPERLINK("#",""), HYPERLINK(CONCATENATE("#Metadata!", ADDRESS(INDEX($Q$2:$Q$1001,MATCH(ROWS($O$2:O809),$O$2:$O$1001,0),0), INDEX($V$1004:$AE$1004,1,MATCH(COLUMNS($V$1006:AE1006),$V$1006:$AE$1006,0)))),"Fix")))</f>
        <v>0</v>
      </c>
      <c r="O809">
        <v>0</v>
      </c>
      <c r="P809">
        <v>0</v>
      </c>
      <c r="Q809">
        <v>0</v>
      </c>
      <c r="R809">
        <f>IF(S809,TRUE,AND(V809:AE809))</f>
        <v>0</v>
      </c>
      <c r="S809">
        <f>COUNTBLANK(Metadata!B809:K809)=COLUMNS(Metadata!B809:K809)</f>
        <v>0</v>
      </c>
      <c r="T809">
        <v>0</v>
      </c>
      <c r="V809">
        <f>AND(IF(Metadata!B809="",FALSE,TRUE),COUNTIF(Metadata!B:B, Metadata!B809) = 1,NOT(ISERROR(SUMPRODUCT(SEARCH(MID(Metadata!B809,ROW(INDIRECT("1:"&amp;LEN(Metadata!B809))), 1),"0123456789abcdefghijklmnopqrstuvwxyzABCDEFGHIJKLMNOPQRSTUVWXYZ.")))))</f>
        <v>0</v>
      </c>
      <c r="W809">
        <f>AND(IF(Metadata!C809="",FALSE,TRUE),exact(Metadata!C809,"urban biome"))</f>
        <v>0</v>
      </c>
      <c r="X809">
        <f>AND(IF(Metadata!D809="",FALSE,TRUE),exact(Metadata!D809,"animal-associated habitat"))</f>
        <v>0</v>
      </c>
      <c r="Y809">
        <f>OR(AND(IF(Metadata!E809="",FALSE,TRUE),OR(exact(Metadata!E809,"not applicable"),exact(Metadata!E809,"missing: not collected"),exact(Metadata!E809,"missing: not provided"),exact(Metadata!E809,"missing: restricted access"))),AND(IF(Metadata!E809="",FALSE,ISNUMBER(VALUE(Metadata!E809))),Metadata!E809&gt;0))</f>
        <v>0</v>
      </c>
      <c r="Z809">
        <f>AND(IF(Metadata!F809="",FALSE,TRUE),exact(Metadata!F809,"weeks"))</f>
        <v>0</v>
      </c>
      <c r="AA809">
        <f>AND(IF(Metadata!G809="",FALSE,TRUE),exact(Metadata!G809,"mouse"))</f>
        <v>0</v>
      </c>
      <c r="AB809">
        <f>AND(IF(Metadata!H809="",FALSE,TRUE),exact(Metadata!H809,"Mus musculus"))</f>
        <v>0</v>
      </c>
      <c r="AC809">
        <f>AND(IF(Metadata!I809="",FALSE,TRUE),exact(Metadata!I809,"10090"))</f>
        <v>0</v>
      </c>
      <c r="AD809">
        <f>OR(AND(IF(Metadata!J809="",FALSE,TRUE),OR(exact(Metadata!J809,"not applicable"),exact(Metadata!J809,"missing: not collected"),exact(Metadata!J809,"missing: not provided"),exact(Metadata!J809,"missing: restricted access"))),AND(IF(Metadata!J809="",FALSE,ISNUMBER(VALUE(Metadata!J809))),Metadata!J809&gt;0))</f>
        <v>0</v>
      </c>
      <c r="AE809">
        <f>AND(IF(Metadata!K809="",FALSE,TRUE),exact(Metadata!K809,"g"))</f>
        <v>0</v>
      </c>
    </row>
    <row r="810" spans="1:31">
      <c r="A810" s="5">
        <f>IF(B810=" "," ",HYPERLINK(CONCATENATE("#metadata!",ADDRESS(INDEX($Q$2:$Q$1001,MATCH(ROWS($O$2:O810),$O$2:$O$1001,0),0),1)),INDEX($T$2:$T$1001,MATCH(ROWS($O$2:O810),$O$2:$O$1001,0),0)))</f>
        <v>0</v>
      </c>
      <c r="B810" s="4">
        <f>IF(OR(INDEX($P$2:$P$1001,MATCH(ROWS($O$2:O810),$O$2:$O$1001,0),1)&gt;=100000,INDEX($V$1005:$AE$1005,1,MATCH(COLUMNS($V$1006:V1006),$V$1006:$AE$1006,0))&gt;=100000), " ",IF(INDEX($V$2:$AE$1001,MATCH(ROWS($O$2:O810),$O$2:$O$1001,0),MATCH(COLUMNS($V$1006:V1006),$V$1006:$AE$1006,0)), HYPERLINK("#",""), HYPERLINK(CONCATENATE("#Metadata!", ADDRESS(INDEX($Q$2:$Q$1001,MATCH(ROWS($O$2:O810),$O$2:$O$1001,0),0), INDEX($V$1004:$AE$1004,1,MATCH(COLUMNS($V$1006:V1006),$V$1006:$AE$1006,0)))),"Fix")))</f>
        <v>0</v>
      </c>
      <c r="C810" s="4">
        <f>IF(OR(INDEX($P$2:$P$1001,MATCH(ROWS($O$2:O810),$O$2:$O$1001,0),1)&gt;=100000,INDEX($V$1005:$AE$1005,1,MATCH(COLUMNS($V$1006:W1006),$V$1006:$AE$1006,0))&gt;=100000), " ",IF(INDEX($V$2:$AE$1001,MATCH(ROWS($O$2:O810),$O$2:$O$1001,0),MATCH(COLUMNS($V$1006:W1006),$V$1006:$AE$1006,0)), HYPERLINK("#",""), HYPERLINK(CONCATENATE("#Metadata!", ADDRESS(INDEX($Q$2:$Q$1001,MATCH(ROWS($O$2:O810),$O$2:$O$1001,0),0), INDEX($V$1004:$AE$1004,1,MATCH(COLUMNS($V$1006:W1006),$V$1006:$AE$1006,0)))),"Fix")))</f>
        <v>0</v>
      </c>
      <c r="D810" s="4">
        <f>IF(OR(INDEX($P$2:$P$1001,MATCH(ROWS($O$2:O810),$O$2:$O$1001,0),1)&gt;=100000,INDEX($V$1005:$AE$1005,1,MATCH(COLUMNS($V$1006:X1006),$V$1006:$AE$1006,0))&gt;=100000), " ",IF(INDEX($V$2:$AE$1001,MATCH(ROWS($O$2:O810),$O$2:$O$1001,0),MATCH(COLUMNS($V$1006:X1006),$V$1006:$AE$1006,0)), HYPERLINK("#",""), HYPERLINK(CONCATENATE("#Metadata!", ADDRESS(INDEX($Q$2:$Q$1001,MATCH(ROWS($O$2:O810),$O$2:$O$1001,0),0), INDEX($V$1004:$AE$1004,1,MATCH(COLUMNS($V$1006:X1006),$V$1006:$AE$1006,0)))),"Fix")))</f>
        <v>0</v>
      </c>
      <c r="E810" s="4">
        <f>IF(OR(INDEX($P$2:$P$1001,MATCH(ROWS($O$2:O810),$O$2:$O$1001,0),1)&gt;=100000,INDEX($V$1005:$AE$1005,1,MATCH(COLUMNS($V$1006:Y1006),$V$1006:$AE$1006,0))&gt;=100000), " ",IF(INDEX($V$2:$AE$1001,MATCH(ROWS($O$2:O810),$O$2:$O$1001,0),MATCH(COLUMNS($V$1006:Y1006),$V$1006:$AE$1006,0)), HYPERLINK("#",""), HYPERLINK(CONCATENATE("#Metadata!", ADDRESS(INDEX($Q$2:$Q$1001,MATCH(ROWS($O$2:O810),$O$2:$O$1001,0),0), INDEX($V$1004:$AE$1004,1,MATCH(COLUMNS($V$1006:Y1006),$V$1006:$AE$1006,0)))),"Fix")))</f>
        <v>0</v>
      </c>
      <c r="F810" s="4">
        <f>IF(OR(INDEX($P$2:$P$1001,MATCH(ROWS($O$2:O810),$O$2:$O$1001,0),1)&gt;=100000,INDEX($V$1005:$AE$1005,1,MATCH(COLUMNS($V$1006:Z1006),$V$1006:$AE$1006,0))&gt;=100000), " ",IF(INDEX($V$2:$AE$1001,MATCH(ROWS($O$2:O810),$O$2:$O$1001,0),MATCH(COLUMNS($V$1006:Z1006),$V$1006:$AE$1006,0)), HYPERLINK("#",""), HYPERLINK(CONCATENATE("#Metadata!", ADDRESS(INDEX($Q$2:$Q$1001,MATCH(ROWS($O$2:O810),$O$2:$O$1001,0),0), INDEX($V$1004:$AE$1004,1,MATCH(COLUMNS($V$1006:Z1006),$V$1006:$AE$1006,0)))),"Fix")))</f>
        <v>0</v>
      </c>
      <c r="G810" s="4">
        <f>IF(OR(INDEX($P$2:$P$1001,MATCH(ROWS($O$2:O810),$O$2:$O$1001,0),1)&gt;=100000,INDEX($V$1005:$AE$1005,1,MATCH(COLUMNS($V$1006:AA1006),$V$1006:$AE$1006,0))&gt;=100000), " ",IF(INDEX($V$2:$AE$1001,MATCH(ROWS($O$2:O810),$O$2:$O$1001,0),MATCH(COLUMNS($V$1006:AA1006),$V$1006:$AE$1006,0)), HYPERLINK("#",""), HYPERLINK(CONCATENATE("#Metadata!", ADDRESS(INDEX($Q$2:$Q$1001,MATCH(ROWS($O$2:O810),$O$2:$O$1001,0),0), INDEX($V$1004:$AE$1004,1,MATCH(COLUMNS($V$1006:AA1006),$V$1006:$AE$1006,0)))),"Fix")))</f>
        <v>0</v>
      </c>
      <c r="H810" s="4">
        <f>IF(OR(INDEX($P$2:$P$1001,MATCH(ROWS($O$2:O810),$O$2:$O$1001,0),1)&gt;=100000,INDEX($V$1005:$AE$1005,1,MATCH(COLUMNS($V$1006:AB1006),$V$1006:$AE$1006,0))&gt;=100000), " ",IF(INDEX($V$2:$AE$1001,MATCH(ROWS($O$2:O810),$O$2:$O$1001,0),MATCH(COLUMNS($V$1006:AB1006),$V$1006:$AE$1006,0)), HYPERLINK("#",""), HYPERLINK(CONCATENATE("#Metadata!", ADDRESS(INDEX($Q$2:$Q$1001,MATCH(ROWS($O$2:O810),$O$2:$O$1001,0),0), INDEX($V$1004:$AE$1004,1,MATCH(COLUMNS($V$1006:AB1006),$V$1006:$AE$1006,0)))),"Fix")))</f>
        <v>0</v>
      </c>
      <c r="I810" s="4">
        <f>IF(OR(INDEX($P$2:$P$1001,MATCH(ROWS($O$2:O810),$O$2:$O$1001,0),1)&gt;=100000,INDEX($V$1005:$AE$1005,1,MATCH(COLUMNS($V$1006:AC1006),$V$1006:$AE$1006,0))&gt;=100000), " ",IF(INDEX($V$2:$AE$1001,MATCH(ROWS($O$2:O810),$O$2:$O$1001,0),MATCH(COLUMNS($V$1006:AC1006),$V$1006:$AE$1006,0)), HYPERLINK("#",""), HYPERLINK(CONCATENATE("#Metadata!", ADDRESS(INDEX($Q$2:$Q$1001,MATCH(ROWS($O$2:O810),$O$2:$O$1001,0),0), INDEX($V$1004:$AE$1004,1,MATCH(COLUMNS($V$1006:AC1006),$V$1006:$AE$1006,0)))),"Fix")))</f>
        <v>0</v>
      </c>
      <c r="J810" s="4">
        <f>IF(OR(INDEX($P$2:$P$1001,MATCH(ROWS($O$2:O810),$O$2:$O$1001,0),1)&gt;=100000,INDEX($V$1005:$AE$1005,1,MATCH(COLUMNS($V$1006:AD1006),$V$1006:$AE$1006,0))&gt;=100000), " ",IF(INDEX($V$2:$AE$1001,MATCH(ROWS($O$2:O810),$O$2:$O$1001,0),MATCH(COLUMNS($V$1006:AD1006),$V$1006:$AE$1006,0)), HYPERLINK("#",""), HYPERLINK(CONCATENATE("#Metadata!", ADDRESS(INDEX($Q$2:$Q$1001,MATCH(ROWS($O$2:O810),$O$2:$O$1001,0),0), INDEX($V$1004:$AE$1004,1,MATCH(COLUMNS($V$1006:AD1006),$V$1006:$AE$1006,0)))),"Fix")))</f>
        <v>0</v>
      </c>
      <c r="K810" s="4">
        <f>IF(OR(INDEX($P$2:$P$1001,MATCH(ROWS($O$2:O810),$O$2:$O$1001,0),1)&gt;=100000,INDEX($V$1005:$AE$1005,1,MATCH(COLUMNS($V$1006:AE1006),$V$1006:$AE$1006,0))&gt;=100000), " ",IF(INDEX($V$2:$AE$1001,MATCH(ROWS($O$2:O810),$O$2:$O$1001,0),MATCH(COLUMNS($V$1006:AE1006),$V$1006:$AE$1006,0)), HYPERLINK("#",""), HYPERLINK(CONCATENATE("#Metadata!", ADDRESS(INDEX($Q$2:$Q$1001,MATCH(ROWS($O$2:O810),$O$2:$O$1001,0),0), INDEX($V$1004:$AE$1004,1,MATCH(COLUMNS($V$1006:AE1006),$V$1006:$AE$1006,0)))),"Fix")))</f>
        <v>0</v>
      </c>
      <c r="O810">
        <v>0</v>
      </c>
      <c r="P810">
        <v>0</v>
      </c>
      <c r="Q810">
        <v>0</v>
      </c>
      <c r="R810">
        <f>IF(S810,TRUE,AND(V810:AE810))</f>
        <v>0</v>
      </c>
      <c r="S810">
        <f>COUNTBLANK(Metadata!B810:K810)=COLUMNS(Metadata!B810:K810)</f>
        <v>0</v>
      </c>
      <c r="T810">
        <v>0</v>
      </c>
      <c r="V810">
        <f>AND(IF(Metadata!B810="",FALSE,TRUE),COUNTIF(Metadata!B:B, Metadata!B810) = 1,NOT(ISERROR(SUMPRODUCT(SEARCH(MID(Metadata!B810,ROW(INDIRECT("1:"&amp;LEN(Metadata!B810))), 1),"0123456789abcdefghijklmnopqrstuvwxyzABCDEFGHIJKLMNOPQRSTUVWXYZ.")))))</f>
        <v>0</v>
      </c>
      <c r="W810">
        <f>AND(IF(Metadata!C810="",FALSE,TRUE),exact(Metadata!C810,"urban biome"))</f>
        <v>0</v>
      </c>
      <c r="X810">
        <f>AND(IF(Metadata!D810="",FALSE,TRUE),exact(Metadata!D810,"animal-associated habitat"))</f>
        <v>0</v>
      </c>
      <c r="Y810">
        <f>OR(AND(IF(Metadata!E810="",FALSE,TRUE),OR(exact(Metadata!E810,"not applicable"),exact(Metadata!E810,"missing: not collected"),exact(Metadata!E810,"missing: not provided"),exact(Metadata!E810,"missing: restricted access"))),AND(IF(Metadata!E810="",FALSE,ISNUMBER(VALUE(Metadata!E810))),Metadata!E810&gt;0))</f>
        <v>0</v>
      </c>
      <c r="Z810">
        <f>AND(IF(Metadata!F810="",FALSE,TRUE),exact(Metadata!F810,"weeks"))</f>
        <v>0</v>
      </c>
      <c r="AA810">
        <f>AND(IF(Metadata!G810="",FALSE,TRUE),exact(Metadata!G810,"mouse"))</f>
        <v>0</v>
      </c>
      <c r="AB810">
        <f>AND(IF(Metadata!H810="",FALSE,TRUE),exact(Metadata!H810,"Mus musculus"))</f>
        <v>0</v>
      </c>
      <c r="AC810">
        <f>AND(IF(Metadata!I810="",FALSE,TRUE),exact(Metadata!I810,"10090"))</f>
        <v>0</v>
      </c>
      <c r="AD810">
        <f>OR(AND(IF(Metadata!J810="",FALSE,TRUE),OR(exact(Metadata!J810,"not applicable"),exact(Metadata!J810,"missing: not collected"),exact(Metadata!J810,"missing: not provided"),exact(Metadata!J810,"missing: restricted access"))),AND(IF(Metadata!J810="",FALSE,ISNUMBER(VALUE(Metadata!J810))),Metadata!J810&gt;0))</f>
        <v>0</v>
      </c>
      <c r="AE810">
        <f>AND(IF(Metadata!K810="",FALSE,TRUE),exact(Metadata!K810,"g"))</f>
        <v>0</v>
      </c>
    </row>
    <row r="811" spans="1:31">
      <c r="A811" s="5">
        <f>IF(B811=" "," ",HYPERLINK(CONCATENATE("#metadata!",ADDRESS(INDEX($Q$2:$Q$1001,MATCH(ROWS($O$2:O811),$O$2:$O$1001,0),0),1)),INDEX($T$2:$T$1001,MATCH(ROWS($O$2:O811),$O$2:$O$1001,0),0)))</f>
        <v>0</v>
      </c>
      <c r="B811" s="4">
        <f>IF(OR(INDEX($P$2:$P$1001,MATCH(ROWS($O$2:O811),$O$2:$O$1001,0),1)&gt;=100000,INDEX($V$1005:$AE$1005,1,MATCH(COLUMNS($V$1006:V1006),$V$1006:$AE$1006,0))&gt;=100000), " ",IF(INDEX($V$2:$AE$1001,MATCH(ROWS($O$2:O811),$O$2:$O$1001,0),MATCH(COLUMNS($V$1006:V1006),$V$1006:$AE$1006,0)), HYPERLINK("#",""), HYPERLINK(CONCATENATE("#Metadata!", ADDRESS(INDEX($Q$2:$Q$1001,MATCH(ROWS($O$2:O811),$O$2:$O$1001,0),0), INDEX($V$1004:$AE$1004,1,MATCH(COLUMNS($V$1006:V1006),$V$1006:$AE$1006,0)))),"Fix")))</f>
        <v>0</v>
      </c>
      <c r="C811" s="4">
        <f>IF(OR(INDEX($P$2:$P$1001,MATCH(ROWS($O$2:O811),$O$2:$O$1001,0),1)&gt;=100000,INDEX($V$1005:$AE$1005,1,MATCH(COLUMNS($V$1006:W1006),$V$1006:$AE$1006,0))&gt;=100000), " ",IF(INDEX($V$2:$AE$1001,MATCH(ROWS($O$2:O811),$O$2:$O$1001,0),MATCH(COLUMNS($V$1006:W1006),$V$1006:$AE$1006,0)), HYPERLINK("#",""), HYPERLINK(CONCATENATE("#Metadata!", ADDRESS(INDEX($Q$2:$Q$1001,MATCH(ROWS($O$2:O811),$O$2:$O$1001,0),0), INDEX($V$1004:$AE$1004,1,MATCH(COLUMNS($V$1006:W1006),$V$1006:$AE$1006,0)))),"Fix")))</f>
        <v>0</v>
      </c>
      <c r="D811" s="4">
        <f>IF(OR(INDEX($P$2:$P$1001,MATCH(ROWS($O$2:O811),$O$2:$O$1001,0),1)&gt;=100000,INDEX($V$1005:$AE$1005,1,MATCH(COLUMNS($V$1006:X1006),$V$1006:$AE$1006,0))&gt;=100000), " ",IF(INDEX($V$2:$AE$1001,MATCH(ROWS($O$2:O811),$O$2:$O$1001,0),MATCH(COLUMNS($V$1006:X1006),$V$1006:$AE$1006,0)), HYPERLINK("#",""), HYPERLINK(CONCATENATE("#Metadata!", ADDRESS(INDEX($Q$2:$Q$1001,MATCH(ROWS($O$2:O811),$O$2:$O$1001,0),0), INDEX($V$1004:$AE$1004,1,MATCH(COLUMNS($V$1006:X1006),$V$1006:$AE$1006,0)))),"Fix")))</f>
        <v>0</v>
      </c>
      <c r="E811" s="4">
        <f>IF(OR(INDEX($P$2:$P$1001,MATCH(ROWS($O$2:O811),$O$2:$O$1001,0),1)&gt;=100000,INDEX($V$1005:$AE$1005,1,MATCH(COLUMNS($V$1006:Y1006),$V$1006:$AE$1006,0))&gt;=100000), " ",IF(INDEX($V$2:$AE$1001,MATCH(ROWS($O$2:O811),$O$2:$O$1001,0),MATCH(COLUMNS($V$1006:Y1006),$V$1006:$AE$1006,0)), HYPERLINK("#",""), HYPERLINK(CONCATENATE("#Metadata!", ADDRESS(INDEX($Q$2:$Q$1001,MATCH(ROWS($O$2:O811),$O$2:$O$1001,0),0), INDEX($V$1004:$AE$1004,1,MATCH(COLUMNS($V$1006:Y1006),$V$1006:$AE$1006,0)))),"Fix")))</f>
        <v>0</v>
      </c>
      <c r="F811" s="4">
        <f>IF(OR(INDEX($P$2:$P$1001,MATCH(ROWS($O$2:O811),$O$2:$O$1001,0),1)&gt;=100000,INDEX($V$1005:$AE$1005,1,MATCH(COLUMNS($V$1006:Z1006),$V$1006:$AE$1006,0))&gt;=100000), " ",IF(INDEX($V$2:$AE$1001,MATCH(ROWS($O$2:O811),$O$2:$O$1001,0),MATCH(COLUMNS($V$1006:Z1006),$V$1006:$AE$1006,0)), HYPERLINK("#",""), HYPERLINK(CONCATENATE("#Metadata!", ADDRESS(INDEX($Q$2:$Q$1001,MATCH(ROWS($O$2:O811),$O$2:$O$1001,0),0), INDEX($V$1004:$AE$1004,1,MATCH(COLUMNS($V$1006:Z1006),$V$1006:$AE$1006,0)))),"Fix")))</f>
        <v>0</v>
      </c>
      <c r="G811" s="4">
        <f>IF(OR(INDEX($P$2:$P$1001,MATCH(ROWS($O$2:O811),$O$2:$O$1001,0),1)&gt;=100000,INDEX($V$1005:$AE$1005,1,MATCH(COLUMNS($V$1006:AA1006),$V$1006:$AE$1006,0))&gt;=100000), " ",IF(INDEX($V$2:$AE$1001,MATCH(ROWS($O$2:O811),$O$2:$O$1001,0),MATCH(COLUMNS($V$1006:AA1006),$V$1006:$AE$1006,0)), HYPERLINK("#",""), HYPERLINK(CONCATENATE("#Metadata!", ADDRESS(INDEX($Q$2:$Q$1001,MATCH(ROWS($O$2:O811),$O$2:$O$1001,0),0), INDEX($V$1004:$AE$1004,1,MATCH(COLUMNS($V$1006:AA1006),$V$1006:$AE$1006,0)))),"Fix")))</f>
        <v>0</v>
      </c>
      <c r="H811" s="4">
        <f>IF(OR(INDEX($P$2:$P$1001,MATCH(ROWS($O$2:O811),$O$2:$O$1001,0),1)&gt;=100000,INDEX($V$1005:$AE$1005,1,MATCH(COLUMNS($V$1006:AB1006),$V$1006:$AE$1006,0))&gt;=100000), " ",IF(INDEX($V$2:$AE$1001,MATCH(ROWS($O$2:O811),$O$2:$O$1001,0),MATCH(COLUMNS($V$1006:AB1006),$V$1006:$AE$1006,0)), HYPERLINK("#",""), HYPERLINK(CONCATENATE("#Metadata!", ADDRESS(INDEX($Q$2:$Q$1001,MATCH(ROWS($O$2:O811),$O$2:$O$1001,0),0), INDEX($V$1004:$AE$1004,1,MATCH(COLUMNS($V$1006:AB1006),$V$1006:$AE$1006,0)))),"Fix")))</f>
        <v>0</v>
      </c>
      <c r="I811" s="4">
        <f>IF(OR(INDEX($P$2:$P$1001,MATCH(ROWS($O$2:O811),$O$2:$O$1001,0),1)&gt;=100000,INDEX($V$1005:$AE$1005,1,MATCH(COLUMNS($V$1006:AC1006),$V$1006:$AE$1006,0))&gt;=100000), " ",IF(INDEX($V$2:$AE$1001,MATCH(ROWS($O$2:O811),$O$2:$O$1001,0),MATCH(COLUMNS($V$1006:AC1006),$V$1006:$AE$1006,0)), HYPERLINK("#",""), HYPERLINK(CONCATENATE("#Metadata!", ADDRESS(INDEX($Q$2:$Q$1001,MATCH(ROWS($O$2:O811),$O$2:$O$1001,0),0), INDEX($V$1004:$AE$1004,1,MATCH(COLUMNS($V$1006:AC1006),$V$1006:$AE$1006,0)))),"Fix")))</f>
        <v>0</v>
      </c>
      <c r="J811" s="4">
        <f>IF(OR(INDEX($P$2:$P$1001,MATCH(ROWS($O$2:O811),$O$2:$O$1001,0),1)&gt;=100000,INDEX($V$1005:$AE$1005,1,MATCH(COLUMNS($V$1006:AD1006),$V$1006:$AE$1006,0))&gt;=100000), " ",IF(INDEX($V$2:$AE$1001,MATCH(ROWS($O$2:O811),$O$2:$O$1001,0),MATCH(COLUMNS($V$1006:AD1006),$V$1006:$AE$1006,0)), HYPERLINK("#",""), HYPERLINK(CONCATENATE("#Metadata!", ADDRESS(INDEX($Q$2:$Q$1001,MATCH(ROWS($O$2:O811),$O$2:$O$1001,0),0), INDEX($V$1004:$AE$1004,1,MATCH(COLUMNS($V$1006:AD1006),$V$1006:$AE$1006,0)))),"Fix")))</f>
        <v>0</v>
      </c>
      <c r="K811" s="4">
        <f>IF(OR(INDEX($P$2:$P$1001,MATCH(ROWS($O$2:O811),$O$2:$O$1001,0),1)&gt;=100000,INDEX($V$1005:$AE$1005,1,MATCH(COLUMNS($V$1006:AE1006),$V$1006:$AE$1006,0))&gt;=100000), " ",IF(INDEX($V$2:$AE$1001,MATCH(ROWS($O$2:O811),$O$2:$O$1001,0),MATCH(COLUMNS($V$1006:AE1006),$V$1006:$AE$1006,0)), HYPERLINK("#",""), HYPERLINK(CONCATENATE("#Metadata!", ADDRESS(INDEX($Q$2:$Q$1001,MATCH(ROWS($O$2:O811),$O$2:$O$1001,0),0), INDEX($V$1004:$AE$1004,1,MATCH(COLUMNS($V$1006:AE1006),$V$1006:$AE$1006,0)))),"Fix")))</f>
        <v>0</v>
      </c>
      <c r="O811">
        <v>0</v>
      </c>
      <c r="P811">
        <v>0</v>
      </c>
      <c r="Q811">
        <v>0</v>
      </c>
      <c r="R811">
        <f>IF(S811,TRUE,AND(V811:AE811))</f>
        <v>0</v>
      </c>
      <c r="S811">
        <f>COUNTBLANK(Metadata!B811:K811)=COLUMNS(Metadata!B811:K811)</f>
        <v>0</v>
      </c>
      <c r="T811">
        <v>0</v>
      </c>
      <c r="V811">
        <f>AND(IF(Metadata!B811="",FALSE,TRUE),COUNTIF(Metadata!B:B, Metadata!B811) = 1,NOT(ISERROR(SUMPRODUCT(SEARCH(MID(Metadata!B811,ROW(INDIRECT("1:"&amp;LEN(Metadata!B811))), 1),"0123456789abcdefghijklmnopqrstuvwxyzABCDEFGHIJKLMNOPQRSTUVWXYZ.")))))</f>
        <v>0</v>
      </c>
      <c r="W811">
        <f>AND(IF(Metadata!C811="",FALSE,TRUE),exact(Metadata!C811,"urban biome"))</f>
        <v>0</v>
      </c>
      <c r="X811">
        <f>AND(IF(Metadata!D811="",FALSE,TRUE),exact(Metadata!D811,"animal-associated habitat"))</f>
        <v>0</v>
      </c>
      <c r="Y811">
        <f>OR(AND(IF(Metadata!E811="",FALSE,TRUE),OR(exact(Metadata!E811,"not applicable"),exact(Metadata!E811,"missing: not collected"),exact(Metadata!E811,"missing: not provided"),exact(Metadata!E811,"missing: restricted access"))),AND(IF(Metadata!E811="",FALSE,ISNUMBER(VALUE(Metadata!E811))),Metadata!E811&gt;0))</f>
        <v>0</v>
      </c>
      <c r="Z811">
        <f>AND(IF(Metadata!F811="",FALSE,TRUE),exact(Metadata!F811,"weeks"))</f>
        <v>0</v>
      </c>
      <c r="AA811">
        <f>AND(IF(Metadata!G811="",FALSE,TRUE),exact(Metadata!G811,"mouse"))</f>
        <v>0</v>
      </c>
      <c r="AB811">
        <f>AND(IF(Metadata!H811="",FALSE,TRUE),exact(Metadata!H811,"Mus musculus"))</f>
        <v>0</v>
      </c>
      <c r="AC811">
        <f>AND(IF(Metadata!I811="",FALSE,TRUE),exact(Metadata!I811,"10090"))</f>
        <v>0</v>
      </c>
      <c r="AD811">
        <f>OR(AND(IF(Metadata!J811="",FALSE,TRUE),OR(exact(Metadata!J811,"not applicable"),exact(Metadata!J811,"missing: not collected"),exact(Metadata!J811,"missing: not provided"),exact(Metadata!J811,"missing: restricted access"))),AND(IF(Metadata!J811="",FALSE,ISNUMBER(VALUE(Metadata!J811))),Metadata!J811&gt;0))</f>
        <v>0</v>
      </c>
      <c r="AE811">
        <f>AND(IF(Metadata!K811="",FALSE,TRUE),exact(Metadata!K811,"g"))</f>
        <v>0</v>
      </c>
    </row>
    <row r="812" spans="1:31">
      <c r="A812" s="5">
        <f>IF(B812=" "," ",HYPERLINK(CONCATENATE("#metadata!",ADDRESS(INDEX($Q$2:$Q$1001,MATCH(ROWS($O$2:O812),$O$2:$O$1001,0),0),1)),INDEX($T$2:$T$1001,MATCH(ROWS($O$2:O812),$O$2:$O$1001,0),0)))</f>
        <v>0</v>
      </c>
      <c r="B812" s="4">
        <f>IF(OR(INDEX($P$2:$P$1001,MATCH(ROWS($O$2:O812),$O$2:$O$1001,0),1)&gt;=100000,INDEX($V$1005:$AE$1005,1,MATCH(COLUMNS($V$1006:V1006),$V$1006:$AE$1006,0))&gt;=100000), " ",IF(INDEX($V$2:$AE$1001,MATCH(ROWS($O$2:O812),$O$2:$O$1001,0),MATCH(COLUMNS($V$1006:V1006),$V$1006:$AE$1006,0)), HYPERLINK("#",""), HYPERLINK(CONCATENATE("#Metadata!", ADDRESS(INDEX($Q$2:$Q$1001,MATCH(ROWS($O$2:O812),$O$2:$O$1001,0),0), INDEX($V$1004:$AE$1004,1,MATCH(COLUMNS($V$1006:V1006),$V$1006:$AE$1006,0)))),"Fix")))</f>
        <v>0</v>
      </c>
      <c r="C812" s="4">
        <f>IF(OR(INDEX($P$2:$P$1001,MATCH(ROWS($O$2:O812),$O$2:$O$1001,0),1)&gt;=100000,INDEX($V$1005:$AE$1005,1,MATCH(COLUMNS($V$1006:W1006),$V$1006:$AE$1006,0))&gt;=100000), " ",IF(INDEX($V$2:$AE$1001,MATCH(ROWS($O$2:O812),$O$2:$O$1001,0),MATCH(COLUMNS($V$1006:W1006),$V$1006:$AE$1006,0)), HYPERLINK("#",""), HYPERLINK(CONCATENATE("#Metadata!", ADDRESS(INDEX($Q$2:$Q$1001,MATCH(ROWS($O$2:O812),$O$2:$O$1001,0),0), INDEX($V$1004:$AE$1004,1,MATCH(COLUMNS($V$1006:W1006),$V$1006:$AE$1006,0)))),"Fix")))</f>
        <v>0</v>
      </c>
      <c r="D812" s="4">
        <f>IF(OR(INDEX($P$2:$P$1001,MATCH(ROWS($O$2:O812),$O$2:$O$1001,0),1)&gt;=100000,INDEX($V$1005:$AE$1005,1,MATCH(COLUMNS($V$1006:X1006),$V$1006:$AE$1006,0))&gt;=100000), " ",IF(INDEX($V$2:$AE$1001,MATCH(ROWS($O$2:O812),$O$2:$O$1001,0),MATCH(COLUMNS($V$1006:X1006),$V$1006:$AE$1006,0)), HYPERLINK("#",""), HYPERLINK(CONCATENATE("#Metadata!", ADDRESS(INDEX($Q$2:$Q$1001,MATCH(ROWS($O$2:O812),$O$2:$O$1001,0),0), INDEX($V$1004:$AE$1004,1,MATCH(COLUMNS($V$1006:X1006),$V$1006:$AE$1006,0)))),"Fix")))</f>
        <v>0</v>
      </c>
      <c r="E812" s="4">
        <f>IF(OR(INDEX($P$2:$P$1001,MATCH(ROWS($O$2:O812),$O$2:$O$1001,0),1)&gt;=100000,INDEX($V$1005:$AE$1005,1,MATCH(COLUMNS($V$1006:Y1006),$V$1006:$AE$1006,0))&gt;=100000), " ",IF(INDEX($V$2:$AE$1001,MATCH(ROWS($O$2:O812),$O$2:$O$1001,0),MATCH(COLUMNS($V$1006:Y1006),$V$1006:$AE$1006,0)), HYPERLINK("#",""), HYPERLINK(CONCATENATE("#Metadata!", ADDRESS(INDEX($Q$2:$Q$1001,MATCH(ROWS($O$2:O812),$O$2:$O$1001,0),0), INDEX($V$1004:$AE$1004,1,MATCH(COLUMNS($V$1006:Y1006),$V$1006:$AE$1006,0)))),"Fix")))</f>
        <v>0</v>
      </c>
      <c r="F812" s="4">
        <f>IF(OR(INDEX($P$2:$P$1001,MATCH(ROWS($O$2:O812),$O$2:$O$1001,0),1)&gt;=100000,INDEX($V$1005:$AE$1005,1,MATCH(COLUMNS($V$1006:Z1006),$V$1006:$AE$1006,0))&gt;=100000), " ",IF(INDEX($V$2:$AE$1001,MATCH(ROWS($O$2:O812),$O$2:$O$1001,0),MATCH(COLUMNS($V$1006:Z1006),$V$1006:$AE$1006,0)), HYPERLINK("#",""), HYPERLINK(CONCATENATE("#Metadata!", ADDRESS(INDEX($Q$2:$Q$1001,MATCH(ROWS($O$2:O812),$O$2:$O$1001,0),0), INDEX($V$1004:$AE$1004,1,MATCH(COLUMNS($V$1006:Z1006),$V$1006:$AE$1006,0)))),"Fix")))</f>
        <v>0</v>
      </c>
      <c r="G812" s="4">
        <f>IF(OR(INDEX($P$2:$P$1001,MATCH(ROWS($O$2:O812),$O$2:$O$1001,0),1)&gt;=100000,INDEX($V$1005:$AE$1005,1,MATCH(COLUMNS($V$1006:AA1006),$V$1006:$AE$1006,0))&gt;=100000), " ",IF(INDEX($V$2:$AE$1001,MATCH(ROWS($O$2:O812),$O$2:$O$1001,0),MATCH(COLUMNS($V$1006:AA1006),$V$1006:$AE$1006,0)), HYPERLINK("#",""), HYPERLINK(CONCATENATE("#Metadata!", ADDRESS(INDEX($Q$2:$Q$1001,MATCH(ROWS($O$2:O812),$O$2:$O$1001,0),0), INDEX($V$1004:$AE$1004,1,MATCH(COLUMNS($V$1006:AA1006),$V$1006:$AE$1006,0)))),"Fix")))</f>
        <v>0</v>
      </c>
      <c r="H812" s="4">
        <f>IF(OR(INDEX($P$2:$P$1001,MATCH(ROWS($O$2:O812),$O$2:$O$1001,0),1)&gt;=100000,INDEX($V$1005:$AE$1005,1,MATCH(COLUMNS($V$1006:AB1006),$V$1006:$AE$1006,0))&gt;=100000), " ",IF(INDEX($V$2:$AE$1001,MATCH(ROWS($O$2:O812),$O$2:$O$1001,0),MATCH(COLUMNS($V$1006:AB1006),$V$1006:$AE$1006,0)), HYPERLINK("#",""), HYPERLINK(CONCATENATE("#Metadata!", ADDRESS(INDEX($Q$2:$Q$1001,MATCH(ROWS($O$2:O812),$O$2:$O$1001,0),0), INDEX($V$1004:$AE$1004,1,MATCH(COLUMNS($V$1006:AB1006),$V$1006:$AE$1006,0)))),"Fix")))</f>
        <v>0</v>
      </c>
      <c r="I812" s="4">
        <f>IF(OR(INDEX($P$2:$P$1001,MATCH(ROWS($O$2:O812),$O$2:$O$1001,0),1)&gt;=100000,INDEX($V$1005:$AE$1005,1,MATCH(COLUMNS($V$1006:AC1006),$V$1006:$AE$1006,0))&gt;=100000), " ",IF(INDEX($V$2:$AE$1001,MATCH(ROWS($O$2:O812),$O$2:$O$1001,0),MATCH(COLUMNS($V$1006:AC1006),$V$1006:$AE$1006,0)), HYPERLINK("#",""), HYPERLINK(CONCATENATE("#Metadata!", ADDRESS(INDEX($Q$2:$Q$1001,MATCH(ROWS($O$2:O812),$O$2:$O$1001,0),0), INDEX($V$1004:$AE$1004,1,MATCH(COLUMNS($V$1006:AC1006),$V$1006:$AE$1006,0)))),"Fix")))</f>
        <v>0</v>
      </c>
      <c r="J812" s="4">
        <f>IF(OR(INDEX($P$2:$P$1001,MATCH(ROWS($O$2:O812),$O$2:$O$1001,0),1)&gt;=100000,INDEX($V$1005:$AE$1005,1,MATCH(COLUMNS($V$1006:AD1006),$V$1006:$AE$1006,0))&gt;=100000), " ",IF(INDEX($V$2:$AE$1001,MATCH(ROWS($O$2:O812),$O$2:$O$1001,0),MATCH(COLUMNS($V$1006:AD1006),$V$1006:$AE$1006,0)), HYPERLINK("#",""), HYPERLINK(CONCATENATE("#Metadata!", ADDRESS(INDEX($Q$2:$Q$1001,MATCH(ROWS($O$2:O812),$O$2:$O$1001,0),0), INDEX($V$1004:$AE$1004,1,MATCH(COLUMNS($V$1006:AD1006),$V$1006:$AE$1006,0)))),"Fix")))</f>
        <v>0</v>
      </c>
      <c r="K812" s="4">
        <f>IF(OR(INDEX($P$2:$P$1001,MATCH(ROWS($O$2:O812),$O$2:$O$1001,0),1)&gt;=100000,INDEX($V$1005:$AE$1005,1,MATCH(COLUMNS($V$1006:AE1006),$V$1006:$AE$1006,0))&gt;=100000), " ",IF(INDEX($V$2:$AE$1001,MATCH(ROWS($O$2:O812),$O$2:$O$1001,0),MATCH(COLUMNS($V$1006:AE1006),$V$1006:$AE$1006,0)), HYPERLINK("#",""), HYPERLINK(CONCATENATE("#Metadata!", ADDRESS(INDEX($Q$2:$Q$1001,MATCH(ROWS($O$2:O812),$O$2:$O$1001,0),0), INDEX($V$1004:$AE$1004,1,MATCH(COLUMNS($V$1006:AE1006),$V$1006:$AE$1006,0)))),"Fix")))</f>
        <v>0</v>
      </c>
      <c r="O812">
        <v>0</v>
      </c>
      <c r="P812">
        <v>0</v>
      </c>
      <c r="Q812">
        <v>0</v>
      </c>
      <c r="R812">
        <f>IF(S812,TRUE,AND(V812:AE812))</f>
        <v>0</v>
      </c>
      <c r="S812">
        <f>COUNTBLANK(Metadata!B812:K812)=COLUMNS(Metadata!B812:K812)</f>
        <v>0</v>
      </c>
      <c r="T812">
        <v>0</v>
      </c>
      <c r="V812">
        <f>AND(IF(Metadata!B812="",FALSE,TRUE),COUNTIF(Metadata!B:B, Metadata!B812) = 1,NOT(ISERROR(SUMPRODUCT(SEARCH(MID(Metadata!B812,ROW(INDIRECT("1:"&amp;LEN(Metadata!B812))), 1),"0123456789abcdefghijklmnopqrstuvwxyzABCDEFGHIJKLMNOPQRSTUVWXYZ.")))))</f>
        <v>0</v>
      </c>
      <c r="W812">
        <f>AND(IF(Metadata!C812="",FALSE,TRUE),exact(Metadata!C812,"urban biome"))</f>
        <v>0</v>
      </c>
      <c r="X812">
        <f>AND(IF(Metadata!D812="",FALSE,TRUE),exact(Metadata!D812,"animal-associated habitat"))</f>
        <v>0</v>
      </c>
      <c r="Y812">
        <f>OR(AND(IF(Metadata!E812="",FALSE,TRUE),OR(exact(Metadata!E812,"not applicable"),exact(Metadata!E812,"missing: not collected"),exact(Metadata!E812,"missing: not provided"),exact(Metadata!E812,"missing: restricted access"))),AND(IF(Metadata!E812="",FALSE,ISNUMBER(VALUE(Metadata!E812))),Metadata!E812&gt;0))</f>
        <v>0</v>
      </c>
      <c r="Z812">
        <f>AND(IF(Metadata!F812="",FALSE,TRUE),exact(Metadata!F812,"weeks"))</f>
        <v>0</v>
      </c>
      <c r="AA812">
        <f>AND(IF(Metadata!G812="",FALSE,TRUE),exact(Metadata!G812,"mouse"))</f>
        <v>0</v>
      </c>
      <c r="AB812">
        <f>AND(IF(Metadata!H812="",FALSE,TRUE),exact(Metadata!H812,"Mus musculus"))</f>
        <v>0</v>
      </c>
      <c r="AC812">
        <f>AND(IF(Metadata!I812="",FALSE,TRUE),exact(Metadata!I812,"10090"))</f>
        <v>0</v>
      </c>
      <c r="AD812">
        <f>OR(AND(IF(Metadata!J812="",FALSE,TRUE),OR(exact(Metadata!J812,"not applicable"),exact(Metadata!J812,"missing: not collected"),exact(Metadata!J812,"missing: not provided"),exact(Metadata!J812,"missing: restricted access"))),AND(IF(Metadata!J812="",FALSE,ISNUMBER(VALUE(Metadata!J812))),Metadata!J812&gt;0))</f>
        <v>0</v>
      </c>
      <c r="AE812">
        <f>AND(IF(Metadata!K812="",FALSE,TRUE),exact(Metadata!K812,"g"))</f>
        <v>0</v>
      </c>
    </row>
    <row r="813" spans="1:31">
      <c r="A813" s="5">
        <f>IF(B813=" "," ",HYPERLINK(CONCATENATE("#metadata!",ADDRESS(INDEX($Q$2:$Q$1001,MATCH(ROWS($O$2:O813),$O$2:$O$1001,0),0),1)),INDEX($T$2:$T$1001,MATCH(ROWS($O$2:O813),$O$2:$O$1001,0),0)))</f>
        <v>0</v>
      </c>
      <c r="B813" s="4">
        <f>IF(OR(INDEX($P$2:$P$1001,MATCH(ROWS($O$2:O813),$O$2:$O$1001,0),1)&gt;=100000,INDEX($V$1005:$AE$1005,1,MATCH(COLUMNS($V$1006:V1006),$V$1006:$AE$1006,0))&gt;=100000), " ",IF(INDEX($V$2:$AE$1001,MATCH(ROWS($O$2:O813),$O$2:$O$1001,0),MATCH(COLUMNS($V$1006:V1006),$V$1006:$AE$1006,0)), HYPERLINK("#",""), HYPERLINK(CONCATENATE("#Metadata!", ADDRESS(INDEX($Q$2:$Q$1001,MATCH(ROWS($O$2:O813),$O$2:$O$1001,0),0), INDEX($V$1004:$AE$1004,1,MATCH(COLUMNS($V$1006:V1006),$V$1006:$AE$1006,0)))),"Fix")))</f>
        <v>0</v>
      </c>
      <c r="C813" s="4">
        <f>IF(OR(INDEX($P$2:$P$1001,MATCH(ROWS($O$2:O813),$O$2:$O$1001,0),1)&gt;=100000,INDEX($V$1005:$AE$1005,1,MATCH(COLUMNS($V$1006:W1006),$V$1006:$AE$1006,0))&gt;=100000), " ",IF(INDEX($V$2:$AE$1001,MATCH(ROWS($O$2:O813),$O$2:$O$1001,0),MATCH(COLUMNS($V$1006:W1006),$V$1006:$AE$1006,0)), HYPERLINK("#",""), HYPERLINK(CONCATENATE("#Metadata!", ADDRESS(INDEX($Q$2:$Q$1001,MATCH(ROWS($O$2:O813),$O$2:$O$1001,0),0), INDEX($V$1004:$AE$1004,1,MATCH(COLUMNS($V$1006:W1006),$V$1006:$AE$1006,0)))),"Fix")))</f>
        <v>0</v>
      </c>
      <c r="D813" s="4">
        <f>IF(OR(INDEX($P$2:$P$1001,MATCH(ROWS($O$2:O813),$O$2:$O$1001,0),1)&gt;=100000,INDEX($V$1005:$AE$1005,1,MATCH(COLUMNS($V$1006:X1006),$V$1006:$AE$1006,0))&gt;=100000), " ",IF(INDEX($V$2:$AE$1001,MATCH(ROWS($O$2:O813),$O$2:$O$1001,0),MATCH(COLUMNS($V$1006:X1006),$V$1006:$AE$1006,0)), HYPERLINK("#",""), HYPERLINK(CONCATENATE("#Metadata!", ADDRESS(INDEX($Q$2:$Q$1001,MATCH(ROWS($O$2:O813),$O$2:$O$1001,0),0), INDEX($V$1004:$AE$1004,1,MATCH(COLUMNS($V$1006:X1006),$V$1006:$AE$1006,0)))),"Fix")))</f>
        <v>0</v>
      </c>
      <c r="E813" s="4">
        <f>IF(OR(INDEX($P$2:$P$1001,MATCH(ROWS($O$2:O813),$O$2:$O$1001,0),1)&gt;=100000,INDEX($V$1005:$AE$1005,1,MATCH(COLUMNS($V$1006:Y1006),$V$1006:$AE$1006,0))&gt;=100000), " ",IF(INDEX($V$2:$AE$1001,MATCH(ROWS($O$2:O813),$O$2:$O$1001,0),MATCH(COLUMNS($V$1006:Y1006),$V$1006:$AE$1006,0)), HYPERLINK("#",""), HYPERLINK(CONCATENATE("#Metadata!", ADDRESS(INDEX($Q$2:$Q$1001,MATCH(ROWS($O$2:O813),$O$2:$O$1001,0),0), INDEX($V$1004:$AE$1004,1,MATCH(COLUMNS($V$1006:Y1006),$V$1006:$AE$1006,0)))),"Fix")))</f>
        <v>0</v>
      </c>
      <c r="F813" s="4">
        <f>IF(OR(INDEX($P$2:$P$1001,MATCH(ROWS($O$2:O813),$O$2:$O$1001,0),1)&gt;=100000,INDEX($V$1005:$AE$1005,1,MATCH(COLUMNS($V$1006:Z1006),$V$1006:$AE$1006,0))&gt;=100000), " ",IF(INDEX($V$2:$AE$1001,MATCH(ROWS($O$2:O813),$O$2:$O$1001,0),MATCH(COLUMNS($V$1006:Z1006),$V$1006:$AE$1006,0)), HYPERLINK("#",""), HYPERLINK(CONCATENATE("#Metadata!", ADDRESS(INDEX($Q$2:$Q$1001,MATCH(ROWS($O$2:O813),$O$2:$O$1001,0),0), INDEX($V$1004:$AE$1004,1,MATCH(COLUMNS($V$1006:Z1006),$V$1006:$AE$1006,0)))),"Fix")))</f>
        <v>0</v>
      </c>
      <c r="G813" s="4">
        <f>IF(OR(INDEX($P$2:$P$1001,MATCH(ROWS($O$2:O813),$O$2:$O$1001,0),1)&gt;=100000,INDEX($V$1005:$AE$1005,1,MATCH(COLUMNS($V$1006:AA1006),$V$1006:$AE$1006,0))&gt;=100000), " ",IF(INDEX($V$2:$AE$1001,MATCH(ROWS($O$2:O813),$O$2:$O$1001,0),MATCH(COLUMNS($V$1006:AA1006),$V$1006:$AE$1006,0)), HYPERLINK("#",""), HYPERLINK(CONCATENATE("#Metadata!", ADDRESS(INDEX($Q$2:$Q$1001,MATCH(ROWS($O$2:O813),$O$2:$O$1001,0),0), INDEX($V$1004:$AE$1004,1,MATCH(COLUMNS($V$1006:AA1006),$V$1006:$AE$1006,0)))),"Fix")))</f>
        <v>0</v>
      </c>
      <c r="H813" s="4">
        <f>IF(OR(INDEX($P$2:$P$1001,MATCH(ROWS($O$2:O813),$O$2:$O$1001,0),1)&gt;=100000,INDEX($V$1005:$AE$1005,1,MATCH(COLUMNS($V$1006:AB1006),$V$1006:$AE$1006,0))&gt;=100000), " ",IF(INDEX($V$2:$AE$1001,MATCH(ROWS($O$2:O813),$O$2:$O$1001,0),MATCH(COLUMNS($V$1006:AB1006),$V$1006:$AE$1006,0)), HYPERLINK("#",""), HYPERLINK(CONCATENATE("#Metadata!", ADDRESS(INDEX($Q$2:$Q$1001,MATCH(ROWS($O$2:O813),$O$2:$O$1001,0),0), INDEX($V$1004:$AE$1004,1,MATCH(COLUMNS($V$1006:AB1006),$V$1006:$AE$1006,0)))),"Fix")))</f>
        <v>0</v>
      </c>
      <c r="I813" s="4">
        <f>IF(OR(INDEX($P$2:$P$1001,MATCH(ROWS($O$2:O813),$O$2:$O$1001,0),1)&gt;=100000,INDEX($V$1005:$AE$1005,1,MATCH(COLUMNS($V$1006:AC1006),$V$1006:$AE$1006,0))&gt;=100000), " ",IF(INDEX($V$2:$AE$1001,MATCH(ROWS($O$2:O813),$O$2:$O$1001,0),MATCH(COLUMNS($V$1006:AC1006),$V$1006:$AE$1006,0)), HYPERLINK("#",""), HYPERLINK(CONCATENATE("#Metadata!", ADDRESS(INDEX($Q$2:$Q$1001,MATCH(ROWS($O$2:O813),$O$2:$O$1001,0),0), INDEX($V$1004:$AE$1004,1,MATCH(COLUMNS($V$1006:AC1006),$V$1006:$AE$1006,0)))),"Fix")))</f>
        <v>0</v>
      </c>
      <c r="J813" s="4">
        <f>IF(OR(INDEX($P$2:$P$1001,MATCH(ROWS($O$2:O813),$O$2:$O$1001,0),1)&gt;=100000,INDEX($V$1005:$AE$1005,1,MATCH(COLUMNS($V$1006:AD1006),$V$1006:$AE$1006,0))&gt;=100000), " ",IF(INDEX($V$2:$AE$1001,MATCH(ROWS($O$2:O813),$O$2:$O$1001,0),MATCH(COLUMNS($V$1006:AD1006),$V$1006:$AE$1006,0)), HYPERLINK("#",""), HYPERLINK(CONCATENATE("#Metadata!", ADDRESS(INDEX($Q$2:$Q$1001,MATCH(ROWS($O$2:O813),$O$2:$O$1001,0),0), INDEX($V$1004:$AE$1004,1,MATCH(COLUMNS($V$1006:AD1006),$V$1006:$AE$1006,0)))),"Fix")))</f>
        <v>0</v>
      </c>
      <c r="K813" s="4">
        <f>IF(OR(INDEX($P$2:$P$1001,MATCH(ROWS($O$2:O813),$O$2:$O$1001,0),1)&gt;=100000,INDEX($V$1005:$AE$1005,1,MATCH(COLUMNS($V$1006:AE1006),$V$1006:$AE$1006,0))&gt;=100000), " ",IF(INDEX($V$2:$AE$1001,MATCH(ROWS($O$2:O813),$O$2:$O$1001,0),MATCH(COLUMNS($V$1006:AE1006),$V$1006:$AE$1006,0)), HYPERLINK("#",""), HYPERLINK(CONCATENATE("#Metadata!", ADDRESS(INDEX($Q$2:$Q$1001,MATCH(ROWS($O$2:O813),$O$2:$O$1001,0),0), INDEX($V$1004:$AE$1004,1,MATCH(COLUMNS($V$1006:AE1006),$V$1006:$AE$1006,0)))),"Fix")))</f>
        <v>0</v>
      </c>
      <c r="O813">
        <v>0</v>
      </c>
      <c r="P813">
        <v>0</v>
      </c>
      <c r="Q813">
        <v>0</v>
      </c>
      <c r="R813">
        <f>IF(S813,TRUE,AND(V813:AE813))</f>
        <v>0</v>
      </c>
      <c r="S813">
        <f>COUNTBLANK(Metadata!B813:K813)=COLUMNS(Metadata!B813:K813)</f>
        <v>0</v>
      </c>
      <c r="T813">
        <v>0</v>
      </c>
      <c r="V813">
        <f>AND(IF(Metadata!B813="",FALSE,TRUE),COUNTIF(Metadata!B:B, Metadata!B813) = 1,NOT(ISERROR(SUMPRODUCT(SEARCH(MID(Metadata!B813,ROW(INDIRECT("1:"&amp;LEN(Metadata!B813))), 1),"0123456789abcdefghijklmnopqrstuvwxyzABCDEFGHIJKLMNOPQRSTUVWXYZ.")))))</f>
        <v>0</v>
      </c>
      <c r="W813">
        <f>AND(IF(Metadata!C813="",FALSE,TRUE),exact(Metadata!C813,"urban biome"))</f>
        <v>0</v>
      </c>
      <c r="X813">
        <f>AND(IF(Metadata!D813="",FALSE,TRUE),exact(Metadata!D813,"animal-associated habitat"))</f>
        <v>0</v>
      </c>
      <c r="Y813">
        <f>OR(AND(IF(Metadata!E813="",FALSE,TRUE),OR(exact(Metadata!E813,"not applicable"),exact(Metadata!E813,"missing: not collected"),exact(Metadata!E813,"missing: not provided"),exact(Metadata!E813,"missing: restricted access"))),AND(IF(Metadata!E813="",FALSE,ISNUMBER(VALUE(Metadata!E813))),Metadata!E813&gt;0))</f>
        <v>0</v>
      </c>
      <c r="Z813">
        <f>AND(IF(Metadata!F813="",FALSE,TRUE),exact(Metadata!F813,"weeks"))</f>
        <v>0</v>
      </c>
      <c r="AA813">
        <f>AND(IF(Metadata!G813="",FALSE,TRUE),exact(Metadata!G813,"mouse"))</f>
        <v>0</v>
      </c>
      <c r="AB813">
        <f>AND(IF(Metadata!H813="",FALSE,TRUE),exact(Metadata!H813,"Mus musculus"))</f>
        <v>0</v>
      </c>
      <c r="AC813">
        <f>AND(IF(Metadata!I813="",FALSE,TRUE),exact(Metadata!I813,"10090"))</f>
        <v>0</v>
      </c>
      <c r="AD813">
        <f>OR(AND(IF(Metadata!J813="",FALSE,TRUE),OR(exact(Metadata!J813,"not applicable"),exact(Metadata!J813,"missing: not collected"),exact(Metadata!J813,"missing: not provided"),exact(Metadata!J813,"missing: restricted access"))),AND(IF(Metadata!J813="",FALSE,ISNUMBER(VALUE(Metadata!J813))),Metadata!J813&gt;0))</f>
        <v>0</v>
      </c>
      <c r="AE813">
        <f>AND(IF(Metadata!K813="",FALSE,TRUE),exact(Metadata!K813,"g"))</f>
        <v>0</v>
      </c>
    </row>
    <row r="814" spans="1:31">
      <c r="A814" s="5">
        <f>IF(B814=" "," ",HYPERLINK(CONCATENATE("#metadata!",ADDRESS(INDEX($Q$2:$Q$1001,MATCH(ROWS($O$2:O814),$O$2:$O$1001,0),0),1)),INDEX($T$2:$T$1001,MATCH(ROWS($O$2:O814),$O$2:$O$1001,0),0)))</f>
        <v>0</v>
      </c>
      <c r="B814" s="4">
        <f>IF(OR(INDEX($P$2:$P$1001,MATCH(ROWS($O$2:O814),$O$2:$O$1001,0),1)&gt;=100000,INDEX($V$1005:$AE$1005,1,MATCH(COLUMNS($V$1006:V1006),$V$1006:$AE$1006,0))&gt;=100000), " ",IF(INDEX($V$2:$AE$1001,MATCH(ROWS($O$2:O814),$O$2:$O$1001,0),MATCH(COLUMNS($V$1006:V1006),$V$1006:$AE$1006,0)), HYPERLINK("#",""), HYPERLINK(CONCATENATE("#Metadata!", ADDRESS(INDEX($Q$2:$Q$1001,MATCH(ROWS($O$2:O814),$O$2:$O$1001,0),0), INDEX($V$1004:$AE$1004,1,MATCH(COLUMNS($V$1006:V1006),$V$1006:$AE$1006,0)))),"Fix")))</f>
        <v>0</v>
      </c>
      <c r="C814" s="4">
        <f>IF(OR(INDEX($P$2:$P$1001,MATCH(ROWS($O$2:O814),$O$2:$O$1001,0),1)&gt;=100000,INDEX($V$1005:$AE$1005,1,MATCH(COLUMNS($V$1006:W1006),$V$1006:$AE$1006,0))&gt;=100000), " ",IF(INDEX($V$2:$AE$1001,MATCH(ROWS($O$2:O814),$O$2:$O$1001,0),MATCH(COLUMNS($V$1006:W1006),$V$1006:$AE$1006,0)), HYPERLINK("#",""), HYPERLINK(CONCATENATE("#Metadata!", ADDRESS(INDEX($Q$2:$Q$1001,MATCH(ROWS($O$2:O814),$O$2:$O$1001,0),0), INDEX($V$1004:$AE$1004,1,MATCH(COLUMNS($V$1006:W1006),$V$1006:$AE$1006,0)))),"Fix")))</f>
        <v>0</v>
      </c>
      <c r="D814" s="4">
        <f>IF(OR(INDEX($P$2:$P$1001,MATCH(ROWS($O$2:O814),$O$2:$O$1001,0),1)&gt;=100000,INDEX($V$1005:$AE$1005,1,MATCH(COLUMNS($V$1006:X1006),$V$1006:$AE$1006,0))&gt;=100000), " ",IF(INDEX($V$2:$AE$1001,MATCH(ROWS($O$2:O814),$O$2:$O$1001,0),MATCH(COLUMNS($V$1006:X1006),$V$1006:$AE$1006,0)), HYPERLINK("#",""), HYPERLINK(CONCATENATE("#Metadata!", ADDRESS(INDEX($Q$2:$Q$1001,MATCH(ROWS($O$2:O814),$O$2:$O$1001,0),0), INDEX($V$1004:$AE$1004,1,MATCH(COLUMNS($V$1006:X1006),$V$1006:$AE$1006,0)))),"Fix")))</f>
        <v>0</v>
      </c>
      <c r="E814" s="4">
        <f>IF(OR(INDEX($P$2:$P$1001,MATCH(ROWS($O$2:O814),$O$2:$O$1001,0),1)&gt;=100000,INDEX($V$1005:$AE$1005,1,MATCH(COLUMNS($V$1006:Y1006),$V$1006:$AE$1006,0))&gt;=100000), " ",IF(INDEX($V$2:$AE$1001,MATCH(ROWS($O$2:O814),$O$2:$O$1001,0),MATCH(COLUMNS($V$1006:Y1006),$V$1006:$AE$1006,0)), HYPERLINK("#",""), HYPERLINK(CONCATENATE("#Metadata!", ADDRESS(INDEX($Q$2:$Q$1001,MATCH(ROWS($O$2:O814),$O$2:$O$1001,0),0), INDEX($V$1004:$AE$1004,1,MATCH(COLUMNS($V$1006:Y1006),$V$1006:$AE$1006,0)))),"Fix")))</f>
        <v>0</v>
      </c>
      <c r="F814" s="4">
        <f>IF(OR(INDEX($P$2:$P$1001,MATCH(ROWS($O$2:O814),$O$2:$O$1001,0),1)&gt;=100000,INDEX($V$1005:$AE$1005,1,MATCH(COLUMNS($V$1006:Z1006),$V$1006:$AE$1006,0))&gt;=100000), " ",IF(INDEX($V$2:$AE$1001,MATCH(ROWS($O$2:O814),$O$2:$O$1001,0),MATCH(COLUMNS($V$1006:Z1006),$V$1006:$AE$1006,0)), HYPERLINK("#",""), HYPERLINK(CONCATENATE("#Metadata!", ADDRESS(INDEX($Q$2:$Q$1001,MATCH(ROWS($O$2:O814),$O$2:$O$1001,0),0), INDEX($V$1004:$AE$1004,1,MATCH(COLUMNS($V$1006:Z1006),$V$1006:$AE$1006,0)))),"Fix")))</f>
        <v>0</v>
      </c>
      <c r="G814" s="4">
        <f>IF(OR(INDEX($P$2:$P$1001,MATCH(ROWS($O$2:O814),$O$2:$O$1001,0),1)&gt;=100000,INDEX($V$1005:$AE$1005,1,MATCH(COLUMNS($V$1006:AA1006),$V$1006:$AE$1006,0))&gt;=100000), " ",IF(INDEX($V$2:$AE$1001,MATCH(ROWS($O$2:O814),$O$2:$O$1001,0),MATCH(COLUMNS($V$1006:AA1006),$V$1006:$AE$1006,0)), HYPERLINK("#",""), HYPERLINK(CONCATENATE("#Metadata!", ADDRESS(INDEX($Q$2:$Q$1001,MATCH(ROWS($O$2:O814),$O$2:$O$1001,0),0), INDEX($V$1004:$AE$1004,1,MATCH(COLUMNS($V$1006:AA1006),$V$1006:$AE$1006,0)))),"Fix")))</f>
        <v>0</v>
      </c>
      <c r="H814" s="4">
        <f>IF(OR(INDEX($P$2:$P$1001,MATCH(ROWS($O$2:O814),$O$2:$O$1001,0),1)&gt;=100000,INDEX($V$1005:$AE$1005,1,MATCH(COLUMNS($V$1006:AB1006),$V$1006:$AE$1006,0))&gt;=100000), " ",IF(INDEX($V$2:$AE$1001,MATCH(ROWS($O$2:O814),$O$2:$O$1001,0),MATCH(COLUMNS($V$1006:AB1006),$V$1006:$AE$1006,0)), HYPERLINK("#",""), HYPERLINK(CONCATENATE("#Metadata!", ADDRESS(INDEX($Q$2:$Q$1001,MATCH(ROWS($O$2:O814),$O$2:$O$1001,0),0), INDEX($V$1004:$AE$1004,1,MATCH(COLUMNS($V$1006:AB1006),$V$1006:$AE$1006,0)))),"Fix")))</f>
        <v>0</v>
      </c>
      <c r="I814" s="4">
        <f>IF(OR(INDEX($P$2:$P$1001,MATCH(ROWS($O$2:O814),$O$2:$O$1001,0),1)&gt;=100000,INDEX($V$1005:$AE$1005,1,MATCH(COLUMNS($V$1006:AC1006),$V$1006:$AE$1006,0))&gt;=100000), " ",IF(INDEX($V$2:$AE$1001,MATCH(ROWS($O$2:O814),$O$2:$O$1001,0),MATCH(COLUMNS($V$1006:AC1006),$V$1006:$AE$1006,0)), HYPERLINK("#",""), HYPERLINK(CONCATENATE("#Metadata!", ADDRESS(INDEX($Q$2:$Q$1001,MATCH(ROWS($O$2:O814),$O$2:$O$1001,0),0), INDEX($V$1004:$AE$1004,1,MATCH(COLUMNS($V$1006:AC1006),$V$1006:$AE$1006,0)))),"Fix")))</f>
        <v>0</v>
      </c>
      <c r="J814" s="4">
        <f>IF(OR(INDEX($P$2:$P$1001,MATCH(ROWS($O$2:O814),$O$2:$O$1001,0),1)&gt;=100000,INDEX($V$1005:$AE$1005,1,MATCH(COLUMNS($V$1006:AD1006),$V$1006:$AE$1006,0))&gt;=100000), " ",IF(INDEX($V$2:$AE$1001,MATCH(ROWS($O$2:O814),$O$2:$O$1001,0),MATCH(COLUMNS($V$1006:AD1006),$V$1006:$AE$1006,0)), HYPERLINK("#",""), HYPERLINK(CONCATENATE("#Metadata!", ADDRESS(INDEX($Q$2:$Q$1001,MATCH(ROWS($O$2:O814),$O$2:$O$1001,0),0), INDEX($V$1004:$AE$1004,1,MATCH(COLUMNS($V$1006:AD1006),$V$1006:$AE$1006,0)))),"Fix")))</f>
        <v>0</v>
      </c>
      <c r="K814" s="4">
        <f>IF(OR(INDEX($P$2:$P$1001,MATCH(ROWS($O$2:O814),$O$2:$O$1001,0),1)&gt;=100000,INDEX($V$1005:$AE$1005,1,MATCH(COLUMNS($V$1006:AE1006),$V$1006:$AE$1006,0))&gt;=100000), " ",IF(INDEX($V$2:$AE$1001,MATCH(ROWS($O$2:O814),$O$2:$O$1001,0),MATCH(COLUMNS($V$1006:AE1006),$V$1006:$AE$1006,0)), HYPERLINK("#",""), HYPERLINK(CONCATENATE("#Metadata!", ADDRESS(INDEX($Q$2:$Q$1001,MATCH(ROWS($O$2:O814),$O$2:$O$1001,0),0), INDEX($V$1004:$AE$1004,1,MATCH(COLUMNS($V$1006:AE1006),$V$1006:$AE$1006,0)))),"Fix")))</f>
        <v>0</v>
      </c>
      <c r="O814">
        <v>0</v>
      </c>
      <c r="P814">
        <v>0</v>
      </c>
      <c r="Q814">
        <v>0</v>
      </c>
      <c r="R814">
        <f>IF(S814,TRUE,AND(V814:AE814))</f>
        <v>0</v>
      </c>
      <c r="S814">
        <f>COUNTBLANK(Metadata!B814:K814)=COLUMNS(Metadata!B814:K814)</f>
        <v>0</v>
      </c>
      <c r="T814">
        <v>0</v>
      </c>
      <c r="V814">
        <f>AND(IF(Metadata!B814="",FALSE,TRUE),COUNTIF(Metadata!B:B, Metadata!B814) = 1,NOT(ISERROR(SUMPRODUCT(SEARCH(MID(Metadata!B814,ROW(INDIRECT("1:"&amp;LEN(Metadata!B814))), 1),"0123456789abcdefghijklmnopqrstuvwxyzABCDEFGHIJKLMNOPQRSTUVWXYZ.")))))</f>
        <v>0</v>
      </c>
      <c r="W814">
        <f>AND(IF(Metadata!C814="",FALSE,TRUE),exact(Metadata!C814,"urban biome"))</f>
        <v>0</v>
      </c>
      <c r="X814">
        <f>AND(IF(Metadata!D814="",FALSE,TRUE),exact(Metadata!D814,"animal-associated habitat"))</f>
        <v>0</v>
      </c>
      <c r="Y814">
        <f>OR(AND(IF(Metadata!E814="",FALSE,TRUE),OR(exact(Metadata!E814,"not applicable"),exact(Metadata!E814,"missing: not collected"),exact(Metadata!E814,"missing: not provided"),exact(Metadata!E814,"missing: restricted access"))),AND(IF(Metadata!E814="",FALSE,ISNUMBER(VALUE(Metadata!E814))),Metadata!E814&gt;0))</f>
        <v>0</v>
      </c>
      <c r="Z814">
        <f>AND(IF(Metadata!F814="",FALSE,TRUE),exact(Metadata!F814,"weeks"))</f>
        <v>0</v>
      </c>
      <c r="AA814">
        <f>AND(IF(Metadata!G814="",FALSE,TRUE),exact(Metadata!G814,"mouse"))</f>
        <v>0</v>
      </c>
      <c r="AB814">
        <f>AND(IF(Metadata!H814="",FALSE,TRUE),exact(Metadata!H814,"Mus musculus"))</f>
        <v>0</v>
      </c>
      <c r="AC814">
        <f>AND(IF(Metadata!I814="",FALSE,TRUE),exact(Metadata!I814,"10090"))</f>
        <v>0</v>
      </c>
      <c r="AD814">
        <f>OR(AND(IF(Metadata!J814="",FALSE,TRUE),OR(exact(Metadata!J814,"not applicable"),exact(Metadata!J814,"missing: not collected"),exact(Metadata!J814,"missing: not provided"),exact(Metadata!J814,"missing: restricted access"))),AND(IF(Metadata!J814="",FALSE,ISNUMBER(VALUE(Metadata!J814))),Metadata!J814&gt;0))</f>
        <v>0</v>
      </c>
      <c r="AE814">
        <f>AND(IF(Metadata!K814="",FALSE,TRUE),exact(Metadata!K814,"g"))</f>
        <v>0</v>
      </c>
    </row>
    <row r="815" spans="1:31">
      <c r="A815" s="5">
        <f>IF(B815=" "," ",HYPERLINK(CONCATENATE("#metadata!",ADDRESS(INDEX($Q$2:$Q$1001,MATCH(ROWS($O$2:O815),$O$2:$O$1001,0),0),1)),INDEX($T$2:$T$1001,MATCH(ROWS($O$2:O815),$O$2:$O$1001,0),0)))</f>
        <v>0</v>
      </c>
      <c r="B815" s="4">
        <f>IF(OR(INDEX($P$2:$P$1001,MATCH(ROWS($O$2:O815),$O$2:$O$1001,0),1)&gt;=100000,INDEX($V$1005:$AE$1005,1,MATCH(COLUMNS($V$1006:V1006),$V$1006:$AE$1006,0))&gt;=100000), " ",IF(INDEX($V$2:$AE$1001,MATCH(ROWS($O$2:O815),$O$2:$O$1001,0),MATCH(COLUMNS($V$1006:V1006),$V$1006:$AE$1006,0)), HYPERLINK("#",""), HYPERLINK(CONCATENATE("#Metadata!", ADDRESS(INDEX($Q$2:$Q$1001,MATCH(ROWS($O$2:O815),$O$2:$O$1001,0),0), INDEX($V$1004:$AE$1004,1,MATCH(COLUMNS($V$1006:V1006),$V$1006:$AE$1006,0)))),"Fix")))</f>
        <v>0</v>
      </c>
      <c r="C815" s="4">
        <f>IF(OR(INDEX($P$2:$P$1001,MATCH(ROWS($O$2:O815),$O$2:$O$1001,0),1)&gt;=100000,INDEX($V$1005:$AE$1005,1,MATCH(COLUMNS($V$1006:W1006),$V$1006:$AE$1006,0))&gt;=100000), " ",IF(INDEX($V$2:$AE$1001,MATCH(ROWS($O$2:O815),$O$2:$O$1001,0),MATCH(COLUMNS($V$1006:W1006),$V$1006:$AE$1006,0)), HYPERLINK("#",""), HYPERLINK(CONCATENATE("#Metadata!", ADDRESS(INDEX($Q$2:$Q$1001,MATCH(ROWS($O$2:O815),$O$2:$O$1001,0),0), INDEX($V$1004:$AE$1004,1,MATCH(COLUMNS($V$1006:W1006),$V$1006:$AE$1006,0)))),"Fix")))</f>
        <v>0</v>
      </c>
      <c r="D815" s="4">
        <f>IF(OR(INDEX($P$2:$P$1001,MATCH(ROWS($O$2:O815),$O$2:$O$1001,0),1)&gt;=100000,INDEX($V$1005:$AE$1005,1,MATCH(COLUMNS($V$1006:X1006),$V$1006:$AE$1006,0))&gt;=100000), " ",IF(INDEX($V$2:$AE$1001,MATCH(ROWS($O$2:O815),$O$2:$O$1001,0),MATCH(COLUMNS($V$1006:X1006),$V$1006:$AE$1006,0)), HYPERLINK("#",""), HYPERLINK(CONCATENATE("#Metadata!", ADDRESS(INDEX($Q$2:$Q$1001,MATCH(ROWS($O$2:O815),$O$2:$O$1001,0),0), INDEX($V$1004:$AE$1004,1,MATCH(COLUMNS($V$1006:X1006),$V$1006:$AE$1006,0)))),"Fix")))</f>
        <v>0</v>
      </c>
      <c r="E815" s="4">
        <f>IF(OR(INDEX($P$2:$P$1001,MATCH(ROWS($O$2:O815),$O$2:$O$1001,0),1)&gt;=100000,INDEX($V$1005:$AE$1005,1,MATCH(COLUMNS($V$1006:Y1006),$V$1006:$AE$1006,0))&gt;=100000), " ",IF(INDEX($V$2:$AE$1001,MATCH(ROWS($O$2:O815),$O$2:$O$1001,0),MATCH(COLUMNS($V$1006:Y1006),$V$1006:$AE$1006,0)), HYPERLINK("#",""), HYPERLINK(CONCATENATE("#Metadata!", ADDRESS(INDEX($Q$2:$Q$1001,MATCH(ROWS($O$2:O815),$O$2:$O$1001,0),0), INDEX($V$1004:$AE$1004,1,MATCH(COLUMNS($V$1006:Y1006),$V$1006:$AE$1006,0)))),"Fix")))</f>
        <v>0</v>
      </c>
      <c r="F815" s="4">
        <f>IF(OR(INDEX($P$2:$P$1001,MATCH(ROWS($O$2:O815),$O$2:$O$1001,0),1)&gt;=100000,INDEX($V$1005:$AE$1005,1,MATCH(COLUMNS($V$1006:Z1006),$V$1006:$AE$1006,0))&gt;=100000), " ",IF(INDEX($V$2:$AE$1001,MATCH(ROWS($O$2:O815),$O$2:$O$1001,0),MATCH(COLUMNS($V$1006:Z1006),$V$1006:$AE$1006,0)), HYPERLINK("#",""), HYPERLINK(CONCATENATE("#Metadata!", ADDRESS(INDEX($Q$2:$Q$1001,MATCH(ROWS($O$2:O815),$O$2:$O$1001,0),0), INDEX($V$1004:$AE$1004,1,MATCH(COLUMNS($V$1006:Z1006),$V$1006:$AE$1006,0)))),"Fix")))</f>
        <v>0</v>
      </c>
      <c r="G815" s="4">
        <f>IF(OR(INDEX($P$2:$P$1001,MATCH(ROWS($O$2:O815),$O$2:$O$1001,0),1)&gt;=100000,INDEX($V$1005:$AE$1005,1,MATCH(COLUMNS($V$1006:AA1006),$V$1006:$AE$1006,0))&gt;=100000), " ",IF(INDEX($V$2:$AE$1001,MATCH(ROWS($O$2:O815),$O$2:$O$1001,0),MATCH(COLUMNS($V$1006:AA1006),$V$1006:$AE$1006,0)), HYPERLINK("#",""), HYPERLINK(CONCATENATE("#Metadata!", ADDRESS(INDEX($Q$2:$Q$1001,MATCH(ROWS($O$2:O815),$O$2:$O$1001,0),0), INDEX($V$1004:$AE$1004,1,MATCH(COLUMNS($V$1006:AA1006),$V$1006:$AE$1006,0)))),"Fix")))</f>
        <v>0</v>
      </c>
      <c r="H815" s="4">
        <f>IF(OR(INDEX($P$2:$P$1001,MATCH(ROWS($O$2:O815),$O$2:$O$1001,0),1)&gt;=100000,INDEX($V$1005:$AE$1005,1,MATCH(COLUMNS($V$1006:AB1006),$V$1006:$AE$1006,0))&gt;=100000), " ",IF(INDEX($V$2:$AE$1001,MATCH(ROWS($O$2:O815),$O$2:$O$1001,0),MATCH(COLUMNS($V$1006:AB1006),$V$1006:$AE$1006,0)), HYPERLINK("#",""), HYPERLINK(CONCATENATE("#Metadata!", ADDRESS(INDEX($Q$2:$Q$1001,MATCH(ROWS($O$2:O815),$O$2:$O$1001,0),0), INDEX($V$1004:$AE$1004,1,MATCH(COLUMNS($V$1006:AB1006),$V$1006:$AE$1006,0)))),"Fix")))</f>
        <v>0</v>
      </c>
      <c r="I815" s="4">
        <f>IF(OR(INDEX($P$2:$P$1001,MATCH(ROWS($O$2:O815),$O$2:$O$1001,0),1)&gt;=100000,INDEX($V$1005:$AE$1005,1,MATCH(COLUMNS($V$1006:AC1006),$V$1006:$AE$1006,0))&gt;=100000), " ",IF(INDEX($V$2:$AE$1001,MATCH(ROWS($O$2:O815),$O$2:$O$1001,0),MATCH(COLUMNS($V$1006:AC1006),$V$1006:$AE$1006,0)), HYPERLINK("#",""), HYPERLINK(CONCATENATE("#Metadata!", ADDRESS(INDEX($Q$2:$Q$1001,MATCH(ROWS($O$2:O815),$O$2:$O$1001,0),0), INDEX($V$1004:$AE$1004,1,MATCH(COLUMNS($V$1006:AC1006),$V$1006:$AE$1006,0)))),"Fix")))</f>
        <v>0</v>
      </c>
      <c r="J815" s="4">
        <f>IF(OR(INDEX($P$2:$P$1001,MATCH(ROWS($O$2:O815),$O$2:$O$1001,0),1)&gt;=100000,INDEX($V$1005:$AE$1005,1,MATCH(COLUMNS($V$1006:AD1006),$V$1006:$AE$1006,0))&gt;=100000), " ",IF(INDEX($V$2:$AE$1001,MATCH(ROWS($O$2:O815),$O$2:$O$1001,0),MATCH(COLUMNS($V$1006:AD1006),$V$1006:$AE$1006,0)), HYPERLINK("#",""), HYPERLINK(CONCATENATE("#Metadata!", ADDRESS(INDEX($Q$2:$Q$1001,MATCH(ROWS($O$2:O815),$O$2:$O$1001,0),0), INDEX($V$1004:$AE$1004,1,MATCH(COLUMNS($V$1006:AD1006),$V$1006:$AE$1006,0)))),"Fix")))</f>
        <v>0</v>
      </c>
      <c r="K815" s="4">
        <f>IF(OR(INDEX($P$2:$P$1001,MATCH(ROWS($O$2:O815),$O$2:$O$1001,0),1)&gt;=100000,INDEX($V$1005:$AE$1005,1,MATCH(COLUMNS($V$1006:AE1006),$V$1006:$AE$1006,0))&gt;=100000), " ",IF(INDEX($V$2:$AE$1001,MATCH(ROWS($O$2:O815),$O$2:$O$1001,0),MATCH(COLUMNS($V$1006:AE1006),$V$1006:$AE$1006,0)), HYPERLINK("#",""), HYPERLINK(CONCATENATE("#Metadata!", ADDRESS(INDEX($Q$2:$Q$1001,MATCH(ROWS($O$2:O815),$O$2:$O$1001,0),0), INDEX($V$1004:$AE$1004,1,MATCH(COLUMNS($V$1006:AE1006),$V$1006:$AE$1006,0)))),"Fix")))</f>
        <v>0</v>
      </c>
      <c r="O815">
        <v>0</v>
      </c>
      <c r="P815">
        <v>0</v>
      </c>
      <c r="Q815">
        <v>0</v>
      </c>
      <c r="R815">
        <f>IF(S815,TRUE,AND(V815:AE815))</f>
        <v>0</v>
      </c>
      <c r="S815">
        <f>COUNTBLANK(Metadata!B815:K815)=COLUMNS(Metadata!B815:K815)</f>
        <v>0</v>
      </c>
      <c r="T815">
        <v>0</v>
      </c>
      <c r="V815">
        <f>AND(IF(Metadata!B815="",FALSE,TRUE),COUNTIF(Metadata!B:B, Metadata!B815) = 1,NOT(ISERROR(SUMPRODUCT(SEARCH(MID(Metadata!B815,ROW(INDIRECT("1:"&amp;LEN(Metadata!B815))), 1),"0123456789abcdefghijklmnopqrstuvwxyzABCDEFGHIJKLMNOPQRSTUVWXYZ.")))))</f>
        <v>0</v>
      </c>
      <c r="W815">
        <f>AND(IF(Metadata!C815="",FALSE,TRUE),exact(Metadata!C815,"urban biome"))</f>
        <v>0</v>
      </c>
      <c r="X815">
        <f>AND(IF(Metadata!D815="",FALSE,TRUE),exact(Metadata!D815,"animal-associated habitat"))</f>
        <v>0</v>
      </c>
      <c r="Y815">
        <f>OR(AND(IF(Metadata!E815="",FALSE,TRUE),OR(exact(Metadata!E815,"not applicable"),exact(Metadata!E815,"missing: not collected"),exact(Metadata!E815,"missing: not provided"),exact(Metadata!E815,"missing: restricted access"))),AND(IF(Metadata!E815="",FALSE,ISNUMBER(VALUE(Metadata!E815))),Metadata!E815&gt;0))</f>
        <v>0</v>
      </c>
      <c r="Z815">
        <f>AND(IF(Metadata!F815="",FALSE,TRUE),exact(Metadata!F815,"weeks"))</f>
        <v>0</v>
      </c>
      <c r="AA815">
        <f>AND(IF(Metadata!G815="",FALSE,TRUE),exact(Metadata!G815,"mouse"))</f>
        <v>0</v>
      </c>
      <c r="AB815">
        <f>AND(IF(Metadata!H815="",FALSE,TRUE),exact(Metadata!H815,"Mus musculus"))</f>
        <v>0</v>
      </c>
      <c r="AC815">
        <f>AND(IF(Metadata!I815="",FALSE,TRUE),exact(Metadata!I815,"10090"))</f>
        <v>0</v>
      </c>
      <c r="AD815">
        <f>OR(AND(IF(Metadata!J815="",FALSE,TRUE),OR(exact(Metadata!J815,"not applicable"),exact(Metadata!J815,"missing: not collected"),exact(Metadata!J815,"missing: not provided"),exact(Metadata!J815,"missing: restricted access"))),AND(IF(Metadata!J815="",FALSE,ISNUMBER(VALUE(Metadata!J815))),Metadata!J815&gt;0))</f>
        <v>0</v>
      </c>
      <c r="AE815">
        <f>AND(IF(Metadata!K815="",FALSE,TRUE),exact(Metadata!K815,"g"))</f>
        <v>0</v>
      </c>
    </row>
    <row r="816" spans="1:31">
      <c r="A816" s="5">
        <f>IF(B816=" "," ",HYPERLINK(CONCATENATE("#metadata!",ADDRESS(INDEX($Q$2:$Q$1001,MATCH(ROWS($O$2:O816),$O$2:$O$1001,0),0),1)),INDEX($T$2:$T$1001,MATCH(ROWS($O$2:O816),$O$2:$O$1001,0),0)))</f>
        <v>0</v>
      </c>
      <c r="B816" s="4">
        <f>IF(OR(INDEX($P$2:$P$1001,MATCH(ROWS($O$2:O816),$O$2:$O$1001,0),1)&gt;=100000,INDEX($V$1005:$AE$1005,1,MATCH(COLUMNS($V$1006:V1006),$V$1006:$AE$1006,0))&gt;=100000), " ",IF(INDEX($V$2:$AE$1001,MATCH(ROWS($O$2:O816),$O$2:$O$1001,0),MATCH(COLUMNS($V$1006:V1006),$V$1006:$AE$1006,0)), HYPERLINK("#",""), HYPERLINK(CONCATENATE("#Metadata!", ADDRESS(INDEX($Q$2:$Q$1001,MATCH(ROWS($O$2:O816),$O$2:$O$1001,0),0), INDEX($V$1004:$AE$1004,1,MATCH(COLUMNS($V$1006:V1006),$V$1006:$AE$1006,0)))),"Fix")))</f>
        <v>0</v>
      </c>
      <c r="C816" s="4">
        <f>IF(OR(INDEX($P$2:$P$1001,MATCH(ROWS($O$2:O816),$O$2:$O$1001,0),1)&gt;=100000,INDEX($V$1005:$AE$1005,1,MATCH(COLUMNS($V$1006:W1006),$V$1006:$AE$1006,0))&gt;=100000), " ",IF(INDEX($V$2:$AE$1001,MATCH(ROWS($O$2:O816),$O$2:$O$1001,0),MATCH(COLUMNS($V$1006:W1006),$V$1006:$AE$1006,0)), HYPERLINK("#",""), HYPERLINK(CONCATENATE("#Metadata!", ADDRESS(INDEX($Q$2:$Q$1001,MATCH(ROWS($O$2:O816),$O$2:$O$1001,0),0), INDEX($V$1004:$AE$1004,1,MATCH(COLUMNS($V$1006:W1006),$V$1006:$AE$1006,0)))),"Fix")))</f>
        <v>0</v>
      </c>
      <c r="D816" s="4">
        <f>IF(OR(INDEX($P$2:$P$1001,MATCH(ROWS($O$2:O816),$O$2:$O$1001,0),1)&gt;=100000,INDEX($V$1005:$AE$1005,1,MATCH(COLUMNS($V$1006:X1006),$V$1006:$AE$1006,0))&gt;=100000), " ",IF(INDEX($V$2:$AE$1001,MATCH(ROWS($O$2:O816),$O$2:$O$1001,0),MATCH(COLUMNS($V$1006:X1006),$V$1006:$AE$1006,0)), HYPERLINK("#",""), HYPERLINK(CONCATENATE("#Metadata!", ADDRESS(INDEX($Q$2:$Q$1001,MATCH(ROWS($O$2:O816),$O$2:$O$1001,0),0), INDEX($V$1004:$AE$1004,1,MATCH(COLUMNS($V$1006:X1006),$V$1006:$AE$1006,0)))),"Fix")))</f>
        <v>0</v>
      </c>
      <c r="E816" s="4">
        <f>IF(OR(INDEX($P$2:$P$1001,MATCH(ROWS($O$2:O816),$O$2:$O$1001,0),1)&gt;=100000,INDEX($V$1005:$AE$1005,1,MATCH(COLUMNS($V$1006:Y1006),$V$1006:$AE$1006,0))&gt;=100000), " ",IF(INDEX($V$2:$AE$1001,MATCH(ROWS($O$2:O816),$O$2:$O$1001,0),MATCH(COLUMNS($V$1006:Y1006),$V$1006:$AE$1006,0)), HYPERLINK("#",""), HYPERLINK(CONCATENATE("#Metadata!", ADDRESS(INDEX($Q$2:$Q$1001,MATCH(ROWS($O$2:O816),$O$2:$O$1001,0),0), INDEX($V$1004:$AE$1004,1,MATCH(COLUMNS($V$1006:Y1006),$V$1006:$AE$1006,0)))),"Fix")))</f>
        <v>0</v>
      </c>
      <c r="F816" s="4">
        <f>IF(OR(INDEX($P$2:$P$1001,MATCH(ROWS($O$2:O816),$O$2:$O$1001,0),1)&gt;=100000,INDEX($V$1005:$AE$1005,1,MATCH(COLUMNS($V$1006:Z1006),$V$1006:$AE$1006,0))&gt;=100000), " ",IF(INDEX($V$2:$AE$1001,MATCH(ROWS($O$2:O816),$O$2:$O$1001,0),MATCH(COLUMNS($V$1006:Z1006),$V$1006:$AE$1006,0)), HYPERLINK("#",""), HYPERLINK(CONCATENATE("#Metadata!", ADDRESS(INDEX($Q$2:$Q$1001,MATCH(ROWS($O$2:O816),$O$2:$O$1001,0),0), INDEX($V$1004:$AE$1004,1,MATCH(COLUMNS($V$1006:Z1006),$V$1006:$AE$1006,0)))),"Fix")))</f>
        <v>0</v>
      </c>
      <c r="G816" s="4">
        <f>IF(OR(INDEX($P$2:$P$1001,MATCH(ROWS($O$2:O816),$O$2:$O$1001,0),1)&gt;=100000,INDEX($V$1005:$AE$1005,1,MATCH(COLUMNS($V$1006:AA1006),$V$1006:$AE$1006,0))&gt;=100000), " ",IF(INDEX($V$2:$AE$1001,MATCH(ROWS($O$2:O816),$O$2:$O$1001,0),MATCH(COLUMNS($V$1006:AA1006),$V$1006:$AE$1006,0)), HYPERLINK("#",""), HYPERLINK(CONCATENATE("#Metadata!", ADDRESS(INDEX($Q$2:$Q$1001,MATCH(ROWS($O$2:O816),$O$2:$O$1001,0),0), INDEX($V$1004:$AE$1004,1,MATCH(COLUMNS($V$1006:AA1006),$V$1006:$AE$1006,0)))),"Fix")))</f>
        <v>0</v>
      </c>
      <c r="H816" s="4">
        <f>IF(OR(INDEX($P$2:$P$1001,MATCH(ROWS($O$2:O816),$O$2:$O$1001,0),1)&gt;=100000,INDEX($V$1005:$AE$1005,1,MATCH(COLUMNS($V$1006:AB1006),$V$1006:$AE$1006,0))&gt;=100000), " ",IF(INDEX($V$2:$AE$1001,MATCH(ROWS($O$2:O816),$O$2:$O$1001,0),MATCH(COLUMNS($V$1006:AB1006),$V$1006:$AE$1006,0)), HYPERLINK("#",""), HYPERLINK(CONCATENATE("#Metadata!", ADDRESS(INDEX($Q$2:$Q$1001,MATCH(ROWS($O$2:O816),$O$2:$O$1001,0),0), INDEX($V$1004:$AE$1004,1,MATCH(COLUMNS($V$1006:AB1006),$V$1006:$AE$1006,0)))),"Fix")))</f>
        <v>0</v>
      </c>
      <c r="I816" s="4">
        <f>IF(OR(INDEX($P$2:$P$1001,MATCH(ROWS($O$2:O816),$O$2:$O$1001,0),1)&gt;=100000,INDEX($V$1005:$AE$1005,1,MATCH(COLUMNS($V$1006:AC1006),$V$1006:$AE$1006,0))&gt;=100000), " ",IF(INDEX($V$2:$AE$1001,MATCH(ROWS($O$2:O816),$O$2:$O$1001,0),MATCH(COLUMNS($V$1006:AC1006),$V$1006:$AE$1006,0)), HYPERLINK("#",""), HYPERLINK(CONCATENATE("#Metadata!", ADDRESS(INDEX($Q$2:$Q$1001,MATCH(ROWS($O$2:O816),$O$2:$O$1001,0),0), INDEX($V$1004:$AE$1004,1,MATCH(COLUMNS($V$1006:AC1006),$V$1006:$AE$1006,0)))),"Fix")))</f>
        <v>0</v>
      </c>
      <c r="J816" s="4">
        <f>IF(OR(INDEX($P$2:$P$1001,MATCH(ROWS($O$2:O816),$O$2:$O$1001,0),1)&gt;=100000,INDEX($V$1005:$AE$1005,1,MATCH(COLUMNS($V$1006:AD1006),$V$1006:$AE$1006,0))&gt;=100000), " ",IF(INDEX($V$2:$AE$1001,MATCH(ROWS($O$2:O816),$O$2:$O$1001,0),MATCH(COLUMNS($V$1006:AD1006),$V$1006:$AE$1006,0)), HYPERLINK("#",""), HYPERLINK(CONCATENATE("#Metadata!", ADDRESS(INDEX($Q$2:$Q$1001,MATCH(ROWS($O$2:O816),$O$2:$O$1001,0),0), INDEX($V$1004:$AE$1004,1,MATCH(COLUMNS($V$1006:AD1006),$V$1006:$AE$1006,0)))),"Fix")))</f>
        <v>0</v>
      </c>
      <c r="K816" s="4">
        <f>IF(OR(INDEX($P$2:$P$1001,MATCH(ROWS($O$2:O816),$O$2:$O$1001,0),1)&gt;=100000,INDEX($V$1005:$AE$1005,1,MATCH(COLUMNS($V$1006:AE1006),$V$1006:$AE$1006,0))&gt;=100000), " ",IF(INDEX($V$2:$AE$1001,MATCH(ROWS($O$2:O816),$O$2:$O$1001,0),MATCH(COLUMNS($V$1006:AE1006),$V$1006:$AE$1006,0)), HYPERLINK("#",""), HYPERLINK(CONCATENATE("#Metadata!", ADDRESS(INDEX($Q$2:$Q$1001,MATCH(ROWS($O$2:O816),$O$2:$O$1001,0),0), INDEX($V$1004:$AE$1004,1,MATCH(COLUMNS($V$1006:AE1006),$V$1006:$AE$1006,0)))),"Fix")))</f>
        <v>0</v>
      </c>
      <c r="O816">
        <v>0</v>
      </c>
      <c r="P816">
        <v>0</v>
      </c>
      <c r="Q816">
        <v>0</v>
      </c>
      <c r="R816">
        <f>IF(S816,TRUE,AND(V816:AE816))</f>
        <v>0</v>
      </c>
      <c r="S816">
        <f>COUNTBLANK(Metadata!B816:K816)=COLUMNS(Metadata!B816:K816)</f>
        <v>0</v>
      </c>
      <c r="T816">
        <v>0</v>
      </c>
      <c r="V816">
        <f>AND(IF(Metadata!B816="",FALSE,TRUE),COUNTIF(Metadata!B:B, Metadata!B816) = 1,NOT(ISERROR(SUMPRODUCT(SEARCH(MID(Metadata!B816,ROW(INDIRECT("1:"&amp;LEN(Metadata!B816))), 1),"0123456789abcdefghijklmnopqrstuvwxyzABCDEFGHIJKLMNOPQRSTUVWXYZ.")))))</f>
        <v>0</v>
      </c>
      <c r="W816">
        <f>AND(IF(Metadata!C816="",FALSE,TRUE),exact(Metadata!C816,"urban biome"))</f>
        <v>0</v>
      </c>
      <c r="X816">
        <f>AND(IF(Metadata!D816="",FALSE,TRUE),exact(Metadata!D816,"animal-associated habitat"))</f>
        <v>0</v>
      </c>
      <c r="Y816">
        <f>OR(AND(IF(Metadata!E816="",FALSE,TRUE),OR(exact(Metadata!E816,"not applicable"),exact(Metadata!E816,"missing: not collected"),exact(Metadata!E816,"missing: not provided"),exact(Metadata!E816,"missing: restricted access"))),AND(IF(Metadata!E816="",FALSE,ISNUMBER(VALUE(Metadata!E816))),Metadata!E816&gt;0))</f>
        <v>0</v>
      </c>
      <c r="Z816">
        <f>AND(IF(Metadata!F816="",FALSE,TRUE),exact(Metadata!F816,"weeks"))</f>
        <v>0</v>
      </c>
      <c r="AA816">
        <f>AND(IF(Metadata!G816="",FALSE,TRUE),exact(Metadata!G816,"mouse"))</f>
        <v>0</v>
      </c>
      <c r="AB816">
        <f>AND(IF(Metadata!H816="",FALSE,TRUE),exact(Metadata!H816,"Mus musculus"))</f>
        <v>0</v>
      </c>
      <c r="AC816">
        <f>AND(IF(Metadata!I816="",FALSE,TRUE),exact(Metadata!I816,"10090"))</f>
        <v>0</v>
      </c>
      <c r="AD816">
        <f>OR(AND(IF(Metadata!J816="",FALSE,TRUE),OR(exact(Metadata!J816,"not applicable"),exact(Metadata!J816,"missing: not collected"),exact(Metadata!J816,"missing: not provided"),exact(Metadata!J816,"missing: restricted access"))),AND(IF(Metadata!J816="",FALSE,ISNUMBER(VALUE(Metadata!J816))),Metadata!J816&gt;0))</f>
        <v>0</v>
      </c>
      <c r="AE816">
        <f>AND(IF(Metadata!K816="",FALSE,TRUE),exact(Metadata!K816,"g"))</f>
        <v>0</v>
      </c>
    </row>
    <row r="817" spans="1:31">
      <c r="A817" s="5">
        <f>IF(B817=" "," ",HYPERLINK(CONCATENATE("#metadata!",ADDRESS(INDEX($Q$2:$Q$1001,MATCH(ROWS($O$2:O817),$O$2:$O$1001,0),0),1)),INDEX($T$2:$T$1001,MATCH(ROWS($O$2:O817),$O$2:$O$1001,0),0)))</f>
        <v>0</v>
      </c>
      <c r="B817" s="4">
        <f>IF(OR(INDEX($P$2:$P$1001,MATCH(ROWS($O$2:O817),$O$2:$O$1001,0),1)&gt;=100000,INDEX($V$1005:$AE$1005,1,MATCH(COLUMNS($V$1006:V1006),$V$1006:$AE$1006,0))&gt;=100000), " ",IF(INDEX($V$2:$AE$1001,MATCH(ROWS($O$2:O817),$O$2:$O$1001,0),MATCH(COLUMNS($V$1006:V1006),$V$1006:$AE$1006,0)), HYPERLINK("#",""), HYPERLINK(CONCATENATE("#Metadata!", ADDRESS(INDEX($Q$2:$Q$1001,MATCH(ROWS($O$2:O817),$O$2:$O$1001,0),0), INDEX($V$1004:$AE$1004,1,MATCH(COLUMNS($V$1006:V1006),$V$1006:$AE$1006,0)))),"Fix")))</f>
        <v>0</v>
      </c>
      <c r="C817" s="4">
        <f>IF(OR(INDEX($P$2:$P$1001,MATCH(ROWS($O$2:O817),$O$2:$O$1001,0),1)&gt;=100000,INDEX($V$1005:$AE$1005,1,MATCH(COLUMNS($V$1006:W1006),$V$1006:$AE$1006,0))&gt;=100000), " ",IF(INDEX($V$2:$AE$1001,MATCH(ROWS($O$2:O817),$O$2:$O$1001,0),MATCH(COLUMNS($V$1006:W1006),$V$1006:$AE$1006,0)), HYPERLINK("#",""), HYPERLINK(CONCATENATE("#Metadata!", ADDRESS(INDEX($Q$2:$Q$1001,MATCH(ROWS($O$2:O817),$O$2:$O$1001,0),0), INDEX($V$1004:$AE$1004,1,MATCH(COLUMNS($V$1006:W1006),$V$1006:$AE$1006,0)))),"Fix")))</f>
        <v>0</v>
      </c>
      <c r="D817" s="4">
        <f>IF(OR(INDEX($P$2:$P$1001,MATCH(ROWS($O$2:O817),$O$2:$O$1001,0),1)&gt;=100000,INDEX($V$1005:$AE$1005,1,MATCH(COLUMNS($V$1006:X1006),$V$1006:$AE$1006,0))&gt;=100000), " ",IF(INDEX($V$2:$AE$1001,MATCH(ROWS($O$2:O817),$O$2:$O$1001,0),MATCH(COLUMNS($V$1006:X1006),$V$1006:$AE$1006,0)), HYPERLINK("#",""), HYPERLINK(CONCATENATE("#Metadata!", ADDRESS(INDEX($Q$2:$Q$1001,MATCH(ROWS($O$2:O817),$O$2:$O$1001,0),0), INDEX($V$1004:$AE$1004,1,MATCH(COLUMNS($V$1006:X1006),$V$1006:$AE$1006,0)))),"Fix")))</f>
        <v>0</v>
      </c>
      <c r="E817" s="4">
        <f>IF(OR(INDEX($P$2:$P$1001,MATCH(ROWS($O$2:O817),$O$2:$O$1001,0),1)&gt;=100000,INDEX($V$1005:$AE$1005,1,MATCH(COLUMNS($V$1006:Y1006),$V$1006:$AE$1006,0))&gt;=100000), " ",IF(INDEX($V$2:$AE$1001,MATCH(ROWS($O$2:O817),$O$2:$O$1001,0),MATCH(COLUMNS($V$1006:Y1006),$V$1006:$AE$1006,0)), HYPERLINK("#",""), HYPERLINK(CONCATENATE("#Metadata!", ADDRESS(INDEX($Q$2:$Q$1001,MATCH(ROWS($O$2:O817),$O$2:$O$1001,0),0), INDEX($V$1004:$AE$1004,1,MATCH(COLUMNS($V$1006:Y1006),$V$1006:$AE$1006,0)))),"Fix")))</f>
        <v>0</v>
      </c>
      <c r="F817" s="4">
        <f>IF(OR(INDEX($P$2:$P$1001,MATCH(ROWS($O$2:O817),$O$2:$O$1001,0),1)&gt;=100000,INDEX($V$1005:$AE$1005,1,MATCH(COLUMNS($V$1006:Z1006),$V$1006:$AE$1006,0))&gt;=100000), " ",IF(INDEX($V$2:$AE$1001,MATCH(ROWS($O$2:O817),$O$2:$O$1001,0),MATCH(COLUMNS($V$1006:Z1006),$V$1006:$AE$1006,0)), HYPERLINK("#",""), HYPERLINK(CONCATENATE("#Metadata!", ADDRESS(INDEX($Q$2:$Q$1001,MATCH(ROWS($O$2:O817),$O$2:$O$1001,0),0), INDEX($V$1004:$AE$1004,1,MATCH(COLUMNS($V$1006:Z1006),$V$1006:$AE$1006,0)))),"Fix")))</f>
        <v>0</v>
      </c>
      <c r="G817" s="4">
        <f>IF(OR(INDEX($P$2:$P$1001,MATCH(ROWS($O$2:O817),$O$2:$O$1001,0),1)&gt;=100000,INDEX($V$1005:$AE$1005,1,MATCH(COLUMNS($V$1006:AA1006),$V$1006:$AE$1006,0))&gt;=100000), " ",IF(INDEX($V$2:$AE$1001,MATCH(ROWS($O$2:O817),$O$2:$O$1001,0),MATCH(COLUMNS($V$1006:AA1006),$V$1006:$AE$1006,0)), HYPERLINK("#",""), HYPERLINK(CONCATENATE("#Metadata!", ADDRESS(INDEX($Q$2:$Q$1001,MATCH(ROWS($O$2:O817),$O$2:$O$1001,0),0), INDEX($V$1004:$AE$1004,1,MATCH(COLUMNS($V$1006:AA1006),$V$1006:$AE$1006,0)))),"Fix")))</f>
        <v>0</v>
      </c>
      <c r="H817" s="4">
        <f>IF(OR(INDEX($P$2:$P$1001,MATCH(ROWS($O$2:O817),$O$2:$O$1001,0),1)&gt;=100000,INDEX($V$1005:$AE$1005,1,MATCH(COLUMNS($V$1006:AB1006),$V$1006:$AE$1006,0))&gt;=100000), " ",IF(INDEX($V$2:$AE$1001,MATCH(ROWS($O$2:O817),$O$2:$O$1001,0),MATCH(COLUMNS($V$1006:AB1006),$V$1006:$AE$1006,0)), HYPERLINK("#",""), HYPERLINK(CONCATENATE("#Metadata!", ADDRESS(INDEX($Q$2:$Q$1001,MATCH(ROWS($O$2:O817),$O$2:$O$1001,0),0), INDEX($V$1004:$AE$1004,1,MATCH(COLUMNS($V$1006:AB1006),$V$1006:$AE$1006,0)))),"Fix")))</f>
        <v>0</v>
      </c>
      <c r="I817" s="4">
        <f>IF(OR(INDEX($P$2:$P$1001,MATCH(ROWS($O$2:O817),$O$2:$O$1001,0),1)&gt;=100000,INDEX($V$1005:$AE$1005,1,MATCH(COLUMNS($V$1006:AC1006),$V$1006:$AE$1006,0))&gt;=100000), " ",IF(INDEX($V$2:$AE$1001,MATCH(ROWS($O$2:O817),$O$2:$O$1001,0),MATCH(COLUMNS($V$1006:AC1006),$V$1006:$AE$1006,0)), HYPERLINK("#",""), HYPERLINK(CONCATENATE("#Metadata!", ADDRESS(INDEX($Q$2:$Q$1001,MATCH(ROWS($O$2:O817),$O$2:$O$1001,0),0), INDEX($V$1004:$AE$1004,1,MATCH(COLUMNS($V$1006:AC1006),$V$1006:$AE$1006,0)))),"Fix")))</f>
        <v>0</v>
      </c>
      <c r="J817" s="4">
        <f>IF(OR(INDEX($P$2:$P$1001,MATCH(ROWS($O$2:O817),$O$2:$O$1001,0),1)&gt;=100000,INDEX($V$1005:$AE$1005,1,MATCH(COLUMNS($V$1006:AD1006),$V$1006:$AE$1006,0))&gt;=100000), " ",IF(INDEX($V$2:$AE$1001,MATCH(ROWS($O$2:O817),$O$2:$O$1001,0),MATCH(COLUMNS($V$1006:AD1006),$V$1006:$AE$1006,0)), HYPERLINK("#",""), HYPERLINK(CONCATENATE("#Metadata!", ADDRESS(INDEX($Q$2:$Q$1001,MATCH(ROWS($O$2:O817),$O$2:$O$1001,0),0), INDEX($V$1004:$AE$1004,1,MATCH(COLUMNS($V$1006:AD1006),$V$1006:$AE$1006,0)))),"Fix")))</f>
        <v>0</v>
      </c>
      <c r="K817" s="4">
        <f>IF(OR(INDEX($P$2:$P$1001,MATCH(ROWS($O$2:O817),$O$2:$O$1001,0),1)&gt;=100000,INDEX($V$1005:$AE$1005,1,MATCH(COLUMNS($V$1006:AE1006),$V$1006:$AE$1006,0))&gt;=100000), " ",IF(INDEX($V$2:$AE$1001,MATCH(ROWS($O$2:O817),$O$2:$O$1001,0),MATCH(COLUMNS($V$1006:AE1006),$V$1006:$AE$1006,0)), HYPERLINK("#",""), HYPERLINK(CONCATENATE("#Metadata!", ADDRESS(INDEX($Q$2:$Q$1001,MATCH(ROWS($O$2:O817),$O$2:$O$1001,0),0), INDEX($V$1004:$AE$1004,1,MATCH(COLUMNS($V$1006:AE1006),$V$1006:$AE$1006,0)))),"Fix")))</f>
        <v>0</v>
      </c>
      <c r="O817">
        <v>0</v>
      </c>
      <c r="P817">
        <v>0</v>
      </c>
      <c r="Q817">
        <v>0</v>
      </c>
      <c r="R817">
        <f>IF(S817,TRUE,AND(V817:AE817))</f>
        <v>0</v>
      </c>
      <c r="S817">
        <f>COUNTBLANK(Metadata!B817:K817)=COLUMNS(Metadata!B817:K817)</f>
        <v>0</v>
      </c>
      <c r="T817">
        <v>0</v>
      </c>
      <c r="V817">
        <f>AND(IF(Metadata!B817="",FALSE,TRUE),COUNTIF(Metadata!B:B, Metadata!B817) = 1,NOT(ISERROR(SUMPRODUCT(SEARCH(MID(Metadata!B817,ROW(INDIRECT("1:"&amp;LEN(Metadata!B817))), 1),"0123456789abcdefghijklmnopqrstuvwxyzABCDEFGHIJKLMNOPQRSTUVWXYZ.")))))</f>
        <v>0</v>
      </c>
      <c r="W817">
        <f>AND(IF(Metadata!C817="",FALSE,TRUE),exact(Metadata!C817,"urban biome"))</f>
        <v>0</v>
      </c>
      <c r="X817">
        <f>AND(IF(Metadata!D817="",FALSE,TRUE),exact(Metadata!D817,"animal-associated habitat"))</f>
        <v>0</v>
      </c>
      <c r="Y817">
        <f>OR(AND(IF(Metadata!E817="",FALSE,TRUE),OR(exact(Metadata!E817,"not applicable"),exact(Metadata!E817,"missing: not collected"),exact(Metadata!E817,"missing: not provided"),exact(Metadata!E817,"missing: restricted access"))),AND(IF(Metadata!E817="",FALSE,ISNUMBER(VALUE(Metadata!E817))),Metadata!E817&gt;0))</f>
        <v>0</v>
      </c>
      <c r="Z817">
        <f>AND(IF(Metadata!F817="",FALSE,TRUE),exact(Metadata!F817,"weeks"))</f>
        <v>0</v>
      </c>
      <c r="AA817">
        <f>AND(IF(Metadata!G817="",FALSE,TRUE),exact(Metadata!G817,"mouse"))</f>
        <v>0</v>
      </c>
      <c r="AB817">
        <f>AND(IF(Metadata!H817="",FALSE,TRUE),exact(Metadata!H817,"Mus musculus"))</f>
        <v>0</v>
      </c>
      <c r="AC817">
        <f>AND(IF(Metadata!I817="",FALSE,TRUE),exact(Metadata!I817,"10090"))</f>
        <v>0</v>
      </c>
      <c r="AD817">
        <f>OR(AND(IF(Metadata!J817="",FALSE,TRUE),OR(exact(Metadata!J817,"not applicable"),exact(Metadata!J817,"missing: not collected"),exact(Metadata!J817,"missing: not provided"),exact(Metadata!J817,"missing: restricted access"))),AND(IF(Metadata!J817="",FALSE,ISNUMBER(VALUE(Metadata!J817))),Metadata!J817&gt;0))</f>
        <v>0</v>
      </c>
      <c r="AE817">
        <f>AND(IF(Metadata!K817="",FALSE,TRUE),exact(Metadata!K817,"g"))</f>
        <v>0</v>
      </c>
    </row>
    <row r="818" spans="1:31">
      <c r="A818" s="5">
        <f>IF(B818=" "," ",HYPERLINK(CONCATENATE("#metadata!",ADDRESS(INDEX($Q$2:$Q$1001,MATCH(ROWS($O$2:O818),$O$2:$O$1001,0),0),1)),INDEX($T$2:$T$1001,MATCH(ROWS($O$2:O818),$O$2:$O$1001,0),0)))</f>
        <v>0</v>
      </c>
      <c r="B818" s="4">
        <f>IF(OR(INDEX($P$2:$P$1001,MATCH(ROWS($O$2:O818),$O$2:$O$1001,0),1)&gt;=100000,INDEX($V$1005:$AE$1005,1,MATCH(COLUMNS($V$1006:V1006),$V$1006:$AE$1006,0))&gt;=100000), " ",IF(INDEX($V$2:$AE$1001,MATCH(ROWS($O$2:O818),$O$2:$O$1001,0),MATCH(COLUMNS($V$1006:V1006),$V$1006:$AE$1006,0)), HYPERLINK("#",""), HYPERLINK(CONCATENATE("#Metadata!", ADDRESS(INDEX($Q$2:$Q$1001,MATCH(ROWS($O$2:O818),$O$2:$O$1001,0),0), INDEX($V$1004:$AE$1004,1,MATCH(COLUMNS($V$1006:V1006),$V$1006:$AE$1006,0)))),"Fix")))</f>
        <v>0</v>
      </c>
      <c r="C818" s="4">
        <f>IF(OR(INDEX($P$2:$P$1001,MATCH(ROWS($O$2:O818),$O$2:$O$1001,0),1)&gt;=100000,INDEX($V$1005:$AE$1005,1,MATCH(COLUMNS($V$1006:W1006),$V$1006:$AE$1006,0))&gt;=100000), " ",IF(INDEX($V$2:$AE$1001,MATCH(ROWS($O$2:O818),$O$2:$O$1001,0),MATCH(COLUMNS($V$1006:W1006),$V$1006:$AE$1006,0)), HYPERLINK("#",""), HYPERLINK(CONCATENATE("#Metadata!", ADDRESS(INDEX($Q$2:$Q$1001,MATCH(ROWS($O$2:O818),$O$2:$O$1001,0),0), INDEX($V$1004:$AE$1004,1,MATCH(COLUMNS($V$1006:W1006),$V$1006:$AE$1006,0)))),"Fix")))</f>
        <v>0</v>
      </c>
      <c r="D818" s="4">
        <f>IF(OR(INDEX($P$2:$P$1001,MATCH(ROWS($O$2:O818),$O$2:$O$1001,0),1)&gt;=100000,INDEX($V$1005:$AE$1005,1,MATCH(COLUMNS($V$1006:X1006),$V$1006:$AE$1006,0))&gt;=100000), " ",IF(INDEX($V$2:$AE$1001,MATCH(ROWS($O$2:O818),$O$2:$O$1001,0),MATCH(COLUMNS($V$1006:X1006),$V$1006:$AE$1006,0)), HYPERLINK("#",""), HYPERLINK(CONCATENATE("#Metadata!", ADDRESS(INDEX($Q$2:$Q$1001,MATCH(ROWS($O$2:O818),$O$2:$O$1001,0),0), INDEX($V$1004:$AE$1004,1,MATCH(COLUMNS($V$1006:X1006),$V$1006:$AE$1006,0)))),"Fix")))</f>
        <v>0</v>
      </c>
      <c r="E818" s="4">
        <f>IF(OR(INDEX($P$2:$P$1001,MATCH(ROWS($O$2:O818),$O$2:$O$1001,0),1)&gt;=100000,INDEX($V$1005:$AE$1005,1,MATCH(COLUMNS($V$1006:Y1006),$V$1006:$AE$1006,0))&gt;=100000), " ",IF(INDEX($V$2:$AE$1001,MATCH(ROWS($O$2:O818),$O$2:$O$1001,0),MATCH(COLUMNS($V$1006:Y1006),$V$1006:$AE$1006,0)), HYPERLINK("#",""), HYPERLINK(CONCATENATE("#Metadata!", ADDRESS(INDEX($Q$2:$Q$1001,MATCH(ROWS($O$2:O818),$O$2:$O$1001,0),0), INDEX($V$1004:$AE$1004,1,MATCH(COLUMNS($V$1006:Y1006),$V$1006:$AE$1006,0)))),"Fix")))</f>
        <v>0</v>
      </c>
      <c r="F818" s="4">
        <f>IF(OR(INDEX($P$2:$P$1001,MATCH(ROWS($O$2:O818),$O$2:$O$1001,0),1)&gt;=100000,INDEX($V$1005:$AE$1005,1,MATCH(COLUMNS($V$1006:Z1006),$V$1006:$AE$1006,0))&gt;=100000), " ",IF(INDEX($V$2:$AE$1001,MATCH(ROWS($O$2:O818),$O$2:$O$1001,0),MATCH(COLUMNS($V$1006:Z1006),$V$1006:$AE$1006,0)), HYPERLINK("#",""), HYPERLINK(CONCATENATE("#Metadata!", ADDRESS(INDEX($Q$2:$Q$1001,MATCH(ROWS($O$2:O818),$O$2:$O$1001,0),0), INDEX($V$1004:$AE$1004,1,MATCH(COLUMNS($V$1006:Z1006),$V$1006:$AE$1006,0)))),"Fix")))</f>
        <v>0</v>
      </c>
      <c r="G818" s="4">
        <f>IF(OR(INDEX($P$2:$P$1001,MATCH(ROWS($O$2:O818),$O$2:$O$1001,0),1)&gt;=100000,INDEX($V$1005:$AE$1005,1,MATCH(COLUMNS($V$1006:AA1006),$V$1006:$AE$1006,0))&gt;=100000), " ",IF(INDEX($V$2:$AE$1001,MATCH(ROWS($O$2:O818),$O$2:$O$1001,0),MATCH(COLUMNS($V$1006:AA1006),$V$1006:$AE$1006,0)), HYPERLINK("#",""), HYPERLINK(CONCATENATE("#Metadata!", ADDRESS(INDEX($Q$2:$Q$1001,MATCH(ROWS($O$2:O818),$O$2:$O$1001,0),0), INDEX($V$1004:$AE$1004,1,MATCH(COLUMNS($V$1006:AA1006),$V$1006:$AE$1006,0)))),"Fix")))</f>
        <v>0</v>
      </c>
      <c r="H818" s="4">
        <f>IF(OR(INDEX($P$2:$P$1001,MATCH(ROWS($O$2:O818),$O$2:$O$1001,0),1)&gt;=100000,INDEX($V$1005:$AE$1005,1,MATCH(COLUMNS($V$1006:AB1006),$V$1006:$AE$1006,0))&gt;=100000), " ",IF(INDEX($V$2:$AE$1001,MATCH(ROWS($O$2:O818),$O$2:$O$1001,0),MATCH(COLUMNS($V$1006:AB1006),$V$1006:$AE$1006,0)), HYPERLINK("#",""), HYPERLINK(CONCATENATE("#Metadata!", ADDRESS(INDEX($Q$2:$Q$1001,MATCH(ROWS($O$2:O818),$O$2:$O$1001,0),0), INDEX($V$1004:$AE$1004,1,MATCH(COLUMNS($V$1006:AB1006),$V$1006:$AE$1006,0)))),"Fix")))</f>
        <v>0</v>
      </c>
      <c r="I818" s="4">
        <f>IF(OR(INDEX($P$2:$P$1001,MATCH(ROWS($O$2:O818),$O$2:$O$1001,0),1)&gt;=100000,INDEX($V$1005:$AE$1005,1,MATCH(COLUMNS($V$1006:AC1006),$V$1006:$AE$1006,0))&gt;=100000), " ",IF(INDEX($V$2:$AE$1001,MATCH(ROWS($O$2:O818),$O$2:$O$1001,0),MATCH(COLUMNS($V$1006:AC1006),$V$1006:$AE$1006,0)), HYPERLINK("#",""), HYPERLINK(CONCATENATE("#Metadata!", ADDRESS(INDEX($Q$2:$Q$1001,MATCH(ROWS($O$2:O818),$O$2:$O$1001,0),0), INDEX($V$1004:$AE$1004,1,MATCH(COLUMNS($V$1006:AC1006),$V$1006:$AE$1006,0)))),"Fix")))</f>
        <v>0</v>
      </c>
      <c r="J818" s="4">
        <f>IF(OR(INDEX($P$2:$P$1001,MATCH(ROWS($O$2:O818),$O$2:$O$1001,0),1)&gt;=100000,INDEX($V$1005:$AE$1005,1,MATCH(COLUMNS($V$1006:AD1006),$V$1006:$AE$1006,0))&gt;=100000), " ",IF(INDEX($V$2:$AE$1001,MATCH(ROWS($O$2:O818),$O$2:$O$1001,0),MATCH(COLUMNS($V$1006:AD1006),$V$1006:$AE$1006,0)), HYPERLINK("#",""), HYPERLINK(CONCATENATE("#Metadata!", ADDRESS(INDEX($Q$2:$Q$1001,MATCH(ROWS($O$2:O818),$O$2:$O$1001,0),0), INDEX($V$1004:$AE$1004,1,MATCH(COLUMNS($V$1006:AD1006),$V$1006:$AE$1006,0)))),"Fix")))</f>
        <v>0</v>
      </c>
      <c r="K818" s="4">
        <f>IF(OR(INDEX($P$2:$P$1001,MATCH(ROWS($O$2:O818),$O$2:$O$1001,0),1)&gt;=100000,INDEX($V$1005:$AE$1005,1,MATCH(COLUMNS($V$1006:AE1006),$V$1006:$AE$1006,0))&gt;=100000), " ",IF(INDEX($V$2:$AE$1001,MATCH(ROWS($O$2:O818),$O$2:$O$1001,0),MATCH(COLUMNS($V$1006:AE1006),$V$1006:$AE$1006,0)), HYPERLINK("#",""), HYPERLINK(CONCATENATE("#Metadata!", ADDRESS(INDEX($Q$2:$Q$1001,MATCH(ROWS($O$2:O818),$O$2:$O$1001,0),0), INDEX($V$1004:$AE$1004,1,MATCH(COLUMNS($V$1006:AE1006),$V$1006:$AE$1006,0)))),"Fix")))</f>
        <v>0</v>
      </c>
      <c r="O818">
        <v>0</v>
      </c>
      <c r="P818">
        <v>0</v>
      </c>
      <c r="Q818">
        <v>0</v>
      </c>
      <c r="R818">
        <f>IF(S818,TRUE,AND(V818:AE818))</f>
        <v>0</v>
      </c>
      <c r="S818">
        <f>COUNTBLANK(Metadata!B818:K818)=COLUMNS(Metadata!B818:K818)</f>
        <v>0</v>
      </c>
      <c r="T818">
        <v>0</v>
      </c>
      <c r="V818">
        <f>AND(IF(Metadata!B818="",FALSE,TRUE),COUNTIF(Metadata!B:B, Metadata!B818) = 1,NOT(ISERROR(SUMPRODUCT(SEARCH(MID(Metadata!B818,ROW(INDIRECT("1:"&amp;LEN(Metadata!B818))), 1),"0123456789abcdefghijklmnopqrstuvwxyzABCDEFGHIJKLMNOPQRSTUVWXYZ.")))))</f>
        <v>0</v>
      </c>
      <c r="W818">
        <f>AND(IF(Metadata!C818="",FALSE,TRUE),exact(Metadata!C818,"urban biome"))</f>
        <v>0</v>
      </c>
      <c r="X818">
        <f>AND(IF(Metadata!D818="",FALSE,TRUE),exact(Metadata!D818,"animal-associated habitat"))</f>
        <v>0</v>
      </c>
      <c r="Y818">
        <f>OR(AND(IF(Metadata!E818="",FALSE,TRUE),OR(exact(Metadata!E818,"not applicable"),exact(Metadata!E818,"missing: not collected"),exact(Metadata!E818,"missing: not provided"),exact(Metadata!E818,"missing: restricted access"))),AND(IF(Metadata!E818="",FALSE,ISNUMBER(VALUE(Metadata!E818))),Metadata!E818&gt;0))</f>
        <v>0</v>
      </c>
      <c r="Z818">
        <f>AND(IF(Metadata!F818="",FALSE,TRUE),exact(Metadata!F818,"weeks"))</f>
        <v>0</v>
      </c>
      <c r="AA818">
        <f>AND(IF(Metadata!G818="",FALSE,TRUE),exact(Metadata!G818,"mouse"))</f>
        <v>0</v>
      </c>
      <c r="AB818">
        <f>AND(IF(Metadata!H818="",FALSE,TRUE),exact(Metadata!H818,"Mus musculus"))</f>
        <v>0</v>
      </c>
      <c r="AC818">
        <f>AND(IF(Metadata!I818="",FALSE,TRUE),exact(Metadata!I818,"10090"))</f>
        <v>0</v>
      </c>
      <c r="AD818">
        <f>OR(AND(IF(Metadata!J818="",FALSE,TRUE),OR(exact(Metadata!J818,"not applicable"),exact(Metadata!J818,"missing: not collected"),exact(Metadata!J818,"missing: not provided"),exact(Metadata!J818,"missing: restricted access"))),AND(IF(Metadata!J818="",FALSE,ISNUMBER(VALUE(Metadata!J818))),Metadata!J818&gt;0))</f>
        <v>0</v>
      </c>
      <c r="AE818">
        <f>AND(IF(Metadata!K818="",FALSE,TRUE),exact(Metadata!K818,"g"))</f>
        <v>0</v>
      </c>
    </row>
    <row r="819" spans="1:31">
      <c r="A819" s="5">
        <f>IF(B819=" "," ",HYPERLINK(CONCATENATE("#metadata!",ADDRESS(INDEX($Q$2:$Q$1001,MATCH(ROWS($O$2:O819),$O$2:$O$1001,0),0),1)),INDEX($T$2:$T$1001,MATCH(ROWS($O$2:O819),$O$2:$O$1001,0),0)))</f>
        <v>0</v>
      </c>
      <c r="B819" s="4">
        <f>IF(OR(INDEX($P$2:$P$1001,MATCH(ROWS($O$2:O819),$O$2:$O$1001,0),1)&gt;=100000,INDEX($V$1005:$AE$1005,1,MATCH(COLUMNS($V$1006:V1006),$V$1006:$AE$1006,0))&gt;=100000), " ",IF(INDEX($V$2:$AE$1001,MATCH(ROWS($O$2:O819),$O$2:$O$1001,0),MATCH(COLUMNS($V$1006:V1006),$V$1006:$AE$1006,0)), HYPERLINK("#",""), HYPERLINK(CONCATENATE("#Metadata!", ADDRESS(INDEX($Q$2:$Q$1001,MATCH(ROWS($O$2:O819),$O$2:$O$1001,0),0), INDEX($V$1004:$AE$1004,1,MATCH(COLUMNS($V$1006:V1006),$V$1006:$AE$1006,0)))),"Fix")))</f>
        <v>0</v>
      </c>
      <c r="C819" s="4">
        <f>IF(OR(INDEX($P$2:$P$1001,MATCH(ROWS($O$2:O819),$O$2:$O$1001,0),1)&gt;=100000,INDEX($V$1005:$AE$1005,1,MATCH(COLUMNS($V$1006:W1006),$V$1006:$AE$1006,0))&gt;=100000), " ",IF(INDEX($V$2:$AE$1001,MATCH(ROWS($O$2:O819),$O$2:$O$1001,0),MATCH(COLUMNS($V$1006:W1006),$V$1006:$AE$1006,0)), HYPERLINK("#",""), HYPERLINK(CONCATENATE("#Metadata!", ADDRESS(INDEX($Q$2:$Q$1001,MATCH(ROWS($O$2:O819),$O$2:$O$1001,0),0), INDEX($V$1004:$AE$1004,1,MATCH(COLUMNS($V$1006:W1006),$V$1006:$AE$1006,0)))),"Fix")))</f>
        <v>0</v>
      </c>
      <c r="D819" s="4">
        <f>IF(OR(INDEX($P$2:$P$1001,MATCH(ROWS($O$2:O819),$O$2:$O$1001,0),1)&gt;=100000,INDEX($V$1005:$AE$1005,1,MATCH(COLUMNS($V$1006:X1006),$V$1006:$AE$1006,0))&gt;=100000), " ",IF(INDEX($V$2:$AE$1001,MATCH(ROWS($O$2:O819),$O$2:$O$1001,0),MATCH(COLUMNS($V$1006:X1006),$V$1006:$AE$1006,0)), HYPERLINK("#",""), HYPERLINK(CONCATENATE("#Metadata!", ADDRESS(INDEX($Q$2:$Q$1001,MATCH(ROWS($O$2:O819),$O$2:$O$1001,0),0), INDEX($V$1004:$AE$1004,1,MATCH(COLUMNS($V$1006:X1006),$V$1006:$AE$1006,0)))),"Fix")))</f>
        <v>0</v>
      </c>
      <c r="E819" s="4">
        <f>IF(OR(INDEX($P$2:$P$1001,MATCH(ROWS($O$2:O819),$O$2:$O$1001,0),1)&gt;=100000,INDEX($V$1005:$AE$1005,1,MATCH(COLUMNS($V$1006:Y1006),$V$1006:$AE$1006,0))&gt;=100000), " ",IF(INDEX($V$2:$AE$1001,MATCH(ROWS($O$2:O819),$O$2:$O$1001,0),MATCH(COLUMNS($V$1006:Y1006),$V$1006:$AE$1006,0)), HYPERLINK("#",""), HYPERLINK(CONCATENATE("#Metadata!", ADDRESS(INDEX($Q$2:$Q$1001,MATCH(ROWS($O$2:O819),$O$2:$O$1001,0),0), INDEX($V$1004:$AE$1004,1,MATCH(COLUMNS($V$1006:Y1006),$V$1006:$AE$1006,0)))),"Fix")))</f>
        <v>0</v>
      </c>
      <c r="F819" s="4">
        <f>IF(OR(INDEX($P$2:$P$1001,MATCH(ROWS($O$2:O819),$O$2:$O$1001,0),1)&gt;=100000,INDEX($V$1005:$AE$1005,1,MATCH(COLUMNS($V$1006:Z1006),$V$1006:$AE$1006,0))&gt;=100000), " ",IF(INDEX($V$2:$AE$1001,MATCH(ROWS($O$2:O819),$O$2:$O$1001,0),MATCH(COLUMNS($V$1006:Z1006),$V$1006:$AE$1006,0)), HYPERLINK("#",""), HYPERLINK(CONCATENATE("#Metadata!", ADDRESS(INDEX($Q$2:$Q$1001,MATCH(ROWS($O$2:O819),$O$2:$O$1001,0),0), INDEX($V$1004:$AE$1004,1,MATCH(COLUMNS($V$1006:Z1006),$V$1006:$AE$1006,0)))),"Fix")))</f>
        <v>0</v>
      </c>
      <c r="G819" s="4">
        <f>IF(OR(INDEX($P$2:$P$1001,MATCH(ROWS($O$2:O819),$O$2:$O$1001,0),1)&gt;=100000,INDEX($V$1005:$AE$1005,1,MATCH(COLUMNS($V$1006:AA1006),$V$1006:$AE$1006,0))&gt;=100000), " ",IF(INDEX($V$2:$AE$1001,MATCH(ROWS($O$2:O819),$O$2:$O$1001,0),MATCH(COLUMNS($V$1006:AA1006),$V$1006:$AE$1006,0)), HYPERLINK("#",""), HYPERLINK(CONCATENATE("#Metadata!", ADDRESS(INDEX($Q$2:$Q$1001,MATCH(ROWS($O$2:O819),$O$2:$O$1001,0),0), INDEX($V$1004:$AE$1004,1,MATCH(COLUMNS($V$1006:AA1006),$V$1006:$AE$1006,0)))),"Fix")))</f>
        <v>0</v>
      </c>
      <c r="H819" s="4">
        <f>IF(OR(INDEX($P$2:$P$1001,MATCH(ROWS($O$2:O819),$O$2:$O$1001,0),1)&gt;=100000,INDEX($V$1005:$AE$1005,1,MATCH(COLUMNS($V$1006:AB1006),$V$1006:$AE$1006,0))&gt;=100000), " ",IF(INDEX($V$2:$AE$1001,MATCH(ROWS($O$2:O819),$O$2:$O$1001,0),MATCH(COLUMNS($V$1006:AB1006),$V$1006:$AE$1006,0)), HYPERLINK("#",""), HYPERLINK(CONCATENATE("#Metadata!", ADDRESS(INDEX($Q$2:$Q$1001,MATCH(ROWS($O$2:O819),$O$2:$O$1001,0),0), INDEX($V$1004:$AE$1004,1,MATCH(COLUMNS($V$1006:AB1006),$V$1006:$AE$1006,0)))),"Fix")))</f>
        <v>0</v>
      </c>
      <c r="I819" s="4">
        <f>IF(OR(INDEX($P$2:$P$1001,MATCH(ROWS($O$2:O819),$O$2:$O$1001,0),1)&gt;=100000,INDEX($V$1005:$AE$1005,1,MATCH(COLUMNS($V$1006:AC1006),$V$1006:$AE$1006,0))&gt;=100000), " ",IF(INDEX($V$2:$AE$1001,MATCH(ROWS($O$2:O819),$O$2:$O$1001,0),MATCH(COLUMNS($V$1006:AC1006),$V$1006:$AE$1006,0)), HYPERLINK("#",""), HYPERLINK(CONCATENATE("#Metadata!", ADDRESS(INDEX($Q$2:$Q$1001,MATCH(ROWS($O$2:O819),$O$2:$O$1001,0),0), INDEX($V$1004:$AE$1004,1,MATCH(COLUMNS($V$1006:AC1006),$V$1006:$AE$1006,0)))),"Fix")))</f>
        <v>0</v>
      </c>
      <c r="J819" s="4">
        <f>IF(OR(INDEX($P$2:$P$1001,MATCH(ROWS($O$2:O819),$O$2:$O$1001,0),1)&gt;=100000,INDEX($V$1005:$AE$1005,1,MATCH(COLUMNS($V$1006:AD1006),$V$1006:$AE$1006,0))&gt;=100000), " ",IF(INDEX($V$2:$AE$1001,MATCH(ROWS($O$2:O819),$O$2:$O$1001,0),MATCH(COLUMNS($V$1006:AD1006),$V$1006:$AE$1006,0)), HYPERLINK("#",""), HYPERLINK(CONCATENATE("#Metadata!", ADDRESS(INDEX($Q$2:$Q$1001,MATCH(ROWS($O$2:O819),$O$2:$O$1001,0),0), INDEX($V$1004:$AE$1004,1,MATCH(COLUMNS($V$1006:AD1006),$V$1006:$AE$1006,0)))),"Fix")))</f>
        <v>0</v>
      </c>
      <c r="K819" s="4">
        <f>IF(OR(INDEX($P$2:$P$1001,MATCH(ROWS($O$2:O819),$O$2:$O$1001,0),1)&gt;=100000,INDEX($V$1005:$AE$1005,1,MATCH(COLUMNS($V$1006:AE1006),$V$1006:$AE$1006,0))&gt;=100000), " ",IF(INDEX($V$2:$AE$1001,MATCH(ROWS($O$2:O819),$O$2:$O$1001,0),MATCH(COLUMNS($V$1006:AE1006),$V$1006:$AE$1006,0)), HYPERLINK("#",""), HYPERLINK(CONCATENATE("#Metadata!", ADDRESS(INDEX($Q$2:$Q$1001,MATCH(ROWS($O$2:O819),$O$2:$O$1001,0),0), INDEX($V$1004:$AE$1004,1,MATCH(COLUMNS($V$1006:AE1006),$V$1006:$AE$1006,0)))),"Fix")))</f>
        <v>0</v>
      </c>
      <c r="O819">
        <v>0</v>
      </c>
      <c r="P819">
        <v>0</v>
      </c>
      <c r="Q819">
        <v>0</v>
      </c>
      <c r="R819">
        <f>IF(S819,TRUE,AND(V819:AE819))</f>
        <v>0</v>
      </c>
      <c r="S819">
        <f>COUNTBLANK(Metadata!B819:K819)=COLUMNS(Metadata!B819:K819)</f>
        <v>0</v>
      </c>
      <c r="T819">
        <v>0</v>
      </c>
      <c r="V819">
        <f>AND(IF(Metadata!B819="",FALSE,TRUE),COUNTIF(Metadata!B:B, Metadata!B819) = 1,NOT(ISERROR(SUMPRODUCT(SEARCH(MID(Metadata!B819,ROW(INDIRECT("1:"&amp;LEN(Metadata!B819))), 1),"0123456789abcdefghijklmnopqrstuvwxyzABCDEFGHIJKLMNOPQRSTUVWXYZ.")))))</f>
        <v>0</v>
      </c>
      <c r="W819">
        <f>AND(IF(Metadata!C819="",FALSE,TRUE),exact(Metadata!C819,"urban biome"))</f>
        <v>0</v>
      </c>
      <c r="X819">
        <f>AND(IF(Metadata!D819="",FALSE,TRUE),exact(Metadata!D819,"animal-associated habitat"))</f>
        <v>0</v>
      </c>
      <c r="Y819">
        <f>OR(AND(IF(Metadata!E819="",FALSE,TRUE),OR(exact(Metadata!E819,"not applicable"),exact(Metadata!E819,"missing: not collected"),exact(Metadata!E819,"missing: not provided"),exact(Metadata!E819,"missing: restricted access"))),AND(IF(Metadata!E819="",FALSE,ISNUMBER(VALUE(Metadata!E819))),Metadata!E819&gt;0))</f>
        <v>0</v>
      </c>
      <c r="Z819">
        <f>AND(IF(Metadata!F819="",FALSE,TRUE),exact(Metadata!F819,"weeks"))</f>
        <v>0</v>
      </c>
      <c r="AA819">
        <f>AND(IF(Metadata!G819="",FALSE,TRUE),exact(Metadata!G819,"mouse"))</f>
        <v>0</v>
      </c>
      <c r="AB819">
        <f>AND(IF(Metadata!H819="",FALSE,TRUE),exact(Metadata!H819,"Mus musculus"))</f>
        <v>0</v>
      </c>
      <c r="AC819">
        <f>AND(IF(Metadata!I819="",FALSE,TRUE),exact(Metadata!I819,"10090"))</f>
        <v>0</v>
      </c>
      <c r="AD819">
        <f>OR(AND(IF(Metadata!J819="",FALSE,TRUE),OR(exact(Metadata!J819,"not applicable"),exact(Metadata!J819,"missing: not collected"),exact(Metadata!J819,"missing: not provided"),exact(Metadata!J819,"missing: restricted access"))),AND(IF(Metadata!J819="",FALSE,ISNUMBER(VALUE(Metadata!J819))),Metadata!J819&gt;0))</f>
        <v>0</v>
      </c>
      <c r="AE819">
        <f>AND(IF(Metadata!K819="",FALSE,TRUE),exact(Metadata!K819,"g"))</f>
        <v>0</v>
      </c>
    </row>
    <row r="820" spans="1:31">
      <c r="A820" s="5">
        <f>IF(B820=" "," ",HYPERLINK(CONCATENATE("#metadata!",ADDRESS(INDEX($Q$2:$Q$1001,MATCH(ROWS($O$2:O820),$O$2:$O$1001,0),0),1)),INDEX($T$2:$T$1001,MATCH(ROWS($O$2:O820),$O$2:$O$1001,0),0)))</f>
        <v>0</v>
      </c>
      <c r="B820" s="4">
        <f>IF(OR(INDEX($P$2:$P$1001,MATCH(ROWS($O$2:O820),$O$2:$O$1001,0),1)&gt;=100000,INDEX($V$1005:$AE$1005,1,MATCH(COLUMNS($V$1006:V1006),$V$1006:$AE$1006,0))&gt;=100000), " ",IF(INDEX($V$2:$AE$1001,MATCH(ROWS($O$2:O820),$O$2:$O$1001,0),MATCH(COLUMNS($V$1006:V1006),$V$1006:$AE$1006,0)), HYPERLINK("#",""), HYPERLINK(CONCATENATE("#Metadata!", ADDRESS(INDEX($Q$2:$Q$1001,MATCH(ROWS($O$2:O820),$O$2:$O$1001,0),0), INDEX($V$1004:$AE$1004,1,MATCH(COLUMNS($V$1006:V1006),$V$1006:$AE$1006,0)))),"Fix")))</f>
        <v>0</v>
      </c>
      <c r="C820" s="4">
        <f>IF(OR(INDEX($P$2:$P$1001,MATCH(ROWS($O$2:O820),$O$2:$O$1001,0),1)&gt;=100000,INDEX($V$1005:$AE$1005,1,MATCH(COLUMNS($V$1006:W1006),$V$1006:$AE$1006,0))&gt;=100000), " ",IF(INDEX($V$2:$AE$1001,MATCH(ROWS($O$2:O820),$O$2:$O$1001,0),MATCH(COLUMNS($V$1006:W1006),$V$1006:$AE$1006,0)), HYPERLINK("#",""), HYPERLINK(CONCATENATE("#Metadata!", ADDRESS(INDEX($Q$2:$Q$1001,MATCH(ROWS($O$2:O820),$O$2:$O$1001,0),0), INDEX($V$1004:$AE$1004,1,MATCH(COLUMNS($V$1006:W1006),$V$1006:$AE$1006,0)))),"Fix")))</f>
        <v>0</v>
      </c>
      <c r="D820" s="4">
        <f>IF(OR(INDEX($P$2:$P$1001,MATCH(ROWS($O$2:O820),$O$2:$O$1001,0),1)&gt;=100000,INDEX($V$1005:$AE$1005,1,MATCH(COLUMNS($V$1006:X1006),$V$1006:$AE$1006,0))&gt;=100000), " ",IF(INDEX($V$2:$AE$1001,MATCH(ROWS($O$2:O820),$O$2:$O$1001,0),MATCH(COLUMNS($V$1006:X1006),$V$1006:$AE$1006,0)), HYPERLINK("#",""), HYPERLINK(CONCATENATE("#Metadata!", ADDRESS(INDEX($Q$2:$Q$1001,MATCH(ROWS($O$2:O820),$O$2:$O$1001,0),0), INDEX($V$1004:$AE$1004,1,MATCH(COLUMNS($V$1006:X1006),$V$1006:$AE$1006,0)))),"Fix")))</f>
        <v>0</v>
      </c>
      <c r="E820" s="4">
        <f>IF(OR(INDEX($P$2:$P$1001,MATCH(ROWS($O$2:O820),$O$2:$O$1001,0),1)&gt;=100000,INDEX($V$1005:$AE$1005,1,MATCH(COLUMNS($V$1006:Y1006),$V$1006:$AE$1006,0))&gt;=100000), " ",IF(INDEX($V$2:$AE$1001,MATCH(ROWS($O$2:O820),$O$2:$O$1001,0),MATCH(COLUMNS($V$1006:Y1006),$V$1006:$AE$1006,0)), HYPERLINK("#",""), HYPERLINK(CONCATENATE("#Metadata!", ADDRESS(INDEX($Q$2:$Q$1001,MATCH(ROWS($O$2:O820),$O$2:$O$1001,0),0), INDEX($V$1004:$AE$1004,1,MATCH(COLUMNS($V$1006:Y1006),$V$1006:$AE$1006,0)))),"Fix")))</f>
        <v>0</v>
      </c>
      <c r="F820" s="4">
        <f>IF(OR(INDEX($P$2:$P$1001,MATCH(ROWS($O$2:O820),$O$2:$O$1001,0),1)&gt;=100000,INDEX($V$1005:$AE$1005,1,MATCH(COLUMNS($V$1006:Z1006),$V$1006:$AE$1006,0))&gt;=100000), " ",IF(INDEX($V$2:$AE$1001,MATCH(ROWS($O$2:O820),$O$2:$O$1001,0),MATCH(COLUMNS($V$1006:Z1006),$V$1006:$AE$1006,0)), HYPERLINK("#",""), HYPERLINK(CONCATENATE("#Metadata!", ADDRESS(INDEX($Q$2:$Q$1001,MATCH(ROWS($O$2:O820),$O$2:$O$1001,0),0), INDEX($V$1004:$AE$1004,1,MATCH(COLUMNS($V$1006:Z1006),$V$1006:$AE$1006,0)))),"Fix")))</f>
        <v>0</v>
      </c>
      <c r="G820" s="4">
        <f>IF(OR(INDEX($P$2:$P$1001,MATCH(ROWS($O$2:O820),$O$2:$O$1001,0),1)&gt;=100000,INDEX($V$1005:$AE$1005,1,MATCH(COLUMNS($V$1006:AA1006),$V$1006:$AE$1006,0))&gt;=100000), " ",IF(INDEX($V$2:$AE$1001,MATCH(ROWS($O$2:O820),$O$2:$O$1001,0),MATCH(COLUMNS($V$1006:AA1006),$V$1006:$AE$1006,0)), HYPERLINK("#",""), HYPERLINK(CONCATENATE("#Metadata!", ADDRESS(INDEX($Q$2:$Q$1001,MATCH(ROWS($O$2:O820),$O$2:$O$1001,0),0), INDEX($V$1004:$AE$1004,1,MATCH(COLUMNS($V$1006:AA1006),$V$1006:$AE$1006,0)))),"Fix")))</f>
        <v>0</v>
      </c>
      <c r="H820" s="4">
        <f>IF(OR(INDEX($P$2:$P$1001,MATCH(ROWS($O$2:O820),$O$2:$O$1001,0),1)&gt;=100000,INDEX($V$1005:$AE$1005,1,MATCH(COLUMNS($V$1006:AB1006),$V$1006:$AE$1006,0))&gt;=100000), " ",IF(INDEX($V$2:$AE$1001,MATCH(ROWS($O$2:O820),$O$2:$O$1001,0),MATCH(COLUMNS($V$1006:AB1006),$V$1006:$AE$1006,0)), HYPERLINK("#",""), HYPERLINK(CONCATENATE("#Metadata!", ADDRESS(INDEX($Q$2:$Q$1001,MATCH(ROWS($O$2:O820),$O$2:$O$1001,0),0), INDEX($V$1004:$AE$1004,1,MATCH(COLUMNS($V$1006:AB1006),$V$1006:$AE$1006,0)))),"Fix")))</f>
        <v>0</v>
      </c>
      <c r="I820" s="4">
        <f>IF(OR(INDEX($P$2:$P$1001,MATCH(ROWS($O$2:O820),$O$2:$O$1001,0),1)&gt;=100000,INDEX($V$1005:$AE$1005,1,MATCH(COLUMNS($V$1006:AC1006),$V$1006:$AE$1006,0))&gt;=100000), " ",IF(INDEX($V$2:$AE$1001,MATCH(ROWS($O$2:O820),$O$2:$O$1001,0),MATCH(COLUMNS($V$1006:AC1006),$V$1006:$AE$1006,0)), HYPERLINK("#",""), HYPERLINK(CONCATENATE("#Metadata!", ADDRESS(INDEX($Q$2:$Q$1001,MATCH(ROWS($O$2:O820),$O$2:$O$1001,0),0), INDEX($V$1004:$AE$1004,1,MATCH(COLUMNS($V$1006:AC1006),$V$1006:$AE$1006,0)))),"Fix")))</f>
        <v>0</v>
      </c>
      <c r="J820" s="4">
        <f>IF(OR(INDEX($P$2:$P$1001,MATCH(ROWS($O$2:O820),$O$2:$O$1001,0),1)&gt;=100000,INDEX($V$1005:$AE$1005,1,MATCH(COLUMNS($V$1006:AD1006),$V$1006:$AE$1006,0))&gt;=100000), " ",IF(INDEX($V$2:$AE$1001,MATCH(ROWS($O$2:O820),$O$2:$O$1001,0),MATCH(COLUMNS($V$1006:AD1006),$V$1006:$AE$1006,0)), HYPERLINK("#",""), HYPERLINK(CONCATENATE("#Metadata!", ADDRESS(INDEX($Q$2:$Q$1001,MATCH(ROWS($O$2:O820),$O$2:$O$1001,0),0), INDEX($V$1004:$AE$1004,1,MATCH(COLUMNS($V$1006:AD1006),$V$1006:$AE$1006,0)))),"Fix")))</f>
        <v>0</v>
      </c>
      <c r="K820" s="4">
        <f>IF(OR(INDEX($P$2:$P$1001,MATCH(ROWS($O$2:O820),$O$2:$O$1001,0),1)&gt;=100000,INDEX($V$1005:$AE$1005,1,MATCH(COLUMNS($V$1006:AE1006),$V$1006:$AE$1006,0))&gt;=100000), " ",IF(INDEX($V$2:$AE$1001,MATCH(ROWS($O$2:O820),$O$2:$O$1001,0),MATCH(COLUMNS($V$1006:AE1006),$V$1006:$AE$1006,0)), HYPERLINK("#",""), HYPERLINK(CONCATENATE("#Metadata!", ADDRESS(INDEX($Q$2:$Q$1001,MATCH(ROWS($O$2:O820),$O$2:$O$1001,0),0), INDEX($V$1004:$AE$1004,1,MATCH(COLUMNS($V$1006:AE1006),$V$1006:$AE$1006,0)))),"Fix")))</f>
        <v>0</v>
      </c>
      <c r="O820">
        <v>0</v>
      </c>
      <c r="P820">
        <v>0</v>
      </c>
      <c r="Q820">
        <v>0</v>
      </c>
      <c r="R820">
        <f>IF(S820,TRUE,AND(V820:AE820))</f>
        <v>0</v>
      </c>
      <c r="S820">
        <f>COUNTBLANK(Metadata!B820:K820)=COLUMNS(Metadata!B820:K820)</f>
        <v>0</v>
      </c>
      <c r="T820">
        <v>0</v>
      </c>
      <c r="V820">
        <f>AND(IF(Metadata!B820="",FALSE,TRUE),COUNTIF(Metadata!B:B, Metadata!B820) = 1,NOT(ISERROR(SUMPRODUCT(SEARCH(MID(Metadata!B820,ROW(INDIRECT("1:"&amp;LEN(Metadata!B820))), 1),"0123456789abcdefghijklmnopqrstuvwxyzABCDEFGHIJKLMNOPQRSTUVWXYZ.")))))</f>
        <v>0</v>
      </c>
      <c r="W820">
        <f>AND(IF(Metadata!C820="",FALSE,TRUE),exact(Metadata!C820,"urban biome"))</f>
        <v>0</v>
      </c>
      <c r="X820">
        <f>AND(IF(Metadata!D820="",FALSE,TRUE),exact(Metadata!D820,"animal-associated habitat"))</f>
        <v>0</v>
      </c>
      <c r="Y820">
        <f>OR(AND(IF(Metadata!E820="",FALSE,TRUE),OR(exact(Metadata!E820,"not applicable"),exact(Metadata!E820,"missing: not collected"),exact(Metadata!E820,"missing: not provided"),exact(Metadata!E820,"missing: restricted access"))),AND(IF(Metadata!E820="",FALSE,ISNUMBER(VALUE(Metadata!E820))),Metadata!E820&gt;0))</f>
        <v>0</v>
      </c>
      <c r="Z820">
        <f>AND(IF(Metadata!F820="",FALSE,TRUE),exact(Metadata!F820,"weeks"))</f>
        <v>0</v>
      </c>
      <c r="AA820">
        <f>AND(IF(Metadata!G820="",FALSE,TRUE),exact(Metadata!G820,"mouse"))</f>
        <v>0</v>
      </c>
      <c r="AB820">
        <f>AND(IF(Metadata!H820="",FALSE,TRUE),exact(Metadata!H820,"Mus musculus"))</f>
        <v>0</v>
      </c>
      <c r="AC820">
        <f>AND(IF(Metadata!I820="",FALSE,TRUE),exact(Metadata!I820,"10090"))</f>
        <v>0</v>
      </c>
      <c r="AD820">
        <f>OR(AND(IF(Metadata!J820="",FALSE,TRUE),OR(exact(Metadata!J820,"not applicable"),exact(Metadata!J820,"missing: not collected"),exact(Metadata!J820,"missing: not provided"),exact(Metadata!J820,"missing: restricted access"))),AND(IF(Metadata!J820="",FALSE,ISNUMBER(VALUE(Metadata!J820))),Metadata!J820&gt;0))</f>
        <v>0</v>
      </c>
      <c r="AE820">
        <f>AND(IF(Metadata!K820="",FALSE,TRUE),exact(Metadata!K820,"g"))</f>
        <v>0</v>
      </c>
    </row>
    <row r="821" spans="1:31">
      <c r="A821" s="5">
        <f>IF(B821=" "," ",HYPERLINK(CONCATENATE("#metadata!",ADDRESS(INDEX($Q$2:$Q$1001,MATCH(ROWS($O$2:O821),$O$2:$O$1001,0),0),1)),INDEX($T$2:$T$1001,MATCH(ROWS($O$2:O821),$O$2:$O$1001,0),0)))</f>
        <v>0</v>
      </c>
      <c r="B821" s="4">
        <f>IF(OR(INDEX($P$2:$P$1001,MATCH(ROWS($O$2:O821),$O$2:$O$1001,0),1)&gt;=100000,INDEX($V$1005:$AE$1005,1,MATCH(COLUMNS($V$1006:V1006),$V$1006:$AE$1006,0))&gt;=100000), " ",IF(INDEX($V$2:$AE$1001,MATCH(ROWS($O$2:O821),$O$2:$O$1001,0),MATCH(COLUMNS($V$1006:V1006),$V$1006:$AE$1006,0)), HYPERLINK("#",""), HYPERLINK(CONCATENATE("#Metadata!", ADDRESS(INDEX($Q$2:$Q$1001,MATCH(ROWS($O$2:O821),$O$2:$O$1001,0),0), INDEX($V$1004:$AE$1004,1,MATCH(COLUMNS($V$1006:V1006),$V$1006:$AE$1006,0)))),"Fix")))</f>
        <v>0</v>
      </c>
      <c r="C821" s="4">
        <f>IF(OR(INDEX($P$2:$P$1001,MATCH(ROWS($O$2:O821),$O$2:$O$1001,0),1)&gt;=100000,INDEX($V$1005:$AE$1005,1,MATCH(COLUMNS($V$1006:W1006),$V$1006:$AE$1006,0))&gt;=100000), " ",IF(INDEX($V$2:$AE$1001,MATCH(ROWS($O$2:O821),$O$2:$O$1001,0),MATCH(COLUMNS($V$1006:W1006),$V$1006:$AE$1006,0)), HYPERLINK("#",""), HYPERLINK(CONCATENATE("#Metadata!", ADDRESS(INDEX($Q$2:$Q$1001,MATCH(ROWS($O$2:O821),$O$2:$O$1001,0),0), INDEX($V$1004:$AE$1004,1,MATCH(COLUMNS($V$1006:W1006),$V$1006:$AE$1006,0)))),"Fix")))</f>
        <v>0</v>
      </c>
      <c r="D821" s="4">
        <f>IF(OR(INDEX($P$2:$P$1001,MATCH(ROWS($O$2:O821),$O$2:$O$1001,0),1)&gt;=100000,INDEX($V$1005:$AE$1005,1,MATCH(COLUMNS($V$1006:X1006),$V$1006:$AE$1006,0))&gt;=100000), " ",IF(INDEX($V$2:$AE$1001,MATCH(ROWS($O$2:O821),$O$2:$O$1001,0),MATCH(COLUMNS($V$1006:X1006),$V$1006:$AE$1006,0)), HYPERLINK("#",""), HYPERLINK(CONCATENATE("#Metadata!", ADDRESS(INDEX($Q$2:$Q$1001,MATCH(ROWS($O$2:O821),$O$2:$O$1001,0),0), INDEX($V$1004:$AE$1004,1,MATCH(COLUMNS($V$1006:X1006),$V$1006:$AE$1006,0)))),"Fix")))</f>
        <v>0</v>
      </c>
      <c r="E821" s="4">
        <f>IF(OR(INDEX($P$2:$P$1001,MATCH(ROWS($O$2:O821),$O$2:$O$1001,0),1)&gt;=100000,INDEX($V$1005:$AE$1005,1,MATCH(COLUMNS($V$1006:Y1006),$V$1006:$AE$1006,0))&gt;=100000), " ",IF(INDEX($V$2:$AE$1001,MATCH(ROWS($O$2:O821),$O$2:$O$1001,0),MATCH(COLUMNS($V$1006:Y1006),$V$1006:$AE$1006,0)), HYPERLINK("#",""), HYPERLINK(CONCATENATE("#Metadata!", ADDRESS(INDEX($Q$2:$Q$1001,MATCH(ROWS($O$2:O821),$O$2:$O$1001,0),0), INDEX($V$1004:$AE$1004,1,MATCH(COLUMNS($V$1006:Y1006),$V$1006:$AE$1006,0)))),"Fix")))</f>
        <v>0</v>
      </c>
      <c r="F821" s="4">
        <f>IF(OR(INDEX($P$2:$P$1001,MATCH(ROWS($O$2:O821),$O$2:$O$1001,0),1)&gt;=100000,INDEX($V$1005:$AE$1005,1,MATCH(COLUMNS($V$1006:Z1006),$V$1006:$AE$1006,0))&gt;=100000), " ",IF(INDEX($V$2:$AE$1001,MATCH(ROWS($O$2:O821),$O$2:$O$1001,0),MATCH(COLUMNS($V$1006:Z1006),$V$1006:$AE$1006,0)), HYPERLINK("#",""), HYPERLINK(CONCATENATE("#Metadata!", ADDRESS(INDEX($Q$2:$Q$1001,MATCH(ROWS($O$2:O821),$O$2:$O$1001,0),0), INDEX($V$1004:$AE$1004,1,MATCH(COLUMNS($V$1006:Z1006),$V$1006:$AE$1006,0)))),"Fix")))</f>
        <v>0</v>
      </c>
      <c r="G821" s="4">
        <f>IF(OR(INDEX($P$2:$P$1001,MATCH(ROWS($O$2:O821),$O$2:$O$1001,0),1)&gt;=100000,INDEX($V$1005:$AE$1005,1,MATCH(COLUMNS($V$1006:AA1006),$V$1006:$AE$1006,0))&gt;=100000), " ",IF(INDEX($V$2:$AE$1001,MATCH(ROWS($O$2:O821),$O$2:$O$1001,0),MATCH(COLUMNS($V$1006:AA1006),$V$1006:$AE$1006,0)), HYPERLINK("#",""), HYPERLINK(CONCATENATE("#Metadata!", ADDRESS(INDEX($Q$2:$Q$1001,MATCH(ROWS($O$2:O821),$O$2:$O$1001,0),0), INDEX($V$1004:$AE$1004,1,MATCH(COLUMNS($V$1006:AA1006),$V$1006:$AE$1006,0)))),"Fix")))</f>
        <v>0</v>
      </c>
      <c r="H821" s="4">
        <f>IF(OR(INDEX($P$2:$P$1001,MATCH(ROWS($O$2:O821),$O$2:$O$1001,0),1)&gt;=100000,INDEX($V$1005:$AE$1005,1,MATCH(COLUMNS($V$1006:AB1006),$V$1006:$AE$1006,0))&gt;=100000), " ",IF(INDEX($V$2:$AE$1001,MATCH(ROWS($O$2:O821),$O$2:$O$1001,0),MATCH(COLUMNS($V$1006:AB1006),$V$1006:$AE$1006,0)), HYPERLINK("#",""), HYPERLINK(CONCATENATE("#Metadata!", ADDRESS(INDEX($Q$2:$Q$1001,MATCH(ROWS($O$2:O821),$O$2:$O$1001,0),0), INDEX($V$1004:$AE$1004,1,MATCH(COLUMNS($V$1006:AB1006),$V$1006:$AE$1006,0)))),"Fix")))</f>
        <v>0</v>
      </c>
      <c r="I821" s="4">
        <f>IF(OR(INDEX($P$2:$P$1001,MATCH(ROWS($O$2:O821),$O$2:$O$1001,0),1)&gt;=100000,INDEX($V$1005:$AE$1005,1,MATCH(COLUMNS($V$1006:AC1006),$V$1006:$AE$1006,0))&gt;=100000), " ",IF(INDEX($V$2:$AE$1001,MATCH(ROWS($O$2:O821),$O$2:$O$1001,0),MATCH(COLUMNS($V$1006:AC1006),$V$1006:$AE$1006,0)), HYPERLINK("#",""), HYPERLINK(CONCATENATE("#Metadata!", ADDRESS(INDEX($Q$2:$Q$1001,MATCH(ROWS($O$2:O821),$O$2:$O$1001,0),0), INDEX($V$1004:$AE$1004,1,MATCH(COLUMNS($V$1006:AC1006),$V$1006:$AE$1006,0)))),"Fix")))</f>
        <v>0</v>
      </c>
      <c r="J821" s="4">
        <f>IF(OR(INDEX($P$2:$P$1001,MATCH(ROWS($O$2:O821),$O$2:$O$1001,0),1)&gt;=100000,INDEX($V$1005:$AE$1005,1,MATCH(COLUMNS($V$1006:AD1006),$V$1006:$AE$1006,0))&gt;=100000), " ",IF(INDEX($V$2:$AE$1001,MATCH(ROWS($O$2:O821),$O$2:$O$1001,0),MATCH(COLUMNS($V$1006:AD1006),$V$1006:$AE$1006,0)), HYPERLINK("#",""), HYPERLINK(CONCATENATE("#Metadata!", ADDRESS(INDEX($Q$2:$Q$1001,MATCH(ROWS($O$2:O821),$O$2:$O$1001,0),0), INDEX($V$1004:$AE$1004,1,MATCH(COLUMNS($V$1006:AD1006),$V$1006:$AE$1006,0)))),"Fix")))</f>
        <v>0</v>
      </c>
      <c r="K821" s="4">
        <f>IF(OR(INDEX($P$2:$P$1001,MATCH(ROWS($O$2:O821),$O$2:$O$1001,0),1)&gt;=100000,INDEX($V$1005:$AE$1005,1,MATCH(COLUMNS($V$1006:AE1006),$V$1006:$AE$1006,0))&gt;=100000), " ",IF(INDEX($V$2:$AE$1001,MATCH(ROWS($O$2:O821),$O$2:$O$1001,0),MATCH(COLUMNS($V$1006:AE1006),$V$1006:$AE$1006,0)), HYPERLINK("#",""), HYPERLINK(CONCATENATE("#Metadata!", ADDRESS(INDEX($Q$2:$Q$1001,MATCH(ROWS($O$2:O821),$O$2:$O$1001,0),0), INDEX($V$1004:$AE$1004,1,MATCH(COLUMNS($V$1006:AE1006),$V$1006:$AE$1006,0)))),"Fix")))</f>
        <v>0</v>
      </c>
      <c r="O821">
        <v>0</v>
      </c>
      <c r="P821">
        <v>0</v>
      </c>
      <c r="Q821">
        <v>0</v>
      </c>
      <c r="R821">
        <f>IF(S821,TRUE,AND(V821:AE821))</f>
        <v>0</v>
      </c>
      <c r="S821">
        <f>COUNTBLANK(Metadata!B821:K821)=COLUMNS(Metadata!B821:K821)</f>
        <v>0</v>
      </c>
      <c r="T821">
        <v>0</v>
      </c>
      <c r="V821">
        <f>AND(IF(Metadata!B821="",FALSE,TRUE),COUNTIF(Metadata!B:B, Metadata!B821) = 1,NOT(ISERROR(SUMPRODUCT(SEARCH(MID(Metadata!B821,ROW(INDIRECT("1:"&amp;LEN(Metadata!B821))), 1),"0123456789abcdefghijklmnopqrstuvwxyzABCDEFGHIJKLMNOPQRSTUVWXYZ.")))))</f>
        <v>0</v>
      </c>
      <c r="W821">
        <f>AND(IF(Metadata!C821="",FALSE,TRUE),exact(Metadata!C821,"urban biome"))</f>
        <v>0</v>
      </c>
      <c r="X821">
        <f>AND(IF(Metadata!D821="",FALSE,TRUE),exact(Metadata!D821,"animal-associated habitat"))</f>
        <v>0</v>
      </c>
      <c r="Y821">
        <f>OR(AND(IF(Metadata!E821="",FALSE,TRUE),OR(exact(Metadata!E821,"not applicable"),exact(Metadata!E821,"missing: not collected"),exact(Metadata!E821,"missing: not provided"),exact(Metadata!E821,"missing: restricted access"))),AND(IF(Metadata!E821="",FALSE,ISNUMBER(VALUE(Metadata!E821))),Metadata!E821&gt;0))</f>
        <v>0</v>
      </c>
      <c r="Z821">
        <f>AND(IF(Metadata!F821="",FALSE,TRUE),exact(Metadata!F821,"weeks"))</f>
        <v>0</v>
      </c>
      <c r="AA821">
        <f>AND(IF(Metadata!G821="",FALSE,TRUE),exact(Metadata!G821,"mouse"))</f>
        <v>0</v>
      </c>
      <c r="AB821">
        <f>AND(IF(Metadata!H821="",FALSE,TRUE),exact(Metadata!H821,"Mus musculus"))</f>
        <v>0</v>
      </c>
      <c r="AC821">
        <f>AND(IF(Metadata!I821="",FALSE,TRUE),exact(Metadata!I821,"10090"))</f>
        <v>0</v>
      </c>
      <c r="AD821">
        <f>OR(AND(IF(Metadata!J821="",FALSE,TRUE),OR(exact(Metadata!J821,"not applicable"),exact(Metadata!J821,"missing: not collected"),exact(Metadata!J821,"missing: not provided"),exact(Metadata!J821,"missing: restricted access"))),AND(IF(Metadata!J821="",FALSE,ISNUMBER(VALUE(Metadata!J821))),Metadata!J821&gt;0))</f>
        <v>0</v>
      </c>
      <c r="AE821">
        <f>AND(IF(Metadata!K821="",FALSE,TRUE),exact(Metadata!K821,"g"))</f>
        <v>0</v>
      </c>
    </row>
    <row r="822" spans="1:31">
      <c r="A822" s="5">
        <f>IF(B822=" "," ",HYPERLINK(CONCATENATE("#metadata!",ADDRESS(INDEX($Q$2:$Q$1001,MATCH(ROWS($O$2:O822),$O$2:$O$1001,0),0),1)),INDEX($T$2:$T$1001,MATCH(ROWS($O$2:O822),$O$2:$O$1001,0),0)))</f>
        <v>0</v>
      </c>
      <c r="B822" s="4">
        <f>IF(OR(INDEX($P$2:$P$1001,MATCH(ROWS($O$2:O822),$O$2:$O$1001,0),1)&gt;=100000,INDEX($V$1005:$AE$1005,1,MATCH(COLUMNS($V$1006:V1006),$V$1006:$AE$1006,0))&gt;=100000), " ",IF(INDEX($V$2:$AE$1001,MATCH(ROWS($O$2:O822),$O$2:$O$1001,0),MATCH(COLUMNS($V$1006:V1006),$V$1006:$AE$1006,0)), HYPERLINK("#",""), HYPERLINK(CONCATENATE("#Metadata!", ADDRESS(INDEX($Q$2:$Q$1001,MATCH(ROWS($O$2:O822),$O$2:$O$1001,0),0), INDEX($V$1004:$AE$1004,1,MATCH(COLUMNS($V$1006:V1006),$V$1006:$AE$1006,0)))),"Fix")))</f>
        <v>0</v>
      </c>
      <c r="C822" s="4">
        <f>IF(OR(INDEX($P$2:$P$1001,MATCH(ROWS($O$2:O822),$O$2:$O$1001,0),1)&gt;=100000,INDEX($V$1005:$AE$1005,1,MATCH(COLUMNS($V$1006:W1006),$V$1006:$AE$1006,0))&gt;=100000), " ",IF(INDEX($V$2:$AE$1001,MATCH(ROWS($O$2:O822),$O$2:$O$1001,0),MATCH(COLUMNS($V$1006:W1006),$V$1006:$AE$1006,0)), HYPERLINK("#",""), HYPERLINK(CONCATENATE("#Metadata!", ADDRESS(INDEX($Q$2:$Q$1001,MATCH(ROWS($O$2:O822),$O$2:$O$1001,0),0), INDEX($V$1004:$AE$1004,1,MATCH(COLUMNS($V$1006:W1006),$V$1006:$AE$1006,0)))),"Fix")))</f>
        <v>0</v>
      </c>
      <c r="D822" s="4">
        <f>IF(OR(INDEX($P$2:$P$1001,MATCH(ROWS($O$2:O822),$O$2:$O$1001,0),1)&gt;=100000,INDEX($V$1005:$AE$1005,1,MATCH(COLUMNS($V$1006:X1006),$V$1006:$AE$1006,0))&gt;=100000), " ",IF(INDEX($V$2:$AE$1001,MATCH(ROWS($O$2:O822),$O$2:$O$1001,0),MATCH(COLUMNS($V$1006:X1006),$V$1006:$AE$1006,0)), HYPERLINK("#",""), HYPERLINK(CONCATENATE("#Metadata!", ADDRESS(INDEX($Q$2:$Q$1001,MATCH(ROWS($O$2:O822),$O$2:$O$1001,0),0), INDEX($V$1004:$AE$1004,1,MATCH(COLUMNS($V$1006:X1006),$V$1006:$AE$1006,0)))),"Fix")))</f>
        <v>0</v>
      </c>
      <c r="E822" s="4">
        <f>IF(OR(INDEX($P$2:$P$1001,MATCH(ROWS($O$2:O822),$O$2:$O$1001,0),1)&gt;=100000,INDEX($V$1005:$AE$1005,1,MATCH(COLUMNS($V$1006:Y1006),$V$1006:$AE$1006,0))&gt;=100000), " ",IF(INDEX($V$2:$AE$1001,MATCH(ROWS($O$2:O822),$O$2:$O$1001,0),MATCH(COLUMNS($V$1006:Y1006),$V$1006:$AE$1006,0)), HYPERLINK("#",""), HYPERLINK(CONCATENATE("#Metadata!", ADDRESS(INDEX($Q$2:$Q$1001,MATCH(ROWS($O$2:O822),$O$2:$O$1001,0),0), INDEX($V$1004:$AE$1004,1,MATCH(COLUMNS($V$1006:Y1006),$V$1006:$AE$1006,0)))),"Fix")))</f>
        <v>0</v>
      </c>
      <c r="F822" s="4">
        <f>IF(OR(INDEX($P$2:$P$1001,MATCH(ROWS($O$2:O822),$O$2:$O$1001,0),1)&gt;=100000,INDEX($V$1005:$AE$1005,1,MATCH(COLUMNS($V$1006:Z1006),$V$1006:$AE$1006,0))&gt;=100000), " ",IF(INDEX($V$2:$AE$1001,MATCH(ROWS($O$2:O822),$O$2:$O$1001,0),MATCH(COLUMNS($V$1006:Z1006),$V$1006:$AE$1006,0)), HYPERLINK("#",""), HYPERLINK(CONCATENATE("#Metadata!", ADDRESS(INDEX($Q$2:$Q$1001,MATCH(ROWS($O$2:O822),$O$2:$O$1001,0),0), INDEX($V$1004:$AE$1004,1,MATCH(COLUMNS($V$1006:Z1006),$V$1006:$AE$1006,0)))),"Fix")))</f>
        <v>0</v>
      </c>
      <c r="G822" s="4">
        <f>IF(OR(INDEX($P$2:$P$1001,MATCH(ROWS($O$2:O822),$O$2:$O$1001,0),1)&gt;=100000,INDEX($V$1005:$AE$1005,1,MATCH(COLUMNS($V$1006:AA1006),$V$1006:$AE$1006,0))&gt;=100000), " ",IF(INDEX($V$2:$AE$1001,MATCH(ROWS($O$2:O822),$O$2:$O$1001,0),MATCH(COLUMNS($V$1006:AA1006),$V$1006:$AE$1006,0)), HYPERLINK("#",""), HYPERLINK(CONCATENATE("#Metadata!", ADDRESS(INDEX($Q$2:$Q$1001,MATCH(ROWS($O$2:O822),$O$2:$O$1001,0),0), INDEX($V$1004:$AE$1004,1,MATCH(COLUMNS($V$1006:AA1006),$V$1006:$AE$1006,0)))),"Fix")))</f>
        <v>0</v>
      </c>
      <c r="H822" s="4">
        <f>IF(OR(INDEX($P$2:$P$1001,MATCH(ROWS($O$2:O822),$O$2:$O$1001,0),1)&gt;=100000,INDEX($V$1005:$AE$1005,1,MATCH(COLUMNS($V$1006:AB1006),$V$1006:$AE$1006,0))&gt;=100000), " ",IF(INDEX($V$2:$AE$1001,MATCH(ROWS($O$2:O822),$O$2:$O$1001,0),MATCH(COLUMNS($V$1006:AB1006),$V$1006:$AE$1006,0)), HYPERLINK("#",""), HYPERLINK(CONCATENATE("#Metadata!", ADDRESS(INDEX($Q$2:$Q$1001,MATCH(ROWS($O$2:O822),$O$2:$O$1001,0),0), INDEX($V$1004:$AE$1004,1,MATCH(COLUMNS($V$1006:AB1006),$V$1006:$AE$1006,0)))),"Fix")))</f>
        <v>0</v>
      </c>
      <c r="I822" s="4">
        <f>IF(OR(INDEX($P$2:$P$1001,MATCH(ROWS($O$2:O822),$O$2:$O$1001,0),1)&gt;=100000,INDEX($V$1005:$AE$1005,1,MATCH(COLUMNS($V$1006:AC1006),$V$1006:$AE$1006,0))&gt;=100000), " ",IF(INDEX($V$2:$AE$1001,MATCH(ROWS($O$2:O822),$O$2:$O$1001,0),MATCH(COLUMNS($V$1006:AC1006),$V$1006:$AE$1006,0)), HYPERLINK("#",""), HYPERLINK(CONCATENATE("#Metadata!", ADDRESS(INDEX($Q$2:$Q$1001,MATCH(ROWS($O$2:O822),$O$2:$O$1001,0),0), INDEX($V$1004:$AE$1004,1,MATCH(COLUMNS($V$1006:AC1006),$V$1006:$AE$1006,0)))),"Fix")))</f>
        <v>0</v>
      </c>
      <c r="J822" s="4">
        <f>IF(OR(INDEX($P$2:$P$1001,MATCH(ROWS($O$2:O822),$O$2:$O$1001,0),1)&gt;=100000,INDEX($V$1005:$AE$1005,1,MATCH(COLUMNS($V$1006:AD1006),$V$1006:$AE$1006,0))&gt;=100000), " ",IF(INDEX($V$2:$AE$1001,MATCH(ROWS($O$2:O822),$O$2:$O$1001,0),MATCH(COLUMNS($V$1006:AD1006),$V$1006:$AE$1006,0)), HYPERLINK("#",""), HYPERLINK(CONCATENATE("#Metadata!", ADDRESS(INDEX($Q$2:$Q$1001,MATCH(ROWS($O$2:O822),$O$2:$O$1001,0),0), INDEX($V$1004:$AE$1004,1,MATCH(COLUMNS($V$1006:AD1006),$V$1006:$AE$1006,0)))),"Fix")))</f>
        <v>0</v>
      </c>
      <c r="K822" s="4">
        <f>IF(OR(INDEX($P$2:$P$1001,MATCH(ROWS($O$2:O822),$O$2:$O$1001,0),1)&gt;=100000,INDEX($V$1005:$AE$1005,1,MATCH(COLUMNS($V$1006:AE1006),$V$1006:$AE$1006,0))&gt;=100000), " ",IF(INDEX($V$2:$AE$1001,MATCH(ROWS($O$2:O822),$O$2:$O$1001,0),MATCH(COLUMNS($V$1006:AE1006),$V$1006:$AE$1006,0)), HYPERLINK("#",""), HYPERLINK(CONCATENATE("#Metadata!", ADDRESS(INDEX($Q$2:$Q$1001,MATCH(ROWS($O$2:O822),$O$2:$O$1001,0),0), INDEX($V$1004:$AE$1004,1,MATCH(COLUMNS($V$1006:AE1006),$V$1006:$AE$1006,0)))),"Fix")))</f>
        <v>0</v>
      </c>
      <c r="O822">
        <v>0</v>
      </c>
      <c r="P822">
        <v>0</v>
      </c>
      <c r="Q822">
        <v>0</v>
      </c>
      <c r="R822">
        <f>IF(S822,TRUE,AND(V822:AE822))</f>
        <v>0</v>
      </c>
      <c r="S822">
        <f>COUNTBLANK(Metadata!B822:K822)=COLUMNS(Metadata!B822:K822)</f>
        <v>0</v>
      </c>
      <c r="T822">
        <v>0</v>
      </c>
      <c r="V822">
        <f>AND(IF(Metadata!B822="",FALSE,TRUE),COUNTIF(Metadata!B:B, Metadata!B822) = 1,NOT(ISERROR(SUMPRODUCT(SEARCH(MID(Metadata!B822,ROW(INDIRECT("1:"&amp;LEN(Metadata!B822))), 1),"0123456789abcdefghijklmnopqrstuvwxyzABCDEFGHIJKLMNOPQRSTUVWXYZ.")))))</f>
        <v>0</v>
      </c>
      <c r="W822">
        <f>AND(IF(Metadata!C822="",FALSE,TRUE),exact(Metadata!C822,"urban biome"))</f>
        <v>0</v>
      </c>
      <c r="X822">
        <f>AND(IF(Metadata!D822="",FALSE,TRUE),exact(Metadata!D822,"animal-associated habitat"))</f>
        <v>0</v>
      </c>
      <c r="Y822">
        <f>OR(AND(IF(Metadata!E822="",FALSE,TRUE),OR(exact(Metadata!E822,"not applicable"),exact(Metadata!E822,"missing: not collected"),exact(Metadata!E822,"missing: not provided"),exact(Metadata!E822,"missing: restricted access"))),AND(IF(Metadata!E822="",FALSE,ISNUMBER(VALUE(Metadata!E822))),Metadata!E822&gt;0))</f>
        <v>0</v>
      </c>
      <c r="Z822">
        <f>AND(IF(Metadata!F822="",FALSE,TRUE),exact(Metadata!F822,"weeks"))</f>
        <v>0</v>
      </c>
      <c r="AA822">
        <f>AND(IF(Metadata!G822="",FALSE,TRUE),exact(Metadata!G822,"mouse"))</f>
        <v>0</v>
      </c>
      <c r="AB822">
        <f>AND(IF(Metadata!H822="",FALSE,TRUE),exact(Metadata!H822,"Mus musculus"))</f>
        <v>0</v>
      </c>
      <c r="AC822">
        <f>AND(IF(Metadata!I822="",FALSE,TRUE),exact(Metadata!I822,"10090"))</f>
        <v>0</v>
      </c>
      <c r="AD822">
        <f>OR(AND(IF(Metadata!J822="",FALSE,TRUE),OR(exact(Metadata!J822,"not applicable"),exact(Metadata!J822,"missing: not collected"),exact(Metadata!J822,"missing: not provided"),exact(Metadata!J822,"missing: restricted access"))),AND(IF(Metadata!J822="",FALSE,ISNUMBER(VALUE(Metadata!J822))),Metadata!J822&gt;0))</f>
        <v>0</v>
      </c>
      <c r="AE822">
        <f>AND(IF(Metadata!K822="",FALSE,TRUE),exact(Metadata!K822,"g"))</f>
        <v>0</v>
      </c>
    </row>
    <row r="823" spans="1:31">
      <c r="A823" s="5">
        <f>IF(B823=" "," ",HYPERLINK(CONCATENATE("#metadata!",ADDRESS(INDEX($Q$2:$Q$1001,MATCH(ROWS($O$2:O823),$O$2:$O$1001,0),0),1)),INDEX($T$2:$T$1001,MATCH(ROWS($O$2:O823),$O$2:$O$1001,0),0)))</f>
        <v>0</v>
      </c>
      <c r="B823" s="4">
        <f>IF(OR(INDEX($P$2:$P$1001,MATCH(ROWS($O$2:O823),$O$2:$O$1001,0),1)&gt;=100000,INDEX($V$1005:$AE$1005,1,MATCH(COLUMNS($V$1006:V1006),$V$1006:$AE$1006,0))&gt;=100000), " ",IF(INDEX($V$2:$AE$1001,MATCH(ROWS($O$2:O823),$O$2:$O$1001,0),MATCH(COLUMNS($V$1006:V1006),$V$1006:$AE$1006,0)), HYPERLINK("#",""), HYPERLINK(CONCATENATE("#Metadata!", ADDRESS(INDEX($Q$2:$Q$1001,MATCH(ROWS($O$2:O823),$O$2:$O$1001,0),0), INDEX($V$1004:$AE$1004,1,MATCH(COLUMNS($V$1006:V1006),$V$1006:$AE$1006,0)))),"Fix")))</f>
        <v>0</v>
      </c>
      <c r="C823" s="4">
        <f>IF(OR(INDEX($P$2:$P$1001,MATCH(ROWS($O$2:O823),$O$2:$O$1001,0),1)&gt;=100000,INDEX($V$1005:$AE$1005,1,MATCH(COLUMNS($V$1006:W1006),$V$1006:$AE$1006,0))&gt;=100000), " ",IF(INDEX($V$2:$AE$1001,MATCH(ROWS($O$2:O823),$O$2:$O$1001,0),MATCH(COLUMNS($V$1006:W1006),$V$1006:$AE$1006,0)), HYPERLINK("#",""), HYPERLINK(CONCATENATE("#Metadata!", ADDRESS(INDEX($Q$2:$Q$1001,MATCH(ROWS($O$2:O823),$O$2:$O$1001,0),0), INDEX($V$1004:$AE$1004,1,MATCH(COLUMNS($V$1006:W1006),$V$1006:$AE$1006,0)))),"Fix")))</f>
        <v>0</v>
      </c>
      <c r="D823" s="4">
        <f>IF(OR(INDEX($P$2:$P$1001,MATCH(ROWS($O$2:O823),$O$2:$O$1001,0),1)&gt;=100000,INDEX($V$1005:$AE$1005,1,MATCH(COLUMNS($V$1006:X1006),$V$1006:$AE$1006,0))&gt;=100000), " ",IF(INDEX($V$2:$AE$1001,MATCH(ROWS($O$2:O823),$O$2:$O$1001,0),MATCH(COLUMNS($V$1006:X1006),$V$1006:$AE$1006,0)), HYPERLINK("#",""), HYPERLINK(CONCATENATE("#Metadata!", ADDRESS(INDEX($Q$2:$Q$1001,MATCH(ROWS($O$2:O823),$O$2:$O$1001,0),0), INDEX($V$1004:$AE$1004,1,MATCH(COLUMNS($V$1006:X1006),$V$1006:$AE$1006,0)))),"Fix")))</f>
        <v>0</v>
      </c>
      <c r="E823" s="4">
        <f>IF(OR(INDEX($P$2:$P$1001,MATCH(ROWS($O$2:O823),$O$2:$O$1001,0),1)&gt;=100000,INDEX($V$1005:$AE$1005,1,MATCH(COLUMNS($V$1006:Y1006),$V$1006:$AE$1006,0))&gt;=100000), " ",IF(INDEX($V$2:$AE$1001,MATCH(ROWS($O$2:O823),$O$2:$O$1001,0),MATCH(COLUMNS($V$1006:Y1006),$V$1006:$AE$1006,0)), HYPERLINK("#",""), HYPERLINK(CONCATENATE("#Metadata!", ADDRESS(INDEX($Q$2:$Q$1001,MATCH(ROWS($O$2:O823),$O$2:$O$1001,0),0), INDEX($V$1004:$AE$1004,1,MATCH(COLUMNS($V$1006:Y1006),$V$1006:$AE$1006,0)))),"Fix")))</f>
        <v>0</v>
      </c>
      <c r="F823" s="4">
        <f>IF(OR(INDEX($P$2:$P$1001,MATCH(ROWS($O$2:O823),$O$2:$O$1001,0),1)&gt;=100000,INDEX($V$1005:$AE$1005,1,MATCH(COLUMNS($V$1006:Z1006),$V$1006:$AE$1006,0))&gt;=100000), " ",IF(INDEX($V$2:$AE$1001,MATCH(ROWS($O$2:O823),$O$2:$O$1001,0),MATCH(COLUMNS($V$1006:Z1006),$V$1006:$AE$1006,0)), HYPERLINK("#",""), HYPERLINK(CONCATENATE("#Metadata!", ADDRESS(INDEX($Q$2:$Q$1001,MATCH(ROWS($O$2:O823),$O$2:$O$1001,0),0), INDEX($V$1004:$AE$1004,1,MATCH(COLUMNS($V$1006:Z1006),$V$1006:$AE$1006,0)))),"Fix")))</f>
        <v>0</v>
      </c>
      <c r="G823" s="4">
        <f>IF(OR(INDEX($P$2:$P$1001,MATCH(ROWS($O$2:O823),$O$2:$O$1001,0),1)&gt;=100000,INDEX($V$1005:$AE$1005,1,MATCH(COLUMNS($V$1006:AA1006),$V$1006:$AE$1006,0))&gt;=100000), " ",IF(INDEX($V$2:$AE$1001,MATCH(ROWS($O$2:O823),$O$2:$O$1001,0),MATCH(COLUMNS($V$1006:AA1006),$V$1006:$AE$1006,0)), HYPERLINK("#",""), HYPERLINK(CONCATENATE("#Metadata!", ADDRESS(INDEX($Q$2:$Q$1001,MATCH(ROWS($O$2:O823),$O$2:$O$1001,0),0), INDEX($V$1004:$AE$1004,1,MATCH(COLUMNS($V$1006:AA1006),$V$1006:$AE$1006,0)))),"Fix")))</f>
        <v>0</v>
      </c>
      <c r="H823" s="4">
        <f>IF(OR(INDEX($P$2:$P$1001,MATCH(ROWS($O$2:O823),$O$2:$O$1001,0),1)&gt;=100000,INDEX($V$1005:$AE$1005,1,MATCH(COLUMNS($V$1006:AB1006),$V$1006:$AE$1006,0))&gt;=100000), " ",IF(INDEX($V$2:$AE$1001,MATCH(ROWS($O$2:O823),$O$2:$O$1001,0),MATCH(COLUMNS($V$1006:AB1006),$V$1006:$AE$1006,0)), HYPERLINK("#",""), HYPERLINK(CONCATENATE("#Metadata!", ADDRESS(INDEX($Q$2:$Q$1001,MATCH(ROWS($O$2:O823),$O$2:$O$1001,0),0), INDEX($V$1004:$AE$1004,1,MATCH(COLUMNS($V$1006:AB1006),$V$1006:$AE$1006,0)))),"Fix")))</f>
        <v>0</v>
      </c>
      <c r="I823" s="4">
        <f>IF(OR(INDEX($P$2:$P$1001,MATCH(ROWS($O$2:O823),$O$2:$O$1001,0),1)&gt;=100000,INDEX($V$1005:$AE$1005,1,MATCH(COLUMNS($V$1006:AC1006),$V$1006:$AE$1006,0))&gt;=100000), " ",IF(INDEX($V$2:$AE$1001,MATCH(ROWS($O$2:O823),$O$2:$O$1001,0),MATCH(COLUMNS($V$1006:AC1006),$V$1006:$AE$1006,0)), HYPERLINK("#",""), HYPERLINK(CONCATENATE("#Metadata!", ADDRESS(INDEX($Q$2:$Q$1001,MATCH(ROWS($O$2:O823),$O$2:$O$1001,0),0), INDEX($V$1004:$AE$1004,1,MATCH(COLUMNS($V$1006:AC1006),$V$1006:$AE$1006,0)))),"Fix")))</f>
        <v>0</v>
      </c>
      <c r="J823" s="4">
        <f>IF(OR(INDEX($P$2:$P$1001,MATCH(ROWS($O$2:O823),$O$2:$O$1001,0),1)&gt;=100000,INDEX($V$1005:$AE$1005,1,MATCH(COLUMNS($V$1006:AD1006),$V$1006:$AE$1006,0))&gt;=100000), " ",IF(INDEX($V$2:$AE$1001,MATCH(ROWS($O$2:O823),$O$2:$O$1001,0),MATCH(COLUMNS($V$1006:AD1006),$V$1006:$AE$1006,0)), HYPERLINK("#",""), HYPERLINK(CONCATENATE("#Metadata!", ADDRESS(INDEX($Q$2:$Q$1001,MATCH(ROWS($O$2:O823),$O$2:$O$1001,0),0), INDEX($V$1004:$AE$1004,1,MATCH(COLUMNS($V$1006:AD1006),$V$1006:$AE$1006,0)))),"Fix")))</f>
        <v>0</v>
      </c>
      <c r="K823" s="4">
        <f>IF(OR(INDEX($P$2:$P$1001,MATCH(ROWS($O$2:O823),$O$2:$O$1001,0),1)&gt;=100000,INDEX($V$1005:$AE$1005,1,MATCH(COLUMNS($V$1006:AE1006),$V$1006:$AE$1006,0))&gt;=100000), " ",IF(INDEX($V$2:$AE$1001,MATCH(ROWS($O$2:O823),$O$2:$O$1001,0),MATCH(COLUMNS($V$1006:AE1006),$V$1006:$AE$1006,0)), HYPERLINK("#",""), HYPERLINK(CONCATENATE("#Metadata!", ADDRESS(INDEX($Q$2:$Q$1001,MATCH(ROWS($O$2:O823),$O$2:$O$1001,0),0), INDEX($V$1004:$AE$1004,1,MATCH(COLUMNS($V$1006:AE1006),$V$1006:$AE$1006,0)))),"Fix")))</f>
        <v>0</v>
      </c>
      <c r="O823">
        <v>0</v>
      </c>
      <c r="P823">
        <v>0</v>
      </c>
      <c r="Q823">
        <v>0</v>
      </c>
      <c r="R823">
        <f>IF(S823,TRUE,AND(V823:AE823))</f>
        <v>0</v>
      </c>
      <c r="S823">
        <f>COUNTBLANK(Metadata!B823:K823)=COLUMNS(Metadata!B823:K823)</f>
        <v>0</v>
      </c>
      <c r="T823">
        <v>0</v>
      </c>
      <c r="V823">
        <f>AND(IF(Metadata!B823="",FALSE,TRUE),COUNTIF(Metadata!B:B, Metadata!B823) = 1,NOT(ISERROR(SUMPRODUCT(SEARCH(MID(Metadata!B823,ROW(INDIRECT("1:"&amp;LEN(Metadata!B823))), 1),"0123456789abcdefghijklmnopqrstuvwxyzABCDEFGHIJKLMNOPQRSTUVWXYZ.")))))</f>
        <v>0</v>
      </c>
      <c r="W823">
        <f>AND(IF(Metadata!C823="",FALSE,TRUE),exact(Metadata!C823,"urban biome"))</f>
        <v>0</v>
      </c>
      <c r="X823">
        <f>AND(IF(Metadata!D823="",FALSE,TRUE),exact(Metadata!D823,"animal-associated habitat"))</f>
        <v>0</v>
      </c>
      <c r="Y823">
        <f>OR(AND(IF(Metadata!E823="",FALSE,TRUE),OR(exact(Metadata!E823,"not applicable"),exact(Metadata!E823,"missing: not collected"),exact(Metadata!E823,"missing: not provided"),exact(Metadata!E823,"missing: restricted access"))),AND(IF(Metadata!E823="",FALSE,ISNUMBER(VALUE(Metadata!E823))),Metadata!E823&gt;0))</f>
        <v>0</v>
      </c>
      <c r="Z823">
        <f>AND(IF(Metadata!F823="",FALSE,TRUE),exact(Metadata!F823,"weeks"))</f>
        <v>0</v>
      </c>
      <c r="AA823">
        <f>AND(IF(Metadata!G823="",FALSE,TRUE),exact(Metadata!G823,"mouse"))</f>
        <v>0</v>
      </c>
      <c r="AB823">
        <f>AND(IF(Metadata!H823="",FALSE,TRUE),exact(Metadata!H823,"Mus musculus"))</f>
        <v>0</v>
      </c>
      <c r="AC823">
        <f>AND(IF(Metadata!I823="",FALSE,TRUE),exact(Metadata!I823,"10090"))</f>
        <v>0</v>
      </c>
      <c r="AD823">
        <f>OR(AND(IF(Metadata!J823="",FALSE,TRUE),OR(exact(Metadata!J823,"not applicable"),exact(Metadata!J823,"missing: not collected"),exact(Metadata!J823,"missing: not provided"),exact(Metadata!J823,"missing: restricted access"))),AND(IF(Metadata!J823="",FALSE,ISNUMBER(VALUE(Metadata!J823))),Metadata!J823&gt;0))</f>
        <v>0</v>
      </c>
      <c r="AE823">
        <f>AND(IF(Metadata!K823="",FALSE,TRUE),exact(Metadata!K823,"g"))</f>
        <v>0</v>
      </c>
    </row>
    <row r="824" spans="1:31">
      <c r="A824" s="5">
        <f>IF(B824=" "," ",HYPERLINK(CONCATENATE("#metadata!",ADDRESS(INDEX($Q$2:$Q$1001,MATCH(ROWS($O$2:O824),$O$2:$O$1001,0),0),1)),INDEX($T$2:$T$1001,MATCH(ROWS($O$2:O824),$O$2:$O$1001,0),0)))</f>
        <v>0</v>
      </c>
      <c r="B824" s="4">
        <f>IF(OR(INDEX($P$2:$P$1001,MATCH(ROWS($O$2:O824),$O$2:$O$1001,0),1)&gt;=100000,INDEX($V$1005:$AE$1005,1,MATCH(COLUMNS($V$1006:V1006),$V$1006:$AE$1006,0))&gt;=100000), " ",IF(INDEX($V$2:$AE$1001,MATCH(ROWS($O$2:O824),$O$2:$O$1001,0),MATCH(COLUMNS($V$1006:V1006),$V$1006:$AE$1006,0)), HYPERLINK("#",""), HYPERLINK(CONCATENATE("#Metadata!", ADDRESS(INDEX($Q$2:$Q$1001,MATCH(ROWS($O$2:O824),$O$2:$O$1001,0),0), INDEX($V$1004:$AE$1004,1,MATCH(COLUMNS($V$1006:V1006),$V$1006:$AE$1006,0)))),"Fix")))</f>
        <v>0</v>
      </c>
      <c r="C824" s="4">
        <f>IF(OR(INDEX($P$2:$P$1001,MATCH(ROWS($O$2:O824),$O$2:$O$1001,0),1)&gt;=100000,INDEX($V$1005:$AE$1005,1,MATCH(COLUMNS($V$1006:W1006),$V$1006:$AE$1006,0))&gt;=100000), " ",IF(INDEX($V$2:$AE$1001,MATCH(ROWS($O$2:O824),$O$2:$O$1001,0),MATCH(COLUMNS($V$1006:W1006),$V$1006:$AE$1006,0)), HYPERLINK("#",""), HYPERLINK(CONCATENATE("#Metadata!", ADDRESS(INDEX($Q$2:$Q$1001,MATCH(ROWS($O$2:O824),$O$2:$O$1001,0),0), INDEX($V$1004:$AE$1004,1,MATCH(COLUMNS($V$1006:W1006),$V$1006:$AE$1006,0)))),"Fix")))</f>
        <v>0</v>
      </c>
      <c r="D824" s="4">
        <f>IF(OR(INDEX($P$2:$P$1001,MATCH(ROWS($O$2:O824),$O$2:$O$1001,0),1)&gt;=100000,INDEX($V$1005:$AE$1005,1,MATCH(COLUMNS($V$1006:X1006),$V$1006:$AE$1006,0))&gt;=100000), " ",IF(INDEX($V$2:$AE$1001,MATCH(ROWS($O$2:O824),$O$2:$O$1001,0),MATCH(COLUMNS($V$1006:X1006),$V$1006:$AE$1006,0)), HYPERLINK("#",""), HYPERLINK(CONCATENATE("#Metadata!", ADDRESS(INDEX($Q$2:$Q$1001,MATCH(ROWS($O$2:O824),$O$2:$O$1001,0),0), INDEX($V$1004:$AE$1004,1,MATCH(COLUMNS($V$1006:X1006),$V$1006:$AE$1006,0)))),"Fix")))</f>
        <v>0</v>
      </c>
      <c r="E824" s="4">
        <f>IF(OR(INDEX($P$2:$P$1001,MATCH(ROWS($O$2:O824),$O$2:$O$1001,0),1)&gt;=100000,INDEX($V$1005:$AE$1005,1,MATCH(COLUMNS($V$1006:Y1006),$V$1006:$AE$1006,0))&gt;=100000), " ",IF(INDEX($V$2:$AE$1001,MATCH(ROWS($O$2:O824),$O$2:$O$1001,0),MATCH(COLUMNS($V$1006:Y1006),$V$1006:$AE$1006,0)), HYPERLINK("#",""), HYPERLINK(CONCATENATE("#Metadata!", ADDRESS(INDEX($Q$2:$Q$1001,MATCH(ROWS($O$2:O824),$O$2:$O$1001,0),0), INDEX($V$1004:$AE$1004,1,MATCH(COLUMNS($V$1006:Y1006),$V$1006:$AE$1006,0)))),"Fix")))</f>
        <v>0</v>
      </c>
      <c r="F824" s="4">
        <f>IF(OR(INDEX($P$2:$P$1001,MATCH(ROWS($O$2:O824),$O$2:$O$1001,0),1)&gt;=100000,INDEX($V$1005:$AE$1005,1,MATCH(COLUMNS($V$1006:Z1006),$V$1006:$AE$1006,0))&gt;=100000), " ",IF(INDEX($V$2:$AE$1001,MATCH(ROWS($O$2:O824),$O$2:$O$1001,0),MATCH(COLUMNS($V$1006:Z1006),$V$1006:$AE$1006,0)), HYPERLINK("#",""), HYPERLINK(CONCATENATE("#Metadata!", ADDRESS(INDEX($Q$2:$Q$1001,MATCH(ROWS($O$2:O824),$O$2:$O$1001,0),0), INDEX($V$1004:$AE$1004,1,MATCH(COLUMNS($V$1006:Z1006),$V$1006:$AE$1006,0)))),"Fix")))</f>
        <v>0</v>
      </c>
      <c r="G824" s="4">
        <f>IF(OR(INDEX($P$2:$P$1001,MATCH(ROWS($O$2:O824),$O$2:$O$1001,0),1)&gt;=100000,INDEX($V$1005:$AE$1005,1,MATCH(COLUMNS($V$1006:AA1006),$V$1006:$AE$1006,0))&gt;=100000), " ",IF(INDEX($V$2:$AE$1001,MATCH(ROWS($O$2:O824),$O$2:$O$1001,0),MATCH(COLUMNS($V$1006:AA1006),$V$1006:$AE$1006,0)), HYPERLINK("#",""), HYPERLINK(CONCATENATE("#Metadata!", ADDRESS(INDEX($Q$2:$Q$1001,MATCH(ROWS($O$2:O824),$O$2:$O$1001,0),0), INDEX($V$1004:$AE$1004,1,MATCH(COLUMNS($V$1006:AA1006),$V$1006:$AE$1006,0)))),"Fix")))</f>
        <v>0</v>
      </c>
      <c r="H824" s="4">
        <f>IF(OR(INDEX($P$2:$P$1001,MATCH(ROWS($O$2:O824),$O$2:$O$1001,0),1)&gt;=100000,INDEX($V$1005:$AE$1005,1,MATCH(COLUMNS($V$1006:AB1006),$V$1006:$AE$1006,0))&gt;=100000), " ",IF(INDEX($V$2:$AE$1001,MATCH(ROWS($O$2:O824),$O$2:$O$1001,0),MATCH(COLUMNS($V$1006:AB1006),$V$1006:$AE$1006,0)), HYPERLINK("#",""), HYPERLINK(CONCATENATE("#Metadata!", ADDRESS(INDEX($Q$2:$Q$1001,MATCH(ROWS($O$2:O824),$O$2:$O$1001,0),0), INDEX($V$1004:$AE$1004,1,MATCH(COLUMNS($V$1006:AB1006),$V$1006:$AE$1006,0)))),"Fix")))</f>
        <v>0</v>
      </c>
      <c r="I824" s="4">
        <f>IF(OR(INDEX($P$2:$P$1001,MATCH(ROWS($O$2:O824),$O$2:$O$1001,0),1)&gt;=100000,INDEX($V$1005:$AE$1005,1,MATCH(COLUMNS($V$1006:AC1006),$V$1006:$AE$1006,0))&gt;=100000), " ",IF(INDEX($V$2:$AE$1001,MATCH(ROWS($O$2:O824),$O$2:$O$1001,0),MATCH(COLUMNS($V$1006:AC1006),$V$1006:$AE$1006,0)), HYPERLINK("#",""), HYPERLINK(CONCATENATE("#Metadata!", ADDRESS(INDEX($Q$2:$Q$1001,MATCH(ROWS($O$2:O824),$O$2:$O$1001,0),0), INDEX($V$1004:$AE$1004,1,MATCH(COLUMNS($V$1006:AC1006),$V$1006:$AE$1006,0)))),"Fix")))</f>
        <v>0</v>
      </c>
      <c r="J824" s="4">
        <f>IF(OR(INDEX($P$2:$P$1001,MATCH(ROWS($O$2:O824),$O$2:$O$1001,0),1)&gt;=100000,INDEX($V$1005:$AE$1005,1,MATCH(COLUMNS($V$1006:AD1006),$V$1006:$AE$1006,0))&gt;=100000), " ",IF(INDEX($V$2:$AE$1001,MATCH(ROWS($O$2:O824),$O$2:$O$1001,0),MATCH(COLUMNS($V$1006:AD1006),$V$1006:$AE$1006,0)), HYPERLINK("#",""), HYPERLINK(CONCATENATE("#Metadata!", ADDRESS(INDEX($Q$2:$Q$1001,MATCH(ROWS($O$2:O824),$O$2:$O$1001,0),0), INDEX($V$1004:$AE$1004,1,MATCH(COLUMNS($V$1006:AD1006),$V$1006:$AE$1006,0)))),"Fix")))</f>
        <v>0</v>
      </c>
      <c r="K824" s="4">
        <f>IF(OR(INDEX($P$2:$P$1001,MATCH(ROWS($O$2:O824),$O$2:$O$1001,0),1)&gt;=100000,INDEX($V$1005:$AE$1005,1,MATCH(COLUMNS($V$1006:AE1006),$V$1006:$AE$1006,0))&gt;=100000), " ",IF(INDEX($V$2:$AE$1001,MATCH(ROWS($O$2:O824),$O$2:$O$1001,0),MATCH(COLUMNS($V$1006:AE1006),$V$1006:$AE$1006,0)), HYPERLINK("#",""), HYPERLINK(CONCATENATE("#Metadata!", ADDRESS(INDEX($Q$2:$Q$1001,MATCH(ROWS($O$2:O824),$O$2:$O$1001,0),0), INDEX($V$1004:$AE$1004,1,MATCH(COLUMNS($V$1006:AE1006),$V$1006:$AE$1006,0)))),"Fix")))</f>
        <v>0</v>
      </c>
      <c r="O824">
        <v>0</v>
      </c>
      <c r="P824">
        <v>0</v>
      </c>
      <c r="Q824">
        <v>0</v>
      </c>
      <c r="R824">
        <f>IF(S824,TRUE,AND(V824:AE824))</f>
        <v>0</v>
      </c>
      <c r="S824">
        <f>COUNTBLANK(Metadata!B824:K824)=COLUMNS(Metadata!B824:K824)</f>
        <v>0</v>
      </c>
      <c r="T824">
        <v>0</v>
      </c>
      <c r="V824">
        <f>AND(IF(Metadata!B824="",FALSE,TRUE),COUNTIF(Metadata!B:B, Metadata!B824) = 1,NOT(ISERROR(SUMPRODUCT(SEARCH(MID(Metadata!B824,ROW(INDIRECT("1:"&amp;LEN(Metadata!B824))), 1),"0123456789abcdefghijklmnopqrstuvwxyzABCDEFGHIJKLMNOPQRSTUVWXYZ.")))))</f>
        <v>0</v>
      </c>
      <c r="W824">
        <f>AND(IF(Metadata!C824="",FALSE,TRUE),exact(Metadata!C824,"urban biome"))</f>
        <v>0</v>
      </c>
      <c r="X824">
        <f>AND(IF(Metadata!D824="",FALSE,TRUE),exact(Metadata!D824,"animal-associated habitat"))</f>
        <v>0</v>
      </c>
      <c r="Y824">
        <f>OR(AND(IF(Metadata!E824="",FALSE,TRUE),OR(exact(Metadata!E824,"not applicable"),exact(Metadata!E824,"missing: not collected"),exact(Metadata!E824,"missing: not provided"),exact(Metadata!E824,"missing: restricted access"))),AND(IF(Metadata!E824="",FALSE,ISNUMBER(VALUE(Metadata!E824))),Metadata!E824&gt;0))</f>
        <v>0</v>
      </c>
      <c r="Z824">
        <f>AND(IF(Metadata!F824="",FALSE,TRUE),exact(Metadata!F824,"weeks"))</f>
        <v>0</v>
      </c>
      <c r="AA824">
        <f>AND(IF(Metadata!G824="",FALSE,TRUE),exact(Metadata!G824,"mouse"))</f>
        <v>0</v>
      </c>
      <c r="AB824">
        <f>AND(IF(Metadata!H824="",FALSE,TRUE),exact(Metadata!H824,"Mus musculus"))</f>
        <v>0</v>
      </c>
      <c r="AC824">
        <f>AND(IF(Metadata!I824="",FALSE,TRUE),exact(Metadata!I824,"10090"))</f>
        <v>0</v>
      </c>
      <c r="AD824">
        <f>OR(AND(IF(Metadata!J824="",FALSE,TRUE),OR(exact(Metadata!J824,"not applicable"),exact(Metadata!J824,"missing: not collected"),exact(Metadata!J824,"missing: not provided"),exact(Metadata!J824,"missing: restricted access"))),AND(IF(Metadata!J824="",FALSE,ISNUMBER(VALUE(Metadata!J824))),Metadata!J824&gt;0))</f>
        <v>0</v>
      </c>
      <c r="AE824">
        <f>AND(IF(Metadata!K824="",FALSE,TRUE),exact(Metadata!K824,"g"))</f>
        <v>0</v>
      </c>
    </row>
    <row r="825" spans="1:31">
      <c r="A825" s="5">
        <f>IF(B825=" "," ",HYPERLINK(CONCATENATE("#metadata!",ADDRESS(INDEX($Q$2:$Q$1001,MATCH(ROWS($O$2:O825),$O$2:$O$1001,0),0),1)),INDEX($T$2:$T$1001,MATCH(ROWS($O$2:O825),$O$2:$O$1001,0),0)))</f>
        <v>0</v>
      </c>
      <c r="B825" s="4">
        <f>IF(OR(INDEX($P$2:$P$1001,MATCH(ROWS($O$2:O825),$O$2:$O$1001,0),1)&gt;=100000,INDEX($V$1005:$AE$1005,1,MATCH(COLUMNS($V$1006:V1006),$V$1006:$AE$1006,0))&gt;=100000), " ",IF(INDEX($V$2:$AE$1001,MATCH(ROWS($O$2:O825),$O$2:$O$1001,0),MATCH(COLUMNS($V$1006:V1006),$V$1006:$AE$1006,0)), HYPERLINK("#",""), HYPERLINK(CONCATENATE("#Metadata!", ADDRESS(INDEX($Q$2:$Q$1001,MATCH(ROWS($O$2:O825),$O$2:$O$1001,0),0), INDEX($V$1004:$AE$1004,1,MATCH(COLUMNS($V$1006:V1006),$V$1006:$AE$1006,0)))),"Fix")))</f>
        <v>0</v>
      </c>
      <c r="C825" s="4">
        <f>IF(OR(INDEX($P$2:$P$1001,MATCH(ROWS($O$2:O825),$O$2:$O$1001,0),1)&gt;=100000,INDEX($V$1005:$AE$1005,1,MATCH(COLUMNS($V$1006:W1006),$V$1006:$AE$1006,0))&gt;=100000), " ",IF(INDEX($V$2:$AE$1001,MATCH(ROWS($O$2:O825),$O$2:$O$1001,0),MATCH(COLUMNS($V$1006:W1006),$V$1006:$AE$1006,0)), HYPERLINK("#",""), HYPERLINK(CONCATENATE("#Metadata!", ADDRESS(INDEX($Q$2:$Q$1001,MATCH(ROWS($O$2:O825),$O$2:$O$1001,0),0), INDEX($V$1004:$AE$1004,1,MATCH(COLUMNS($V$1006:W1006),$V$1006:$AE$1006,0)))),"Fix")))</f>
        <v>0</v>
      </c>
      <c r="D825" s="4">
        <f>IF(OR(INDEX($P$2:$P$1001,MATCH(ROWS($O$2:O825),$O$2:$O$1001,0),1)&gt;=100000,INDEX($V$1005:$AE$1005,1,MATCH(COLUMNS($V$1006:X1006),$V$1006:$AE$1006,0))&gt;=100000), " ",IF(INDEX($V$2:$AE$1001,MATCH(ROWS($O$2:O825),$O$2:$O$1001,0),MATCH(COLUMNS($V$1006:X1006),$V$1006:$AE$1006,0)), HYPERLINK("#",""), HYPERLINK(CONCATENATE("#Metadata!", ADDRESS(INDEX($Q$2:$Q$1001,MATCH(ROWS($O$2:O825),$O$2:$O$1001,0),0), INDEX($V$1004:$AE$1004,1,MATCH(COLUMNS($V$1006:X1006),$V$1006:$AE$1006,0)))),"Fix")))</f>
        <v>0</v>
      </c>
      <c r="E825" s="4">
        <f>IF(OR(INDEX($P$2:$P$1001,MATCH(ROWS($O$2:O825),$O$2:$O$1001,0),1)&gt;=100000,INDEX($V$1005:$AE$1005,1,MATCH(COLUMNS($V$1006:Y1006),$V$1006:$AE$1006,0))&gt;=100000), " ",IF(INDEX($V$2:$AE$1001,MATCH(ROWS($O$2:O825),$O$2:$O$1001,0),MATCH(COLUMNS($V$1006:Y1006),$V$1006:$AE$1006,0)), HYPERLINK("#",""), HYPERLINK(CONCATENATE("#Metadata!", ADDRESS(INDEX($Q$2:$Q$1001,MATCH(ROWS($O$2:O825),$O$2:$O$1001,0),0), INDEX($V$1004:$AE$1004,1,MATCH(COLUMNS($V$1006:Y1006),$V$1006:$AE$1006,0)))),"Fix")))</f>
        <v>0</v>
      </c>
      <c r="F825" s="4">
        <f>IF(OR(INDEX($P$2:$P$1001,MATCH(ROWS($O$2:O825),$O$2:$O$1001,0),1)&gt;=100000,INDEX($V$1005:$AE$1005,1,MATCH(COLUMNS($V$1006:Z1006),$V$1006:$AE$1006,0))&gt;=100000), " ",IF(INDEX($V$2:$AE$1001,MATCH(ROWS($O$2:O825),$O$2:$O$1001,0),MATCH(COLUMNS($V$1006:Z1006),$V$1006:$AE$1006,0)), HYPERLINK("#",""), HYPERLINK(CONCATENATE("#Metadata!", ADDRESS(INDEX($Q$2:$Q$1001,MATCH(ROWS($O$2:O825),$O$2:$O$1001,0),0), INDEX($V$1004:$AE$1004,1,MATCH(COLUMNS($V$1006:Z1006),$V$1006:$AE$1006,0)))),"Fix")))</f>
        <v>0</v>
      </c>
      <c r="G825" s="4">
        <f>IF(OR(INDEX($P$2:$P$1001,MATCH(ROWS($O$2:O825),$O$2:$O$1001,0),1)&gt;=100000,INDEX($V$1005:$AE$1005,1,MATCH(COLUMNS($V$1006:AA1006),$V$1006:$AE$1006,0))&gt;=100000), " ",IF(INDEX($V$2:$AE$1001,MATCH(ROWS($O$2:O825),$O$2:$O$1001,0),MATCH(COLUMNS($V$1006:AA1006),$V$1006:$AE$1006,0)), HYPERLINK("#",""), HYPERLINK(CONCATENATE("#Metadata!", ADDRESS(INDEX($Q$2:$Q$1001,MATCH(ROWS($O$2:O825),$O$2:$O$1001,0),0), INDEX($V$1004:$AE$1004,1,MATCH(COLUMNS($V$1006:AA1006),$V$1006:$AE$1006,0)))),"Fix")))</f>
        <v>0</v>
      </c>
      <c r="H825" s="4">
        <f>IF(OR(INDEX($P$2:$P$1001,MATCH(ROWS($O$2:O825),$O$2:$O$1001,0),1)&gt;=100000,INDEX($V$1005:$AE$1005,1,MATCH(COLUMNS($V$1006:AB1006),$V$1006:$AE$1006,0))&gt;=100000), " ",IF(INDEX($V$2:$AE$1001,MATCH(ROWS($O$2:O825),$O$2:$O$1001,0),MATCH(COLUMNS($V$1006:AB1006),$V$1006:$AE$1006,0)), HYPERLINK("#",""), HYPERLINK(CONCATENATE("#Metadata!", ADDRESS(INDEX($Q$2:$Q$1001,MATCH(ROWS($O$2:O825),$O$2:$O$1001,0),0), INDEX($V$1004:$AE$1004,1,MATCH(COLUMNS($V$1006:AB1006),$V$1006:$AE$1006,0)))),"Fix")))</f>
        <v>0</v>
      </c>
      <c r="I825" s="4">
        <f>IF(OR(INDEX($P$2:$P$1001,MATCH(ROWS($O$2:O825),$O$2:$O$1001,0),1)&gt;=100000,INDEX($V$1005:$AE$1005,1,MATCH(COLUMNS($V$1006:AC1006),$V$1006:$AE$1006,0))&gt;=100000), " ",IF(INDEX($V$2:$AE$1001,MATCH(ROWS($O$2:O825),$O$2:$O$1001,0),MATCH(COLUMNS($V$1006:AC1006),$V$1006:$AE$1006,0)), HYPERLINK("#",""), HYPERLINK(CONCATENATE("#Metadata!", ADDRESS(INDEX($Q$2:$Q$1001,MATCH(ROWS($O$2:O825),$O$2:$O$1001,0),0), INDEX($V$1004:$AE$1004,1,MATCH(COLUMNS($V$1006:AC1006),$V$1006:$AE$1006,0)))),"Fix")))</f>
        <v>0</v>
      </c>
      <c r="J825" s="4">
        <f>IF(OR(INDEX($P$2:$P$1001,MATCH(ROWS($O$2:O825),$O$2:$O$1001,0),1)&gt;=100000,INDEX($V$1005:$AE$1005,1,MATCH(COLUMNS($V$1006:AD1006),$V$1006:$AE$1006,0))&gt;=100000), " ",IF(INDEX($V$2:$AE$1001,MATCH(ROWS($O$2:O825),$O$2:$O$1001,0),MATCH(COLUMNS($V$1006:AD1006),$V$1006:$AE$1006,0)), HYPERLINK("#",""), HYPERLINK(CONCATENATE("#Metadata!", ADDRESS(INDEX($Q$2:$Q$1001,MATCH(ROWS($O$2:O825),$O$2:$O$1001,0),0), INDEX($V$1004:$AE$1004,1,MATCH(COLUMNS($V$1006:AD1006),$V$1006:$AE$1006,0)))),"Fix")))</f>
        <v>0</v>
      </c>
      <c r="K825" s="4">
        <f>IF(OR(INDEX($P$2:$P$1001,MATCH(ROWS($O$2:O825),$O$2:$O$1001,0),1)&gt;=100000,INDEX($V$1005:$AE$1005,1,MATCH(COLUMNS($V$1006:AE1006),$V$1006:$AE$1006,0))&gt;=100000), " ",IF(INDEX($V$2:$AE$1001,MATCH(ROWS($O$2:O825),$O$2:$O$1001,0),MATCH(COLUMNS($V$1006:AE1006),$V$1006:$AE$1006,0)), HYPERLINK("#",""), HYPERLINK(CONCATENATE("#Metadata!", ADDRESS(INDEX($Q$2:$Q$1001,MATCH(ROWS($O$2:O825),$O$2:$O$1001,0),0), INDEX($V$1004:$AE$1004,1,MATCH(COLUMNS($V$1006:AE1006),$V$1006:$AE$1006,0)))),"Fix")))</f>
        <v>0</v>
      </c>
      <c r="O825">
        <v>0</v>
      </c>
      <c r="P825">
        <v>0</v>
      </c>
      <c r="Q825">
        <v>0</v>
      </c>
      <c r="R825">
        <f>IF(S825,TRUE,AND(V825:AE825))</f>
        <v>0</v>
      </c>
      <c r="S825">
        <f>COUNTBLANK(Metadata!B825:K825)=COLUMNS(Metadata!B825:K825)</f>
        <v>0</v>
      </c>
      <c r="T825">
        <v>0</v>
      </c>
      <c r="V825">
        <f>AND(IF(Metadata!B825="",FALSE,TRUE),COUNTIF(Metadata!B:B, Metadata!B825) = 1,NOT(ISERROR(SUMPRODUCT(SEARCH(MID(Metadata!B825,ROW(INDIRECT("1:"&amp;LEN(Metadata!B825))), 1),"0123456789abcdefghijklmnopqrstuvwxyzABCDEFGHIJKLMNOPQRSTUVWXYZ.")))))</f>
        <v>0</v>
      </c>
      <c r="W825">
        <f>AND(IF(Metadata!C825="",FALSE,TRUE),exact(Metadata!C825,"urban biome"))</f>
        <v>0</v>
      </c>
      <c r="X825">
        <f>AND(IF(Metadata!D825="",FALSE,TRUE),exact(Metadata!D825,"animal-associated habitat"))</f>
        <v>0</v>
      </c>
      <c r="Y825">
        <f>OR(AND(IF(Metadata!E825="",FALSE,TRUE),OR(exact(Metadata!E825,"not applicable"),exact(Metadata!E825,"missing: not collected"),exact(Metadata!E825,"missing: not provided"),exact(Metadata!E825,"missing: restricted access"))),AND(IF(Metadata!E825="",FALSE,ISNUMBER(VALUE(Metadata!E825))),Metadata!E825&gt;0))</f>
        <v>0</v>
      </c>
      <c r="Z825">
        <f>AND(IF(Metadata!F825="",FALSE,TRUE),exact(Metadata!F825,"weeks"))</f>
        <v>0</v>
      </c>
      <c r="AA825">
        <f>AND(IF(Metadata!G825="",FALSE,TRUE),exact(Metadata!G825,"mouse"))</f>
        <v>0</v>
      </c>
      <c r="AB825">
        <f>AND(IF(Metadata!H825="",FALSE,TRUE),exact(Metadata!H825,"Mus musculus"))</f>
        <v>0</v>
      </c>
      <c r="AC825">
        <f>AND(IF(Metadata!I825="",FALSE,TRUE),exact(Metadata!I825,"10090"))</f>
        <v>0</v>
      </c>
      <c r="AD825">
        <f>OR(AND(IF(Metadata!J825="",FALSE,TRUE),OR(exact(Metadata!J825,"not applicable"),exact(Metadata!J825,"missing: not collected"),exact(Metadata!J825,"missing: not provided"),exact(Metadata!J825,"missing: restricted access"))),AND(IF(Metadata!J825="",FALSE,ISNUMBER(VALUE(Metadata!J825))),Metadata!J825&gt;0))</f>
        <v>0</v>
      </c>
      <c r="AE825">
        <f>AND(IF(Metadata!K825="",FALSE,TRUE),exact(Metadata!K825,"g"))</f>
        <v>0</v>
      </c>
    </row>
    <row r="826" spans="1:31">
      <c r="A826" s="5">
        <f>IF(B826=" "," ",HYPERLINK(CONCATENATE("#metadata!",ADDRESS(INDEX($Q$2:$Q$1001,MATCH(ROWS($O$2:O826),$O$2:$O$1001,0),0),1)),INDEX($T$2:$T$1001,MATCH(ROWS($O$2:O826),$O$2:$O$1001,0),0)))</f>
        <v>0</v>
      </c>
      <c r="B826" s="4">
        <f>IF(OR(INDEX($P$2:$P$1001,MATCH(ROWS($O$2:O826),$O$2:$O$1001,0),1)&gt;=100000,INDEX($V$1005:$AE$1005,1,MATCH(COLUMNS($V$1006:V1006),$V$1006:$AE$1006,0))&gt;=100000), " ",IF(INDEX($V$2:$AE$1001,MATCH(ROWS($O$2:O826),$O$2:$O$1001,0),MATCH(COLUMNS($V$1006:V1006),$V$1006:$AE$1006,0)), HYPERLINK("#",""), HYPERLINK(CONCATENATE("#Metadata!", ADDRESS(INDEX($Q$2:$Q$1001,MATCH(ROWS($O$2:O826),$O$2:$O$1001,0),0), INDEX($V$1004:$AE$1004,1,MATCH(COLUMNS($V$1006:V1006),$V$1006:$AE$1006,0)))),"Fix")))</f>
        <v>0</v>
      </c>
      <c r="C826" s="4">
        <f>IF(OR(INDEX($P$2:$P$1001,MATCH(ROWS($O$2:O826),$O$2:$O$1001,0),1)&gt;=100000,INDEX($V$1005:$AE$1005,1,MATCH(COLUMNS($V$1006:W1006),$V$1006:$AE$1006,0))&gt;=100000), " ",IF(INDEX($V$2:$AE$1001,MATCH(ROWS($O$2:O826),$O$2:$O$1001,0),MATCH(COLUMNS($V$1006:W1006),$V$1006:$AE$1006,0)), HYPERLINK("#",""), HYPERLINK(CONCATENATE("#Metadata!", ADDRESS(INDEX($Q$2:$Q$1001,MATCH(ROWS($O$2:O826),$O$2:$O$1001,0),0), INDEX($V$1004:$AE$1004,1,MATCH(COLUMNS($V$1006:W1006),$V$1006:$AE$1006,0)))),"Fix")))</f>
        <v>0</v>
      </c>
      <c r="D826" s="4">
        <f>IF(OR(INDEX($P$2:$P$1001,MATCH(ROWS($O$2:O826),$O$2:$O$1001,0),1)&gt;=100000,INDEX($V$1005:$AE$1005,1,MATCH(COLUMNS($V$1006:X1006),$V$1006:$AE$1006,0))&gt;=100000), " ",IF(INDEX($V$2:$AE$1001,MATCH(ROWS($O$2:O826),$O$2:$O$1001,0),MATCH(COLUMNS($V$1006:X1006),$V$1006:$AE$1006,0)), HYPERLINK("#",""), HYPERLINK(CONCATENATE("#Metadata!", ADDRESS(INDEX($Q$2:$Q$1001,MATCH(ROWS($O$2:O826),$O$2:$O$1001,0),0), INDEX($V$1004:$AE$1004,1,MATCH(COLUMNS($V$1006:X1006),$V$1006:$AE$1006,0)))),"Fix")))</f>
        <v>0</v>
      </c>
      <c r="E826" s="4">
        <f>IF(OR(INDEX($P$2:$P$1001,MATCH(ROWS($O$2:O826),$O$2:$O$1001,0),1)&gt;=100000,INDEX($V$1005:$AE$1005,1,MATCH(COLUMNS($V$1006:Y1006),$V$1006:$AE$1006,0))&gt;=100000), " ",IF(INDEX($V$2:$AE$1001,MATCH(ROWS($O$2:O826),$O$2:$O$1001,0),MATCH(COLUMNS($V$1006:Y1006),$V$1006:$AE$1006,0)), HYPERLINK("#",""), HYPERLINK(CONCATENATE("#Metadata!", ADDRESS(INDEX($Q$2:$Q$1001,MATCH(ROWS($O$2:O826),$O$2:$O$1001,0),0), INDEX($V$1004:$AE$1004,1,MATCH(COLUMNS($V$1006:Y1006),$V$1006:$AE$1006,0)))),"Fix")))</f>
        <v>0</v>
      </c>
      <c r="F826" s="4">
        <f>IF(OR(INDEX($P$2:$P$1001,MATCH(ROWS($O$2:O826),$O$2:$O$1001,0),1)&gt;=100000,INDEX($V$1005:$AE$1005,1,MATCH(COLUMNS($V$1006:Z1006),$V$1006:$AE$1006,0))&gt;=100000), " ",IF(INDEX($V$2:$AE$1001,MATCH(ROWS($O$2:O826),$O$2:$O$1001,0),MATCH(COLUMNS($V$1006:Z1006),$V$1006:$AE$1006,0)), HYPERLINK("#",""), HYPERLINK(CONCATENATE("#Metadata!", ADDRESS(INDEX($Q$2:$Q$1001,MATCH(ROWS($O$2:O826),$O$2:$O$1001,0),0), INDEX($V$1004:$AE$1004,1,MATCH(COLUMNS($V$1006:Z1006),$V$1006:$AE$1006,0)))),"Fix")))</f>
        <v>0</v>
      </c>
      <c r="G826" s="4">
        <f>IF(OR(INDEX($P$2:$P$1001,MATCH(ROWS($O$2:O826),$O$2:$O$1001,0),1)&gt;=100000,INDEX($V$1005:$AE$1005,1,MATCH(COLUMNS($V$1006:AA1006),$V$1006:$AE$1006,0))&gt;=100000), " ",IF(INDEX($V$2:$AE$1001,MATCH(ROWS($O$2:O826),$O$2:$O$1001,0),MATCH(COLUMNS($V$1006:AA1006),$V$1006:$AE$1006,0)), HYPERLINK("#",""), HYPERLINK(CONCATENATE("#Metadata!", ADDRESS(INDEX($Q$2:$Q$1001,MATCH(ROWS($O$2:O826),$O$2:$O$1001,0),0), INDEX($V$1004:$AE$1004,1,MATCH(COLUMNS($V$1006:AA1006),$V$1006:$AE$1006,0)))),"Fix")))</f>
        <v>0</v>
      </c>
      <c r="H826" s="4">
        <f>IF(OR(INDEX($P$2:$P$1001,MATCH(ROWS($O$2:O826),$O$2:$O$1001,0),1)&gt;=100000,INDEX($V$1005:$AE$1005,1,MATCH(COLUMNS($V$1006:AB1006),$V$1006:$AE$1006,0))&gt;=100000), " ",IF(INDEX($V$2:$AE$1001,MATCH(ROWS($O$2:O826),$O$2:$O$1001,0),MATCH(COLUMNS($V$1006:AB1006),$V$1006:$AE$1006,0)), HYPERLINK("#",""), HYPERLINK(CONCATENATE("#Metadata!", ADDRESS(INDEX($Q$2:$Q$1001,MATCH(ROWS($O$2:O826),$O$2:$O$1001,0),0), INDEX($V$1004:$AE$1004,1,MATCH(COLUMNS($V$1006:AB1006),$V$1006:$AE$1006,0)))),"Fix")))</f>
        <v>0</v>
      </c>
      <c r="I826" s="4">
        <f>IF(OR(INDEX($P$2:$P$1001,MATCH(ROWS($O$2:O826),$O$2:$O$1001,0),1)&gt;=100000,INDEX($V$1005:$AE$1005,1,MATCH(COLUMNS($V$1006:AC1006),$V$1006:$AE$1006,0))&gt;=100000), " ",IF(INDEX($V$2:$AE$1001,MATCH(ROWS($O$2:O826),$O$2:$O$1001,0),MATCH(COLUMNS($V$1006:AC1006),$V$1006:$AE$1006,0)), HYPERLINK("#",""), HYPERLINK(CONCATENATE("#Metadata!", ADDRESS(INDEX($Q$2:$Q$1001,MATCH(ROWS($O$2:O826),$O$2:$O$1001,0),0), INDEX($V$1004:$AE$1004,1,MATCH(COLUMNS($V$1006:AC1006),$V$1006:$AE$1006,0)))),"Fix")))</f>
        <v>0</v>
      </c>
      <c r="J826" s="4">
        <f>IF(OR(INDEX($P$2:$P$1001,MATCH(ROWS($O$2:O826),$O$2:$O$1001,0),1)&gt;=100000,INDEX($V$1005:$AE$1005,1,MATCH(COLUMNS($V$1006:AD1006),$V$1006:$AE$1006,0))&gt;=100000), " ",IF(INDEX($V$2:$AE$1001,MATCH(ROWS($O$2:O826),$O$2:$O$1001,0),MATCH(COLUMNS($V$1006:AD1006),$V$1006:$AE$1006,0)), HYPERLINK("#",""), HYPERLINK(CONCATENATE("#Metadata!", ADDRESS(INDEX($Q$2:$Q$1001,MATCH(ROWS($O$2:O826),$O$2:$O$1001,0),0), INDEX($V$1004:$AE$1004,1,MATCH(COLUMNS($V$1006:AD1006),$V$1006:$AE$1006,0)))),"Fix")))</f>
        <v>0</v>
      </c>
      <c r="K826" s="4">
        <f>IF(OR(INDEX($P$2:$P$1001,MATCH(ROWS($O$2:O826),$O$2:$O$1001,0),1)&gt;=100000,INDEX($V$1005:$AE$1005,1,MATCH(COLUMNS($V$1006:AE1006),$V$1006:$AE$1006,0))&gt;=100000), " ",IF(INDEX($V$2:$AE$1001,MATCH(ROWS($O$2:O826),$O$2:$O$1001,0),MATCH(COLUMNS($V$1006:AE1006),$V$1006:$AE$1006,0)), HYPERLINK("#",""), HYPERLINK(CONCATENATE("#Metadata!", ADDRESS(INDEX($Q$2:$Q$1001,MATCH(ROWS($O$2:O826),$O$2:$O$1001,0),0), INDEX($V$1004:$AE$1004,1,MATCH(COLUMNS($V$1006:AE1006),$V$1006:$AE$1006,0)))),"Fix")))</f>
        <v>0</v>
      </c>
      <c r="O826">
        <v>0</v>
      </c>
      <c r="P826">
        <v>0</v>
      </c>
      <c r="Q826">
        <v>0</v>
      </c>
      <c r="R826">
        <f>IF(S826,TRUE,AND(V826:AE826))</f>
        <v>0</v>
      </c>
      <c r="S826">
        <f>COUNTBLANK(Metadata!B826:K826)=COLUMNS(Metadata!B826:K826)</f>
        <v>0</v>
      </c>
      <c r="T826">
        <v>0</v>
      </c>
      <c r="V826">
        <f>AND(IF(Metadata!B826="",FALSE,TRUE),COUNTIF(Metadata!B:B, Metadata!B826) = 1,NOT(ISERROR(SUMPRODUCT(SEARCH(MID(Metadata!B826,ROW(INDIRECT("1:"&amp;LEN(Metadata!B826))), 1),"0123456789abcdefghijklmnopqrstuvwxyzABCDEFGHIJKLMNOPQRSTUVWXYZ.")))))</f>
        <v>0</v>
      </c>
      <c r="W826">
        <f>AND(IF(Metadata!C826="",FALSE,TRUE),exact(Metadata!C826,"urban biome"))</f>
        <v>0</v>
      </c>
      <c r="X826">
        <f>AND(IF(Metadata!D826="",FALSE,TRUE),exact(Metadata!D826,"animal-associated habitat"))</f>
        <v>0</v>
      </c>
      <c r="Y826">
        <f>OR(AND(IF(Metadata!E826="",FALSE,TRUE),OR(exact(Metadata!E826,"not applicable"),exact(Metadata!E826,"missing: not collected"),exact(Metadata!E826,"missing: not provided"),exact(Metadata!E826,"missing: restricted access"))),AND(IF(Metadata!E826="",FALSE,ISNUMBER(VALUE(Metadata!E826))),Metadata!E826&gt;0))</f>
        <v>0</v>
      </c>
      <c r="Z826">
        <f>AND(IF(Metadata!F826="",FALSE,TRUE),exact(Metadata!F826,"weeks"))</f>
        <v>0</v>
      </c>
      <c r="AA826">
        <f>AND(IF(Metadata!G826="",FALSE,TRUE),exact(Metadata!G826,"mouse"))</f>
        <v>0</v>
      </c>
      <c r="AB826">
        <f>AND(IF(Metadata!H826="",FALSE,TRUE),exact(Metadata!H826,"Mus musculus"))</f>
        <v>0</v>
      </c>
      <c r="AC826">
        <f>AND(IF(Metadata!I826="",FALSE,TRUE),exact(Metadata!I826,"10090"))</f>
        <v>0</v>
      </c>
      <c r="AD826">
        <f>OR(AND(IF(Metadata!J826="",FALSE,TRUE),OR(exact(Metadata!J826,"not applicable"),exact(Metadata!J826,"missing: not collected"),exact(Metadata!J826,"missing: not provided"),exact(Metadata!J826,"missing: restricted access"))),AND(IF(Metadata!J826="",FALSE,ISNUMBER(VALUE(Metadata!J826))),Metadata!J826&gt;0))</f>
        <v>0</v>
      </c>
      <c r="AE826">
        <f>AND(IF(Metadata!K826="",FALSE,TRUE),exact(Metadata!K826,"g"))</f>
        <v>0</v>
      </c>
    </row>
    <row r="827" spans="1:31">
      <c r="A827" s="5">
        <f>IF(B827=" "," ",HYPERLINK(CONCATENATE("#metadata!",ADDRESS(INDEX($Q$2:$Q$1001,MATCH(ROWS($O$2:O827),$O$2:$O$1001,0),0),1)),INDEX($T$2:$T$1001,MATCH(ROWS($O$2:O827),$O$2:$O$1001,0),0)))</f>
        <v>0</v>
      </c>
      <c r="B827" s="4">
        <f>IF(OR(INDEX($P$2:$P$1001,MATCH(ROWS($O$2:O827),$O$2:$O$1001,0),1)&gt;=100000,INDEX($V$1005:$AE$1005,1,MATCH(COLUMNS($V$1006:V1006),$V$1006:$AE$1006,0))&gt;=100000), " ",IF(INDEX($V$2:$AE$1001,MATCH(ROWS($O$2:O827),$O$2:$O$1001,0),MATCH(COLUMNS($V$1006:V1006),$V$1006:$AE$1006,0)), HYPERLINK("#",""), HYPERLINK(CONCATENATE("#Metadata!", ADDRESS(INDEX($Q$2:$Q$1001,MATCH(ROWS($O$2:O827),$O$2:$O$1001,0),0), INDEX($V$1004:$AE$1004,1,MATCH(COLUMNS($V$1006:V1006),$V$1006:$AE$1006,0)))),"Fix")))</f>
        <v>0</v>
      </c>
      <c r="C827" s="4">
        <f>IF(OR(INDEX($P$2:$P$1001,MATCH(ROWS($O$2:O827),$O$2:$O$1001,0),1)&gt;=100000,INDEX($V$1005:$AE$1005,1,MATCH(COLUMNS($V$1006:W1006),$V$1006:$AE$1006,0))&gt;=100000), " ",IF(INDEX($V$2:$AE$1001,MATCH(ROWS($O$2:O827),$O$2:$O$1001,0),MATCH(COLUMNS($V$1006:W1006),$V$1006:$AE$1006,0)), HYPERLINK("#",""), HYPERLINK(CONCATENATE("#Metadata!", ADDRESS(INDEX($Q$2:$Q$1001,MATCH(ROWS($O$2:O827),$O$2:$O$1001,0),0), INDEX($V$1004:$AE$1004,1,MATCH(COLUMNS($V$1006:W1006),$V$1006:$AE$1006,0)))),"Fix")))</f>
        <v>0</v>
      </c>
      <c r="D827" s="4">
        <f>IF(OR(INDEX($P$2:$P$1001,MATCH(ROWS($O$2:O827),$O$2:$O$1001,0),1)&gt;=100000,INDEX($V$1005:$AE$1005,1,MATCH(COLUMNS($V$1006:X1006),$V$1006:$AE$1006,0))&gt;=100000), " ",IF(INDEX($V$2:$AE$1001,MATCH(ROWS($O$2:O827),$O$2:$O$1001,0),MATCH(COLUMNS($V$1006:X1006),$V$1006:$AE$1006,0)), HYPERLINK("#",""), HYPERLINK(CONCATENATE("#Metadata!", ADDRESS(INDEX($Q$2:$Q$1001,MATCH(ROWS($O$2:O827),$O$2:$O$1001,0),0), INDEX($V$1004:$AE$1004,1,MATCH(COLUMNS($V$1006:X1006),$V$1006:$AE$1006,0)))),"Fix")))</f>
        <v>0</v>
      </c>
      <c r="E827" s="4">
        <f>IF(OR(INDEX($P$2:$P$1001,MATCH(ROWS($O$2:O827),$O$2:$O$1001,0),1)&gt;=100000,INDEX($V$1005:$AE$1005,1,MATCH(COLUMNS($V$1006:Y1006),$V$1006:$AE$1006,0))&gt;=100000), " ",IF(INDEX($V$2:$AE$1001,MATCH(ROWS($O$2:O827),$O$2:$O$1001,0),MATCH(COLUMNS($V$1006:Y1006),$V$1006:$AE$1006,0)), HYPERLINK("#",""), HYPERLINK(CONCATENATE("#Metadata!", ADDRESS(INDEX($Q$2:$Q$1001,MATCH(ROWS($O$2:O827),$O$2:$O$1001,0),0), INDEX($V$1004:$AE$1004,1,MATCH(COLUMNS($V$1006:Y1006),$V$1006:$AE$1006,0)))),"Fix")))</f>
        <v>0</v>
      </c>
      <c r="F827" s="4">
        <f>IF(OR(INDEX($P$2:$P$1001,MATCH(ROWS($O$2:O827),$O$2:$O$1001,0),1)&gt;=100000,INDEX($V$1005:$AE$1005,1,MATCH(COLUMNS($V$1006:Z1006),$V$1006:$AE$1006,0))&gt;=100000), " ",IF(INDEX($V$2:$AE$1001,MATCH(ROWS($O$2:O827),$O$2:$O$1001,0),MATCH(COLUMNS($V$1006:Z1006),$V$1006:$AE$1006,0)), HYPERLINK("#",""), HYPERLINK(CONCATENATE("#Metadata!", ADDRESS(INDEX($Q$2:$Q$1001,MATCH(ROWS($O$2:O827),$O$2:$O$1001,0),0), INDEX($V$1004:$AE$1004,1,MATCH(COLUMNS($V$1006:Z1006),$V$1006:$AE$1006,0)))),"Fix")))</f>
        <v>0</v>
      </c>
      <c r="G827" s="4">
        <f>IF(OR(INDEX($P$2:$P$1001,MATCH(ROWS($O$2:O827),$O$2:$O$1001,0),1)&gt;=100000,INDEX($V$1005:$AE$1005,1,MATCH(COLUMNS($V$1006:AA1006),$V$1006:$AE$1006,0))&gt;=100000), " ",IF(INDEX($V$2:$AE$1001,MATCH(ROWS($O$2:O827),$O$2:$O$1001,0),MATCH(COLUMNS($V$1006:AA1006),$V$1006:$AE$1006,0)), HYPERLINK("#",""), HYPERLINK(CONCATENATE("#Metadata!", ADDRESS(INDEX($Q$2:$Q$1001,MATCH(ROWS($O$2:O827),$O$2:$O$1001,0),0), INDEX($V$1004:$AE$1004,1,MATCH(COLUMNS($V$1006:AA1006),$V$1006:$AE$1006,0)))),"Fix")))</f>
        <v>0</v>
      </c>
      <c r="H827" s="4">
        <f>IF(OR(INDEX($P$2:$P$1001,MATCH(ROWS($O$2:O827),$O$2:$O$1001,0),1)&gt;=100000,INDEX($V$1005:$AE$1005,1,MATCH(COLUMNS($V$1006:AB1006),$V$1006:$AE$1006,0))&gt;=100000), " ",IF(INDEX($V$2:$AE$1001,MATCH(ROWS($O$2:O827),$O$2:$O$1001,0),MATCH(COLUMNS($V$1006:AB1006),$V$1006:$AE$1006,0)), HYPERLINK("#",""), HYPERLINK(CONCATENATE("#Metadata!", ADDRESS(INDEX($Q$2:$Q$1001,MATCH(ROWS($O$2:O827),$O$2:$O$1001,0),0), INDEX($V$1004:$AE$1004,1,MATCH(COLUMNS($V$1006:AB1006),$V$1006:$AE$1006,0)))),"Fix")))</f>
        <v>0</v>
      </c>
      <c r="I827" s="4">
        <f>IF(OR(INDEX($P$2:$P$1001,MATCH(ROWS($O$2:O827),$O$2:$O$1001,0),1)&gt;=100000,INDEX($V$1005:$AE$1005,1,MATCH(COLUMNS($V$1006:AC1006),$V$1006:$AE$1006,0))&gt;=100000), " ",IF(INDEX($V$2:$AE$1001,MATCH(ROWS($O$2:O827),$O$2:$O$1001,0),MATCH(COLUMNS($V$1006:AC1006),$V$1006:$AE$1006,0)), HYPERLINK("#",""), HYPERLINK(CONCATENATE("#Metadata!", ADDRESS(INDEX($Q$2:$Q$1001,MATCH(ROWS($O$2:O827),$O$2:$O$1001,0),0), INDEX($V$1004:$AE$1004,1,MATCH(COLUMNS($V$1006:AC1006),$V$1006:$AE$1006,0)))),"Fix")))</f>
        <v>0</v>
      </c>
      <c r="J827" s="4">
        <f>IF(OR(INDEX($P$2:$P$1001,MATCH(ROWS($O$2:O827),$O$2:$O$1001,0),1)&gt;=100000,INDEX($V$1005:$AE$1005,1,MATCH(COLUMNS($V$1006:AD1006),$V$1006:$AE$1006,0))&gt;=100000), " ",IF(INDEX($V$2:$AE$1001,MATCH(ROWS($O$2:O827),$O$2:$O$1001,0),MATCH(COLUMNS($V$1006:AD1006),$V$1006:$AE$1006,0)), HYPERLINK("#",""), HYPERLINK(CONCATENATE("#Metadata!", ADDRESS(INDEX($Q$2:$Q$1001,MATCH(ROWS($O$2:O827),$O$2:$O$1001,0),0), INDEX($V$1004:$AE$1004,1,MATCH(COLUMNS($V$1006:AD1006),$V$1006:$AE$1006,0)))),"Fix")))</f>
        <v>0</v>
      </c>
      <c r="K827" s="4">
        <f>IF(OR(INDEX($P$2:$P$1001,MATCH(ROWS($O$2:O827),$O$2:$O$1001,0),1)&gt;=100000,INDEX($V$1005:$AE$1005,1,MATCH(COLUMNS($V$1006:AE1006),$V$1006:$AE$1006,0))&gt;=100000), " ",IF(INDEX($V$2:$AE$1001,MATCH(ROWS($O$2:O827),$O$2:$O$1001,0),MATCH(COLUMNS($V$1006:AE1006),$V$1006:$AE$1006,0)), HYPERLINK("#",""), HYPERLINK(CONCATENATE("#Metadata!", ADDRESS(INDEX($Q$2:$Q$1001,MATCH(ROWS($O$2:O827),$O$2:$O$1001,0),0), INDEX($V$1004:$AE$1004,1,MATCH(COLUMNS($V$1006:AE1006),$V$1006:$AE$1006,0)))),"Fix")))</f>
        <v>0</v>
      </c>
      <c r="O827">
        <v>0</v>
      </c>
      <c r="P827">
        <v>0</v>
      </c>
      <c r="Q827">
        <v>0</v>
      </c>
      <c r="R827">
        <f>IF(S827,TRUE,AND(V827:AE827))</f>
        <v>0</v>
      </c>
      <c r="S827">
        <f>COUNTBLANK(Metadata!B827:K827)=COLUMNS(Metadata!B827:K827)</f>
        <v>0</v>
      </c>
      <c r="T827">
        <v>0</v>
      </c>
      <c r="V827">
        <f>AND(IF(Metadata!B827="",FALSE,TRUE),COUNTIF(Metadata!B:B, Metadata!B827) = 1,NOT(ISERROR(SUMPRODUCT(SEARCH(MID(Metadata!B827,ROW(INDIRECT("1:"&amp;LEN(Metadata!B827))), 1),"0123456789abcdefghijklmnopqrstuvwxyzABCDEFGHIJKLMNOPQRSTUVWXYZ.")))))</f>
        <v>0</v>
      </c>
      <c r="W827">
        <f>AND(IF(Metadata!C827="",FALSE,TRUE),exact(Metadata!C827,"urban biome"))</f>
        <v>0</v>
      </c>
      <c r="X827">
        <f>AND(IF(Metadata!D827="",FALSE,TRUE),exact(Metadata!D827,"animal-associated habitat"))</f>
        <v>0</v>
      </c>
      <c r="Y827">
        <f>OR(AND(IF(Metadata!E827="",FALSE,TRUE),OR(exact(Metadata!E827,"not applicable"),exact(Metadata!E827,"missing: not collected"),exact(Metadata!E827,"missing: not provided"),exact(Metadata!E827,"missing: restricted access"))),AND(IF(Metadata!E827="",FALSE,ISNUMBER(VALUE(Metadata!E827))),Metadata!E827&gt;0))</f>
        <v>0</v>
      </c>
      <c r="Z827">
        <f>AND(IF(Metadata!F827="",FALSE,TRUE),exact(Metadata!F827,"weeks"))</f>
        <v>0</v>
      </c>
      <c r="AA827">
        <f>AND(IF(Metadata!G827="",FALSE,TRUE),exact(Metadata!G827,"mouse"))</f>
        <v>0</v>
      </c>
      <c r="AB827">
        <f>AND(IF(Metadata!H827="",FALSE,TRUE),exact(Metadata!H827,"Mus musculus"))</f>
        <v>0</v>
      </c>
      <c r="AC827">
        <f>AND(IF(Metadata!I827="",FALSE,TRUE),exact(Metadata!I827,"10090"))</f>
        <v>0</v>
      </c>
      <c r="AD827">
        <f>OR(AND(IF(Metadata!J827="",FALSE,TRUE),OR(exact(Metadata!J827,"not applicable"),exact(Metadata!J827,"missing: not collected"),exact(Metadata!J827,"missing: not provided"),exact(Metadata!J827,"missing: restricted access"))),AND(IF(Metadata!J827="",FALSE,ISNUMBER(VALUE(Metadata!J827))),Metadata!J827&gt;0))</f>
        <v>0</v>
      </c>
      <c r="AE827">
        <f>AND(IF(Metadata!K827="",FALSE,TRUE),exact(Metadata!K827,"g"))</f>
        <v>0</v>
      </c>
    </row>
    <row r="828" spans="1:31">
      <c r="A828" s="5">
        <f>IF(B828=" "," ",HYPERLINK(CONCATENATE("#metadata!",ADDRESS(INDEX($Q$2:$Q$1001,MATCH(ROWS($O$2:O828),$O$2:$O$1001,0),0),1)),INDEX($T$2:$T$1001,MATCH(ROWS($O$2:O828),$O$2:$O$1001,0),0)))</f>
        <v>0</v>
      </c>
      <c r="B828" s="4">
        <f>IF(OR(INDEX($P$2:$P$1001,MATCH(ROWS($O$2:O828),$O$2:$O$1001,0),1)&gt;=100000,INDEX($V$1005:$AE$1005,1,MATCH(COLUMNS($V$1006:V1006),$V$1006:$AE$1006,0))&gt;=100000), " ",IF(INDEX($V$2:$AE$1001,MATCH(ROWS($O$2:O828),$O$2:$O$1001,0),MATCH(COLUMNS($V$1006:V1006),$V$1006:$AE$1006,0)), HYPERLINK("#",""), HYPERLINK(CONCATENATE("#Metadata!", ADDRESS(INDEX($Q$2:$Q$1001,MATCH(ROWS($O$2:O828),$O$2:$O$1001,0),0), INDEX($V$1004:$AE$1004,1,MATCH(COLUMNS($V$1006:V1006),$V$1006:$AE$1006,0)))),"Fix")))</f>
        <v>0</v>
      </c>
      <c r="C828" s="4">
        <f>IF(OR(INDEX($P$2:$P$1001,MATCH(ROWS($O$2:O828),$O$2:$O$1001,0),1)&gt;=100000,INDEX($V$1005:$AE$1005,1,MATCH(COLUMNS($V$1006:W1006),$V$1006:$AE$1006,0))&gt;=100000), " ",IF(INDEX($V$2:$AE$1001,MATCH(ROWS($O$2:O828),$O$2:$O$1001,0),MATCH(COLUMNS($V$1006:W1006),$V$1006:$AE$1006,0)), HYPERLINK("#",""), HYPERLINK(CONCATENATE("#Metadata!", ADDRESS(INDEX($Q$2:$Q$1001,MATCH(ROWS($O$2:O828),$O$2:$O$1001,0),0), INDEX($V$1004:$AE$1004,1,MATCH(COLUMNS($V$1006:W1006),$V$1006:$AE$1006,0)))),"Fix")))</f>
        <v>0</v>
      </c>
      <c r="D828" s="4">
        <f>IF(OR(INDEX($P$2:$P$1001,MATCH(ROWS($O$2:O828),$O$2:$O$1001,0),1)&gt;=100000,INDEX($V$1005:$AE$1005,1,MATCH(COLUMNS($V$1006:X1006),$V$1006:$AE$1006,0))&gt;=100000), " ",IF(INDEX($V$2:$AE$1001,MATCH(ROWS($O$2:O828),$O$2:$O$1001,0),MATCH(COLUMNS($V$1006:X1006),$V$1006:$AE$1006,0)), HYPERLINK("#",""), HYPERLINK(CONCATENATE("#Metadata!", ADDRESS(INDEX($Q$2:$Q$1001,MATCH(ROWS($O$2:O828),$O$2:$O$1001,0),0), INDEX($V$1004:$AE$1004,1,MATCH(COLUMNS($V$1006:X1006),$V$1006:$AE$1006,0)))),"Fix")))</f>
        <v>0</v>
      </c>
      <c r="E828" s="4">
        <f>IF(OR(INDEX($P$2:$P$1001,MATCH(ROWS($O$2:O828),$O$2:$O$1001,0),1)&gt;=100000,INDEX($V$1005:$AE$1005,1,MATCH(COLUMNS($V$1006:Y1006),$V$1006:$AE$1006,0))&gt;=100000), " ",IF(INDEX($V$2:$AE$1001,MATCH(ROWS($O$2:O828),$O$2:$O$1001,0),MATCH(COLUMNS($V$1006:Y1006),$V$1006:$AE$1006,0)), HYPERLINK("#",""), HYPERLINK(CONCATENATE("#Metadata!", ADDRESS(INDEX($Q$2:$Q$1001,MATCH(ROWS($O$2:O828),$O$2:$O$1001,0),0), INDEX($V$1004:$AE$1004,1,MATCH(COLUMNS($V$1006:Y1006),$V$1006:$AE$1006,0)))),"Fix")))</f>
        <v>0</v>
      </c>
      <c r="F828" s="4">
        <f>IF(OR(INDEX($P$2:$P$1001,MATCH(ROWS($O$2:O828),$O$2:$O$1001,0),1)&gt;=100000,INDEX($V$1005:$AE$1005,1,MATCH(COLUMNS($V$1006:Z1006),$V$1006:$AE$1006,0))&gt;=100000), " ",IF(INDEX($V$2:$AE$1001,MATCH(ROWS($O$2:O828),$O$2:$O$1001,0),MATCH(COLUMNS($V$1006:Z1006),$V$1006:$AE$1006,0)), HYPERLINK("#",""), HYPERLINK(CONCATENATE("#Metadata!", ADDRESS(INDEX($Q$2:$Q$1001,MATCH(ROWS($O$2:O828),$O$2:$O$1001,0),0), INDEX($V$1004:$AE$1004,1,MATCH(COLUMNS($V$1006:Z1006),$V$1006:$AE$1006,0)))),"Fix")))</f>
        <v>0</v>
      </c>
      <c r="G828" s="4">
        <f>IF(OR(INDEX($P$2:$P$1001,MATCH(ROWS($O$2:O828),$O$2:$O$1001,0),1)&gt;=100000,INDEX($V$1005:$AE$1005,1,MATCH(COLUMNS($V$1006:AA1006),$V$1006:$AE$1006,0))&gt;=100000), " ",IF(INDEX($V$2:$AE$1001,MATCH(ROWS($O$2:O828),$O$2:$O$1001,0),MATCH(COLUMNS($V$1006:AA1006),$V$1006:$AE$1006,0)), HYPERLINK("#",""), HYPERLINK(CONCATENATE("#Metadata!", ADDRESS(INDEX($Q$2:$Q$1001,MATCH(ROWS($O$2:O828),$O$2:$O$1001,0),0), INDEX($V$1004:$AE$1004,1,MATCH(COLUMNS($V$1006:AA1006),$V$1006:$AE$1006,0)))),"Fix")))</f>
        <v>0</v>
      </c>
      <c r="H828" s="4">
        <f>IF(OR(INDEX($P$2:$P$1001,MATCH(ROWS($O$2:O828),$O$2:$O$1001,0),1)&gt;=100000,INDEX($V$1005:$AE$1005,1,MATCH(COLUMNS($V$1006:AB1006),$V$1006:$AE$1006,0))&gt;=100000), " ",IF(INDEX($V$2:$AE$1001,MATCH(ROWS($O$2:O828),$O$2:$O$1001,0),MATCH(COLUMNS($V$1006:AB1006),$V$1006:$AE$1006,0)), HYPERLINK("#",""), HYPERLINK(CONCATENATE("#Metadata!", ADDRESS(INDEX($Q$2:$Q$1001,MATCH(ROWS($O$2:O828),$O$2:$O$1001,0),0), INDEX($V$1004:$AE$1004,1,MATCH(COLUMNS($V$1006:AB1006),$V$1006:$AE$1006,0)))),"Fix")))</f>
        <v>0</v>
      </c>
      <c r="I828" s="4">
        <f>IF(OR(INDEX($P$2:$P$1001,MATCH(ROWS($O$2:O828),$O$2:$O$1001,0),1)&gt;=100000,INDEX($V$1005:$AE$1005,1,MATCH(COLUMNS($V$1006:AC1006),$V$1006:$AE$1006,0))&gt;=100000), " ",IF(INDEX($V$2:$AE$1001,MATCH(ROWS($O$2:O828),$O$2:$O$1001,0),MATCH(COLUMNS($V$1006:AC1006),$V$1006:$AE$1006,0)), HYPERLINK("#",""), HYPERLINK(CONCATENATE("#Metadata!", ADDRESS(INDEX($Q$2:$Q$1001,MATCH(ROWS($O$2:O828),$O$2:$O$1001,0),0), INDEX($V$1004:$AE$1004,1,MATCH(COLUMNS($V$1006:AC1006),$V$1006:$AE$1006,0)))),"Fix")))</f>
        <v>0</v>
      </c>
      <c r="J828" s="4">
        <f>IF(OR(INDEX($P$2:$P$1001,MATCH(ROWS($O$2:O828),$O$2:$O$1001,0),1)&gt;=100000,INDEX($V$1005:$AE$1005,1,MATCH(COLUMNS($V$1006:AD1006),$V$1006:$AE$1006,0))&gt;=100000), " ",IF(INDEX($V$2:$AE$1001,MATCH(ROWS($O$2:O828),$O$2:$O$1001,0),MATCH(COLUMNS($V$1006:AD1006),$V$1006:$AE$1006,0)), HYPERLINK("#",""), HYPERLINK(CONCATENATE("#Metadata!", ADDRESS(INDEX($Q$2:$Q$1001,MATCH(ROWS($O$2:O828),$O$2:$O$1001,0),0), INDEX($V$1004:$AE$1004,1,MATCH(COLUMNS($V$1006:AD1006),$V$1006:$AE$1006,0)))),"Fix")))</f>
        <v>0</v>
      </c>
      <c r="K828" s="4">
        <f>IF(OR(INDEX($P$2:$P$1001,MATCH(ROWS($O$2:O828),$O$2:$O$1001,0),1)&gt;=100000,INDEX($V$1005:$AE$1005,1,MATCH(COLUMNS($V$1006:AE1006),$V$1006:$AE$1006,0))&gt;=100000), " ",IF(INDEX($V$2:$AE$1001,MATCH(ROWS($O$2:O828),$O$2:$O$1001,0),MATCH(COLUMNS($V$1006:AE1006),$V$1006:$AE$1006,0)), HYPERLINK("#",""), HYPERLINK(CONCATENATE("#Metadata!", ADDRESS(INDEX($Q$2:$Q$1001,MATCH(ROWS($O$2:O828),$O$2:$O$1001,0),0), INDEX($V$1004:$AE$1004,1,MATCH(COLUMNS($V$1006:AE1006),$V$1006:$AE$1006,0)))),"Fix")))</f>
        <v>0</v>
      </c>
      <c r="O828">
        <v>0</v>
      </c>
      <c r="P828">
        <v>0</v>
      </c>
      <c r="Q828">
        <v>0</v>
      </c>
      <c r="R828">
        <f>IF(S828,TRUE,AND(V828:AE828))</f>
        <v>0</v>
      </c>
      <c r="S828">
        <f>COUNTBLANK(Metadata!B828:K828)=COLUMNS(Metadata!B828:K828)</f>
        <v>0</v>
      </c>
      <c r="T828">
        <v>0</v>
      </c>
      <c r="V828">
        <f>AND(IF(Metadata!B828="",FALSE,TRUE),COUNTIF(Metadata!B:B, Metadata!B828) = 1,NOT(ISERROR(SUMPRODUCT(SEARCH(MID(Metadata!B828,ROW(INDIRECT("1:"&amp;LEN(Metadata!B828))), 1),"0123456789abcdefghijklmnopqrstuvwxyzABCDEFGHIJKLMNOPQRSTUVWXYZ.")))))</f>
        <v>0</v>
      </c>
      <c r="W828">
        <f>AND(IF(Metadata!C828="",FALSE,TRUE),exact(Metadata!C828,"urban biome"))</f>
        <v>0</v>
      </c>
      <c r="X828">
        <f>AND(IF(Metadata!D828="",FALSE,TRUE),exact(Metadata!D828,"animal-associated habitat"))</f>
        <v>0</v>
      </c>
      <c r="Y828">
        <f>OR(AND(IF(Metadata!E828="",FALSE,TRUE),OR(exact(Metadata!E828,"not applicable"),exact(Metadata!E828,"missing: not collected"),exact(Metadata!E828,"missing: not provided"),exact(Metadata!E828,"missing: restricted access"))),AND(IF(Metadata!E828="",FALSE,ISNUMBER(VALUE(Metadata!E828))),Metadata!E828&gt;0))</f>
        <v>0</v>
      </c>
      <c r="Z828">
        <f>AND(IF(Metadata!F828="",FALSE,TRUE),exact(Metadata!F828,"weeks"))</f>
        <v>0</v>
      </c>
      <c r="AA828">
        <f>AND(IF(Metadata!G828="",FALSE,TRUE),exact(Metadata!G828,"mouse"))</f>
        <v>0</v>
      </c>
      <c r="AB828">
        <f>AND(IF(Metadata!H828="",FALSE,TRUE),exact(Metadata!H828,"Mus musculus"))</f>
        <v>0</v>
      </c>
      <c r="AC828">
        <f>AND(IF(Metadata!I828="",FALSE,TRUE),exact(Metadata!I828,"10090"))</f>
        <v>0</v>
      </c>
      <c r="AD828">
        <f>OR(AND(IF(Metadata!J828="",FALSE,TRUE),OR(exact(Metadata!J828,"not applicable"),exact(Metadata!J828,"missing: not collected"),exact(Metadata!J828,"missing: not provided"),exact(Metadata!J828,"missing: restricted access"))),AND(IF(Metadata!J828="",FALSE,ISNUMBER(VALUE(Metadata!J828))),Metadata!J828&gt;0))</f>
        <v>0</v>
      </c>
      <c r="AE828">
        <f>AND(IF(Metadata!K828="",FALSE,TRUE),exact(Metadata!K828,"g"))</f>
        <v>0</v>
      </c>
    </row>
    <row r="829" spans="1:31">
      <c r="A829" s="5">
        <f>IF(B829=" "," ",HYPERLINK(CONCATENATE("#metadata!",ADDRESS(INDEX($Q$2:$Q$1001,MATCH(ROWS($O$2:O829),$O$2:$O$1001,0),0),1)),INDEX($T$2:$T$1001,MATCH(ROWS($O$2:O829),$O$2:$O$1001,0),0)))</f>
        <v>0</v>
      </c>
      <c r="B829" s="4">
        <f>IF(OR(INDEX($P$2:$P$1001,MATCH(ROWS($O$2:O829),$O$2:$O$1001,0),1)&gt;=100000,INDEX($V$1005:$AE$1005,1,MATCH(COLUMNS($V$1006:V1006),$V$1006:$AE$1006,0))&gt;=100000), " ",IF(INDEX($V$2:$AE$1001,MATCH(ROWS($O$2:O829),$O$2:$O$1001,0),MATCH(COLUMNS($V$1006:V1006),$V$1006:$AE$1006,0)), HYPERLINK("#",""), HYPERLINK(CONCATENATE("#Metadata!", ADDRESS(INDEX($Q$2:$Q$1001,MATCH(ROWS($O$2:O829),$O$2:$O$1001,0),0), INDEX($V$1004:$AE$1004,1,MATCH(COLUMNS($V$1006:V1006),$V$1006:$AE$1006,0)))),"Fix")))</f>
        <v>0</v>
      </c>
      <c r="C829" s="4">
        <f>IF(OR(INDEX($P$2:$P$1001,MATCH(ROWS($O$2:O829),$O$2:$O$1001,0),1)&gt;=100000,INDEX($V$1005:$AE$1005,1,MATCH(COLUMNS($V$1006:W1006),$V$1006:$AE$1006,0))&gt;=100000), " ",IF(INDEX($V$2:$AE$1001,MATCH(ROWS($O$2:O829),$O$2:$O$1001,0),MATCH(COLUMNS($V$1006:W1006),$V$1006:$AE$1006,0)), HYPERLINK("#",""), HYPERLINK(CONCATENATE("#Metadata!", ADDRESS(INDEX($Q$2:$Q$1001,MATCH(ROWS($O$2:O829),$O$2:$O$1001,0),0), INDEX($V$1004:$AE$1004,1,MATCH(COLUMNS($V$1006:W1006),$V$1006:$AE$1006,0)))),"Fix")))</f>
        <v>0</v>
      </c>
      <c r="D829" s="4">
        <f>IF(OR(INDEX($P$2:$P$1001,MATCH(ROWS($O$2:O829),$O$2:$O$1001,0),1)&gt;=100000,INDEX($V$1005:$AE$1005,1,MATCH(COLUMNS($V$1006:X1006),$V$1006:$AE$1006,0))&gt;=100000), " ",IF(INDEX($V$2:$AE$1001,MATCH(ROWS($O$2:O829),$O$2:$O$1001,0),MATCH(COLUMNS($V$1006:X1006),$V$1006:$AE$1006,0)), HYPERLINK("#",""), HYPERLINK(CONCATENATE("#Metadata!", ADDRESS(INDEX($Q$2:$Q$1001,MATCH(ROWS($O$2:O829),$O$2:$O$1001,0),0), INDEX($V$1004:$AE$1004,1,MATCH(COLUMNS($V$1006:X1006),$V$1006:$AE$1006,0)))),"Fix")))</f>
        <v>0</v>
      </c>
      <c r="E829" s="4">
        <f>IF(OR(INDEX($P$2:$P$1001,MATCH(ROWS($O$2:O829),$O$2:$O$1001,0),1)&gt;=100000,INDEX($V$1005:$AE$1005,1,MATCH(COLUMNS($V$1006:Y1006),$V$1006:$AE$1006,0))&gt;=100000), " ",IF(INDEX($V$2:$AE$1001,MATCH(ROWS($O$2:O829),$O$2:$O$1001,0),MATCH(COLUMNS($V$1006:Y1006),$V$1006:$AE$1006,0)), HYPERLINK("#",""), HYPERLINK(CONCATENATE("#Metadata!", ADDRESS(INDEX($Q$2:$Q$1001,MATCH(ROWS($O$2:O829),$O$2:$O$1001,0),0), INDEX($V$1004:$AE$1004,1,MATCH(COLUMNS($V$1006:Y1006),$V$1006:$AE$1006,0)))),"Fix")))</f>
        <v>0</v>
      </c>
      <c r="F829" s="4">
        <f>IF(OR(INDEX($P$2:$P$1001,MATCH(ROWS($O$2:O829),$O$2:$O$1001,0),1)&gt;=100000,INDEX($V$1005:$AE$1005,1,MATCH(COLUMNS($V$1006:Z1006),$V$1006:$AE$1006,0))&gt;=100000), " ",IF(INDEX($V$2:$AE$1001,MATCH(ROWS($O$2:O829),$O$2:$O$1001,0),MATCH(COLUMNS($V$1006:Z1006),$V$1006:$AE$1006,0)), HYPERLINK("#",""), HYPERLINK(CONCATENATE("#Metadata!", ADDRESS(INDEX($Q$2:$Q$1001,MATCH(ROWS($O$2:O829),$O$2:$O$1001,0),0), INDEX($V$1004:$AE$1004,1,MATCH(COLUMNS($V$1006:Z1006),$V$1006:$AE$1006,0)))),"Fix")))</f>
        <v>0</v>
      </c>
      <c r="G829" s="4">
        <f>IF(OR(INDEX($P$2:$P$1001,MATCH(ROWS($O$2:O829),$O$2:$O$1001,0),1)&gt;=100000,INDEX($V$1005:$AE$1005,1,MATCH(COLUMNS($V$1006:AA1006),$V$1006:$AE$1006,0))&gt;=100000), " ",IF(INDEX($V$2:$AE$1001,MATCH(ROWS($O$2:O829),$O$2:$O$1001,0),MATCH(COLUMNS($V$1006:AA1006),$V$1006:$AE$1006,0)), HYPERLINK("#",""), HYPERLINK(CONCATENATE("#Metadata!", ADDRESS(INDEX($Q$2:$Q$1001,MATCH(ROWS($O$2:O829),$O$2:$O$1001,0),0), INDEX($V$1004:$AE$1004,1,MATCH(COLUMNS($V$1006:AA1006),$V$1006:$AE$1006,0)))),"Fix")))</f>
        <v>0</v>
      </c>
      <c r="H829" s="4">
        <f>IF(OR(INDEX($P$2:$P$1001,MATCH(ROWS($O$2:O829),$O$2:$O$1001,0),1)&gt;=100000,INDEX($V$1005:$AE$1005,1,MATCH(COLUMNS($V$1006:AB1006),$V$1006:$AE$1006,0))&gt;=100000), " ",IF(INDEX($V$2:$AE$1001,MATCH(ROWS($O$2:O829),$O$2:$O$1001,0),MATCH(COLUMNS($V$1006:AB1006),$V$1006:$AE$1006,0)), HYPERLINK("#",""), HYPERLINK(CONCATENATE("#Metadata!", ADDRESS(INDEX($Q$2:$Q$1001,MATCH(ROWS($O$2:O829),$O$2:$O$1001,0),0), INDEX($V$1004:$AE$1004,1,MATCH(COLUMNS($V$1006:AB1006),$V$1006:$AE$1006,0)))),"Fix")))</f>
        <v>0</v>
      </c>
      <c r="I829" s="4">
        <f>IF(OR(INDEX($P$2:$P$1001,MATCH(ROWS($O$2:O829),$O$2:$O$1001,0),1)&gt;=100000,INDEX($V$1005:$AE$1005,1,MATCH(COLUMNS($V$1006:AC1006),$V$1006:$AE$1006,0))&gt;=100000), " ",IF(INDEX($V$2:$AE$1001,MATCH(ROWS($O$2:O829),$O$2:$O$1001,0),MATCH(COLUMNS($V$1006:AC1006),$V$1006:$AE$1006,0)), HYPERLINK("#",""), HYPERLINK(CONCATENATE("#Metadata!", ADDRESS(INDEX($Q$2:$Q$1001,MATCH(ROWS($O$2:O829),$O$2:$O$1001,0),0), INDEX($V$1004:$AE$1004,1,MATCH(COLUMNS($V$1006:AC1006),$V$1006:$AE$1006,0)))),"Fix")))</f>
        <v>0</v>
      </c>
      <c r="J829" s="4">
        <f>IF(OR(INDEX($P$2:$P$1001,MATCH(ROWS($O$2:O829),$O$2:$O$1001,0),1)&gt;=100000,INDEX($V$1005:$AE$1005,1,MATCH(COLUMNS($V$1006:AD1006),$V$1006:$AE$1006,0))&gt;=100000), " ",IF(INDEX($V$2:$AE$1001,MATCH(ROWS($O$2:O829),$O$2:$O$1001,0),MATCH(COLUMNS($V$1006:AD1006),$V$1006:$AE$1006,0)), HYPERLINK("#",""), HYPERLINK(CONCATENATE("#Metadata!", ADDRESS(INDEX($Q$2:$Q$1001,MATCH(ROWS($O$2:O829),$O$2:$O$1001,0),0), INDEX($V$1004:$AE$1004,1,MATCH(COLUMNS($V$1006:AD1006),$V$1006:$AE$1006,0)))),"Fix")))</f>
        <v>0</v>
      </c>
      <c r="K829" s="4">
        <f>IF(OR(INDEX($P$2:$P$1001,MATCH(ROWS($O$2:O829),$O$2:$O$1001,0),1)&gt;=100000,INDEX($V$1005:$AE$1005,1,MATCH(COLUMNS($V$1006:AE1006),$V$1006:$AE$1006,0))&gt;=100000), " ",IF(INDEX($V$2:$AE$1001,MATCH(ROWS($O$2:O829),$O$2:$O$1001,0),MATCH(COLUMNS($V$1006:AE1006),$V$1006:$AE$1006,0)), HYPERLINK("#",""), HYPERLINK(CONCATENATE("#Metadata!", ADDRESS(INDEX($Q$2:$Q$1001,MATCH(ROWS($O$2:O829),$O$2:$O$1001,0),0), INDEX($V$1004:$AE$1004,1,MATCH(COLUMNS($V$1006:AE1006),$V$1006:$AE$1006,0)))),"Fix")))</f>
        <v>0</v>
      </c>
      <c r="O829">
        <v>0</v>
      </c>
      <c r="P829">
        <v>0</v>
      </c>
      <c r="Q829">
        <v>0</v>
      </c>
      <c r="R829">
        <f>IF(S829,TRUE,AND(V829:AE829))</f>
        <v>0</v>
      </c>
      <c r="S829">
        <f>COUNTBLANK(Metadata!B829:K829)=COLUMNS(Metadata!B829:K829)</f>
        <v>0</v>
      </c>
      <c r="T829">
        <v>0</v>
      </c>
      <c r="V829">
        <f>AND(IF(Metadata!B829="",FALSE,TRUE),COUNTIF(Metadata!B:B, Metadata!B829) = 1,NOT(ISERROR(SUMPRODUCT(SEARCH(MID(Metadata!B829,ROW(INDIRECT("1:"&amp;LEN(Metadata!B829))), 1),"0123456789abcdefghijklmnopqrstuvwxyzABCDEFGHIJKLMNOPQRSTUVWXYZ.")))))</f>
        <v>0</v>
      </c>
      <c r="W829">
        <f>AND(IF(Metadata!C829="",FALSE,TRUE),exact(Metadata!C829,"urban biome"))</f>
        <v>0</v>
      </c>
      <c r="X829">
        <f>AND(IF(Metadata!D829="",FALSE,TRUE),exact(Metadata!D829,"animal-associated habitat"))</f>
        <v>0</v>
      </c>
      <c r="Y829">
        <f>OR(AND(IF(Metadata!E829="",FALSE,TRUE),OR(exact(Metadata!E829,"not applicable"),exact(Metadata!E829,"missing: not collected"),exact(Metadata!E829,"missing: not provided"),exact(Metadata!E829,"missing: restricted access"))),AND(IF(Metadata!E829="",FALSE,ISNUMBER(VALUE(Metadata!E829))),Metadata!E829&gt;0))</f>
        <v>0</v>
      </c>
      <c r="Z829">
        <f>AND(IF(Metadata!F829="",FALSE,TRUE),exact(Metadata!F829,"weeks"))</f>
        <v>0</v>
      </c>
      <c r="AA829">
        <f>AND(IF(Metadata!G829="",FALSE,TRUE),exact(Metadata!G829,"mouse"))</f>
        <v>0</v>
      </c>
      <c r="AB829">
        <f>AND(IF(Metadata!H829="",FALSE,TRUE),exact(Metadata!H829,"Mus musculus"))</f>
        <v>0</v>
      </c>
      <c r="AC829">
        <f>AND(IF(Metadata!I829="",FALSE,TRUE),exact(Metadata!I829,"10090"))</f>
        <v>0</v>
      </c>
      <c r="AD829">
        <f>OR(AND(IF(Metadata!J829="",FALSE,TRUE),OR(exact(Metadata!J829,"not applicable"),exact(Metadata!J829,"missing: not collected"),exact(Metadata!J829,"missing: not provided"),exact(Metadata!J829,"missing: restricted access"))),AND(IF(Metadata!J829="",FALSE,ISNUMBER(VALUE(Metadata!J829))),Metadata!J829&gt;0))</f>
        <v>0</v>
      </c>
      <c r="AE829">
        <f>AND(IF(Metadata!K829="",FALSE,TRUE),exact(Metadata!K829,"g"))</f>
        <v>0</v>
      </c>
    </row>
    <row r="830" spans="1:31">
      <c r="A830" s="5">
        <f>IF(B830=" "," ",HYPERLINK(CONCATENATE("#metadata!",ADDRESS(INDEX($Q$2:$Q$1001,MATCH(ROWS($O$2:O830),$O$2:$O$1001,0),0),1)),INDEX($T$2:$T$1001,MATCH(ROWS($O$2:O830),$O$2:$O$1001,0),0)))</f>
        <v>0</v>
      </c>
      <c r="B830" s="4">
        <f>IF(OR(INDEX($P$2:$P$1001,MATCH(ROWS($O$2:O830),$O$2:$O$1001,0),1)&gt;=100000,INDEX($V$1005:$AE$1005,1,MATCH(COLUMNS($V$1006:V1006),$V$1006:$AE$1006,0))&gt;=100000), " ",IF(INDEX($V$2:$AE$1001,MATCH(ROWS($O$2:O830),$O$2:$O$1001,0),MATCH(COLUMNS($V$1006:V1006),$V$1006:$AE$1006,0)), HYPERLINK("#",""), HYPERLINK(CONCATENATE("#Metadata!", ADDRESS(INDEX($Q$2:$Q$1001,MATCH(ROWS($O$2:O830),$O$2:$O$1001,0),0), INDEX($V$1004:$AE$1004,1,MATCH(COLUMNS($V$1006:V1006),$V$1006:$AE$1006,0)))),"Fix")))</f>
        <v>0</v>
      </c>
      <c r="C830" s="4">
        <f>IF(OR(INDEX($P$2:$P$1001,MATCH(ROWS($O$2:O830),$O$2:$O$1001,0),1)&gt;=100000,INDEX($V$1005:$AE$1005,1,MATCH(COLUMNS($V$1006:W1006),$V$1006:$AE$1006,0))&gt;=100000), " ",IF(INDEX($V$2:$AE$1001,MATCH(ROWS($O$2:O830),$O$2:$O$1001,0),MATCH(COLUMNS($V$1006:W1006),$V$1006:$AE$1006,0)), HYPERLINK("#",""), HYPERLINK(CONCATENATE("#Metadata!", ADDRESS(INDEX($Q$2:$Q$1001,MATCH(ROWS($O$2:O830),$O$2:$O$1001,0),0), INDEX($V$1004:$AE$1004,1,MATCH(COLUMNS($V$1006:W1006),$V$1006:$AE$1006,0)))),"Fix")))</f>
        <v>0</v>
      </c>
      <c r="D830" s="4">
        <f>IF(OR(INDEX($P$2:$P$1001,MATCH(ROWS($O$2:O830),$O$2:$O$1001,0),1)&gt;=100000,INDEX($V$1005:$AE$1005,1,MATCH(COLUMNS($V$1006:X1006),$V$1006:$AE$1006,0))&gt;=100000), " ",IF(INDEX($V$2:$AE$1001,MATCH(ROWS($O$2:O830),$O$2:$O$1001,0),MATCH(COLUMNS($V$1006:X1006),$V$1006:$AE$1006,0)), HYPERLINK("#",""), HYPERLINK(CONCATENATE("#Metadata!", ADDRESS(INDEX($Q$2:$Q$1001,MATCH(ROWS($O$2:O830),$O$2:$O$1001,0),0), INDEX($V$1004:$AE$1004,1,MATCH(COLUMNS($V$1006:X1006),$V$1006:$AE$1006,0)))),"Fix")))</f>
        <v>0</v>
      </c>
      <c r="E830" s="4">
        <f>IF(OR(INDEX($P$2:$P$1001,MATCH(ROWS($O$2:O830),$O$2:$O$1001,0),1)&gt;=100000,INDEX($V$1005:$AE$1005,1,MATCH(COLUMNS($V$1006:Y1006),$V$1006:$AE$1006,0))&gt;=100000), " ",IF(INDEX($V$2:$AE$1001,MATCH(ROWS($O$2:O830),$O$2:$O$1001,0),MATCH(COLUMNS($V$1006:Y1006),$V$1006:$AE$1006,0)), HYPERLINK("#",""), HYPERLINK(CONCATENATE("#Metadata!", ADDRESS(INDEX($Q$2:$Q$1001,MATCH(ROWS($O$2:O830),$O$2:$O$1001,0),0), INDEX($V$1004:$AE$1004,1,MATCH(COLUMNS($V$1006:Y1006),$V$1006:$AE$1006,0)))),"Fix")))</f>
        <v>0</v>
      </c>
      <c r="F830" s="4">
        <f>IF(OR(INDEX($P$2:$P$1001,MATCH(ROWS($O$2:O830),$O$2:$O$1001,0),1)&gt;=100000,INDEX($V$1005:$AE$1005,1,MATCH(COLUMNS($V$1006:Z1006),$V$1006:$AE$1006,0))&gt;=100000), " ",IF(INDEX($V$2:$AE$1001,MATCH(ROWS($O$2:O830),$O$2:$O$1001,0),MATCH(COLUMNS($V$1006:Z1006),$V$1006:$AE$1006,0)), HYPERLINK("#",""), HYPERLINK(CONCATENATE("#Metadata!", ADDRESS(INDEX($Q$2:$Q$1001,MATCH(ROWS($O$2:O830),$O$2:$O$1001,0),0), INDEX($V$1004:$AE$1004,1,MATCH(COLUMNS($V$1006:Z1006),$V$1006:$AE$1006,0)))),"Fix")))</f>
        <v>0</v>
      </c>
      <c r="G830" s="4">
        <f>IF(OR(INDEX($P$2:$P$1001,MATCH(ROWS($O$2:O830),$O$2:$O$1001,0),1)&gt;=100000,INDEX($V$1005:$AE$1005,1,MATCH(COLUMNS($V$1006:AA1006),$V$1006:$AE$1006,0))&gt;=100000), " ",IF(INDEX($V$2:$AE$1001,MATCH(ROWS($O$2:O830),$O$2:$O$1001,0),MATCH(COLUMNS($V$1006:AA1006),$V$1006:$AE$1006,0)), HYPERLINK("#",""), HYPERLINK(CONCATENATE("#Metadata!", ADDRESS(INDEX($Q$2:$Q$1001,MATCH(ROWS($O$2:O830),$O$2:$O$1001,0),0), INDEX($V$1004:$AE$1004,1,MATCH(COLUMNS($V$1006:AA1006),$V$1006:$AE$1006,0)))),"Fix")))</f>
        <v>0</v>
      </c>
      <c r="H830" s="4">
        <f>IF(OR(INDEX($P$2:$P$1001,MATCH(ROWS($O$2:O830),$O$2:$O$1001,0),1)&gt;=100000,INDEX($V$1005:$AE$1005,1,MATCH(COLUMNS($V$1006:AB1006),$V$1006:$AE$1006,0))&gt;=100000), " ",IF(INDEX($V$2:$AE$1001,MATCH(ROWS($O$2:O830),$O$2:$O$1001,0),MATCH(COLUMNS($V$1006:AB1006),$V$1006:$AE$1006,0)), HYPERLINK("#",""), HYPERLINK(CONCATENATE("#Metadata!", ADDRESS(INDEX($Q$2:$Q$1001,MATCH(ROWS($O$2:O830),$O$2:$O$1001,0),0), INDEX($V$1004:$AE$1004,1,MATCH(COLUMNS($V$1006:AB1006),$V$1006:$AE$1006,0)))),"Fix")))</f>
        <v>0</v>
      </c>
      <c r="I830" s="4">
        <f>IF(OR(INDEX($P$2:$P$1001,MATCH(ROWS($O$2:O830),$O$2:$O$1001,0),1)&gt;=100000,INDEX($V$1005:$AE$1005,1,MATCH(COLUMNS($V$1006:AC1006),$V$1006:$AE$1006,0))&gt;=100000), " ",IF(INDEX($V$2:$AE$1001,MATCH(ROWS($O$2:O830),$O$2:$O$1001,0),MATCH(COLUMNS($V$1006:AC1006),$V$1006:$AE$1006,0)), HYPERLINK("#",""), HYPERLINK(CONCATENATE("#Metadata!", ADDRESS(INDEX($Q$2:$Q$1001,MATCH(ROWS($O$2:O830),$O$2:$O$1001,0),0), INDEX($V$1004:$AE$1004,1,MATCH(COLUMNS($V$1006:AC1006),$V$1006:$AE$1006,0)))),"Fix")))</f>
        <v>0</v>
      </c>
      <c r="J830" s="4">
        <f>IF(OR(INDEX($P$2:$P$1001,MATCH(ROWS($O$2:O830),$O$2:$O$1001,0),1)&gt;=100000,INDEX($V$1005:$AE$1005,1,MATCH(COLUMNS($V$1006:AD1006),$V$1006:$AE$1006,0))&gt;=100000), " ",IF(INDEX($V$2:$AE$1001,MATCH(ROWS($O$2:O830),$O$2:$O$1001,0),MATCH(COLUMNS($V$1006:AD1006),$V$1006:$AE$1006,0)), HYPERLINK("#",""), HYPERLINK(CONCATENATE("#Metadata!", ADDRESS(INDEX($Q$2:$Q$1001,MATCH(ROWS($O$2:O830),$O$2:$O$1001,0),0), INDEX($V$1004:$AE$1004,1,MATCH(COLUMNS($V$1006:AD1006),$V$1006:$AE$1006,0)))),"Fix")))</f>
        <v>0</v>
      </c>
      <c r="K830" s="4">
        <f>IF(OR(INDEX($P$2:$P$1001,MATCH(ROWS($O$2:O830),$O$2:$O$1001,0),1)&gt;=100000,INDEX($V$1005:$AE$1005,1,MATCH(COLUMNS($V$1006:AE1006),$V$1006:$AE$1006,0))&gt;=100000), " ",IF(INDEX($V$2:$AE$1001,MATCH(ROWS($O$2:O830),$O$2:$O$1001,0),MATCH(COLUMNS($V$1006:AE1006),$V$1006:$AE$1006,0)), HYPERLINK("#",""), HYPERLINK(CONCATENATE("#Metadata!", ADDRESS(INDEX($Q$2:$Q$1001,MATCH(ROWS($O$2:O830),$O$2:$O$1001,0),0), INDEX($V$1004:$AE$1004,1,MATCH(COLUMNS($V$1006:AE1006),$V$1006:$AE$1006,0)))),"Fix")))</f>
        <v>0</v>
      </c>
      <c r="O830">
        <v>0</v>
      </c>
      <c r="P830">
        <v>0</v>
      </c>
      <c r="Q830">
        <v>0</v>
      </c>
      <c r="R830">
        <f>IF(S830,TRUE,AND(V830:AE830))</f>
        <v>0</v>
      </c>
      <c r="S830">
        <f>COUNTBLANK(Metadata!B830:K830)=COLUMNS(Metadata!B830:K830)</f>
        <v>0</v>
      </c>
      <c r="T830">
        <v>0</v>
      </c>
      <c r="V830">
        <f>AND(IF(Metadata!B830="",FALSE,TRUE),COUNTIF(Metadata!B:B, Metadata!B830) = 1,NOT(ISERROR(SUMPRODUCT(SEARCH(MID(Metadata!B830,ROW(INDIRECT("1:"&amp;LEN(Metadata!B830))), 1),"0123456789abcdefghijklmnopqrstuvwxyzABCDEFGHIJKLMNOPQRSTUVWXYZ.")))))</f>
        <v>0</v>
      </c>
      <c r="W830">
        <f>AND(IF(Metadata!C830="",FALSE,TRUE),exact(Metadata!C830,"urban biome"))</f>
        <v>0</v>
      </c>
      <c r="X830">
        <f>AND(IF(Metadata!D830="",FALSE,TRUE),exact(Metadata!D830,"animal-associated habitat"))</f>
        <v>0</v>
      </c>
      <c r="Y830">
        <f>OR(AND(IF(Metadata!E830="",FALSE,TRUE),OR(exact(Metadata!E830,"not applicable"),exact(Metadata!E830,"missing: not collected"),exact(Metadata!E830,"missing: not provided"),exact(Metadata!E830,"missing: restricted access"))),AND(IF(Metadata!E830="",FALSE,ISNUMBER(VALUE(Metadata!E830))),Metadata!E830&gt;0))</f>
        <v>0</v>
      </c>
      <c r="Z830">
        <f>AND(IF(Metadata!F830="",FALSE,TRUE),exact(Metadata!F830,"weeks"))</f>
        <v>0</v>
      </c>
      <c r="AA830">
        <f>AND(IF(Metadata!G830="",FALSE,TRUE),exact(Metadata!G830,"mouse"))</f>
        <v>0</v>
      </c>
      <c r="AB830">
        <f>AND(IF(Metadata!H830="",FALSE,TRUE),exact(Metadata!H830,"Mus musculus"))</f>
        <v>0</v>
      </c>
      <c r="AC830">
        <f>AND(IF(Metadata!I830="",FALSE,TRUE),exact(Metadata!I830,"10090"))</f>
        <v>0</v>
      </c>
      <c r="AD830">
        <f>OR(AND(IF(Metadata!J830="",FALSE,TRUE),OR(exact(Metadata!J830,"not applicable"),exact(Metadata!J830,"missing: not collected"),exact(Metadata!J830,"missing: not provided"),exact(Metadata!J830,"missing: restricted access"))),AND(IF(Metadata!J830="",FALSE,ISNUMBER(VALUE(Metadata!J830))),Metadata!J830&gt;0))</f>
        <v>0</v>
      </c>
      <c r="AE830">
        <f>AND(IF(Metadata!K830="",FALSE,TRUE),exact(Metadata!K830,"g"))</f>
        <v>0</v>
      </c>
    </row>
    <row r="831" spans="1:31">
      <c r="A831" s="5">
        <f>IF(B831=" "," ",HYPERLINK(CONCATENATE("#metadata!",ADDRESS(INDEX($Q$2:$Q$1001,MATCH(ROWS($O$2:O831),$O$2:$O$1001,0),0),1)),INDEX($T$2:$T$1001,MATCH(ROWS($O$2:O831),$O$2:$O$1001,0),0)))</f>
        <v>0</v>
      </c>
      <c r="B831" s="4">
        <f>IF(OR(INDEX($P$2:$P$1001,MATCH(ROWS($O$2:O831),$O$2:$O$1001,0),1)&gt;=100000,INDEX($V$1005:$AE$1005,1,MATCH(COLUMNS($V$1006:V1006),$V$1006:$AE$1006,0))&gt;=100000), " ",IF(INDEX($V$2:$AE$1001,MATCH(ROWS($O$2:O831),$O$2:$O$1001,0),MATCH(COLUMNS($V$1006:V1006),$V$1006:$AE$1006,0)), HYPERLINK("#",""), HYPERLINK(CONCATENATE("#Metadata!", ADDRESS(INDEX($Q$2:$Q$1001,MATCH(ROWS($O$2:O831),$O$2:$O$1001,0),0), INDEX($V$1004:$AE$1004,1,MATCH(COLUMNS($V$1006:V1006),$V$1006:$AE$1006,0)))),"Fix")))</f>
        <v>0</v>
      </c>
      <c r="C831" s="4">
        <f>IF(OR(INDEX($P$2:$P$1001,MATCH(ROWS($O$2:O831),$O$2:$O$1001,0),1)&gt;=100000,INDEX($V$1005:$AE$1005,1,MATCH(COLUMNS($V$1006:W1006),$V$1006:$AE$1006,0))&gt;=100000), " ",IF(INDEX($V$2:$AE$1001,MATCH(ROWS($O$2:O831),$O$2:$O$1001,0),MATCH(COLUMNS($V$1006:W1006),$V$1006:$AE$1006,0)), HYPERLINK("#",""), HYPERLINK(CONCATENATE("#Metadata!", ADDRESS(INDEX($Q$2:$Q$1001,MATCH(ROWS($O$2:O831),$O$2:$O$1001,0),0), INDEX($V$1004:$AE$1004,1,MATCH(COLUMNS($V$1006:W1006),$V$1006:$AE$1006,0)))),"Fix")))</f>
        <v>0</v>
      </c>
      <c r="D831" s="4">
        <f>IF(OR(INDEX($P$2:$P$1001,MATCH(ROWS($O$2:O831),$O$2:$O$1001,0),1)&gt;=100000,INDEX($V$1005:$AE$1005,1,MATCH(COLUMNS($V$1006:X1006),$V$1006:$AE$1006,0))&gt;=100000), " ",IF(INDEX($V$2:$AE$1001,MATCH(ROWS($O$2:O831),$O$2:$O$1001,0),MATCH(COLUMNS($V$1006:X1006),$V$1006:$AE$1006,0)), HYPERLINK("#",""), HYPERLINK(CONCATENATE("#Metadata!", ADDRESS(INDEX($Q$2:$Q$1001,MATCH(ROWS($O$2:O831),$O$2:$O$1001,0),0), INDEX($V$1004:$AE$1004,1,MATCH(COLUMNS($V$1006:X1006),$V$1006:$AE$1006,0)))),"Fix")))</f>
        <v>0</v>
      </c>
      <c r="E831" s="4">
        <f>IF(OR(INDEX($P$2:$P$1001,MATCH(ROWS($O$2:O831),$O$2:$O$1001,0),1)&gt;=100000,INDEX($V$1005:$AE$1005,1,MATCH(COLUMNS($V$1006:Y1006),$V$1006:$AE$1006,0))&gt;=100000), " ",IF(INDEX($V$2:$AE$1001,MATCH(ROWS($O$2:O831),$O$2:$O$1001,0),MATCH(COLUMNS($V$1006:Y1006),$V$1006:$AE$1006,0)), HYPERLINK("#",""), HYPERLINK(CONCATENATE("#Metadata!", ADDRESS(INDEX($Q$2:$Q$1001,MATCH(ROWS($O$2:O831),$O$2:$O$1001,0),0), INDEX($V$1004:$AE$1004,1,MATCH(COLUMNS($V$1006:Y1006),$V$1006:$AE$1006,0)))),"Fix")))</f>
        <v>0</v>
      </c>
      <c r="F831" s="4">
        <f>IF(OR(INDEX($P$2:$P$1001,MATCH(ROWS($O$2:O831),$O$2:$O$1001,0),1)&gt;=100000,INDEX($V$1005:$AE$1005,1,MATCH(COLUMNS($V$1006:Z1006),$V$1006:$AE$1006,0))&gt;=100000), " ",IF(INDEX($V$2:$AE$1001,MATCH(ROWS($O$2:O831),$O$2:$O$1001,0),MATCH(COLUMNS($V$1006:Z1006),$V$1006:$AE$1006,0)), HYPERLINK("#",""), HYPERLINK(CONCATENATE("#Metadata!", ADDRESS(INDEX($Q$2:$Q$1001,MATCH(ROWS($O$2:O831),$O$2:$O$1001,0),0), INDEX($V$1004:$AE$1004,1,MATCH(COLUMNS($V$1006:Z1006),$V$1006:$AE$1006,0)))),"Fix")))</f>
        <v>0</v>
      </c>
      <c r="G831" s="4">
        <f>IF(OR(INDEX($P$2:$P$1001,MATCH(ROWS($O$2:O831),$O$2:$O$1001,0),1)&gt;=100000,INDEX($V$1005:$AE$1005,1,MATCH(COLUMNS($V$1006:AA1006),$V$1006:$AE$1006,0))&gt;=100000), " ",IF(INDEX($V$2:$AE$1001,MATCH(ROWS($O$2:O831),$O$2:$O$1001,0),MATCH(COLUMNS($V$1006:AA1006),$V$1006:$AE$1006,0)), HYPERLINK("#",""), HYPERLINK(CONCATENATE("#Metadata!", ADDRESS(INDEX($Q$2:$Q$1001,MATCH(ROWS($O$2:O831),$O$2:$O$1001,0),0), INDEX($V$1004:$AE$1004,1,MATCH(COLUMNS($V$1006:AA1006),$V$1006:$AE$1006,0)))),"Fix")))</f>
        <v>0</v>
      </c>
      <c r="H831" s="4">
        <f>IF(OR(INDEX($P$2:$P$1001,MATCH(ROWS($O$2:O831),$O$2:$O$1001,0),1)&gt;=100000,INDEX($V$1005:$AE$1005,1,MATCH(COLUMNS($V$1006:AB1006),$V$1006:$AE$1006,0))&gt;=100000), " ",IF(INDEX($V$2:$AE$1001,MATCH(ROWS($O$2:O831),$O$2:$O$1001,0),MATCH(COLUMNS($V$1006:AB1006),$V$1006:$AE$1006,0)), HYPERLINK("#",""), HYPERLINK(CONCATENATE("#Metadata!", ADDRESS(INDEX($Q$2:$Q$1001,MATCH(ROWS($O$2:O831),$O$2:$O$1001,0),0), INDEX($V$1004:$AE$1004,1,MATCH(COLUMNS($V$1006:AB1006),$V$1006:$AE$1006,0)))),"Fix")))</f>
        <v>0</v>
      </c>
      <c r="I831" s="4">
        <f>IF(OR(INDEX($P$2:$P$1001,MATCH(ROWS($O$2:O831),$O$2:$O$1001,0),1)&gt;=100000,INDEX($V$1005:$AE$1005,1,MATCH(COLUMNS($V$1006:AC1006),$V$1006:$AE$1006,0))&gt;=100000), " ",IF(INDEX($V$2:$AE$1001,MATCH(ROWS($O$2:O831),$O$2:$O$1001,0),MATCH(COLUMNS($V$1006:AC1006),$V$1006:$AE$1006,0)), HYPERLINK("#",""), HYPERLINK(CONCATENATE("#Metadata!", ADDRESS(INDEX($Q$2:$Q$1001,MATCH(ROWS($O$2:O831),$O$2:$O$1001,0),0), INDEX($V$1004:$AE$1004,1,MATCH(COLUMNS($V$1006:AC1006),$V$1006:$AE$1006,0)))),"Fix")))</f>
        <v>0</v>
      </c>
      <c r="J831" s="4">
        <f>IF(OR(INDEX($P$2:$P$1001,MATCH(ROWS($O$2:O831),$O$2:$O$1001,0),1)&gt;=100000,INDEX($V$1005:$AE$1005,1,MATCH(COLUMNS($V$1006:AD1006),$V$1006:$AE$1006,0))&gt;=100000), " ",IF(INDEX($V$2:$AE$1001,MATCH(ROWS($O$2:O831),$O$2:$O$1001,0),MATCH(COLUMNS($V$1006:AD1006),$V$1006:$AE$1006,0)), HYPERLINK("#",""), HYPERLINK(CONCATENATE("#Metadata!", ADDRESS(INDEX($Q$2:$Q$1001,MATCH(ROWS($O$2:O831),$O$2:$O$1001,0),0), INDEX($V$1004:$AE$1004,1,MATCH(COLUMNS($V$1006:AD1006),$V$1006:$AE$1006,0)))),"Fix")))</f>
        <v>0</v>
      </c>
      <c r="K831" s="4">
        <f>IF(OR(INDEX($P$2:$P$1001,MATCH(ROWS($O$2:O831),$O$2:$O$1001,0),1)&gt;=100000,INDEX($V$1005:$AE$1005,1,MATCH(COLUMNS($V$1006:AE1006),$V$1006:$AE$1006,0))&gt;=100000), " ",IF(INDEX($V$2:$AE$1001,MATCH(ROWS($O$2:O831),$O$2:$O$1001,0),MATCH(COLUMNS($V$1006:AE1006),$V$1006:$AE$1006,0)), HYPERLINK("#",""), HYPERLINK(CONCATENATE("#Metadata!", ADDRESS(INDEX($Q$2:$Q$1001,MATCH(ROWS($O$2:O831),$O$2:$O$1001,0),0), INDEX($V$1004:$AE$1004,1,MATCH(COLUMNS($V$1006:AE1006),$V$1006:$AE$1006,0)))),"Fix")))</f>
        <v>0</v>
      </c>
      <c r="O831">
        <v>0</v>
      </c>
      <c r="P831">
        <v>0</v>
      </c>
      <c r="Q831">
        <v>0</v>
      </c>
      <c r="R831">
        <f>IF(S831,TRUE,AND(V831:AE831))</f>
        <v>0</v>
      </c>
      <c r="S831">
        <f>COUNTBLANK(Metadata!B831:K831)=COLUMNS(Metadata!B831:K831)</f>
        <v>0</v>
      </c>
      <c r="T831">
        <v>0</v>
      </c>
      <c r="V831">
        <f>AND(IF(Metadata!B831="",FALSE,TRUE),COUNTIF(Metadata!B:B, Metadata!B831) = 1,NOT(ISERROR(SUMPRODUCT(SEARCH(MID(Metadata!B831,ROW(INDIRECT("1:"&amp;LEN(Metadata!B831))), 1),"0123456789abcdefghijklmnopqrstuvwxyzABCDEFGHIJKLMNOPQRSTUVWXYZ.")))))</f>
        <v>0</v>
      </c>
      <c r="W831">
        <f>AND(IF(Metadata!C831="",FALSE,TRUE),exact(Metadata!C831,"urban biome"))</f>
        <v>0</v>
      </c>
      <c r="X831">
        <f>AND(IF(Metadata!D831="",FALSE,TRUE),exact(Metadata!D831,"animal-associated habitat"))</f>
        <v>0</v>
      </c>
      <c r="Y831">
        <f>OR(AND(IF(Metadata!E831="",FALSE,TRUE),OR(exact(Metadata!E831,"not applicable"),exact(Metadata!E831,"missing: not collected"),exact(Metadata!E831,"missing: not provided"),exact(Metadata!E831,"missing: restricted access"))),AND(IF(Metadata!E831="",FALSE,ISNUMBER(VALUE(Metadata!E831))),Metadata!E831&gt;0))</f>
        <v>0</v>
      </c>
      <c r="Z831">
        <f>AND(IF(Metadata!F831="",FALSE,TRUE),exact(Metadata!F831,"weeks"))</f>
        <v>0</v>
      </c>
      <c r="AA831">
        <f>AND(IF(Metadata!G831="",FALSE,TRUE),exact(Metadata!G831,"mouse"))</f>
        <v>0</v>
      </c>
      <c r="AB831">
        <f>AND(IF(Metadata!H831="",FALSE,TRUE),exact(Metadata!H831,"Mus musculus"))</f>
        <v>0</v>
      </c>
      <c r="AC831">
        <f>AND(IF(Metadata!I831="",FALSE,TRUE),exact(Metadata!I831,"10090"))</f>
        <v>0</v>
      </c>
      <c r="AD831">
        <f>OR(AND(IF(Metadata!J831="",FALSE,TRUE),OR(exact(Metadata!J831,"not applicable"),exact(Metadata!J831,"missing: not collected"),exact(Metadata!J831,"missing: not provided"),exact(Metadata!J831,"missing: restricted access"))),AND(IF(Metadata!J831="",FALSE,ISNUMBER(VALUE(Metadata!J831))),Metadata!J831&gt;0))</f>
        <v>0</v>
      </c>
      <c r="AE831">
        <f>AND(IF(Metadata!K831="",FALSE,TRUE),exact(Metadata!K831,"g"))</f>
        <v>0</v>
      </c>
    </row>
    <row r="832" spans="1:31">
      <c r="A832" s="5">
        <f>IF(B832=" "," ",HYPERLINK(CONCATENATE("#metadata!",ADDRESS(INDEX($Q$2:$Q$1001,MATCH(ROWS($O$2:O832),$O$2:$O$1001,0),0),1)),INDEX($T$2:$T$1001,MATCH(ROWS($O$2:O832),$O$2:$O$1001,0),0)))</f>
        <v>0</v>
      </c>
      <c r="B832" s="4">
        <f>IF(OR(INDEX($P$2:$P$1001,MATCH(ROWS($O$2:O832),$O$2:$O$1001,0),1)&gt;=100000,INDEX($V$1005:$AE$1005,1,MATCH(COLUMNS($V$1006:V1006),$V$1006:$AE$1006,0))&gt;=100000), " ",IF(INDEX($V$2:$AE$1001,MATCH(ROWS($O$2:O832),$O$2:$O$1001,0),MATCH(COLUMNS($V$1006:V1006),$V$1006:$AE$1006,0)), HYPERLINK("#",""), HYPERLINK(CONCATENATE("#Metadata!", ADDRESS(INDEX($Q$2:$Q$1001,MATCH(ROWS($O$2:O832),$O$2:$O$1001,0),0), INDEX($V$1004:$AE$1004,1,MATCH(COLUMNS($V$1006:V1006),$V$1006:$AE$1006,0)))),"Fix")))</f>
        <v>0</v>
      </c>
      <c r="C832" s="4">
        <f>IF(OR(INDEX($P$2:$P$1001,MATCH(ROWS($O$2:O832),$O$2:$O$1001,0),1)&gt;=100000,INDEX($V$1005:$AE$1005,1,MATCH(COLUMNS($V$1006:W1006),$V$1006:$AE$1006,0))&gt;=100000), " ",IF(INDEX($V$2:$AE$1001,MATCH(ROWS($O$2:O832),$O$2:$O$1001,0),MATCH(COLUMNS($V$1006:W1006),$V$1006:$AE$1006,0)), HYPERLINK("#",""), HYPERLINK(CONCATENATE("#Metadata!", ADDRESS(INDEX($Q$2:$Q$1001,MATCH(ROWS($O$2:O832),$O$2:$O$1001,0),0), INDEX($V$1004:$AE$1004,1,MATCH(COLUMNS($V$1006:W1006),$V$1006:$AE$1006,0)))),"Fix")))</f>
        <v>0</v>
      </c>
      <c r="D832" s="4">
        <f>IF(OR(INDEX($P$2:$P$1001,MATCH(ROWS($O$2:O832),$O$2:$O$1001,0),1)&gt;=100000,INDEX($V$1005:$AE$1005,1,MATCH(COLUMNS($V$1006:X1006),$V$1006:$AE$1006,0))&gt;=100000), " ",IF(INDEX($V$2:$AE$1001,MATCH(ROWS($O$2:O832),$O$2:$O$1001,0),MATCH(COLUMNS($V$1006:X1006),$V$1006:$AE$1006,0)), HYPERLINK("#",""), HYPERLINK(CONCATENATE("#Metadata!", ADDRESS(INDEX($Q$2:$Q$1001,MATCH(ROWS($O$2:O832),$O$2:$O$1001,0),0), INDEX($V$1004:$AE$1004,1,MATCH(COLUMNS($V$1006:X1006),$V$1006:$AE$1006,0)))),"Fix")))</f>
        <v>0</v>
      </c>
      <c r="E832" s="4">
        <f>IF(OR(INDEX($P$2:$P$1001,MATCH(ROWS($O$2:O832),$O$2:$O$1001,0),1)&gt;=100000,INDEX($V$1005:$AE$1005,1,MATCH(COLUMNS($V$1006:Y1006),$V$1006:$AE$1006,0))&gt;=100000), " ",IF(INDEX($V$2:$AE$1001,MATCH(ROWS($O$2:O832),$O$2:$O$1001,0),MATCH(COLUMNS($V$1006:Y1006),$V$1006:$AE$1006,0)), HYPERLINK("#",""), HYPERLINK(CONCATENATE("#Metadata!", ADDRESS(INDEX($Q$2:$Q$1001,MATCH(ROWS($O$2:O832),$O$2:$O$1001,0),0), INDEX($V$1004:$AE$1004,1,MATCH(COLUMNS($V$1006:Y1006),$V$1006:$AE$1006,0)))),"Fix")))</f>
        <v>0</v>
      </c>
      <c r="F832" s="4">
        <f>IF(OR(INDEX($P$2:$P$1001,MATCH(ROWS($O$2:O832),$O$2:$O$1001,0),1)&gt;=100000,INDEX($V$1005:$AE$1005,1,MATCH(COLUMNS($V$1006:Z1006),$V$1006:$AE$1006,0))&gt;=100000), " ",IF(INDEX($V$2:$AE$1001,MATCH(ROWS($O$2:O832),$O$2:$O$1001,0),MATCH(COLUMNS($V$1006:Z1006),$V$1006:$AE$1006,0)), HYPERLINK("#",""), HYPERLINK(CONCATENATE("#Metadata!", ADDRESS(INDEX($Q$2:$Q$1001,MATCH(ROWS($O$2:O832),$O$2:$O$1001,0),0), INDEX($V$1004:$AE$1004,1,MATCH(COLUMNS($V$1006:Z1006),$V$1006:$AE$1006,0)))),"Fix")))</f>
        <v>0</v>
      </c>
      <c r="G832" s="4">
        <f>IF(OR(INDEX($P$2:$P$1001,MATCH(ROWS($O$2:O832),$O$2:$O$1001,0),1)&gt;=100000,INDEX($V$1005:$AE$1005,1,MATCH(COLUMNS($V$1006:AA1006),$V$1006:$AE$1006,0))&gt;=100000), " ",IF(INDEX($V$2:$AE$1001,MATCH(ROWS($O$2:O832),$O$2:$O$1001,0),MATCH(COLUMNS($V$1006:AA1006),$V$1006:$AE$1006,0)), HYPERLINK("#",""), HYPERLINK(CONCATENATE("#Metadata!", ADDRESS(INDEX($Q$2:$Q$1001,MATCH(ROWS($O$2:O832),$O$2:$O$1001,0),0), INDEX($V$1004:$AE$1004,1,MATCH(COLUMNS($V$1006:AA1006),$V$1006:$AE$1006,0)))),"Fix")))</f>
        <v>0</v>
      </c>
      <c r="H832" s="4">
        <f>IF(OR(INDEX($P$2:$P$1001,MATCH(ROWS($O$2:O832),$O$2:$O$1001,0),1)&gt;=100000,INDEX($V$1005:$AE$1005,1,MATCH(COLUMNS($V$1006:AB1006),$V$1006:$AE$1006,0))&gt;=100000), " ",IF(INDEX($V$2:$AE$1001,MATCH(ROWS($O$2:O832),$O$2:$O$1001,0),MATCH(COLUMNS($V$1006:AB1006),$V$1006:$AE$1006,0)), HYPERLINK("#",""), HYPERLINK(CONCATENATE("#Metadata!", ADDRESS(INDEX($Q$2:$Q$1001,MATCH(ROWS($O$2:O832),$O$2:$O$1001,0),0), INDEX($V$1004:$AE$1004,1,MATCH(COLUMNS($V$1006:AB1006),$V$1006:$AE$1006,0)))),"Fix")))</f>
        <v>0</v>
      </c>
      <c r="I832" s="4">
        <f>IF(OR(INDEX($P$2:$P$1001,MATCH(ROWS($O$2:O832),$O$2:$O$1001,0),1)&gt;=100000,INDEX($V$1005:$AE$1005,1,MATCH(COLUMNS($V$1006:AC1006),$V$1006:$AE$1006,0))&gt;=100000), " ",IF(INDEX($V$2:$AE$1001,MATCH(ROWS($O$2:O832),$O$2:$O$1001,0),MATCH(COLUMNS($V$1006:AC1006),$V$1006:$AE$1006,0)), HYPERLINK("#",""), HYPERLINK(CONCATENATE("#Metadata!", ADDRESS(INDEX($Q$2:$Q$1001,MATCH(ROWS($O$2:O832),$O$2:$O$1001,0),0), INDEX($V$1004:$AE$1004,1,MATCH(COLUMNS($V$1006:AC1006),$V$1006:$AE$1006,0)))),"Fix")))</f>
        <v>0</v>
      </c>
      <c r="J832" s="4">
        <f>IF(OR(INDEX($P$2:$P$1001,MATCH(ROWS($O$2:O832),$O$2:$O$1001,0),1)&gt;=100000,INDEX($V$1005:$AE$1005,1,MATCH(COLUMNS($V$1006:AD1006),$V$1006:$AE$1006,0))&gt;=100000), " ",IF(INDEX($V$2:$AE$1001,MATCH(ROWS($O$2:O832),$O$2:$O$1001,0),MATCH(COLUMNS($V$1006:AD1006),$V$1006:$AE$1006,0)), HYPERLINK("#",""), HYPERLINK(CONCATENATE("#Metadata!", ADDRESS(INDEX($Q$2:$Q$1001,MATCH(ROWS($O$2:O832),$O$2:$O$1001,0),0), INDEX($V$1004:$AE$1004,1,MATCH(COLUMNS($V$1006:AD1006),$V$1006:$AE$1006,0)))),"Fix")))</f>
        <v>0</v>
      </c>
      <c r="K832" s="4">
        <f>IF(OR(INDEX($P$2:$P$1001,MATCH(ROWS($O$2:O832),$O$2:$O$1001,0),1)&gt;=100000,INDEX($V$1005:$AE$1005,1,MATCH(COLUMNS($V$1006:AE1006),$V$1006:$AE$1006,0))&gt;=100000), " ",IF(INDEX($V$2:$AE$1001,MATCH(ROWS($O$2:O832),$O$2:$O$1001,0),MATCH(COLUMNS($V$1006:AE1006),$V$1006:$AE$1006,0)), HYPERLINK("#",""), HYPERLINK(CONCATENATE("#Metadata!", ADDRESS(INDEX($Q$2:$Q$1001,MATCH(ROWS($O$2:O832),$O$2:$O$1001,0),0), INDEX($V$1004:$AE$1004,1,MATCH(COLUMNS($V$1006:AE1006),$V$1006:$AE$1006,0)))),"Fix")))</f>
        <v>0</v>
      </c>
      <c r="O832">
        <v>0</v>
      </c>
      <c r="P832">
        <v>0</v>
      </c>
      <c r="Q832">
        <v>0</v>
      </c>
      <c r="R832">
        <f>IF(S832,TRUE,AND(V832:AE832))</f>
        <v>0</v>
      </c>
      <c r="S832">
        <f>COUNTBLANK(Metadata!B832:K832)=COLUMNS(Metadata!B832:K832)</f>
        <v>0</v>
      </c>
      <c r="T832">
        <v>0</v>
      </c>
      <c r="V832">
        <f>AND(IF(Metadata!B832="",FALSE,TRUE),COUNTIF(Metadata!B:B, Metadata!B832) = 1,NOT(ISERROR(SUMPRODUCT(SEARCH(MID(Metadata!B832,ROW(INDIRECT("1:"&amp;LEN(Metadata!B832))), 1),"0123456789abcdefghijklmnopqrstuvwxyzABCDEFGHIJKLMNOPQRSTUVWXYZ.")))))</f>
        <v>0</v>
      </c>
      <c r="W832">
        <f>AND(IF(Metadata!C832="",FALSE,TRUE),exact(Metadata!C832,"urban biome"))</f>
        <v>0</v>
      </c>
      <c r="X832">
        <f>AND(IF(Metadata!D832="",FALSE,TRUE),exact(Metadata!D832,"animal-associated habitat"))</f>
        <v>0</v>
      </c>
      <c r="Y832">
        <f>OR(AND(IF(Metadata!E832="",FALSE,TRUE),OR(exact(Metadata!E832,"not applicable"),exact(Metadata!E832,"missing: not collected"),exact(Metadata!E832,"missing: not provided"),exact(Metadata!E832,"missing: restricted access"))),AND(IF(Metadata!E832="",FALSE,ISNUMBER(VALUE(Metadata!E832))),Metadata!E832&gt;0))</f>
        <v>0</v>
      </c>
      <c r="Z832">
        <f>AND(IF(Metadata!F832="",FALSE,TRUE),exact(Metadata!F832,"weeks"))</f>
        <v>0</v>
      </c>
      <c r="AA832">
        <f>AND(IF(Metadata!G832="",FALSE,TRUE),exact(Metadata!G832,"mouse"))</f>
        <v>0</v>
      </c>
      <c r="AB832">
        <f>AND(IF(Metadata!H832="",FALSE,TRUE),exact(Metadata!H832,"Mus musculus"))</f>
        <v>0</v>
      </c>
      <c r="AC832">
        <f>AND(IF(Metadata!I832="",FALSE,TRUE),exact(Metadata!I832,"10090"))</f>
        <v>0</v>
      </c>
      <c r="AD832">
        <f>OR(AND(IF(Metadata!J832="",FALSE,TRUE),OR(exact(Metadata!J832,"not applicable"),exact(Metadata!J832,"missing: not collected"),exact(Metadata!J832,"missing: not provided"),exact(Metadata!J832,"missing: restricted access"))),AND(IF(Metadata!J832="",FALSE,ISNUMBER(VALUE(Metadata!J832))),Metadata!J832&gt;0))</f>
        <v>0</v>
      </c>
      <c r="AE832">
        <f>AND(IF(Metadata!K832="",FALSE,TRUE),exact(Metadata!K832,"g"))</f>
        <v>0</v>
      </c>
    </row>
    <row r="833" spans="1:31">
      <c r="A833" s="5">
        <f>IF(B833=" "," ",HYPERLINK(CONCATENATE("#metadata!",ADDRESS(INDEX($Q$2:$Q$1001,MATCH(ROWS($O$2:O833),$O$2:$O$1001,0),0),1)),INDEX($T$2:$T$1001,MATCH(ROWS($O$2:O833),$O$2:$O$1001,0),0)))</f>
        <v>0</v>
      </c>
      <c r="B833" s="4">
        <f>IF(OR(INDEX($P$2:$P$1001,MATCH(ROWS($O$2:O833),$O$2:$O$1001,0),1)&gt;=100000,INDEX($V$1005:$AE$1005,1,MATCH(COLUMNS($V$1006:V1006),$V$1006:$AE$1006,0))&gt;=100000), " ",IF(INDEX($V$2:$AE$1001,MATCH(ROWS($O$2:O833),$O$2:$O$1001,0),MATCH(COLUMNS($V$1006:V1006),$V$1006:$AE$1006,0)), HYPERLINK("#",""), HYPERLINK(CONCATENATE("#Metadata!", ADDRESS(INDEX($Q$2:$Q$1001,MATCH(ROWS($O$2:O833),$O$2:$O$1001,0),0), INDEX($V$1004:$AE$1004,1,MATCH(COLUMNS($V$1006:V1006),$V$1006:$AE$1006,0)))),"Fix")))</f>
        <v>0</v>
      </c>
      <c r="C833" s="4">
        <f>IF(OR(INDEX($P$2:$P$1001,MATCH(ROWS($O$2:O833),$O$2:$O$1001,0),1)&gt;=100000,INDEX($V$1005:$AE$1005,1,MATCH(COLUMNS($V$1006:W1006),$V$1006:$AE$1006,0))&gt;=100000), " ",IF(INDEX($V$2:$AE$1001,MATCH(ROWS($O$2:O833),$O$2:$O$1001,0),MATCH(COLUMNS($V$1006:W1006),$V$1006:$AE$1006,0)), HYPERLINK("#",""), HYPERLINK(CONCATENATE("#Metadata!", ADDRESS(INDEX($Q$2:$Q$1001,MATCH(ROWS($O$2:O833),$O$2:$O$1001,0),0), INDEX($V$1004:$AE$1004,1,MATCH(COLUMNS($V$1006:W1006),$V$1006:$AE$1006,0)))),"Fix")))</f>
        <v>0</v>
      </c>
      <c r="D833" s="4">
        <f>IF(OR(INDEX($P$2:$P$1001,MATCH(ROWS($O$2:O833),$O$2:$O$1001,0),1)&gt;=100000,INDEX($V$1005:$AE$1005,1,MATCH(COLUMNS($V$1006:X1006),$V$1006:$AE$1006,0))&gt;=100000), " ",IF(INDEX($V$2:$AE$1001,MATCH(ROWS($O$2:O833),$O$2:$O$1001,0),MATCH(COLUMNS($V$1006:X1006),$V$1006:$AE$1006,0)), HYPERLINK("#",""), HYPERLINK(CONCATENATE("#Metadata!", ADDRESS(INDEX($Q$2:$Q$1001,MATCH(ROWS($O$2:O833),$O$2:$O$1001,0),0), INDEX($V$1004:$AE$1004,1,MATCH(COLUMNS($V$1006:X1006),$V$1006:$AE$1006,0)))),"Fix")))</f>
        <v>0</v>
      </c>
      <c r="E833" s="4">
        <f>IF(OR(INDEX($P$2:$P$1001,MATCH(ROWS($O$2:O833),$O$2:$O$1001,0),1)&gt;=100000,INDEX($V$1005:$AE$1005,1,MATCH(COLUMNS($V$1006:Y1006),$V$1006:$AE$1006,0))&gt;=100000), " ",IF(INDEX($V$2:$AE$1001,MATCH(ROWS($O$2:O833),$O$2:$O$1001,0),MATCH(COLUMNS($V$1006:Y1006),$V$1006:$AE$1006,0)), HYPERLINK("#",""), HYPERLINK(CONCATENATE("#Metadata!", ADDRESS(INDEX($Q$2:$Q$1001,MATCH(ROWS($O$2:O833),$O$2:$O$1001,0),0), INDEX($V$1004:$AE$1004,1,MATCH(COLUMNS($V$1006:Y1006),$V$1006:$AE$1006,0)))),"Fix")))</f>
        <v>0</v>
      </c>
      <c r="F833" s="4">
        <f>IF(OR(INDEX($P$2:$P$1001,MATCH(ROWS($O$2:O833),$O$2:$O$1001,0),1)&gt;=100000,INDEX($V$1005:$AE$1005,1,MATCH(COLUMNS($V$1006:Z1006),$V$1006:$AE$1006,0))&gt;=100000), " ",IF(INDEX($V$2:$AE$1001,MATCH(ROWS($O$2:O833),$O$2:$O$1001,0),MATCH(COLUMNS($V$1006:Z1006),$V$1006:$AE$1006,0)), HYPERLINK("#",""), HYPERLINK(CONCATENATE("#Metadata!", ADDRESS(INDEX($Q$2:$Q$1001,MATCH(ROWS($O$2:O833),$O$2:$O$1001,0),0), INDEX($V$1004:$AE$1004,1,MATCH(COLUMNS($V$1006:Z1006),$V$1006:$AE$1006,0)))),"Fix")))</f>
        <v>0</v>
      </c>
      <c r="G833" s="4">
        <f>IF(OR(INDEX($P$2:$P$1001,MATCH(ROWS($O$2:O833),$O$2:$O$1001,0),1)&gt;=100000,INDEX($V$1005:$AE$1005,1,MATCH(COLUMNS($V$1006:AA1006),$V$1006:$AE$1006,0))&gt;=100000), " ",IF(INDEX($V$2:$AE$1001,MATCH(ROWS($O$2:O833),$O$2:$O$1001,0),MATCH(COLUMNS($V$1006:AA1006),$V$1006:$AE$1006,0)), HYPERLINK("#",""), HYPERLINK(CONCATENATE("#Metadata!", ADDRESS(INDEX($Q$2:$Q$1001,MATCH(ROWS($O$2:O833),$O$2:$O$1001,0),0), INDEX($V$1004:$AE$1004,1,MATCH(COLUMNS($V$1006:AA1006),$V$1006:$AE$1006,0)))),"Fix")))</f>
        <v>0</v>
      </c>
      <c r="H833" s="4">
        <f>IF(OR(INDEX($P$2:$P$1001,MATCH(ROWS($O$2:O833),$O$2:$O$1001,0),1)&gt;=100000,INDEX($V$1005:$AE$1005,1,MATCH(COLUMNS($V$1006:AB1006),$V$1006:$AE$1006,0))&gt;=100000), " ",IF(INDEX($V$2:$AE$1001,MATCH(ROWS($O$2:O833),$O$2:$O$1001,0),MATCH(COLUMNS($V$1006:AB1006),$V$1006:$AE$1006,0)), HYPERLINK("#",""), HYPERLINK(CONCATENATE("#Metadata!", ADDRESS(INDEX($Q$2:$Q$1001,MATCH(ROWS($O$2:O833),$O$2:$O$1001,0),0), INDEX($V$1004:$AE$1004,1,MATCH(COLUMNS($V$1006:AB1006),$V$1006:$AE$1006,0)))),"Fix")))</f>
        <v>0</v>
      </c>
      <c r="I833" s="4">
        <f>IF(OR(INDEX($P$2:$P$1001,MATCH(ROWS($O$2:O833),$O$2:$O$1001,0),1)&gt;=100000,INDEX($V$1005:$AE$1005,1,MATCH(COLUMNS($V$1006:AC1006),$V$1006:$AE$1006,0))&gt;=100000), " ",IF(INDEX($V$2:$AE$1001,MATCH(ROWS($O$2:O833),$O$2:$O$1001,0),MATCH(COLUMNS($V$1006:AC1006),$V$1006:$AE$1006,0)), HYPERLINK("#",""), HYPERLINK(CONCATENATE("#Metadata!", ADDRESS(INDEX($Q$2:$Q$1001,MATCH(ROWS($O$2:O833),$O$2:$O$1001,0),0), INDEX($V$1004:$AE$1004,1,MATCH(COLUMNS($V$1006:AC1006),$V$1006:$AE$1006,0)))),"Fix")))</f>
        <v>0</v>
      </c>
      <c r="J833" s="4">
        <f>IF(OR(INDEX($P$2:$P$1001,MATCH(ROWS($O$2:O833),$O$2:$O$1001,0),1)&gt;=100000,INDEX($V$1005:$AE$1005,1,MATCH(COLUMNS($V$1006:AD1006),$V$1006:$AE$1006,0))&gt;=100000), " ",IF(INDEX($V$2:$AE$1001,MATCH(ROWS($O$2:O833),$O$2:$O$1001,0),MATCH(COLUMNS($V$1006:AD1006),$V$1006:$AE$1006,0)), HYPERLINK("#",""), HYPERLINK(CONCATENATE("#Metadata!", ADDRESS(INDEX($Q$2:$Q$1001,MATCH(ROWS($O$2:O833),$O$2:$O$1001,0),0), INDEX($V$1004:$AE$1004,1,MATCH(COLUMNS($V$1006:AD1006),$V$1006:$AE$1006,0)))),"Fix")))</f>
        <v>0</v>
      </c>
      <c r="K833" s="4">
        <f>IF(OR(INDEX($P$2:$P$1001,MATCH(ROWS($O$2:O833),$O$2:$O$1001,0),1)&gt;=100000,INDEX($V$1005:$AE$1005,1,MATCH(COLUMNS($V$1006:AE1006),$V$1006:$AE$1006,0))&gt;=100000), " ",IF(INDEX($V$2:$AE$1001,MATCH(ROWS($O$2:O833),$O$2:$O$1001,0),MATCH(COLUMNS($V$1006:AE1006),$V$1006:$AE$1006,0)), HYPERLINK("#",""), HYPERLINK(CONCATENATE("#Metadata!", ADDRESS(INDEX($Q$2:$Q$1001,MATCH(ROWS($O$2:O833),$O$2:$O$1001,0),0), INDEX($V$1004:$AE$1004,1,MATCH(COLUMNS($V$1006:AE1006),$V$1006:$AE$1006,0)))),"Fix")))</f>
        <v>0</v>
      </c>
      <c r="O833">
        <v>0</v>
      </c>
      <c r="P833">
        <v>0</v>
      </c>
      <c r="Q833">
        <v>0</v>
      </c>
      <c r="R833">
        <f>IF(S833,TRUE,AND(V833:AE833))</f>
        <v>0</v>
      </c>
      <c r="S833">
        <f>COUNTBLANK(Metadata!B833:K833)=COLUMNS(Metadata!B833:K833)</f>
        <v>0</v>
      </c>
      <c r="T833">
        <v>0</v>
      </c>
      <c r="V833">
        <f>AND(IF(Metadata!B833="",FALSE,TRUE),COUNTIF(Metadata!B:B, Metadata!B833) = 1,NOT(ISERROR(SUMPRODUCT(SEARCH(MID(Metadata!B833,ROW(INDIRECT("1:"&amp;LEN(Metadata!B833))), 1),"0123456789abcdefghijklmnopqrstuvwxyzABCDEFGHIJKLMNOPQRSTUVWXYZ.")))))</f>
        <v>0</v>
      </c>
      <c r="W833">
        <f>AND(IF(Metadata!C833="",FALSE,TRUE),exact(Metadata!C833,"urban biome"))</f>
        <v>0</v>
      </c>
      <c r="X833">
        <f>AND(IF(Metadata!D833="",FALSE,TRUE),exact(Metadata!D833,"animal-associated habitat"))</f>
        <v>0</v>
      </c>
      <c r="Y833">
        <f>OR(AND(IF(Metadata!E833="",FALSE,TRUE),OR(exact(Metadata!E833,"not applicable"),exact(Metadata!E833,"missing: not collected"),exact(Metadata!E833,"missing: not provided"),exact(Metadata!E833,"missing: restricted access"))),AND(IF(Metadata!E833="",FALSE,ISNUMBER(VALUE(Metadata!E833))),Metadata!E833&gt;0))</f>
        <v>0</v>
      </c>
      <c r="Z833">
        <f>AND(IF(Metadata!F833="",FALSE,TRUE),exact(Metadata!F833,"weeks"))</f>
        <v>0</v>
      </c>
      <c r="AA833">
        <f>AND(IF(Metadata!G833="",FALSE,TRUE),exact(Metadata!G833,"mouse"))</f>
        <v>0</v>
      </c>
      <c r="AB833">
        <f>AND(IF(Metadata!H833="",FALSE,TRUE),exact(Metadata!H833,"Mus musculus"))</f>
        <v>0</v>
      </c>
      <c r="AC833">
        <f>AND(IF(Metadata!I833="",FALSE,TRUE),exact(Metadata!I833,"10090"))</f>
        <v>0</v>
      </c>
      <c r="AD833">
        <f>OR(AND(IF(Metadata!J833="",FALSE,TRUE),OR(exact(Metadata!J833,"not applicable"),exact(Metadata!J833,"missing: not collected"),exact(Metadata!J833,"missing: not provided"),exact(Metadata!J833,"missing: restricted access"))),AND(IF(Metadata!J833="",FALSE,ISNUMBER(VALUE(Metadata!J833))),Metadata!J833&gt;0))</f>
        <v>0</v>
      </c>
      <c r="AE833">
        <f>AND(IF(Metadata!K833="",FALSE,TRUE),exact(Metadata!K833,"g"))</f>
        <v>0</v>
      </c>
    </row>
    <row r="834" spans="1:31">
      <c r="A834" s="5">
        <f>IF(B834=" "," ",HYPERLINK(CONCATENATE("#metadata!",ADDRESS(INDEX($Q$2:$Q$1001,MATCH(ROWS($O$2:O834),$O$2:$O$1001,0),0),1)),INDEX($T$2:$T$1001,MATCH(ROWS($O$2:O834),$O$2:$O$1001,0),0)))</f>
        <v>0</v>
      </c>
      <c r="B834" s="4">
        <f>IF(OR(INDEX($P$2:$P$1001,MATCH(ROWS($O$2:O834),$O$2:$O$1001,0),1)&gt;=100000,INDEX($V$1005:$AE$1005,1,MATCH(COLUMNS($V$1006:V1006),$V$1006:$AE$1006,0))&gt;=100000), " ",IF(INDEX($V$2:$AE$1001,MATCH(ROWS($O$2:O834),$O$2:$O$1001,0),MATCH(COLUMNS($V$1006:V1006),$V$1006:$AE$1006,0)), HYPERLINK("#",""), HYPERLINK(CONCATENATE("#Metadata!", ADDRESS(INDEX($Q$2:$Q$1001,MATCH(ROWS($O$2:O834),$O$2:$O$1001,0),0), INDEX($V$1004:$AE$1004,1,MATCH(COLUMNS($V$1006:V1006),$V$1006:$AE$1006,0)))),"Fix")))</f>
        <v>0</v>
      </c>
      <c r="C834" s="4">
        <f>IF(OR(INDEX($P$2:$P$1001,MATCH(ROWS($O$2:O834),$O$2:$O$1001,0),1)&gt;=100000,INDEX($V$1005:$AE$1005,1,MATCH(COLUMNS($V$1006:W1006),$V$1006:$AE$1006,0))&gt;=100000), " ",IF(INDEX($V$2:$AE$1001,MATCH(ROWS($O$2:O834),$O$2:$O$1001,0),MATCH(COLUMNS($V$1006:W1006),$V$1006:$AE$1006,0)), HYPERLINK("#",""), HYPERLINK(CONCATENATE("#Metadata!", ADDRESS(INDEX($Q$2:$Q$1001,MATCH(ROWS($O$2:O834),$O$2:$O$1001,0),0), INDEX($V$1004:$AE$1004,1,MATCH(COLUMNS($V$1006:W1006),$V$1006:$AE$1006,0)))),"Fix")))</f>
        <v>0</v>
      </c>
      <c r="D834" s="4">
        <f>IF(OR(INDEX($P$2:$P$1001,MATCH(ROWS($O$2:O834),$O$2:$O$1001,0),1)&gt;=100000,INDEX($V$1005:$AE$1005,1,MATCH(COLUMNS($V$1006:X1006),$V$1006:$AE$1006,0))&gt;=100000), " ",IF(INDEX($V$2:$AE$1001,MATCH(ROWS($O$2:O834),$O$2:$O$1001,0),MATCH(COLUMNS($V$1006:X1006),$V$1006:$AE$1006,0)), HYPERLINK("#",""), HYPERLINK(CONCATENATE("#Metadata!", ADDRESS(INDEX($Q$2:$Q$1001,MATCH(ROWS($O$2:O834),$O$2:$O$1001,0),0), INDEX($V$1004:$AE$1004,1,MATCH(COLUMNS($V$1006:X1006),$V$1006:$AE$1006,0)))),"Fix")))</f>
        <v>0</v>
      </c>
      <c r="E834" s="4">
        <f>IF(OR(INDEX($P$2:$P$1001,MATCH(ROWS($O$2:O834),$O$2:$O$1001,0),1)&gt;=100000,INDEX($V$1005:$AE$1005,1,MATCH(COLUMNS($V$1006:Y1006),$V$1006:$AE$1006,0))&gt;=100000), " ",IF(INDEX($V$2:$AE$1001,MATCH(ROWS($O$2:O834),$O$2:$O$1001,0),MATCH(COLUMNS($V$1006:Y1006),$V$1006:$AE$1006,0)), HYPERLINK("#",""), HYPERLINK(CONCATENATE("#Metadata!", ADDRESS(INDEX($Q$2:$Q$1001,MATCH(ROWS($O$2:O834),$O$2:$O$1001,0),0), INDEX($V$1004:$AE$1004,1,MATCH(COLUMNS($V$1006:Y1006),$V$1006:$AE$1006,0)))),"Fix")))</f>
        <v>0</v>
      </c>
      <c r="F834" s="4">
        <f>IF(OR(INDEX($P$2:$P$1001,MATCH(ROWS($O$2:O834),$O$2:$O$1001,0),1)&gt;=100000,INDEX($V$1005:$AE$1005,1,MATCH(COLUMNS($V$1006:Z1006),$V$1006:$AE$1006,0))&gt;=100000), " ",IF(INDEX($V$2:$AE$1001,MATCH(ROWS($O$2:O834),$O$2:$O$1001,0),MATCH(COLUMNS($V$1006:Z1006),$V$1006:$AE$1006,0)), HYPERLINK("#",""), HYPERLINK(CONCATENATE("#Metadata!", ADDRESS(INDEX($Q$2:$Q$1001,MATCH(ROWS($O$2:O834),$O$2:$O$1001,0),0), INDEX($V$1004:$AE$1004,1,MATCH(COLUMNS($V$1006:Z1006),$V$1006:$AE$1006,0)))),"Fix")))</f>
        <v>0</v>
      </c>
      <c r="G834" s="4">
        <f>IF(OR(INDEX($P$2:$P$1001,MATCH(ROWS($O$2:O834),$O$2:$O$1001,0),1)&gt;=100000,INDEX($V$1005:$AE$1005,1,MATCH(COLUMNS($V$1006:AA1006),$V$1006:$AE$1006,0))&gt;=100000), " ",IF(INDEX($V$2:$AE$1001,MATCH(ROWS($O$2:O834),$O$2:$O$1001,0),MATCH(COLUMNS($V$1006:AA1006),$V$1006:$AE$1006,0)), HYPERLINK("#",""), HYPERLINK(CONCATENATE("#Metadata!", ADDRESS(INDEX($Q$2:$Q$1001,MATCH(ROWS($O$2:O834),$O$2:$O$1001,0),0), INDEX($V$1004:$AE$1004,1,MATCH(COLUMNS($V$1006:AA1006),$V$1006:$AE$1006,0)))),"Fix")))</f>
        <v>0</v>
      </c>
      <c r="H834" s="4">
        <f>IF(OR(INDEX($P$2:$P$1001,MATCH(ROWS($O$2:O834),$O$2:$O$1001,0),1)&gt;=100000,INDEX($V$1005:$AE$1005,1,MATCH(COLUMNS($V$1006:AB1006),$V$1006:$AE$1006,0))&gt;=100000), " ",IF(INDEX($V$2:$AE$1001,MATCH(ROWS($O$2:O834),$O$2:$O$1001,0),MATCH(COLUMNS($V$1006:AB1006),$V$1006:$AE$1006,0)), HYPERLINK("#",""), HYPERLINK(CONCATENATE("#Metadata!", ADDRESS(INDEX($Q$2:$Q$1001,MATCH(ROWS($O$2:O834),$O$2:$O$1001,0),0), INDEX($V$1004:$AE$1004,1,MATCH(COLUMNS($V$1006:AB1006),$V$1006:$AE$1006,0)))),"Fix")))</f>
        <v>0</v>
      </c>
      <c r="I834" s="4">
        <f>IF(OR(INDEX($P$2:$P$1001,MATCH(ROWS($O$2:O834),$O$2:$O$1001,0),1)&gt;=100000,INDEX($V$1005:$AE$1005,1,MATCH(COLUMNS($V$1006:AC1006),$V$1006:$AE$1006,0))&gt;=100000), " ",IF(INDEX($V$2:$AE$1001,MATCH(ROWS($O$2:O834),$O$2:$O$1001,0),MATCH(COLUMNS($V$1006:AC1006),$V$1006:$AE$1006,0)), HYPERLINK("#",""), HYPERLINK(CONCATENATE("#Metadata!", ADDRESS(INDEX($Q$2:$Q$1001,MATCH(ROWS($O$2:O834),$O$2:$O$1001,0),0), INDEX($V$1004:$AE$1004,1,MATCH(COLUMNS($V$1006:AC1006),$V$1006:$AE$1006,0)))),"Fix")))</f>
        <v>0</v>
      </c>
      <c r="J834" s="4">
        <f>IF(OR(INDEX($P$2:$P$1001,MATCH(ROWS($O$2:O834),$O$2:$O$1001,0),1)&gt;=100000,INDEX($V$1005:$AE$1005,1,MATCH(COLUMNS($V$1006:AD1006),$V$1006:$AE$1006,0))&gt;=100000), " ",IF(INDEX($V$2:$AE$1001,MATCH(ROWS($O$2:O834),$O$2:$O$1001,0),MATCH(COLUMNS($V$1006:AD1006),$V$1006:$AE$1006,0)), HYPERLINK("#",""), HYPERLINK(CONCATENATE("#Metadata!", ADDRESS(INDEX($Q$2:$Q$1001,MATCH(ROWS($O$2:O834),$O$2:$O$1001,0),0), INDEX($V$1004:$AE$1004,1,MATCH(COLUMNS($V$1006:AD1006),$V$1006:$AE$1006,0)))),"Fix")))</f>
        <v>0</v>
      </c>
      <c r="K834" s="4">
        <f>IF(OR(INDEX($P$2:$P$1001,MATCH(ROWS($O$2:O834),$O$2:$O$1001,0),1)&gt;=100000,INDEX($V$1005:$AE$1005,1,MATCH(COLUMNS($V$1006:AE1006),$V$1006:$AE$1006,0))&gt;=100000), " ",IF(INDEX($V$2:$AE$1001,MATCH(ROWS($O$2:O834),$O$2:$O$1001,0),MATCH(COLUMNS($V$1006:AE1006),$V$1006:$AE$1006,0)), HYPERLINK("#",""), HYPERLINK(CONCATENATE("#Metadata!", ADDRESS(INDEX($Q$2:$Q$1001,MATCH(ROWS($O$2:O834),$O$2:$O$1001,0),0), INDEX($V$1004:$AE$1004,1,MATCH(COLUMNS($V$1006:AE1006),$V$1006:$AE$1006,0)))),"Fix")))</f>
        <v>0</v>
      </c>
      <c r="O834">
        <v>0</v>
      </c>
      <c r="P834">
        <v>0</v>
      </c>
      <c r="Q834">
        <v>0</v>
      </c>
      <c r="R834">
        <f>IF(S834,TRUE,AND(V834:AE834))</f>
        <v>0</v>
      </c>
      <c r="S834">
        <f>COUNTBLANK(Metadata!B834:K834)=COLUMNS(Metadata!B834:K834)</f>
        <v>0</v>
      </c>
      <c r="T834">
        <v>0</v>
      </c>
      <c r="V834">
        <f>AND(IF(Metadata!B834="",FALSE,TRUE),COUNTIF(Metadata!B:B, Metadata!B834) = 1,NOT(ISERROR(SUMPRODUCT(SEARCH(MID(Metadata!B834,ROW(INDIRECT("1:"&amp;LEN(Metadata!B834))), 1),"0123456789abcdefghijklmnopqrstuvwxyzABCDEFGHIJKLMNOPQRSTUVWXYZ.")))))</f>
        <v>0</v>
      </c>
      <c r="W834">
        <f>AND(IF(Metadata!C834="",FALSE,TRUE),exact(Metadata!C834,"urban biome"))</f>
        <v>0</v>
      </c>
      <c r="X834">
        <f>AND(IF(Metadata!D834="",FALSE,TRUE),exact(Metadata!D834,"animal-associated habitat"))</f>
        <v>0</v>
      </c>
      <c r="Y834">
        <f>OR(AND(IF(Metadata!E834="",FALSE,TRUE),OR(exact(Metadata!E834,"not applicable"),exact(Metadata!E834,"missing: not collected"),exact(Metadata!E834,"missing: not provided"),exact(Metadata!E834,"missing: restricted access"))),AND(IF(Metadata!E834="",FALSE,ISNUMBER(VALUE(Metadata!E834))),Metadata!E834&gt;0))</f>
        <v>0</v>
      </c>
      <c r="Z834">
        <f>AND(IF(Metadata!F834="",FALSE,TRUE),exact(Metadata!F834,"weeks"))</f>
        <v>0</v>
      </c>
      <c r="AA834">
        <f>AND(IF(Metadata!G834="",FALSE,TRUE),exact(Metadata!G834,"mouse"))</f>
        <v>0</v>
      </c>
      <c r="AB834">
        <f>AND(IF(Metadata!H834="",FALSE,TRUE),exact(Metadata!H834,"Mus musculus"))</f>
        <v>0</v>
      </c>
      <c r="AC834">
        <f>AND(IF(Metadata!I834="",FALSE,TRUE),exact(Metadata!I834,"10090"))</f>
        <v>0</v>
      </c>
      <c r="AD834">
        <f>OR(AND(IF(Metadata!J834="",FALSE,TRUE),OR(exact(Metadata!J834,"not applicable"),exact(Metadata!J834,"missing: not collected"),exact(Metadata!J834,"missing: not provided"),exact(Metadata!J834,"missing: restricted access"))),AND(IF(Metadata!J834="",FALSE,ISNUMBER(VALUE(Metadata!J834))),Metadata!J834&gt;0))</f>
        <v>0</v>
      </c>
      <c r="AE834">
        <f>AND(IF(Metadata!K834="",FALSE,TRUE),exact(Metadata!K834,"g"))</f>
        <v>0</v>
      </c>
    </row>
    <row r="835" spans="1:31">
      <c r="A835" s="5">
        <f>IF(B835=" "," ",HYPERLINK(CONCATENATE("#metadata!",ADDRESS(INDEX($Q$2:$Q$1001,MATCH(ROWS($O$2:O835),$O$2:$O$1001,0),0),1)),INDEX($T$2:$T$1001,MATCH(ROWS($O$2:O835),$O$2:$O$1001,0),0)))</f>
        <v>0</v>
      </c>
      <c r="B835" s="4">
        <f>IF(OR(INDEX($P$2:$P$1001,MATCH(ROWS($O$2:O835),$O$2:$O$1001,0),1)&gt;=100000,INDEX($V$1005:$AE$1005,1,MATCH(COLUMNS($V$1006:V1006),$V$1006:$AE$1006,0))&gt;=100000), " ",IF(INDEX($V$2:$AE$1001,MATCH(ROWS($O$2:O835),$O$2:$O$1001,0),MATCH(COLUMNS($V$1006:V1006),$V$1006:$AE$1006,0)), HYPERLINK("#",""), HYPERLINK(CONCATENATE("#Metadata!", ADDRESS(INDEX($Q$2:$Q$1001,MATCH(ROWS($O$2:O835),$O$2:$O$1001,0),0), INDEX($V$1004:$AE$1004,1,MATCH(COLUMNS($V$1006:V1006),$V$1006:$AE$1006,0)))),"Fix")))</f>
        <v>0</v>
      </c>
      <c r="C835" s="4">
        <f>IF(OR(INDEX($P$2:$P$1001,MATCH(ROWS($O$2:O835),$O$2:$O$1001,0),1)&gt;=100000,INDEX($V$1005:$AE$1005,1,MATCH(COLUMNS($V$1006:W1006),$V$1006:$AE$1006,0))&gt;=100000), " ",IF(INDEX($V$2:$AE$1001,MATCH(ROWS($O$2:O835),$O$2:$O$1001,0),MATCH(COLUMNS($V$1006:W1006),$V$1006:$AE$1006,0)), HYPERLINK("#",""), HYPERLINK(CONCATENATE("#Metadata!", ADDRESS(INDEX($Q$2:$Q$1001,MATCH(ROWS($O$2:O835),$O$2:$O$1001,0),0), INDEX($V$1004:$AE$1004,1,MATCH(COLUMNS($V$1006:W1006),$V$1006:$AE$1006,0)))),"Fix")))</f>
        <v>0</v>
      </c>
      <c r="D835" s="4">
        <f>IF(OR(INDEX($P$2:$P$1001,MATCH(ROWS($O$2:O835),$O$2:$O$1001,0),1)&gt;=100000,INDEX($V$1005:$AE$1005,1,MATCH(COLUMNS($V$1006:X1006),$V$1006:$AE$1006,0))&gt;=100000), " ",IF(INDEX($V$2:$AE$1001,MATCH(ROWS($O$2:O835),$O$2:$O$1001,0),MATCH(COLUMNS($V$1006:X1006),$V$1006:$AE$1006,0)), HYPERLINK("#",""), HYPERLINK(CONCATENATE("#Metadata!", ADDRESS(INDEX($Q$2:$Q$1001,MATCH(ROWS($O$2:O835),$O$2:$O$1001,0),0), INDEX($V$1004:$AE$1004,1,MATCH(COLUMNS($V$1006:X1006),$V$1006:$AE$1006,0)))),"Fix")))</f>
        <v>0</v>
      </c>
      <c r="E835" s="4">
        <f>IF(OR(INDEX($P$2:$P$1001,MATCH(ROWS($O$2:O835),$O$2:$O$1001,0),1)&gt;=100000,INDEX($V$1005:$AE$1005,1,MATCH(COLUMNS($V$1006:Y1006),$V$1006:$AE$1006,0))&gt;=100000), " ",IF(INDEX($V$2:$AE$1001,MATCH(ROWS($O$2:O835),$O$2:$O$1001,0),MATCH(COLUMNS($V$1006:Y1006),$V$1006:$AE$1006,0)), HYPERLINK("#",""), HYPERLINK(CONCATENATE("#Metadata!", ADDRESS(INDEX($Q$2:$Q$1001,MATCH(ROWS($O$2:O835),$O$2:$O$1001,0),0), INDEX($V$1004:$AE$1004,1,MATCH(COLUMNS($V$1006:Y1006),$V$1006:$AE$1006,0)))),"Fix")))</f>
        <v>0</v>
      </c>
      <c r="F835" s="4">
        <f>IF(OR(INDEX($P$2:$P$1001,MATCH(ROWS($O$2:O835),$O$2:$O$1001,0),1)&gt;=100000,INDEX($V$1005:$AE$1005,1,MATCH(COLUMNS($V$1006:Z1006),$V$1006:$AE$1006,0))&gt;=100000), " ",IF(INDEX($V$2:$AE$1001,MATCH(ROWS($O$2:O835),$O$2:$O$1001,0),MATCH(COLUMNS($V$1006:Z1006),$V$1006:$AE$1006,0)), HYPERLINK("#",""), HYPERLINK(CONCATENATE("#Metadata!", ADDRESS(INDEX($Q$2:$Q$1001,MATCH(ROWS($O$2:O835),$O$2:$O$1001,0),0), INDEX($V$1004:$AE$1004,1,MATCH(COLUMNS($V$1006:Z1006),$V$1006:$AE$1006,0)))),"Fix")))</f>
        <v>0</v>
      </c>
      <c r="G835" s="4">
        <f>IF(OR(INDEX($P$2:$P$1001,MATCH(ROWS($O$2:O835),$O$2:$O$1001,0),1)&gt;=100000,INDEX($V$1005:$AE$1005,1,MATCH(COLUMNS($V$1006:AA1006),$V$1006:$AE$1006,0))&gt;=100000), " ",IF(INDEX($V$2:$AE$1001,MATCH(ROWS($O$2:O835),$O$2:$O$1001,0),MATCH(COLUMNS($V$1006:AA1006),$V$1006:$AE$1006,0)), HYPERLINK("#",""), HYPERLINK(CONCATENATE("#Metadata!", ADDRESS(INDEX($Q$2:$Q$1001,MATCH(ROWS($O$2:O835),$O$2:$O$1001,0),0), INDEX($V$1004:$AE$1004,1,MATCH(COLUMNS($V$1006:AA1006),$V$1006:$AE$1006,0)))),"Fix")))</f>
        <v>0</v>
      </c>
      <c r="H835" s="4">
        <f>IF(OR(INDEX($P$2:$P$1001,MATCH(ROWS($O$2:O835),$O$2:$O$1001,0),1)&gt;=100000,INDEX($V$1005:$AE$1005,1,MATCH(COLUMNS($V$1006:AB1006),$V$1006:$AE$1006,0))&gt;=100000), " ",IF(INDEX($V$2:$AE$1001,MATCH(ROWS($O$2:O835),$O$2:$O$1001,0),MATCH(COLUMNS($V$1006:AB1006),$V$1006:$AE$1006,0)), HYPERLINK("#",""), HYPERLINK(CONCATENATE("#Metadata!", ADDRESS(INDEX($Q$2:$Q$1001,MATCH(ROWS($O$2:O835),$O$2:$O$1001,0),0), INDEX($V$1004:$AE$1004,1,MATCH(COLUMNS($V$1006:AB1006),$V$1006:$AE$1006,0)))),"Fix")))</f>
        <v>0</v>
      </c>
      <c r="I835" s="4">
        <f>IF(OR(INDEX($P$2:$P$1001,MATCH(ROWS($O$2:O835),$O$2:$O$1001,0),1)&gt;=100000,INDEX($V$1005:$AE$1005,1,MATCH(COLUMNS($V$1006:AC1006),$V$1006:$AE$1006,0))&gt;=100000), " ",IF(INDEX($V$2:$AE$1001,MATCH(ROWS($O$2:O835),$O$2:$O$1001,0),MATCH(COLUMNS($V$1006:AC1006),$V$1006:$AE$1006,0)), HYPERLINK("#",""), HYPERLINK(CONCATENATE("#Metadata!", ADDRESS(INDEX($Q$2:$Q$1001,MATCH(ROWS($O$2:O835),$O$2:$O$1001,0),0), INDEX($V$1004:$AE$1004,1,MATCH(COLUMNS($V$1006:AC1006),$V$1006:$AE$1006,0)))),"Fix")))</f>
        <v>0</v>
      </c>
      <c r="J835" s="4">
        <f>IF(OR(INDEX($P$2:$P$1001,MATCH(ROWS($O$2:O835),$O$2:$O$1001,0),1)&gt;=100000,INDEX($V$1005:$AE$1005,1,MATCH(COLUMNS($V$1006:AD1006),$V$1006:$AE$1006,0))&gt;=100000), " ",IF(INDEX($V$2:$AE$1001,MATCH(ROWS($O$2:O835),$O$2:$O$1001,0),MATCH(COLUMNS($V$1006:AD1006),$V$1006:$AE$1006,0)), HYPERLINK("#",""), HYPERLINK(CONCATENATE("#Metadata!", ADDRESS(INDEX($Q$2:$Q$1001,MATCH(ROWS($O$2:O835),$O$2:$O$1001,0),0), INDEX($V$1004:$AE$1004,1,MATCH(COLUMNS($V$1006:AD1006),$V$1006:$AE$1006,0)))),"Fix")))</f>
        <v>0</v>
      </c>
      <c r="K835" s="4">
        <f>IF(OR(INDEX($P$2:$P$1001,MATCH(ROWS($O$2:O835),$O$2:$O$1001,0),1)&gt;=100000,INDEX($V$1005:$AE$1005,1,MATCH(COLUMNS($V$1006:AE1006),$V$1006:$AE$1006,0))&gt;=100000), " ",IF(INDEX($V$2:$AE$1001,MATCH(ROWS($O$2:O835),$O$2:$O$1001,0),MATCH(COLUMNS($V$1006:AE1006),$V$1006:$AE$1006,0)), HYPERLINK("#",""), HYPERLINK(CONCATENATE("#Metadata!", ADDRESS(INDEX($Q$2:$Q$1001,MATCH(ROWS($O$2:O835),$O$2:$O$1001,0),0), INDEX($V$1004:$AE$1004,1,MATCH(COLUMNS($V$1006:AE1006),$V$1006:$AE$1006,0)))),"Fix")))</f>
        <v>0</v>
      </c>
      <c r="O835">
        <v>0</v>
      </c>
      <c r="P835">
        <v>0</v>
      </c>
      <c r="Q835">
        <v>0</v>
      </c>
      <c r="R835">
        <f>IF(S835,TRUE,AND(V835:AE835))</f>
        <v>0</v>
      </c>
      <c r="S835">
        <f>COUNTBLANK(Metadata!B835:K835)=COLUMNS(Metadata!B835:K835)</f>
        <v>0</v>
      </c>
      <c r="T835">
        <v>0</v>
      </c>
      <c r="V835">
        <f>AND(IF(Metadata!B835="",FALSE,TRUE),COUNTIF(Metadata!B:B, Metadata!B835) = 1,NOT(ISERROR(SUMPRODUCT(SEARCH(MID(Metadata!B835,ROW(INDIRECT("1:"&amp;LEN(Metadata!B835))), 1),"0123456789abcdefghijklmnopqrstuvwxyzABCDEFGHIJKLMNOPQRSTUVWXYZ.")))))</f>
        <v>0</v>
      </c>
      <c r="W835">
        <f>AND(IF(Metadata!C835="",FALSE,TRUE),exact(Metadata!C835,"urban biome"))</f>
        <v>0</v>
      </c>
      <c r="X835">
        <f>AND(IF(Metadata!D835="",FALSE,TRUE),exact(Metadata!D835,"animal-associated habitat"))</f>
        <v>0</v>
      </c>
      <c r="Y835">
        <f>OR(AND(IF(Metadata!E835="",FALSE,TRUE),OR(exact(Metadata!E835,"not applicable"),exact(Metadata!E835,"missing: not collected"),exact(Metadata!E835,"missing: not provided"),exact(Metadata!E835,"missing: restricted access"))),AND(IF(Metadata!E835="",FALSE,ISNUMBER(VALUE(Metadata!E835))),Metadata!E835&gt;0))</f>
        <v>0</v>
      </c>
      <c r="Z835">
        <f>AND(IF(Metadata!F835="",FALSE,TRUE),exact(Metadata!F835,"weeks"))</f>
        <v>0</v>
      </c>
      <c r="AA835">
        <f>AND(IF(Metadata!G835="",FALSE,TRUE),exact(Metadata!G835,"mouse"))</f>
        <v>0</v>
      </c>
      <c r="AB835">
        <f>AND(IF(Metadata!H835="",FALSE,TRUE),exact(Metadata!H835,"Mus musculus"))</f>
        <v>0</v>
      </c>
      <c r="AC835">
        <f>AND(IF(Metadata!I835="",FALSE,TRUE),exact(Metadata!I835,"10090"))</f>
        <v>0</v>
      </c>
      <c r="AD835">
        <f>OR(AND(IF(Metadata!J835="",FALSE,TRUE),OR(exact(Metadata!J835,"not applicable"),exact(Metadata!J835,"missing: not collected"),exact(Metadata!J835,"missing: not provided"),exact(Metadata!J835,"missing: restricted access"))),AND(IF(Metadata!J835="",FALSE,ISNUMBER(VALUE(Metadata!J835))),Metadata!J835&gt;0))</f>
        <v>0</v>
      </c>
      <c r="AE835">
        <f>AND(IF(Metadata!K835="",FALSE,TRUE),exact(Metadata!K835,"g"))</f>
        <v>0</v>
      </c>
    </row>
    <row r="836" spans="1:31">
      <c r="A836" s="5">
        <f>IF(B836=" "," ",HYPERLINK(CONCATENATE("#metadata!",ADDRESS(INDEX($Q$2:$Q$1001,MATCH(ROWS($O$2:O836),$O$2:$O$1001,0),0),1)),INDEX($T$2:$T$1001,MATCH(ROWS($O$2:O836),$O$2:$O$1001,0),0)))</f>
        <v>0</v>
      </c>
      <c r="B836" s="4">
        <f>IF(OR(INDEX($P$2:$P$1001,MATCH(ROWS($O$2:O836),$O$2:$O$1001,0),1)&gt;=100000,INDEX($V$1005:$AE$1005,1,MATCH(COLUMNS($V$1006:V1006),$V$1006:$AE$1006,0))&gt;=100000), " ",IF(INDEX($V$2:$AE$1001,MATCH(ROWS($O$2:O836),$O$2:$O$1001,0),MATCH(COLUMNS($V$1006:V1006),$V$1006:$AE$1006,0)), HYPERLINK("#",""), HYPERLINK(CONCATENATE("#Metadata!", ADDRESS(INDEX($Q$2:$Q$1001,MATCH(ROWS($O$2:O836),$O$2:$O$1001,0),0), INDEX($V$1004:$AE$1004,1,MATCH(COLUMNS($V$1006:V1006),$V$1006:$AE$1006,0)))),"Fix")))</f>
        <v>0</v>
      </c>
      <c r="C836" s="4">
        <f>IF(OR(INDEX($P$2:$P$1001,MATCH(ROWS($O$2:O836),$O$2:$O$1001,0),1)&gt;=100000,INDEX($V$1005:$AE$1005,1,MATCH(COLUMNS($V$1006:W1006),$V$1006:$AE$1006,0))&gt;=100000), " ",IF(INDEX($V$2:$AE$1001,MATCH(ROWS($O$2:O836),$O$2:$O$1001,0),MATCH(COLUMNS($V$1006:W1006),$V$1006:$AE$1006,0)), HYPERLINK("#",""), HYPERLINK(CONCATENATE("#Metadata!", ADDRESS(INDEX($Q$2:$Q$1001,MATCH(ROWS($O$2:O836),$O$2:$O$1001,0),0), INDEX($V$1004:$AE$1004,1,MATCH(COLUMNS($V$1006:W1006),$V$1006:$AE$1006,0)))),"Fix")))</f>
        <v>0</v>
      </c>
      <c r="D836" s="4">
        <f>IF(OR(INDEX($P$2:$P$1001,MATCH(ROWS($O$2:O836),$O$2:$O$1001,0),1)&gt;=100000,INDEX($V$1005:$AE$1005,1,MATCH(COLUMNS($V$1006:X1006),$V$1006:$AE$1006,0))&gt;=100000), " ",IF(INDEX($V$2:$AE$1001,MATCH(ROWS($O$2:O836),$O$2:$O$1001,0),MATCH(COLUMNS($V$1006:X1006),$V$1006:$AE$1006,0)), HYPERLINK("#",""), HYPERLINK(CONCATENATE("#Metadata!", ADDRESS(INDEX($Q$2:$Q$1001,MATCH(ROWS($O$2:O836),$O$2:$O$1001,0),0), INDEX($V$1004:$AE$1004,1,MATCH(COLUMNS($V$1006:X1006),$V$1006:$AE$1006,0)))),"Fix")))</f>
        <v>0</v>
      </c>
      <c r="E836" s="4">
        <f>IF(OR(INDEX($P$2:$P$1001,MATCH(ROWS($O$2:O836),$O$2:$O$1001,0),1)&gt;=100000,INDEX($V$1005:$AE$1005,1,MATCH(COLUMNS($V$1006:Y1006),$V$1006:$AE$1006,0))&gt;=100000), " ",IF(INDEX($V$2:$AE$1001,MATCH(ROWS($O$2:O836),$O$2:$O$1001,0),MATCH(COLUMNS($V$1006:Y1006),$V$1006:$AE$1006,0)), HYPERLINK("#",""), HYPERLINK(CONCATENATE("#Metadata!", ADDRESS(INDEX($Q$2:$Q$1001,MATCH(ROWS($O$2:O836),$O$2:$O$1001,0),0), INDEX($V$1004:$AE$1004,1,MATCH(COLUMNS($V$1006:Y1006),$V$1006:$AE$1006,0)))),"Fix")))</f>
        <v>0</v>
      </c>
      <c r="F836" s="4">
        <f>IF(OR(INDEX($P$2:$P$1001,MATCH(ROWS($O$2:O836),$O$2:$O$1001,0),1)&gt;=100000,INDEX($V$1005:$AE$1005,1,MATCH(COLUMNS($V$1006:Z1006),$V$1006:$AE$1006,0))&gt;=100000), " ",IF(INDEX($V$2:$AE$1001,MATCH(ROWS($O$2:O836),$O$2:$O$1001,0),MATCH(COLUMNS($V$1006:Z1006),$V$1006:$AE$1006,0)), HYPERLINK("#",""), HYPERLINK(CONCATENATE("#Metadata!", ADDRESS(INDEX($Q$2:$Q$1001,MATCH(ROWS($O$2:O836),$O$2:$O$1001,0),0), INDEX($V$1004:$AE$1004,1,MATCH(COLUMNS($V$1006:Z1006),$V$1006:$AE$1006,0)))),"Fix")))</f>
        <v>0</v>
      </c>
      <c r="G836" s="4">
        <f>IF(OR(INDEX($P$2:$P$1001,MATCH(ROWS($O$2:O836),$O$2:$O$1001,0),1)&gt;=100000,INDEX($V$1005:$AE$1005,1,MATCH(COLUMNS($V$1006:AA1006),$V$1006:$AE$1006,0))&gt;=100000), " ",IF(INDEX($V$2:$AE$1001,MATCH(ROWS($O$2:O836),$O$2:$O$1001,0),MATCH(COLUMNS($V$1006:AA1006),$V$1006:$AE$1006,0)), HYPERLINK("#",""), HYPERLINK(CONCATENATE("#Metadata!", ADDRESS(INDEX($Q$2:$Q$1001,MATCH(ROWS($O$2:O836),$O$2:$O$1001,0),0), INDEX($V$1004:$AE$1004,1,MATCH(COLUMNS($V$1006:AA1006),$V$1006:$AE$1006,0)))),"Fix")))</f>
        <v>0</v>
      </c>
      <c r="H836" s="4">
        <f>IF(OR(INDEX($P$2:$P$1001,MATCH(ROWS($O$2:O836),$O$2:$O$1001,0),1)&gt;=100000,INDEX($V$1005:$AE$1005,1,MATCH(COLUMNS($V$1006:AB1006),$V$1006:$AE$1006,0))&gt;=100000), " ",IF(INDEX($V$2:$AE$1001,MATCH(ROWS($O$2:O836),$O$2:$O$1001,0),MATCH(COLUMNS($V$1006:AB1006),$V$1006:$AE$1006,0)), HYPERLINK("#",""), HYPERLINK(CONCATENATE("#Metadata!", ADDRESS(INDEX($Q$2:$Q$1001,MATCH(ROWS($O$2:O836),$O$2:$O$1001,0),0), INDEX($V$1004:$AE$1004,1,MATCH(COLUMNS($V$1006:AB1006),$V$1006:$AE$1006,0)))),"Fix")))</f>
        <v>0</v>
      </c>
      <c r="I836" s="4">
        <f>IF(OR(INDEX($P$2:$P$1001,MATCH(ROWS($O$2:O836),$O$2:$O$1001,0),1)&gt;=100000,INDEX($V$1005:$AE$1005,1,MATCH(COLUMNS($V$1006:AC1006),$V$1006:$AE$1006,0))&gt;=100000), " ",IF(INDEX($V$2:$AE$1001,MATCH(ROWS($O$2:O836),$O$2:$O$1001,0),MATCH(COLUMNS($V$1006:AC1006),$V$1006:$AE$1006,0)), HYPERLINK("#",""), HYPERLINK(CONCATENATE("#Metadata!", ADDRESS(INDEX($Q$2:$Q$1001,MATCH(ROWS($O$2:O836),$O$2:$O$1001,0),0), INDEX($V$1004:$AE$1004,1,MATCH(COLUMNS($V$1006:AC1006),$V$1006:$AE$1006,0)))),"Fix")))</f>
        <v>0</v>
      </c>
      <c r="J836" s="4">
        <f>IF(OR(INDEX($P$2:$P$1001,MATCH(ROWS($O$2:O836),$O$2:$O$1001,0),1)&gt;=100000,INDEX($V$1005:$AE$1005,1,MATCH(COLUMNS($V$1006:AD1006),$V$1006:$AE$1006,0))&gt;=100000), " ",IF(INDEX($V$2:$AE$1001,MATCH(ROWS($O$2:O836),$O$2:$O$1001,0),MATCH(COLUMNS($V$1006:AD1006),$V$1006:$AE$1006,0)), HYPERLINK("#",""), HYPERLINK(CONCATENATE("#Metadata!", ADDRESS(INDEX($Q$2:$Q$1001,MATCH(ROWS($O$2:O836),$O$2:$O$1001,0),0), INDEX($V$1004:$AE$1004,1,MATCH(COLUMNS($V$1006:AD1006),$V$1006:$AE$1006,0)))),"Fix")))</f>
        <v>0</v>
      </c>
      <c r="K836" s="4">
        <f>IF(OR(INDEX($P$2:$P$1001,MATCH(ROWS($O$2:O836),$O$2:$O$1001,0),1)&gt;=100000,INDEX($V$1005:$AE$1005,1,MATCH(COLUMNS($V$1006:AE1006),$V$1006:$AE$1006,0))&gt;=100000), " ",IF(INDEX($V$2:$AE$1001,MATCH(ROWS($O$2:O836),$O$2:$O$1001,0),MATCH(COLUMNS($V$1006:AE1006),$V$1006:$AE$1006,0)), HYPERLINK("#",""), HYPERLINK(CONCATENATE("#Metadata!", ADDRESS(INDEX($Q$2:$Q$1001,MATCH(ROWS($O$2:O836),$O$2:$O$1001,0),0), INDEX($V$1004:$AE$1004,1,MATCH(COLUMNS($V$1006:AE1006),$V$1006:$AE$1006,0)))),"Fix")))</f>
        <v>0</v>
      </c>
      <c r="O836">
        <v>0</v>
      </c>
      <c r="P836">
        <v>0</v>
      </c>
      <c r="Q836">
        <v>0</v>
      </c>
      <c r="R836">
        <f>IF(S836,TRUE,AND(V836:AE836))</f>
        <v>0</v>
      </c>
      <c r="S836">
        <f>COUNTBLANK(Metadata!B836:K836)=COLUMNS(Metadata!B836:K836)</f>
        <v>0</v>
      </c>
      <c r="T836">
        <v>0</v>
      </c>
      <c r="V836">
        <f>AND(IF(Metadata!B836="",FALSE,TRUE),COUNTIF(Metadata!B:B, Metadata!B836) = 1,NOT(ISERROR(SUMPRODUCT(SEARCH(MID(Metadata!B836,ROW(INDIRECT("1:"&amp;LEN(Metadata!B836))), 1),"0123456789abcdefghijklmnopqrstuvwxyzABCDEFGHIJKLMNOPQRSTUVWXYZ.")))))</f>
        <v>0</v>
      </c>
      <c r="W836">
        <f>AND(IF(Metadata!C836="",FALSE,TRUE),exact(Metadata!C836,"urban biome"))</f>
        <v>0</v>
      </c>
      <c r="X836">
        <f>AND(IF(Metadata!D836="",FALSE,TRUE),exact(Metadata!D836,"animal-associated habitat"))</f>
        <v>0</v>
      </c>
      <c r="Y836">
        <f>OR(AND(IF(Metadata!E836="",FALSE,TRUE),OR(exact(Metadata!E836,"not applicable"),exact(Metadata!E836,"missing: not collected"),exact(Metadata!E836,"missing: not provided"),exact(Metadata!E836,"missing: restricted access"))),AND(IF(Metadata!E836="",FALSE,ISNUMBER(VALUE(Metadata!E836))),Metadata!E836&gt;0))</f>
        <v>0</v>
      </c>
      <c r="Z836">
        <f>AND(IF(Metadata!F836="",FALSE,TRUE),exact(Metadata!F836,"weeks"))</f>
        <v>0</v>
      </c>
      <c r="AA836">
        <f>AND(IF(Metadata!G836="",FALSE,TRUE),exact(Metadata!G836,"mouse"))</f>
        <v>0</v>
      </c>
      <c r="AB836">
        <f>AND(IF(Metadata!H836="",FALSE,TRUE),exact(Metadata!H836,"Mus musculus"))</f>
        <v>0</v>
      </c>
      <c r="AC836">
        <f>AND(IF(Metadata!I836="",FALSE,TRUE),exact(Metadata!I836,"10090"))</f>
        <v>0</v>
      </c>
      <c r="AD836">
        <f>OR(AND(IF(Metadata!J836="",FALSE,TRUE),OR(exact(Metadata!J836,"not applicable"),exact(Metadata!J836,"missing: not collected"),exact(Metadata!J836,"missing: not provided"),exact(Metadata!J836,"missing: restricted access"))),AND(IF(Metadata!J836="",FALSE,ISNUMBER(VALUE(Metadata!J836))),Metadata!J836&gt;0))</f>
        <v>0</v>
      </c>
      <c r="AE836">
        <f>AND(IF(Metadata!K836="",FALSE,TRUE),exact(Metadata!K836,"g"))</f>
        <v>0</v>
      </c>
    </row>
    <row r="837" spans="1:31">
      <c r="A837" s="5">
        <f>IF(B837=" "," ",HYPERLINK(CONCATENATE("#metadata!",ADDRESS(INDEX($Q$2:$Q$1001,MATCH(ROWS($O$2:O837),$O$2:$O$1001,0),0),1)),INDEX($T$2:$T$1001,MATCH(ROWS($O$2:O837),$O$2:$O$1001,0),0)))</f>
        <v>0</v>
      </c>
      <c r="B837" s="4">
        <f>IF(OR(INDEX($P$2:$P$1001,MATCH(ROWS($O$2:O837),$O$2:$O$1001,0),1)&gt;=100000,INDEX($V$1005:$AE$1005,1,MATCH(COLUMNS($V$1006:V1006),$V$1006:$AE$1006,0))&gt;=100000), " ",IF(INDEX($V$2:$AE$1001,MATCH(ROWS($O$2:O837),$O$2:$O$1001,0),MATCH(COLUMNS($V$1006:V1006),$V$1006:$AE$1006,0)), HYPERLINK("#",""), HYPERLINK(CONCATENATE("#Metadata!", ADDRESS(INDEX($Q$2:$Q$1001,MATCH(ROWS($O$2:O837),$O$2:$O$1001,0),0), INDEX($V$1004:$AE$1004,1,MATCH(COLUMNS($V$1006:V1006),$V$1006:$AE$1006,0)))),"Fix")))</f>
        <v>0</v>
      </c>
      <c r="C837" s="4">
        <f>IF(OR(INDEX($P$2:$P$1001,MATCH(ROWS($O$2:O837),$O$2:$O$1001,0),1)&gt;=100000,INDEX($V$1005:$AE$1005,1,MATCH(COLUMNS($V$1006:W1006),$V$1006:$AE$1006,0))&gt;=100000), " ",IF(INDEX($V$2:$AE$1001,MATCH(ROWS($O$2:O837),$O$2:$O$1001,0),MATCH(COLUMNS($V$1006:W1006),$V$1006:$AE$1006,0)), HYPERLINK("#",""), HYPERLINK(CONCATENATE("#Metadata!", ADDRESS(INDEX($Q$2:$Q$1001,MATCH(ROWS($O$2:O837),$O$2:$O$1001,0),0), INDEX($V$1004:$AE$1004,1,MATCH(COLUMNS($V$1006:W1006),$V$1006:$AE$1006,0)))),"Fix")))</f>
        <v>0</v>
      </c>
      <c r="D837" s="4">
        <f>IF(OR(INDEX($P$2:$P$1001,MATCH(ROWS($O$2:O837),$O$2:$O$1001,0),1)&gt;=100000,INDEX($V$1005:$AE$1005,1,MATCH(COLUMNS($V$1006:X1006),$V$1006:$AE$1006,0))&gt;=100000), " ",IF(INDEX($V$2:$AE$1001,MATCH(ROWS($O$2:O837),$O$2:$O$1001,0),MATCH(COLUMNS($V$1006:X1006),$V$1006:$AE$1006,0)), HYPERLINK("#",""), HYPERLINK(CONCATENATE("#Metadata!", ADDRESS(INDEX($Q$2:$Q$1001,MATCH(ROWS($O$2:O837),$O$2:$O$1001,0),0), INDEX($V$1004:$AE$1004,1,MATCH(COLUMNS($V$1006:X1006),$V$1006:$AE$1006,0)))),"Fix")))</f>
        <v>0</v>
      </c>
      <c r="E837" s="4">
        <f>IF(OR(INDEX($P$2:$P$1001,MATCH(ROWS($O$2:O837),$O$2:$O$1001,0),1)&gt;=100000,INDEX($V$1005:$AE$1005,1,MATCH(COLUMNS($V$1006:Y1006),$V$1006:$AE$1006,0))&gt;=100000), " ",IF(INDEX($V$2:$AE$1001,MATCH(ROWS($O$2:O837),$O$2:$O$1001,0),MATCH(COLUMNS($V$1006:Y1006),$V$1006:$AE$1006,0)), HYPERLINK("#",""), HYPERLINK(CONCATENATE("#Metadata!", ADDRESS(INDEX($Q$2:$Q$1001,MATCH(ROWS($O$2:O837),$O$2:$O$1001,0),0), INDEX($V$1004:$AE$1004,1,MATCH(COLUMNS($V$1006:Y1006),$V$1006:$AE$1006,0)))),"Fix")))</f>
        <v>0</v>
      </c>
      <c r="F837" s="4">
        <f>IF(OR(INDEX($P$2:$P$1001,MATCH(ROWS($O$2:O837),$O$2:$O$1001,0),1)&gt;=100000,INDEX($V$1005:$AE$1005,1,MATCH(COLUMNS($V$1006:Z1006),$V$1006:$AE$1006,0))&gt;=100000), " ",IF(INDEX($V$2:$AE$1001,MATCH(ROWS($O$2:O837),$O$2:$O$1001,0),MATCH(COLUMNS($V$1006:Z1006),$V$1006:$AE$1006,0)), HYPERLINK("#",""), HYPERLINK(CONCATENATE("#Metadata!", ADDRESS(INDEX($Q$2:$Q$1001,MATCH(ROWS($O$2:O837),$O$2:$O$1001,0),0), INDEX($V$1004:$AE$1004,1,MATCH(COLUMNS($V$1006:Z1006),$V$1006:$AE$1006,0)))),"Fix")))</f>
        <v>0</v>
      </c>
      <c r="G837" s="4">
        <f>IF(OR(INDEX($P$2:$P$1001,MATCH(ROWS($O$2:O837),$O$2:$O$1001,0),1)&gt;=100000,INDEX($V$1005:$AE$1005,1,MATCH(COLUMNS($V$1006:AA1006),$V$1006:$AE$1006,0))&gt;=100000), " ",IF(INDEX($V$2:$AE$1001,MATCH(ROWS($O$2:O837),$O$2:$O$1001,0),MATCH(COLUMNS($V$1006:AA1006),$V$1006:$AE$1006,0)), HYPERLINK("#",""), HYPERLINK(CONCATENATE("#Metadata!", ADDRESS(INDEX($Q$2:$Q$1001,MATCH(ROWS($O$2:O837),$O$2:$O$1001,0),0), INDEX($V$1004:$AE$1004,1,MATCH(COLUMNS($V$1006:AA1006),$V$1006:$AE$1006,0)))),"Fix")))</f>
        <v>0</v>
      </c>
      <c r="H837" s="4">
        <f>IF(OR(INDEX($P$2:$P$1001,MATCH(ROWS($O$2:O837),$O$2:$O$1001,0),1)&gt;=100000,INDEX($V$1005:$AE$1005,1,MATCH(COLUMNS($V$1006:AB1006),$V$1006:$AE$1006,0))&gt;=100000), " ",IF(INDEX($V$2:$AE$1001,MATCH(ROWS($O$2:O837),$O$2:$O$1001,0),MATCH(COLUMNS($V$1006:AB1006),$V$1006:$AE$1006,0)), HYPERLINK("#",""), HYPERLINK(CONCATENATE("#Metadata!", ADDRESS(INDEX($Q$2:$Q$1001,MATCH(ROWS($O$2:O837),$O$2:$O$1001,0),0), INDEX($V$1004:$AE$1004,1,MATCH(COLUMNS($V$1006:AB1006),$V$1006:$AE$1006,0)))),"Fix")))</f>
        <v>0</v>
      </c>
      <c r="I837" s="4">
        <f>IF(OR(INDEX($P$2:$P$1001,MATCH(ROWS($O$2:O837),$O$2:$O$1001,0),1)&gt;=100000,INDEX($V$1005:$AE$1005,1,MATCH(COLUMNS($V$1006:AC1006),$V$1006:$AE$1006,0))&gt;=100000), " ",IF(INDEX($V$2:$AE$1001,MATCH(ROWS($O$2:O837),$O$2:$O$1001,0),MATCH(COLUMNS($V$1006:AC1006),$V$1006:$AE$1006,0)), HYPERLINK("#",""), HYPERLINK(CONCATENATE("#Metadata!", ADDRESS(INDEX($Q$2:$Q$1001,MATCH(ROWS($O$2:O837),$O$2:$O$1001,0),0), INDEX($V$1004:$AE$1004,1,MATCH(COLUMNS($V$1006:AC1006),$V$1006:$AE$1006,0)))),"Fix")))</f>
        <v>0</v>
      </c>
      <c r="J837" s="4">
        <f>IF(OR(INDEX($P$2:$P$1001,MATCH(ROWS($O$2:O837),$O$2:$O$1001,0),1)&gt;=100000,INDEX($V$1005:$AE$1005,1,MATCH(COLUMNS($V$1006:AD1006),$V$1006:$AE$1006,0))&gt;=100000), " ",IF(INDEX($V$2:$AE$1001,MATCH(ROWS($O$2:O837),$O$2:$O$1001,0),MATCH(COLUMNS($V$1006:AD1006),$V$1006:$AE$1006,0)), HYPERLINK("#",""), HYPERLINK(CONCATENATE("#Metadata!", ADDRESS(INDEX($Q$2:$Q$1001,MATCH(ROWS($O$2:O837),$O$2:$O$1001,0),0), INDEX($V$1004:$AE$1004,1,MATCH(COLUMNS($V$1006:AD1006),$V$1006:$AE$1006,0)))),"Fix")))</f>
        <v>0</v>
      </c>
      <c r="K837" s="4">
        <f>IF(OR(INDEX($P$2:$P$1001,MATCH(ROWS($O$2:O837),$O$2:$O$1001,0),1)&gt;=100000,INDEX($V$1005:$AE$1005,1,MATCH(COLUMNS($V$1006:AE1006),$V$1006:$AE$1006,0))&gt;=100000), " ",IF(INDEX($V$2:$AE$1001,MATCH(ROWS($O$2:O837),$O$2:$O$1001,0),MATCH(COLUMNS($V$1006:AE1006),$V$1006:$AE$1006,0)), HYPERLINK("#",""), HYPERLINK(CONCATENATE("#Metadata!", ADDRESS(INDEX($Q$2:$Q$1001,MATCH(ROWS($O$2:O837),$O$2:$O$1001,0),0), INDEX($V$1004:$AE$1004,1,MATCH(COLUMNS($V$1006:AE1006),$V$1006:$AE$1006,0)))),"Fix")))</f>
        <v>0</v>
      </c>
      <c r="O837">
        <v>0</v>
      </c>
      <c r="P837">
        <v>0</v>
      </c>
      <c r="Q837">
        <v>0</v>
      </c>
      <c r="R837">
        <f>IF(S837,TRUE,AND(V837:AE837))</f>
        <v>0</v>
      </c>
      <c r="S837">
        <f>COUNTBLANK(Metadata!B837:K837)=COLUMNS(Metadata!B837:K837)</f>
        <v>0</v>
      </c>
      <c r="T837">
        <v>0</v>
      </c>
      <c r="V837">
        <f>AND(IF(Metadata!B837="",FALSE,TRUE),COUNTIF(Metadata!B:B, Metadata!B837) = 1,NOT(ISERROR(SUMPRODUCT(SEARCH(MID(Metadata!B837,ROW(INDIRECT("1:"&amp;LEN(Metadata!B837))), 1),"0123456789abcdefghijklmnopqrstuvwxyzABCDEFGHIJKLMNOPQRSTUVWXYZ.")))))</f>
        <v>0</v>
      </c>
      <c r="W837">
        <f>AND(IF(Metadata!C837="",FALSE,TRUE),exact(Metadata!C837,"urban biome"))</f>
        <v>0</v>
      </c>
      <c r="X837">
        <f>AND(IF(Metadata!D837="",FALSE,TRUE),exact(Metadata!D837,"animal-associated habitat"))</f>
        <v>0</v>
      </c>
      <c r="Y837">
        <f>OR(AND(IF(Metadata!E837="",FALSE,TRUE),OR(exact(Metadata!E837,"not applicable"),exact(Metadata!E837,"missing: not collected"),exact(Metadata!E837,"missing: not provided"),exact(Metadata!E837,"missing: restricted access"))),AND(IF(Metadata!E837="",FALSE,ISNUMBER(VALUE(Metadata!E837))),Metadata!E837&gt;0))</f>
        <v>0</v>
      </c>
      <c r="Z837">
        <f>AND(IF(Metadata!F837="",FALSE,TRUE),exact(Metadata!F837,"weeks"))</f>
        <v>0</v>
      </c>
      <c r="AA837">
        <f>AND(IF(Metadata!G837="",FALSE,TRUE),exact(Metadata!G837,"mouse"))</f>
        <v>0</v>
      </c>
      <c r="AB837">
        <f>AND(IF(Metadata!H837="",FALSE,TRUE),exact(Metadata!H837,"Mus musculus"))</f>
        <v>0</v>
      </c>
      <c r="AC837">
        <f>AND(IF(Metadata!I837="",FALSE,TRUE),exact(Metadata!I837,"10090"))</f>
        <v>0</v>
      </c>
      <c r="AD837">
        <f>OR(AND(IF(Metadata!J837="",FALSE,TRUE),OR(exact(Metadata!J837,"not applicable"),exact(Metadata!J837,"missing: not collected"),exact(Metadata!J837,"missing: not provided"),exact(Metadata!J837,"missing: restricted access"))),AND(IF(Metadata!J837="",FALSE,ISNUMBER(VALUE(Metadata!J837))),Metadata!J837&gt;0))</f>
        <v>0</v>
      </c>
      <c r="AE837">
        <f>AND(IF(Metadata!K837="",FALSE,TRUE),exact(Metadata!K837,"g"))</f>
        <v>0</v>
      </c>
    </row>
    <row r="838" spans="1:31">
      <c r="A838" s="5">
        <f>IF(B838=" "," ",HYPERLINK(CONCATENATE("#metadata!",ADDRESS(INDEX($Q$2:$Q$1001,MATCH(ROWS($O$2:O838),$O$2:$O$1001,0),0),1)),INDEX($T$2:$T$1001,MATCH(ROWS($O$2:O838),$O$2:$O$1001,0),0)))</f>
        <v>0</v>
      </c>
      <c r="B838" s="4">
        <f>IF(OR(INDEX($P$2:$P$1001,MATCH(ROWS($O$2:O838),$O$2:$O$1001,0),1)&gt;=100000,INDEX($V$1005:$AE$1005,1,MATCH(COLUMNS($V$1006:V1006),$V$1006:$AE$1006,0))&gt;=100000), " ",IF(INDEX($V$2:$AE$1001,MATCH(ROWS($O$2:O838),$O$2:$O$1001,0),MATCH(COLUMNS($V$1006:V1006),$V$1006:$AE$1006,0)), HYPERLINK("#",""), HYPERLINK(CONCATENATE("#Metadata!", ADDRESS(INDEX($Q$2:$Q$1001,MATCH(ROWS($O$2:O838),$O$2:$O$1001,0),0), INDEX($V$1004:$AE$1004,1,MATCH(COLUMNS($V$1006:V1006),$V$1006:$AE$1006,0)))),"Fix")))</f>
        <v>0</v>
      </c>
      <c r="C838" s="4">
        <f>IF(OR(INDEX($P$2:$P$1001,MATCH(ROWS($O$2:O838),$O$2:$O$1001,0),1)&gt;=100000,INDEX($V$1005:$AE$1005,1,MATCH(COLUMNS($V$1006:W1006),$V$1006:$AE$1006,0))&gt;=100000), " ",IF(INDEX($V$2:$AE$1001,MATCH(ROWS($O$2:O838),$O$2:$O$1001,0),MATCH(COLUMNS($V$1006:W1006),$V$1006:$AE$1006,0)), HYPERLINK("#",""), HYPERLINK(CONCATENATE("#Metadata!", ADDRESS(INDEX($Q$2:$Q$1001,MATCH(ROWS($O$2:O838),$O$2:$O$1001,0),0), INDEX($V$1004:$AE$1004,1,MATCH(COLUMNS($V$1006:W1006),$V$1006:$AE$1006,0)))),"Fix")))</f>
        <v>0</v>
      </c>
      <c r="D838" s="4">
        <f>IF(OR(INDEX($P$2:$P$1001,MATCH(ROWS($O$2:O838),$O$2:$O$1001,0),1)&gt;=100000,INDEX($V$1005:$AE$1005,1,MATCH(COLUMNS($V$1006:X1006),$V$1006:$AE$1006,0))&gt;=100000), " ",IF(INDEX($V$2:$AE$1001,MATCH(ROWS($O$2:O838),$O$2:$O$1001,0),MATCH(COLUMNS($V$1006:X1006),$V$1006:$AE$1006,0)), HYPERLINK("#",""), HYPERLINK(CONCATENATE("#Metadata!", ADDRESS(INDEX($Q$2:$Q$1001,MATCH(ROWS($O$2:O838),$O$2:$O$1001,0),0), INDEX($V$1004:$AE$1004,1,MATCH(COLUMNS($V$1006:X1006),$V$1006:$AE$1006,0)))),"Fix")))</f>
        <v>0</v>
      </c>
      <c r="E838" s="4">
        <f>IF(OR(INDEX($P$2:$P$1001,MATCH(ROWS($O$2:O838),$O$2:$O$1001,0),1)&gt;=100000,INDEX($V$1005:$AE$1005,1,MATCH(COLUMNS($V$1006:Y1006),$V$1006:$AE$1006,0))&gt;=100000), " ",IF(INDEX($V$2:$AE$1001,MATCH(ROWS($O$2:O838),$O$2:$O$1001,0),MATCH(COLUMNS($V$1006:Y1006),$V$1006:$AE$1006,0)), HYPERLINK("#",""), HYPERLINK(CONCATENATE("#Metadata!", ADDRESS(INDEX($Q$2:$Q$1001,MATCH(ROWS($O$2:O838),$O$2:$O$1001,0),0), INDEX($V$1004:$AE$1004,1,MATCH(COLUMNS($V$1006:Y1006),$V$1006:$AE$1006,0)))),"Fix")))</f>
        <v>0</v>
      </c>
      <c r="F838" s="4">
        <f>IF(OR(INDEX($P$2:$P$1001,MATCH(ROWS($O$2:O838),$O$2:$O$1001,0),1)&gt;=100000,INDEX($V$1005:$AE$1005,1,MATCH(COLUMNS($V$1006:Z1006),$V$1006:$AE$1006,0))&gt;=100000), " ",IF(INDEX($V$2:$AE$1001,MATCH(ROWS($O$2:O838),$O$2:$O$1001,0),MATCH(COLUMNS($V$1006:Z1006),$V$1006:$AE$1006,0)), HYPERLINK("#",""), HYPERLINK(CONCATENATE("#Metadata!", ADDRESS(INDEX($Q$2:$Q$1001,MATCH(ROWS($O$2:O838),$O$2:$O$1001,0),0), INDEX($V$1004:$AE$1004,1,MATCH(COLUMNS($V$1006:Z1006),$V$1006:$AE$1006,0)))),"Fix")))</f>
        <v>0</v>
      </c>
      <c r="G838" s="4">
        <f>IF(OR(INDEX($P$2:$P$1001,MATCH(ROWS($O$2:O838),$O$2:$O$1001,0),1)&gt;=100000,INDEX($V$1005:$AE$1005,1,MATCH(COLUMNS($V$1006:AA1006),$V$1006:$AE$1006,0))&gt;=100000), " ",IF(INDEX($V$2:$AE$1001,MATCH(ROWS($O$2:O838),$O$2:$O$1001,0),MATCH(COLUMNS($V$1006:AA1006),$V$1006:$AE$1006,0)), HYPERLINK("#",""), HYPERLINK(CONCATENATE("#Metadata!", ADDRESS(INDEX($Q$2:$Q$1001,MATCH(ROWS($O$2:O838),$O$2:$O$1001,0),0), INDEX($V$1004:$AE$1004,1,MATCH(COLUMNS($V$1006:AA1006),$V$1006:$AE$1006,0)))),"Fix")))</f>
        <v>0</v>
      </c>
      <c r="H838" s="4">
        <f>IF(OR(INDEX($P$2:$P$1001,MATCH(ROWS($O$2:O838),$O$2:$O$1001,0),1)&gt;=100000,INDEX($V$1005:$AE$1005,1,MATCH(COLUMNS($V$1006:AB1006),$V$1006:$AE$1006,0))&gt;=100000), " ",IF(INDEX($V$2:$AE$1001,MATCH(ROWS($O$2:O838),$O$2:$O$1001,0),MATCH(COLUMNS($V$1006:AB1006),$V$1006:$AE$1006,0)), HYPERLINK("#",""), HYPERLINK(CONCATENATE("#Metadata!", ADDRESS(INDEX($Q$2:$Q$1001,MATCH(ROWS($O$2:O838),$O$2:$O$1001,0),0), INDEX($V$1004:$AE$1004,1,MATCH(COLUMNS($V$1006:AB1006),$V$1006:$AE$1006,0)))),"Fix")))</f>
        <v>0</v>
      </c>
      <c r="I838" s="4">
        <f>IF(OR(INDEX($P$2:$P$1001,MATCH(ROWS($O$2:O838),$O$2:$O$1001,0),1)&gt;=100000,INDEX($V$1005:$AE$1005,1,MATCH(COLUMNS($V$1006:AC1006),$V$1006:$AE$1006,0))&gt;=100000), " ",IF(INDEX($V$2:$AE$1001,MATCH(ROWS($O$2:O838),$O$2:$O$1001,0),MATCH(COLUMNS($V$1006:AC1006),$V$1006:$AE$1006,0)), HYPERLINK("#",""), HYPERLINK(CONCATENATE("#Metadata!", ADDRESS(INDEX($Q$2:$Q$1001,MATCH(ROWS($O$2:O838),$O$2:$O$1001,0),0), INDEX($V$1004:$AE$1004,1,MATCH(COLUMNS($V$1006:AC1006),$V$1006:$AE$1006,0)))),"Fix")))</f>
        <v>0</v>
      </c>
      <c r="J838" s="4">
        <f>IF(OR(INDEX($P$2:$P$1001,MATCH(ROWS($O$2:O838),$O$2:$O$1001,0),1)&gt;=100000,INDEX($V$1005:$AE$1005,1,MATCH(COLUMNS($V$1006:AD1006),$V$1006:$AE$1006,0))&gt;=100000), " ",IF(INDEX($V$2:$AE$1001,MATCH(ROWS($O$2:O838),$O$2:$O$1001,0),MATCH(COLUMNS($V$1006:AD1006),$V$1006:$AE$1006,0)), HYPERLINK("#",""), HYPERLINK(CONCATENATE("#Metadata!", ADDRESS(INDEX($Q$2:$Q$1001,MATCH(ROWS($O$2:O838),$O$2:$O$1001,0),0), INDEX($V$1004:$AE$1004,1,MATCH(COLUMNS($V$1006:AD1006),$V$1006:$AE$1006,0)))),"Fix")))</f>
        <v>0</v>
      </c>
      <c r="K838" s="4">
        <f>IF(OR(INDEX($P$2:$P$1001,MATCH(ROWS($O$2:O838),$O$2:$O$1001,0),1)&gt;=100000,INDEX($V$1005:$AE$1005,1,MATCH(COLUMNS($V$1006:AE1006),$V$1006:$AE$1006,0))&gt;=100000), " ",IF(INDEX($V$2:$AE$1001,MATCH(ROWS($O$2:O838),$O$2:$O$1001,0),MATCH(COLUMNS($V$1006:AE1006),$V$1006:$AE$1006,0)), HYPERLINK("#",""), HYPERLINK(CONCATENATE("#Metadata!", ADDRESS(INDEX($Q$2:$Q$1001,MATCH(ROWS($O$2:O838),$O$2:$O$1001,0),0), INDEX($V$1004:$AE$1004,1,MATCH(COLUMNS($V$1006:AE1006),$V$1006:$AE$1006,0)))),"Fix")))</f>
        <v>0</v>
      </c>
      <c r="O838">
        <v>0</v>
      </c>
      <c r="P838">
        <v>0</v>
      </c>
      <c r="Q838">
        <v>0</v>
      </c>
      <c r="R838">
        <f>IF(S838,TRUE,AND(V838:AE838))</f>
        <v>0</v>
      </c>
      <c r="S838">
        <f>COUNTBLANK(Metadata!B838:K838)=COLUMNS(Metadata!B838:K838)</f>
        <v>0</v>
      </c>
      <c r="T838">
        <v>0</v>
      </c>
      <c r="V838">
        <f>AND(IF(Metadata!B838="",FALSE,TRUE),COUNTIF(Metadata!B:B, Metadata!B838) = 1,NOT(ISERROR(SUMPRODUCT(SEARCH(MID(Metadata!B838,ROW(INDIRECT("1:"&amp;LEN(Metadata!B838))), 1),"0123456789abcdefghijklmnopqrstuvwxyzABCDEFGHIJKLMNOPQRSTUVWXYZ.")))))</f>
        <v>0</v>
      </c>
      <c r="W838">
        <f>AND(IF(Metadata!C838="",FALSE,TRUE),exact(Metadata!C838,"urban biome"))</f>
        <v>0</v>
      </c>
      <c r="X838">
        <f>AND(IF(Metadata!D838="",FALSE,TRUE),exact(Metadata!D838,"animal-associated habitat"))</f>
        <v>0</v>
      </c>
      <c r="Y838">
        <f>OR(AND(IF(Metadata!E838="",FALSE,TRUE),OR(exact(Metadata!E838,"not applicable"),exact(Metadata!E838,"missing: not collected"),exact(Metadata!E838,"missing: not provided"),exact(Metadata!E838,"missing: restricted access"))),AND(IF(Metadata!E838="",FALSE,ISNUMBER(VALUE(Metadata!E838))),Metadata!E838&gt;0))</f>
        <v>0</v>
      </c>
      <c r="Z838">
        <f>AND(IF(Metadata!F838="",FALSE,TRUE),exact(Metadata!F838,"weeks"))</f>
        <v>0</v>
      </c>
      <c r="AA838">
        <f>AND(IF(Metadata!G838="",FALSE,TRUE),exact(Metadata!G838,"mouse"))</f>
        <v>0</v>
      </c>
      <c r="AB838">
        <f>AND(IF(Metadata!H838="",FALSE,TRUE),exact(Metadata!H838,"Mus musculus"))</f>
        <v>0</v>
      </c>
      <c r="AC838">
        <f>AND(IF(Metadata!I838="",FALSE,TRUE),exact(Metadata!I838,"10090"))</f>
        <v>0</v>
      </c>
      <c r="AD838">
        <f>OR(AND(IF(Metadata!J838="",FALSE,TRUE),OR(exact(Metadata!J838,"not applicable"),exact(Metadata!J838,"missing: not collected"),exact(Metadata!J838,"missing: not provided"),exact(Metadata!J838,"missing: restricted access"))),AND(IF(Metadata!J838="",FALSE,ISNUMBER(VALUE(Metadata!J838))),Metadata!J838&gt;0))</f>
        <v>0</v>
      </c>
      <c r="AE838">
        <f>AND(IF(Metadata!K838="",FALSE,TRUE),exact(Metadata!K838,"g"))</f>
        <v>0</v>
      </c>
    </row>
    <row r="839" spans="1:31">
      <c r="A839" s="5">
        <f>IF(B839=" "," ",HYPERLINK(CONCATENATE("#metadata!",ADDRESS(INDEX($Q$2:$Q$1001,MATCH(ROWS($O$2:O839),$O$2:$O$1001,0),0),1)),INDEX($T$2:$T$1001,MATCH(ROWS($O$2:O839),$O$2:$O$1001,0),0)))</f>
        <v>0</v>
      </c>
      <c r="B839" s="4">
        <f>IF(OR(INDEX($P$2:$P$1001,MATCH(ROWS($O$2:O839),$O$2:$O$1001,0),1)&gt;=100000,INDEX($V$1005:$AE$1005,1,MATCH(COLUMNS($V$1006:V1006),$V$1006:$AE$1006,0))&gt;=100000), " ",IF(INDEX($V$2:$AE$1001,MATCH(ROWS($O$2:O839),$O$2:$O$1001,0),MATCH(COLUMNS($V$1006:V1006),$V$1006:$AE$1006,0)), HYPERLINK("#",""), HYPERLINK(CONCATENATE("#Metadata!", ADDRESS(INDEX($Q$2:$Q$1001,MATCH(ROWS($O$2:O839),$O$2:$O$1001,0),0), INDEX($V$1004:$AE$1004,1,MATCH(COLUMNS($V$1006:V1006),$V$1006:$AE$1006,0)))),"Fix")))</f>
        <v>0</v>
      </c>
      <c r="C839" s="4">
        <f>IF(OR(INDEX($P$2:$P$1001,MATCH(ROWS($O$2:O839),$O$2:$O$1001,0),1)&gt;=100000,INDEX($V$1005:$AE$1005,1,MATCH(COLUMNS($V$1006:W1006),$V$1006:$AE$1006,0))&gt;=100000), " ",IF(INDEX($V$2:$AE$1001,MATCH(ROWS($O$2:O839),$O$2:$O$1001,0),MATCH(COLUMNS($V$1006:W1006),$V$1006:$AE$1006,0)), HYPERLINK("#",""), HYPERLINK(CONCATENATE("#Metadata!", ADDRESS(INDEX($Q$2:$Q$1001,MATCH(ROWS($O$2:O839),$O$2:$O$1001,0),0), INDEX($V$1004:$AE$1004,1,MATCH(COLUMNS($V$1006:W1006),$V$1006:$AE$1006,0)))),"Fix")))</f>
        <v>0</v>
      </c>
      <c r="D839" s="4">
        <f>IF(OR(INDEX($P$2:$P$1001,MATCH(ROWS($O$2:O839),$O$2:$O$1001,0),1)&gt;=100000,INDEX($V$1005:$AE$1005,1,MATCH(COLUMNS($V$1006:X1006),$V$1006:$AE$1006,0))&gt;=100000), " ",IF(INDEX($V$2:$AE$1001,MATCH(ROWS($O$2:O839),$O$2:$O$1001,0),MATCH(COLUMNS($V$1006:X1006),$V$1006:$AE$1006,0)), HYPERLINK("#",""), HYPERLINK(CONCATENATE("#Metadata!", ADDRESS(INDEX($Q$2:$Q$1001,MATCH(ROWS($O$2:O839),$O$2:$O$1001,0),0), INDEX($V$1004:$AE$1004,1,MATCH(COLUMNS($V$1006:X1006),$V$1006:$AE$1006,0)))),"Fix")))</f>
        <v>0</v>
      </c>
      <c r="E839" s="4">
        <f>IF(OR(INDEX($P$2:$P$1001,MATCH(ROWS($O$2:O839),$O$2:$O$1001,0),1)&gt;=100000,INDEX($V$1005:$AE$1005,1,MATCH(COLUMNS($V$1006:Y1006),$V$1006:$AE$1006,0))&gt;=100000), " ",IF(INDEX($V$2:$AE$1001,MATCH(ROWS($O$2:O839),$O$2:$O$1001,0),MATCH(COLUMNS($V$1006:Y1006),$V$1006:$AE$1006,0)), HYPERLINK("#",""), HYPERLINK(CONCATENATE("#Metadata!", ADDRESS(INDEX($Q$2:$Q$1001,MATCH(ROWS($O$2:O839),$O$2:$O$1001,0),0), INDEX($V$1004:$AE$1004,1,MATCH(COLUMNS($V$1006:Y1006),$V$1006:$AE$1006,0)))),"Fix")))</f>
        <v>0</v>
      </c>
      <c r="F839" s="4">
        <f>IF(OR(INDEX($P$2:$P$1001,MATCH(ROWS($O$2:O839),$O$2:$O$1001,0),1)&gt;=100000,INDEX($V$1005:$AE$1005,1,MATCH(COLUMNS($V$1006:Z1006),$V$1006:$AE$1006,0))&gt;=100000), " ",IF(INDEX($V$2:$AE$1001,MATCH(ROWS($O$2:O839),$O$2:$O$1001,0),MATCH(COLUMNS($V$1006:Z1006),$V$1006:$AE$1006,0)), HYPERLINK("#",""), HYPERLINK(CONCATENATE("#Metadata!", ADDRESS(INDEX($Q$2:$Q$1001,MATCH(ROWS($O$2:O839),$O$2:$O$1001,0),0), INDEX($V$1004:$AE$1004,1,MATCH(COLUMNS($V$1006:Z1006),$V$1006:$AE$1006,0)))),"Fix")))</f>
        <v>0</v>
      </c>
      <c r="G839" s="4">
        <f>IF(OR(INDEX($P$2:$P$1001,MATCH(ROWS($O$2:O839),$O$2:$O$1001,0),1)&gt;=100000,INDEX($V$1005:$AE$1005,1,MATCH(COLUMNS($V$1006:AA1006),$V$1006:$AE$1006,0))&gt;=100000), " ",IF(INDEX($V$2:$AE$1001,MATCH(ROWS($O$2:O839),$O$2:$O$1001,0),MATCH(COLUMNS($V$1006:AA1006),$V$1006:$AE$1006,0)), HYPERLINK("#",""), HYPERLINK(CONCATENATE("#Metadata!", ADDRESS(INDEX($Q$2:$Q$1001,MATCH(ROWS($O$2:O839),$O$2:$O$1001,0),0), INDEX($V$1004:$AE$1004,1,MATCH(COLUMNS($V$1006:AA1006),$V$1006:$AE$1006,0)))),"Fix")))</f>
        <v>0</v>
      </c>
      <c r="H839" s="4">
        <f>IF(OR(INDEX($P$2:$P$1001,MATCH(ROWS($O$2:O839),$O$2:$O$1001,0),1)&gt;=100000,INDEX($V$1005:$AE$1005,1,MATCH(COLUMNS($V$1006:AB1006),$V$1006:$AE$1006,0))&gt;=100000), " ",IF(INDEX($V$2:$AE$1001,MATCH(ROWS($O$2:O839),$O$2:$O$1001,0),MATCH(COLUMNS($V$1006:AB1006),$V$1006:$AE$1006,0)), HYPERLINK("#",""), HYPERLINK(CONCATENATE("#Metadata!", ADDRESS(INDEX($Q$2:$Q$1001,MATCH(ROWS($O$2:O839),$O$2:$O$1001,0),0), INDEX($V$1004:$AE$1004,1,MATCH(COLUMNS($V$1006:AB1006),$V$1006:$AE$1006,0)))),"Fix")))</f>
        <v>0</v>
      </c>
      <c r="I839" s="4">
        <f>IF(OR(INDEX($P$2:$P$1001,MATCH(ROWS($O$2:O839),$O$2:$O$1001,0),1)&gt;=100000,INDEX($V$1005:$AE$1005,1,MATCH(COLUMNS($V$1006:AC1006),$V$1006:$AE$1006,0))&gt;=100000), " ",IF(INDEX($V$2:$AE$1001,MATCH(ROWS($O$2:O839),$O$2:$O$1001,0),MATCH(COLUMNS($V$1006:AC1006),$V$1006:$AE$1006,0)), HYPERLINK("#",""), HYPERLINK(CONCATENATE("#Metadata!", ADDRESS(INDEX($Q$2:$Q$1001,MATCH(ROWS($O$2:O839),$O$2:$O$1001,0),0), INDEX($V$1004:$AE$1004,1,MATCH(COLUMNS($V$1006:AC1006),$V$1006:$AE$1006,0)))),"Fix")))</f>
        <v>0</v>
      </c>
      <c r="J839" s="4">
        <f>IF(OR(INDEX($P$2:$P$1001,MATCH(ROWS($O$2:O839),$O$2:$O$1001,0),1)&gt;=100000,INDEX($V$1005:$AE$1005,1,MATCH(COLUMNS($V$1006:AD1006),$V$1006:$AE$1006,0))&gt;=100000), " ",IF(INDEX($V$2:$AE$1001,MATCH(ROWS($O$2:O839),$O$2:$O$1001,0),MATCH(COLUMNS($V$1006:AD1006),$V$1006:$AE$1006,0)), HYPERLINK("#",""), HYPERLINK(CONCATENATE("#Metadata!", ADDRESS(INDEX($Q$2:$Q$1001,MATCH(ROWS($O$2:O839),$O$2:$O$1001,0),0), INDEX($V$1004:$AE$1004,1,MATCH(COLUMNS($V$1006:AD1006),$V$1006:$AE$1006,0)))),"Fix")))</f>
        <v>0</v>
      </c>
      <c r="K839" s="4">
        <f>IF(OR(INDEX($P$2:$P$1001,MATCH(ROWS($O$2:O839),$O$2:$O$1001,0),1)&gt;=100000,INDEX($V$1005:$AE$1005,1,MATCH(COLUMNS($V$1006:AE1006),$V$1006:$AE$1006,0))&gt;=100000), " ",IF(INDEX($V$2:$AE$1001,MATCH(ROWS($O$2:O839),$O$2:$O$1001,0),MATCH(COLUMNS($V$1006:AE1006),$V$1006:$AE$1006,0)), HYPERLINK("#",""), HYPERLINK(CONCATENATE("#Metadata!", ADDRESS(INDEX($Q$2:$Q$1001,MATCH(ROWS($O$2:O839),$O$2:$O$1001,0),0), INDEX($V$1004:$AE$1004,1,MATCH(COLUMNS($V$1006:AE1006),$V$1006:$AE$1006,0)))),"Fix")))</f>
        <v>0</v>
      </c>
      <c r="O839">
        <v>0</v>
      </c>
      <c r="P839">
        <v>0</v>
      </c>
      <c r="Q839">
        <v>0</v>
      </c>
      <c r="R839">
        <f>IF(S839,TRUE,AND(V839:AE839))</f>
        <v>0</v>
      </c>
      <c r="S839">
        <f>COUNTBLANK(Metadata!B839:K839)=COLUMNS(Metadata!B839:K839)</f>
        <v>0</v>
      </c>
      <c r="T839">
        <v>0</v>
      </c>
      <c r="V839">
        <f>AND(IF(Metadata!B839="",FALSE,TRUE),COUNTIF(Metadata!B:B, Metadata!B839) = 1,NOT(ISERROR(SUMPRODUCT(SEARCH(MID(Metadata!B839,ROW(INDIRECT("1:"&amp;LEN(Metadata!B839))), 1),"0123456789abcdefghijklmnopqrstuvwxyzABCDEFGHIJKLMNOPQRSTUVWXYZ.")))))</f>
        <v>0</v>
      </c>
      <c r="W839">
        <f>AND(IF(Metadata!C839="",FALSE,TRUE),exact(Metadata!C839,"urban biome"))</f>
        <v>0</v>
      </c>
      <c r="X839">
        <f>AND(IF(Metadata!D839="",FALSE,TRUE),exact(Metadata!D839,"animal-associated habitat"))</f>
        <v>0</v>
      </c>
      <c r="Y839">
        <f>OR(AND(IF(Metadata!E839="",FALSE,TRUE),OR(exact(Metadata!E839,"not applicable"),exact(Metadata!E839,"missing: not collected"),exact(Metadata!E839,"missing: not provided"),exact(Metadata!E839,"missing: restricted access"))),AND(IF(Metadata!E839="",FALSE,ISNUMBER(VALUE(Metadata!E839))),Metadata!E839&gt;0))</f>
        <v>0</v>
      </c>
      <c r="Z839">
        <f>AND(IF(Metadata!F839="",FALSE,TRUE),exact(Metadata!F839,"weeks"))</f>
        <v>0</v>
      </c>
      <c r="AA839">
        <f>AND(IF(Metadata!G839="",FALSE,TRUE),exact(Metadata!G839,"mouse"))</f>
        <v>0</v>
      </c>
      <c r="AB839">
        <f>AND(IF(Metadata!H839="",FALSE,TRUE),exact(Metadata!H839,"Mus musculus"))</f>
        <v>0</v>
      </c>
      <c r="AC839">
        <f>AND(IF(Metadata!I839="",FALSE,TRUE),exact(Metadata!I839,"10090"))</f>
        <v>0</v>
      </c>
      <c r="AD839">
        <f>OR(AND(IF(Metadata!J839="",FALSE,TRUE),OR(exact(Metadata!J839,"not applicable"),exact(Metadata!J839,"missing: not collected"),exact(Metadata!J839,"missing: not provided"),exact(Metadata!J839,"missing: restricted access"))),AND(IF(Metadata!J839="",FALSE,ISNUMBER(VALUE(Metadata!J839))),Metadata!J839&gt;0))</f>
        <v>0</v>
      </c>
      <c r="AE839">
        <f>AND(IF(Metadata!K839="",FALSE,TRUE),exact(Metadata!K839,"g"))</f>
        <v>0</v>
      </c>
    </row>
    <row r="840" spans="1:31">
      <c r="A840" s="5">
        <f>IF(B840=" "," ",HYPERLINK(CONCATENATE("#metadata!",ADDRESS(INDEX($Q$2:$Q$1001,MATCH(ROWS($O$2:O840),$O$2:$O$1001,0),0),1)),INDEX($T$2:$T$1001,MATCH(ROWS($O$2:O840),$O$2:$O$1001,0),0)))</f>
        <v>0</v>
      </c>
      <c r="B840" s="4">
        <f>IF(OR(INDEX($P$2:$P$1001,MATCH(ROWS($O$2:O840),$O$2:$O$1001,0),1)&gt;=100000,INDEX($V$1005:$AE$1005,1,MATCH(COLUMNS($V$1006:V1006),$V$1006:$AE$1006,0))&gt;=100000), " ",IF(INDEX($V$2:$AE$1001,MATCH(ROWS($O$2:O840),$O$2:$O$1001,0),MATCH(COLUMNS($V$1006:V1006),$V$1006:$AE$1006,0)), HYPERLINK("#",""), HYPERLINK(CONCATENATE("#Metadata!", ADDRESS(INDEX($Q$2:$Q$1001,MATCH(ROWS($O$2:O840),$O$2:$O$1001,0),0), INDEX($V$1004:$AE$1004,1,MATCH(COLUMNS($V$1006:V1006),$V$1006:$AE$1006,0)))),"Fix")))</f>
        <v>0</v>
      </c>
      <c r="C840" s="4">
        <f>IF(OR(INDEX($P$2:$P$1001,MATCH(ROWS($O$2:O840),$O$2:$O$1001,0),1)&gt;=100000,INDEX($V$1005:$AE$1005,1,MATCH(COLUMNS($V$1006:W1006),$V$1006:$AE$1006,0))&gt;=100000), " ",IF(INDEX($V$2:$AE$1001,MATCH(ROWS($O$2:O840),$O$2:$O$1001,0),MATCH(COLUMNS($V$1006:W1006),$V$1006:$AE$1006,0)), HYPERLINK("#",""), HYPERLINK(CONCATENATE("#Metadata!", ADDRESS(INDEX($Q$2:$Q$1001,MATCH(ROWS($O$2:O840),$O$2:$O$1001,0),0), INDEX($V$1004:$AE$1004,1,MATCH(COLUMNS($V$1006:W1006),$V$1006:$AE$1006,0)))),"Fix")))</f>
        <v>0</v>
      </c>
      <c r="D840" s="4">
        <f>IF(OR(INDEX($P$2:$P$1001,MATCH(ROWS($O$2:O840),$O$2:$O$1001,0),1)&gt;=100000,INDEX($V$1005:$AE$1005,1,MATCH(COLUMNS($V$1006:X1006),$V$1006:$AE$1006,0))&gt;=100000), " ",IF(INDEX($V$2:$AE$1001,MATCH(ROWS($O$2:O840),$O$2:$O$1001,0),MATCH(COLUMNS($V$1006:X1006),$V$1006:$AE$1006,0)), HYPERLINK("#",""), HYPERLINK(CONCATENATE("#Metadata!", ADDRESS(INDEX($Q$2:$Q$1001,MATCH(ROWS($O$2:O840),$O$2:$O$1001,0),0), INDEX($V$1004:$AE$1004,1,MATCH(COLUMNS($V$1006:X1006),$V$1006:$AE$1006,0)))),"Fix")))</f>
        <v>0</v>
      </c>
      <c r="E840" s="4">
        <f>IF(OR(INDEX($P$2:$P$1001,MATCH(ROWS($O$2:O840),$O$2:$O$1001,0),1)&gt;=100000,INDEX($V$1005:$AE$1005,1,MATCH(COLUMNS($V$1006:Y1006),$V$1006:$AE$1006,0))&gt;=100000), " ",IF(INDEX($V$2:$AE$1001,MATCH(ROWS($O$2:O840),$O$2:$O$1001,0),MATCH(COLUMNS($V$1006:Y1006),$V$1006:$AE$1006,0)), HYPERLINK("#",""), HYPERLINK(CONCATENATE("#Metadata!", ADDRESS(INDEX($Q$2:$Q$1001,MATCH(ROWS($O$2:O840),$O$2:$O$1001,0),0), INDEX($V$1004:$AE$1004,1,MATCH(COLUMNS($V$1006:Y1006),$V$1006:$AE$1006,0)))),"Fix")))</f>
        <v>0</v>
      </c>
      <c r="F840" s="4">
        <f>IF(OR(INDEX($P$2:$P$1001,MATCH(ROWS($O$2:O840),$O$2:$O$1001,0),1)&gt;=100000,INDEX($V$1005:$AE$1005,1,MATCH(COLUMNS($V$1006:Z1006),$V$1006:$AE$1006,0))&gt;=100000), " ",IF(INDEX($V$2:$AE$1001,MATCH(ROWS($O$2:O840),$O$2:$O$1001,0),MATCH(COLUMNS($V$1006:Z1006),$V$1006:$AE$1006,0)), HYPERLINK("#",""), HYPERLINK(CONCATENATE("#Metadata!", ADDRESS(INDEX($Q$2:$Q$1001,MATCH(ROWS($O$2:O840),$O$2:$O$1001,0),0), INDEX($V$1004:$AE$1004,1,MATCH(COLUMNS($V$1006:Z1006),$V$1006:$AE$1006,0)))),"Fix")))</f>
        <v>0</v>
      </c>
      <c r="G840" s="4">
        <f>IF(OR(INDEX($P$2:$P$1001,MATCH(ROWS($O$2:O840),$O$2:$O$1001,0),1)&gt;=100000,INDEX($V$1005:$AE$1005,1,MATCH(COLUMNS($V$1006:AA1006),$V$1006:$AE$1006,0))&gt;=100000), " ",IF(INDEX($V$2:$AE$1001,MATCH(ROWS($O$2:O840),$O$2:$O$1001,0),MATCH(COLUMNS($V$1006:AA1006),$V$1006:$AE$1006,0)), HYPERLINK("#",""), HYPERLINK(CONCATENATE("#Metadata!", ADDRESS(INDEX($Q$2:$Q$1001,MATCH(ROWS($O$2:O840),$O$2:$O$1001,0),0), INDEX($V$1004:$AE$1004,1,MATCH(COLUMNS($V$1006:AA1006),$V$1006:$AE$1006,0)))),"Fix")))</f>
        <v>0</v>
      </c>
      <c r="H840" s="4">
        <f>IF(OR(INDEX($P$2:$P$1001,MATCH(ROWS($O$2:O840),$O$2:$O$1001,0),1)&gt;=100000,INDEX($V$1005:$AE$1005,1,MATCH(COLUMNS($V$1006:AB1006),$V$1006:$AE$1006,0))&gt;=100000), " ",IF(INDEX($V$2:$AE$1001,MATCH(ROWS($O$2:O840),$O$2:$O$1001,0),MATCH(COLUMNS($V$1006:AB1006),$V$1006:$AE$1006,0)), HYPERLINK("#",""), HYPERLINK(CONCATENATE("#Metadata!", ADDRESS(INDEX($Q$2:$Q$1001,MATCH(ROWS($O$2:O840),$O$2:$O$1001,0),0), INDEX($V$1004:$AE$1004,1,MATCH(COLUMNS($V$1006:AB1006),$V$1006:$AE$1006,0)))),"Fix")))</f>
        <v>0</v>
      </c>
      <c r="I840" s="4">
        <f>IF(OR(INDEX($P$2:$P$1001,MATCH(ROWS($O$2:O840),$O$2:$O$1001,0),1)&gt;=100000,INDEX($V$1005:$AE$1005,1,MATCH(COLUMNS($V$1006:AC1006),$V$1006:$AE$1006,0))&gt;=100000), " ",IF(INDEX($V$2:$AE$1001,MATCH(ROWS($O$2:O840),$O$2:$O$1001,0),MATCH(COLUMNS($V$1006:AC1006),$V$1006:$AE$1006,0)), HYPERLINK("#",""), HYPERLINK(CONCATENATE("#Metadata!", ADDRESS(INDEX($Q$2:$Q$1001,MATCH(ROWS($O$2:O840),$O$2:$O$1001,0),0), INDEX($V$1004:$AE$1004,1,MATCH(COLUMNS($V$1006:AC1006),$V$1006:$AE$1006,0)))),"Fix")))</f>
        <v>0</v>
      </c>
      <c r="J840" s="4">
        <f>IF(OR(INDEX($P$2:$P$1001,MATCH(ROWS($O$2:O840),$O$2:$O$1001,0),1)&gt;=100000,INDEX($V$1005:$AE$1005,1,MATCH(COLUMNS($V$1006:AD1006),$V$1006:$AE$1006,0))&gt;=100000), " ",IF(INDEX($V$2:$AE$1001,MATCH(ROWS($O$2:O840),$O$2:$O$1001,0),MATCH(COLUMNS($V$1006:AD1006),$V$1006:$AE$1006,0)), HYPERLINK("#",""), HYPERLINK(CONCATENATE("#Metadata!", ADDRESS(INDEX($Q$2:$Q$1001,MATCH(ROWS($O$2:O840),$O$2:$O$1001,0),0), INDEX($V$1004:$AE$1004,1,MATCH(COLUMNS($V$1006:AD1006),$V$1006:$AE$1006,0)))),"Fix")))</f>
        <v>0</v>
      </c>
      <c r="K840" s="4">
        <f>IF(OR(INDEX($P$2:$P$1001,MATCH(ROWS($O$2:O840),$O$2:$O$1001,0),1)&gt;=100000,INDEX($V$1005:$AE$1005,1,MATCH(COLUMNS($V$1006:AE1006),$V$1006:$AE$1006,0))&gt;=100000), " ",IF(INDEX($V$2:$AE$1001,MATCH(ROWS($O$2:O840),$O$2:$O$1001,0),MATCH(COLUMNS($V$1006:AE1006),$V$1006:$AE$1006,0)), HYPERLINK("#",""), HYPERLINK(CONCATENATE("#Metadata!", ADDRESS(INDEX($Q$2:$Q$1001,MATCH(ROWS($O$2:O840),$O$2:$O$1001,0),0), INDEX($V$1004:$AE$1004,1,MATCH(COLUMNS($V$1006:AE1006),$V$1006:$AE$1006,0)))),"Fix")))</f>
        <v>0</v>
      </c>
      <c r="O840">
        <v>0</v>
      </c>
      <c r="P840">
        <v>0</v>
      </c>
      <c r="Q840">
        <v>0</v>
      </c>
      <c r="R840">
        <f>IF(S840,TRUE,AND(V840:AE840))</f>
        <v>0</v>
      </c>
      <c r="S840">
        <f>COUNTBLANK(Metadata!B840:K840)=COLUMNS(Metadata!B840:K840)</f>
        <v>0</v>
      </c>
      <c r="T840">
        <v>0</v>
      </c>
      <c r="V840">
        <f>AND(IF(Metadata!B840="",FALSE,TRUE),COUNTIF(Metadata!B:B, Metadata!B840) = 1,NOT(ISERROR(SUMPRODUCT(SEARCH(MID(Metadata!B840,ROW(INDIRECT("1:"&amp;LEN(Metadata!B840))), 1),"0123456789abcdefghijklmnopqrstuvwxyzABCDEFGHIJKLMNOPQRSTUVWXYZ.")))))</f>
        <v>0</v>
      </c>
      <c r="W840">
        <f>AND(IF(Metadata!C840="",FALSE,TRUE),exact(Metadata!C840,"urban biome"))</f>
        <v>0</v>
      </c>
      <c r="X840">
        <f>AND(IF(Metadata!D840="",FALSE,TRUE),exact(Metadata!D840,"animal-associated habitat"))</f>
        <v>0</v>
      </c>
      <c r="Y840">
        <f>OR(AND(IF(Metadata!E840="",FALSE,TRUE),OR(exact(Metadata!E840,"not applicable"),exact(Metadata!E840,"missing: not collected"),exact(Metadata!E840,"missing: not provided"),exact(Metadata!E840,"missing: restricted access"))),AND(IF(Metadata!E840="",FALSE,ISNUMBER(VALUE(Metadata!E840))),Metadata!E840&gt;0))</f>
        <v>0</v>
      </c>
      <c r="Z840">
        <f>AND(IF(Metadata!F840="",FALSE,TRUE),exact(Metadata!F840,"weeks"))</f>
        <v>0</v>
      </c>
      <c r="AA840">
        <f>AND(IF(Metadata!G840="",FALSE,TRUE),exact(Metadata!G840,"mouse"))</f>
        <v>0</v>
      </c>
      <c r="AB840">
        <f>AND(IF(Metadata!H840="",FALSE,TRUE),exact(Metadata!H840,"Mus musculus"))</f>
        <v>0</v>
      </c>
      <c r="AC840">
        <f>AND(IF(Metadata!I840="",FALSE,TRUE),exact(Metadata!I840,"10090"))</f>
        <v>0</v>
      </c>
      <c r="AD840">
        <f>OR(AND(IF(Metadata!J840="",FALSE,TRUE),OR(exact(Metadata!J840,"not applicable"),exact(Metadata!J840,"missing: not collected"),exact(Metadata!J840,"missing: not provided"),exact(Metadata!J840,"missing: restricted access"))),AND(IF(Metadata!J840="",FALSE,ISNUMBER(VALUE(Metadata!J840))),Metadata!J840&gt;0))</f>
        <v>0</v>
      </c>
      <c r="AE840">
        <f>AND(IF(Metadata!K840="",FALSE,TRUE),exact(Metadata!K840,"g"))</f>
        <v>0</v>
      </c>
    </row>
    <row r="841" spans="1:31">
      <c r="A841" s="5">
        <f>IF(B841=" "," ",HYPERLINK(CONCATENATE("#metadata!",ADDRESS(INDEX($Q$2:$Q$1001,MATCH(ROWS($O$2:O841),$O$2:$O$1001,0),0),1)),INDEX($T$2:$T$1001,MATCH(ROWS($O$2:O841),$O$2:$O$1001,0),0)))</f>
        <v>0</v>
      </c>
      <c r="B841" s="4">
        <f>IF(OR(INDEX($P$2:$P$1001,MATCH(ROWS($O$2:O841),$O$2:$O$1001,0),1)&gt;=100000,INDEX($V$1005:$AE$1005,1,MATCH(COLUMNS($V$1006:V1006),$V$1006:$AE$1006,0))&gt;=100000), " ",IF(INDEX($V$2:$AE$1001,MATCH(ROWS($O$2:O841),$O$2:$O$1001,0),MATCH(COLUMNS($V$1006:V1006),$V$1006:$AE$1006,0)), HYPERLINK("#",""), HYPERLINK(CONCATENATE("#Metadata!", ADDRESS(INDEX($Q$2:$Q$1001,MATCH(ROWS($O$2:O841),$O$2:$O$1001,0),0), INDEX($V$1004:$AE$1004,1,MATCH(COLUMNS($V$1006:V1006),$V$1006:$AE$1006,0)))),"Fix")))</f>
        <v>0</v>
      </c>
      <c r="C841" s="4">
        <f>IF(OR(INDEX($P$2:$P$1001,MATCH(ROWS($O$2:O841),$O$2:$O$1001,0),1)&gt;=100000,INDEX($V$1005:$AE$1005,1,MATCH(COLUMNS($V$1006:W1006),$V$1006:$AE$1006,0))&gt;=100000), " ",IF(INDEX($V$2:$AE$1001,MATCH(ROWS($O$2:O841),$O$2:$O$1001,0),MATCH(COLUMNS($V$1006:W1006),$V$1006:$AE$1006,0)), HYPERLINK("#",""), HYPERLINK(CONCATENATE("#Metadata!", ADDRESS(INDEX($Q$2:$Q$1001,MATCH(ROWS($O$2:O841),$O$2:$O$1001,0),0), INDEX($V$1004:$AE$1004,1,MATCH(COLUMNS($V$1006:W1006),$V$1006:$AE$1006,0)))),"Fix")))</f>
        <v>0</v>
      </c>
      <c r="D841" s="4">
        <f>IF(OR(INDEX($P$2:$P$1001,MATCH(ROWS($O$2:O841),$O$2:$O$1001,0),1)&gt;=100000,INDEX($V$1005:$AE$1005,1,MATCH(COLUMNS($V$1006:X1006),$V$1006:$AE$1006,0))&gt;=100000), " ",IF(INDEX($V$2:$AE$1001,MATCH(ROWS($O$2:O841),$O$2:$O$1001,0),MATCH(COLUMNS($V$1006:X1006),$V$1006:$AE$1006,0)), HYPERLINK("#",""), HYPERLINK(CONCATENATE("#Metadata!", ADDRESS(INDEX($Q$2:$Q$1001,MATCH(ROWS($O$2:O841),$O$2:$O$1001,0),0), INDEX($V$1004:$AE$1004,1,MATCH(COLUMNS($V$1006:X1006),$V$1006:$AE$1006,0)))),"Fix")))</f>
        <v>0</v>
      </c>
      <c r="E841" s="4">
        <f>IF(OR(INDEX($P$2:$P$1001,MATCH(ROWS($O$2:O841),$O$2:$O$1001,0),1)&gt;=100000,INDEX($V$1005:$AE$1005,1,MATCH(COLUMNS($V$1006:Y1006),$V$1006:$AE$1006,0))&gt;=100000), " ",IF(INDEX($V$2:$AE$1001,MATCH(ROWS($O$2:O841),$O$2:$O$1001,0),MATCH(COLUMNS($V$1006:Y1006),$V$1006:$AE$1006,0)), HYPERLINK("#",""), HYPERLINK(CONCATENATE("#Metadata!", ADDRESS(INDEX($Q$2:$Q$1001,MATCH(ROWS($O$2:O841),$O$2:$O$1001,0),0), INDEX($V$1004:$AE$1004,1,MATCH(COLUMNS($V$1006:Y1006),$V$1006:$AE$1006,0)))),"Fix")))</f>
        <v>0</v>
      </c>
      <c r="F841" s="4">
        <f>IF(OR(INDEX($P$2:$P$1001,MATCH(ROWS($O$2:O841),$O$2:$O$1001,0),1)&gt;=100000,INDEX($V$1005:$AE$1005,1,MATCH(COLUMNS($V$1006:Z1006),$V$1006:$AE$1006,0))&gt;=100000), " ",IF(INDEX($V$2:$AE$1001,MATCH(ROWS($O$2:O841),$O$2:$O$1001,0),MATCH(COLUMNS($V$1006:Z1006),$V$1006:$AE$1006,0)), HYPERLINK("#",""), HYPERLINK(CONCATENATE("#Metadata!", ADDRESS(INDEX($Q$2:$Q$1001,MATCH(ROWS($O$2:O841),$O$2:$O$1001,0),0), INDEX($V$1004:$AE$1004,1,MATCH(COLUMNS($V$1006:Z1006),$V$1006:$AE$1006,0)))),"Fix")))</f>
        <v>0</v>
      </c>
      <c r="G841" s="4">
        <f>IF(OR(INDEX($P$2:$P$1001,MATCH(ROWS($O$2:O841),$O$2:$O$1001,0),1)&gt;=100000,INDEX($V$1005:$AE$1005,1,MATCH(COLUMNS($V$1006:AA1006),$V$1006:$AE$1006,0))&gt;=100000), " ",IF(INDEX($V$2:$AE$1001,MATCH(ROWS($O$2:O841),$O$2:$O$1001,0),MATCH(COLUMNS($V$1006:AA1006),$V$1006:$AE$1006,0)), HYPERLINK("#",""), HYPERLINK(CONCATENATE("#Metadata!", ADDRESS(INDEX($Q$2:$Q$1001,MATCH(ROWS($O$2:O841),$O$2:$O$1001,0),0), INDEX($V$1004:$AE$1004,1,MATCH(COLUMNS($V$1006:AA1006),$V$1006:$AE$1006,0)))),"Fix")))</f>
        <v>0</v>
      </c>
      <c r="H841" s="4">
        <f>IF(OR(INDEX($P$2:$P$1001,MATCH(ROWS($O$2:O841),$O$2:$O$1001,0),1)&gt;=100000,INDEX($V$1005:$AE$1005,1,MATCH(COLUMNS($V$1006:AB1006),$V$1006:$AE$1006,0))&gt;=100000), " ",IF(INDEX($V$2:$AE$1001,MATCH(ROWS($O$2:O841),$O$2:$O$1001,0),MATCH(COLUMNS($V$1006:AB1006),$V$1006:$AE$1006,0)), HYPERLINK("#",""), HYPERLINK(CONCATENATE("#Metadata!", ADDRESS(INDEX($Q$2:$Q$1001,MATCH(ROWS($O$2:O841),$O$2:$O$1001,0),0), INDEX($V$1004:$AE$1004,1,MATCH(COLUMNS($V$1006:AB1006),$V$1006:$AE$1006,0)))),"Fix")))</f>
        <v>0</v>
      </c>
      <c r="I841" s="4">
        <f>IF(OR(INDEX($P$2:$P$1001,MATCH(ROWS($O$2:O841),$O$2:$O$1001,0),1)&gt;=100000,INDEX($V$1005:$AE$1005,1,MATCH(COLUMNS($V$1006:AC1006),$V$1006:$AE$1006,0))&gt;=100000), " ",IF(INDEX($V$2:$AE$1001,MATCH(ROWS($O$2:O841),$O$2:$O$1001,0),MATCH(COLUMNS($V$1006:AC1006),$V$1006:$AE$1006,0)), HYPERLINK("#",""), HYPERLINK(CONCATENATE("#Metadata!", ADDRESS(INDEX($Q$2:$Q$1001,MATCH(ROWS($O$2:O841),$O$2:$O$1001,0),0), INDEX($V$1004:$AE$1004,1,MATCH(COLUMNS($V$1006:AC1006),$V$1006:$AE$1006,0)))),"Fix")))</f>
        <v>0</v>
      </c>
      <c r="J841" s="4">
        <f>IF(OR(INDEX($P$2:$P$1001,MATCH(ROWS($O$2:O841),$O$2:$O$1001,0),1)&gt;=100000,INDEX($V$1005:$AE$1005,1,MATCH(COLUMNS($V$1006:AD1006),$V$1006:$AE$1006,0))&gt;=100000), " ",IF(INDEX($V$2:$AE$1001,MATCH(ROWS($O$2:O841),$O$2:$O$1001,0),MATCH(COLUMNS($V$1006:AD1006),$V$1006:$AE$1006,0)), HYPERLINK("#",""), HYPERLINK(CONCATENATE("#Metadata!", ADDRESS(INDEX($Q$2:$Q$1001,MATCH(ROWS($O$2:O841),$O$2:$O$1001,0),0), INDEX($V$1004:$AE$1004,1,MATCH(COLUMNS($V$1006:AD1006),$V$1006:$AE$1006,0)))),"Fix")))</f>
        <v>0</v>
      </c>
      <c r="K841" s="4">
        <f>IF(OR(INDEX($P$2:$P$1001,MATCH(ROWS($O$2:O841),$O$2:$O$1001,0),1)&gt;=100000,INDEX($V$1005:$AE$1005,1,MATCH(COLUMNS($V$1006:AE1006),$V$1006:$AE$1006,0))&gt;=100000), " ",IF(INDEX($V$2:$AE$1001,MATCH(ROWS($O$2:O841),$O$2:$O$1001,0),MATCH(COLUMNS($V$1006:AE1006),$V$1006:$AE$1006,0)), HYPERLINK("#",""), HYPERLINK(CONCATENATE("#Metadata!", ADDRESS(INDEX($Q$2:$Q$1001,MATCH(ROWS($O$2:O841),$O$2:$O$1001,0),0), INDEX($V$1004:$AE$1004,1,MATCH(COLUMNS($V$1006:AE1006),$V$1006:$AE$1006,0)))),"Fix")))</f>
        <v>0</v>
      </c>
      <c r="O841">
        <v>0</v>
      </c>
      <c r="P841">
        <v>0</v>
      </c>
      <c r="Q841">
        <v>0</v>
      </c>
      <c r="R841">
        <f>IF(S841,TRUE,AND(V841:AE841))</f>
        <v>0</v>
      </c>
      <c r="S841">
        <f>COUNTBLANK(Metadata!B841:K841)=COLUMNS(Metadata!B841:K841)</f>
        <v>0</v>
      </c>
      <c r="T841">
        <v>0</v>
      </c>
      <c r="V841">
        <f>AND(IF(Metadata!B841="",FALSE,TRUE),COUNTIF(Metadata!B:B, Metadata!B841) = 1,NOT(ISERROR(SUMPRODUCT(SEARCH(MID(Metadata!B841,ROW(INDIRECT("1:"&amp;LEN(Metadata!B841))), 1),"0123456789abcdefghijklmnopqrstuvwxyzABCDEFGHIJKLMNOPQRSTUVWXYZ.")))))</f>
        <v>0</v>
      </c>
      <c r="W841">
        <f>AND(IF(Metadata!C841="",FALSE,TRUE),exact(Metadata!C841,"urban biome"))</f>
        <v>0</v>
      </c>
      <c r="X841">
        <f>AND(IF(Metadata!D841="",FALSE,TRUE),exact(Metadata!D841,"animal-associated habitat"))</f>
        <v>0</v>
      </c>
      <c r="Y841">
        <f>OR(AND(IF(Metadata!E841="",FALSE,TRUE),OR(exact(Metadata!E841,"not applicable"),exact(Metadata!E841,"missing: not collected"),exact(Metadata!E841,"missing: not provided"),exact(Metadata!E841,"missing: restricted access"))),AND(IF(Metadata!E841="",FALSE,ISNUMBER(VALUE(Metadata!E841))),Metadata!E841&gt;0))</f>
        <v>0</v>
      </c>
      <c r="Z841">
        <f>AND(IF(Metadata!F841="",FALSE,TRUE),exact(Metadata!F841,"weeks"))</f>
        <v>0</v>
      </c>
      <c r="AA841">
        <f>AND(IF(Metadata!G841="",FALSE,TRUE),exact(Metadata!G841,"mouse"))</f>
        <v>0</v>
      </c>
      <c r="AB841">
        <f>AND(IF(Metadata!H841="",FALSE,TRUE),exact(Metadata!H841,"Mus musculus"))</f>
        <v>0</v>
      </c>
      <c r="AC841">
        <f>AND(IF(Metadata!I841="",FALSE,TRUE),exact(Metadata!I841,"10090"))</f>
        <v>0</v>
      </c>
      <c r="AD841">
        <f>OR(AND(IF(Metadata!J841="",FALSE,TRUE),OR(exact(Metadata!J841,"not applicable"),exact(Metadata!J841,"missing: not collected"),exact(Metadata!J841,"missing: not provided"),exact(Metadata!J841,"missing: restricted access"))),AND(IF(Metadata!J841="",FALSE,ISNUMBER(VALUE(Metadata!J841))),Metadata!J841&gt;0))</f>
        <v>0</v>
      </c>
      <c r="AE841">
        <f>AND(IF(Metadata!K841="",FALSE,TRUE),exact(Metadata!K841,"g"))</f>
        <v>0</v>
      </c>
    </row>
    <row r="842" spans="1:31">
      <c r="A842" s="5">
        <f>IF(B842=" "," ",HYPERLINK(CONCATENATE("#metadata!",ADDRESS(INDEX($Q$2:$Q$1001,MATCH(ROWS($O$2:O842),$O$2:$O$1001,0),0),1)),INDEX($T$2:$T$1001,MATCH(ROWS($O$2:O842),$O$2:$O$1001,0),0)))</f>
        <v>0</v>
      </c>
      <c r="B842" s="4">
        <f>IF(OR(INDEX($P$2:$P$1001,MATCH(ROWS($O$2:O842),$O$2:$O$1001,0),1)&gt;=100000,INDEX($V$1005:$AE$1005,1,MATCH(COLUMNS($V$1006:V1006),$V$1006:$AE$1006,0))&gt;=100000), " ",IF(INDEX($V$2:$AE$1001,MATCH(ROWS($O$2:O842),$O$2:$O$1001,0),MATCH(COLUMNS($V$1006:V1006),$V$1006:$AE$1006,0)), HYPERLINK("#",""), HYPERLINK(CONCATENATE("#Metadata!", ADDRESS(INDEX($Q$2:$Q$1001,MATCH(ROWS($O$2:O842),$O$2:$O$1001,0),0), INDEX($V$1004:$AE$1004,1,MATCH(COLUMNS($V$1006:V1006),$V$1006:$AE$1006,0)))),"Fix")))</f>
        <v>0</v>
      </c>
      <c r="C842" s="4">
        <f>IF(OR(INDEX($P$2:$P$1001,MATCH(ROWS($O$2:O842),$O$2:$O$1001,0),1)&gt;=100000,INDEX($V$1005:$AE$1005,1,MATCH(COLUMNS($V$1006:W1006),$V$1006:$AE$1006,0))&gt;=100000), " ",IF(INDEX($V$2:$AE$1001,MATCH(ROWS($O$2:O842),$O$2:$O$1001,0),MATCH(COLUMNS($V$1006:W1006),$V$1006:$AE$1006,0)), HYPERLINK("#",""), HYPERLINK(CONCATENATE("#Metadata!", ADDRESS(INDEX($Q$2:$Q$1001,MATCH(ROWS($O$2:O842),$O$2:$O$1001,0),0), INDEX($V$1004:$AE$1004,1,MATCH(COLUMNS($V$1006:W1006),$V$1006:$AE$1006,0)))),"Fix")))</f>
        <v>0</v>
      </c>
      <c r="D842" s="4">
        <f>IF(OR(INDEX($P$2:$P$1001,MATCH(ROWS($O$2:O842),$O$2:$O$1001,0),1)&gt;=100000,INDEX($V$1005:$AE$1005,1,MATCH(COLUMNS($V$1006:X1006),$V$1006:$AE$1006,0))&gt;=100000), " ",IF(INDEX($V$2:$AE$1001,MATCH(ROWS($O$2:O842),$O$2:$O$1001,0),MATCH(COLUMNS($V$1006:X1006),$V$1006:$AE$1006,0)), HYPERLINK("#",""), HYPERLINK(CONCATENATE("#Metadata!", ADDRESS(INDEX($Q$2:$Q$1001,MATCH(ROWS($O$2:O842),$O$2:$O$1001,0),0), INDEX($V$1004:$AE$1004,1,MATCH(COLUMNS($V$1006:X1006),$V$1006:$AE$1006,0)))),"Fix")))</f>
        <v>0</v>
      </c>
      <c r="E842" s="4">
        <f>IF(OR(INDEX($P$2:$P$1001,MATCH(ROWS($O$2:O842),$O$2:$O$1001,0),1)&gt;=100000,INDEX($V$1005:$AE$1005,1,MATCH(COLUMNS($V$1006:Y1006),$V$1006:$AE$1006,0))&gt;=100000), " ",IF(INDEX($V$2:$AE$1001,MATCH(ROWS($O$2:O842),$O$2:$O$1001,0),MATCH(COLUMNS($V$1006:Y1006),$V$1006:$AE$1006,0)), HYPERLINK("#",""), HYPERLINK(CONCATENATE("#Metadata!", ADDRESS(INDEX($Q$2:$Q$1001,MATCH(ROWS($O$2:O842),$O$2:$O$1001,0),0), INDEX($V$1004:$AE$1004,1,MATCH(COLUMNS($V$1006:Y1006),$V$1006:$AE$1006,0)))),"Fix")))</f>
        <v>0</v>
      </c>
      <c r="F842" s="4">
        <f>IF(OR(INDEX($P$2:$P$1001,MATCH(ROWS($O$2:O842),$O$2:$O$1001,0),1)&gt;=100000,INDEX($V$1005:$AE$1005,1,MATCH(COLUMNS($V$1006:Z1006),$V$1006:$AE$1006,0))&gt;=100000), " ",IF(INDEX($V$2:$AE$1001,MATCH(ROWS($O$2:O842),$O$2:$O$1001,0),MATCH(COLUMNS($V$1006:Z1006),$V$1006:$AE$1006,0)), HYPERLINK("#",""), HYPERLINK(CONCATENATE("#Metadata!", ADDRESS(INDEX($Q$2:$Q$1001,MATCH(ROWS($O$2:O842),$O$2:$O$1001,0),0), INDEX($V$1004:$AE$1004,1,MATCH(COLUMNS($V$1006:Z1006),$V$1006:$AE$1006,0)))),"Fix")))</f>
        <v>0</v>
      </c>
      <c r="G842" s="4">
        <f>IF(OR(INDEX($P$2:$P$1001,MATCH(ROWS($O$2:O842),$O$2:$O$1001,0),1)&gt;=100000,INDEX($V$1005:$AE$1005,1,MATCH(COLUMNS($V$1006:AA1006),$V$1006:$AE$1006,0))&gt;=100000), " ",IF(INDEX($V$2:$AE$1001,MATCH(ROWS($O$2:O842),$O$2:$O$1001,0),MATCH(COLUMNS($V$1006:AA1006),$V$1006:$AE$1006,0)), HYPERLINK("#",""), HYPERLINK(CONCATENATE("#Metadata!", ADDRESS(INDEX($Q$2:$Q$1001,MATCH(ROWS($O$2:O842),$O$2:$O$1001,0),0), INDEX($V$1004:$AE$1004,1,MATCH(COLUMNS($V$1006:AA1006),$V$1006:$AE$1006,0)))),"Fix")))</f>
        <v>0</v>
      </c>
      <c r="H842" s="4">
        <f>IF(OR(INDEX($P$2:$P$1001,MATCH(ROWS($O$2:O842),$O$2:$O$1001,0),1)&gt;=100000,INDEX($V$1005:$AE$1005,1,MATCH(COLUMNS($V$1006:AB1006),$V$1006:$AE$1006,0))&gt;=100000), " ",IF(INDEX($V$2:$AE$1001,MATCH(ROWS($O$2:O842),$O$2:$O$1001,0),MATCH(COLUMNS($V$1006:AB1006),$V$1006:$AE$1006,0)), HYPERLINK("#",""), HYPERLINK(CONCATENATE("#Metadata!", ADDRESS(INDEX($Q$2:$Q$1001,MATCH(ROWS($O$2:O842),$O$2:$O$1001,0),0), INDEX($V$1004:$AE$1004,1,MATCH(COLUMNS($V$1006:AB1006),$V$1006:$AE$1006,0)))),"Fix")))</f>
        <v>0</v>
      </c>
      <c r="I842" s="4">
        <f>IF(OR(INDEX($P$2:$P$1001,MATCH(ROWS($O$2:O842),$O$2:$O$1001,0),1)&gt;=100000,INDEX($V$1005:$AE$1005,1,MATCH(COLUMNS($V$1006:AC1006),$V$1006:$AE$1006,0))&gt;=100000), " ",IF(INDEX($V$2:$AE$1001,MATCH(ROWS($O$2:O842),$O$2:$O$1001,0),MATCH(COLUMNS($V$1006:AC1006),$V$1006:$AE$1006,0)), HYPERLINK("#",""), HYPERLINK(CONCATENATE("#Metadata!", ADDRESS(INDEX($Q$2:$Q$1001,MATCH(ROWS($O$2:O842),$O$2:$O$1001,0),0), INDEX($V$1004:$AE$1004,1,MATCH(COLUMNS($V$1006:AC1006),$V$1006:$AE$1006,0)))),"Fix")))</f>
        <v>0</v>
      </c>
      <c r="J842" s="4">
        <f>IF(OR(INDEX($P$2:$P$1001,MATCH(ROWS($O$2:O842),$O$2:$O$1001,0),1)&gt;=100000,INDEX($V$1005:$AE$1005,1,MATCH(COLUMNS($V$1006:AD1006),$V$1006:$AE$1006,0))&gt;=100000), " ",IF(INDEX($V$2:$AE$1001,MATCH(ROWS($O$2:O842),$O$2:$O$1001,0),MATCH(COLUMNS($V$1006:AD1006),$V$1006:$AE$1006,0)), HYPERLINK("#",""), HYPERLINK(CONCATENATE("#Metadata!", ADDRESS(INDEX($Q$2:$Q$1001,MATCH(ROWS($O$2:O842),$O$2:$O$1001,0),0), INDEX($V$1004:$AE$1004,1,MATCH(COLUMNS($V$1006:AD1006),$V$1006:$AE$1006,0)))),"Fix")))</f>
        <v>0</v>
      </c>
      <c r="K842" s="4">
        <f>IF(OR(INDEX($P$2:$P$1001,MATCH(ROWS($O$2:O842),$O$2:$O$1001,0),1)&gt;=100000,INDEX($V$1005:$AE$1005,1,MATCH(COLUMNS($V$1006:AE1006),$V$1006:$AE$1006,0))&gt;=100000), " ",IF(INDEX($V$2:$AE$1001,MATCH(ROWS($O$2:O842),$O$2:$O$1001,0),MATCH(COLUMNS($V$1006:AE1006),$V$1006:$AE$1006,0)), HYPERLINK("#",""), HYPERLINK(CONCATENATE("#Metadata!", ADDRESS(INDEX($Q$2:$Q$1001,MATCH(ROWS($O$2:O842),$O$2:$O$1001,0),0), INDEX($V$1004:$AE$1004,1,MATCH(COLUMNS($V$1006:AE1006),$V$1006:$AE$1006,0)))),"Fix")))</f>
        <v>0</v>
      </c>
      <c r="O842">
        <v>0</v>
      </c>
      <c r="P842">
        <v>0</v>
      </c>
      <c r="Q842">
        <v>0</v>
      </c>
      <c r="R842">
        <f>IF(S842,TRUE,AND(V842:AE842))</f>
        <v>0</v>
      </c>
      <c r="S842">
        <f>COUNTBLANK(Metadata!B842:K842)=COLUMNS(Metadata!B842:K842)</f>
        <v>0</v>
      </c>
      <c r="T842">
        <v>0</v>
      </c>
      <c r="V842">
        <f>AND(IF(Metadata!B842="",FALSE,TRUE),COUNTIF(Metadata!B:B, Metadata!B842) = 1,NOT(ISERROR(SUMPRODUCT(SEARCH(MID(Metadata!B842,ROW(INDIRECT("1:"&amp;LEN(Metadata!B842))), 1),"0123456789abcdefghijklmnopqrstuvwxyzABCDEFGHIJKLMNOPQRSTUVWXYZ.")))))</f>
        <v>0</v>
      </c>
      <c r="W842">
        <f>AND(IF(Metadata!C842="",FALSE,TRUE),exact(Metadata!C842,"urban biome"))</f>
        <v>0</v>
      </c>
      <c r="X842">
        <f>AND(IF(Metadata!D842="",FALSE,TRUE),exact(Metadata!D842,"animal-associated habitat"))</f>
        <v>0</v>
      </c>
      <c r="Y842">
        <f>OR(AND(IF(Metadata!E842="",FALSE,TRUE),OR(exact(Metadata!E842,"not applicable"),exact(Metadata!E842,"missing: not collected"),exact(Metadata!E842,"missing: not provided"),exact(Metadata!E842,"missing: restricted access"))),AND(IF(Metadata!E842="",FALSE,ISNUMBER(VALUE(Metadata!E842))),Metadata!E842&gt;0))</f>
        <v>0</v>
      </c>
      <c r="Z842">
        <f>AND(IF(Metadata!F842="",FALSE,TRUE),exact(Metadata!F842,"weeks"))</f>
        <v>0</v>
      </c>
      <c r="AA842">
        <f>AND(IF(Metadata!G842="",FALSE,TRUE),exact(Metadata!G842,"mouse"))</f>
        <v>0</v>
      </c>
      <c r="AB842">
        <f>AND(IF(Metadata!H842="",FALSE,TRUE),exact(Metadata!H842,"Mus musculus"))</f>
        <v>0</v>
      </c>
      <c r="AC842">
        <f>AND(IF(Metadata!I842="",FALSE,TRUE),exact(Metadata!I842,"10090"))</f>
        <v>0</v>
      </c>
      <c r="AD842">
        <f>OR(AND(IF(Metadata!J842="",FALSE,TRUE),OR(exact(Metadata!J842,"not applicable"),exact(Metadata!J842,"missing: not collected"),exact(Metadata!J842,"missing: not provided"),exact(Metadata!J842,"missing: restricted access"))),AND(IF(Metadata!J842="",FALSE,ISNUMBER(VALUE(Metadata!J842))),Metadata!J842&gt;0))</f>
        <v>0</v>
      </c>
      <c r="AE842">
        <f>AND(IF(Metadata!K842="",FALSE,TRUE),exact(Metadata!K842,"g"))</f>
        <v>0</v>
      </c>
    </row>
    <row r="843" spans="1:31">
      <c r="A843" s="5">
        <f>IF(B843=" "," ",HYPERLINK(CONCATENATE("#metadata!",ADDRESS(INDEX($Q$2:$Q$1001,MATCH(ROWS($O$2:O843),$O$2:$O$1001,0),0),1)),INDEX($T$2:$T$1001,MATCH(ROWS($O$2:O843),$O$2:$O$1001,0),0)))</f>
        <v>0</v>
      </c>
      <c r="B843" s="4">
        <f>IF(OR(INDEX($P$2:$P$1001,MATCH(ROWS($O$2:O843),$O$2:$O$1001,0),1)&gt;=100000,INDEX($V$1005:$AE$1005,1,MATCH(COLUMNS($V$1006:V1006),$V$1006:$AE$1006,0))&gt;=100000), " ",IF(INDEX($V$2:$AE$1001,MATCH(ROWS($O$2:O843),$O$2:$O$1001,0),MATCH(COLUMNS($V$1006:V1006),$V$1006:$AE$1006,0)), HYPERLINK("#",""), HYPERLINK(CONCATENATE("#Metadata!", ADDRESS(INDEX($Q$2:$Q$1001,MATCH(ROWS($O$2:O843),$O$2:$O$1001,0),0), INDEX($V$1004:$AE$1004,1,MATCH(COLUMNS($V$1006:V1006),$V$1006:$AE$1006,0)))),"Fix")))</f>
        <v>0</v>
      </c>
      <c r="C843" s="4">
        <f>IF(OR(INDEX($P$2:$P$1001,MATCH(ROWS($O$2:O843),$O$2:$O$1001,0),1)&gt;=100000,INDEX($V$1005:$AE$1005,1,MATCH(COLUMNS($V$1006:W1006),$V$1006:$AE$1006,0))&gt;=100000), " ",IF(INDEX($V$2:$AE$1001,MATCH(ROWS($O$2:O843),$O$2:$O$1001,0),MATCH(COLUMNS($V$1006:W1006),$V$1006:$AE$1006,0)), HYPERLINK("#",""), HYPERLINK(CONCATENATE("#Metadata!", ADDRESS(INDEX($Q$2:$Q$1001,MATCH(ROWS($O$2:O843),$O$2:$O$1001,0),0), INDEX($V$1004:$AE$1004,1,MATCH(COLUMNS($V$1006:W1006),$V$1006:$AE$1006,0)))),"Fix")))</f>
        <v>0</v>
      </c>
      <c r="D843" s="4">
        <f>IF(OR(INDEX($P$2:$P$1001,MATCH(ROWS($O$2:O843),$O$2:$O$1001,0),1)&gt;=100000,INDEX($V$1005:$AE$1005,1,MATCH(COLUMNS($V$1006:X1006),$V$1006:$AE$1006,0))&gt;=100000), " ",IF(INDEX($V$2:$AE$1001,MATCH(ROWS($O$2:O843),$O$2:$O$1001,0),MATCH(COLUMNS($V$1006:X1006),$V$1006:$AE$1006,0)), HYPERLINK("#",""), HYPERLINK(CONCATENATE("#Metadata!", ADDRESS(INDEX($Q$2:$Q$1001,MATCH(ROWS($O$2:O843),$O$2:$O$1001,0),0), INDEX($V$1004:$AE$1004,1,MATCH(COLUMNS($V$1006:X1006),$V$1006:$AE$1006,0)))),"Fix")))</f>
        <v>0</v>
      </c>
      <c r="E843" s="4">
        <f>IF(OR(INDEX($P$2:$P$1001,MATCH(ROWS($O$2:O843),$O$2:$O$1001,0),1)&gt;=100000,INDEX($V$1005:$AE$1005,1,MATCH(COLUMNS($V$1006:Y1006),$V$1006:$AE$1006,0))&gt;=100000), " ",IF(INDEX($V$2:$AE$1001,MATCH(ROWS($O$2:O843),$O$2:$O$1001,0),MATCH(COLUMNS($V$1006:Y1006),$V$1006:$AE$1006,0)), HYPERLINK("#",""), HYPERLINK(CONCATENATE("#Metadata!", ADDRESS(INDEX($Q$2:$Q$1001,MATCH(ROWS($O$2:O843),$O$2:$O$1001,0),0), INDEX($V$1004:$AE$1004,1,MATCH(COLUMNS($V$1006:Y1006),$V$1006:$AE$1006,0)))),"Fix")))</f>
        <v>0</v>
      </c>
      <c r="F843" s="4">
        <f>IF(OR(INDEX($P$2:$P$1001,MATCH(ROWS($O$2:O843),$O$2:$O$1001,0),1)&gt;=100000,INDEX($V$1005:$AE$1005,1,MATCH(COLUMNS($V$1006:Z1006),$V$1006:$AE$1006,0))&gt;=100000), " ",IF(INDEX($V$2:$AE$1001,MATCH(ROWS($O$2:O843),$O$2:$O$1001,0),MATCH(COLUMNS($V$1006:Z1006),$V$1006:$AE$1006,0)), HYPERLINK("#",""), HYPERLINK(CONCATENATE("#Metadata!", ADDRESS(INDEX($Q$2:$Q$1001,MATCH(ROWS($O$2:O843),$O$2:$O$1001,0),0), INDEX($V$1004:$AE$1004,1,MATCH(COLUMNS($V$1006:Z1006),$V$1006:$AE$1006,0)))),"Fix")))</f>
        <v>0</v>
      </c>
      <c r="G843" s="4">
        <f>IF(OR(INDEX($P$2:$P$1001,MATCH(ROWS($O$2:O843),$O$2:$O$1001,0),1)&gt;=100000,INDEX($V$1005:$AE$1005,1,MATCH(COLUMNS($V$1006:AA1006),$V$1006:$AE$1006,0))&gt;=100000), " ",IF(INDEX($V$2:$AE$1001,MATCH(ROWS($O$2:O843),$O$2:$O$1001,0),MATCH(COLUMNS($V$1006:AA1006),$V$1006:$AE$1006,0)), HYPERLINK("#",""), HYPERLINK(CONCATENATE("#Metadata!", ADDRESS(INDEX($Q$2:$Q$1001,MATCH(ROWS($O$2:O843),$O$2:$O$1001,0),0), INDEX($V$1004:$AE$1004,1,MATCH(COLUMNS($V$1006:AA1006),$V$1006:$AE$1006,0)))),"Fix")))</f>
        <v>0</v>
      </c>
      <c r="H843" s="4">
        <f>IF(OR(INDEX($P$2:$P$1001,MATCH(ROWS($O$2:O843),$O$2:$O$1001,0),1)&gt;=100000,INDEX($V$1005:$AE$1005,1,MATCH(COLUMNS($V$1006:AB1006),$V$1006:$AE$1006,0))&gt;=100000), " ",IF(INDEX($V$2:$AE$1001,MATCH(ROWS($O$2:O843),$O$2:$O$1001,0),MATCH(COLUMNS($V$1006:AB1006),$V$1006:$AE$1006,0)), HYPERLINK("#",""), HYPERLINK(CONCATENATE("#Metadata!", ADDRESS(INDEX($Q$2:$Q$1001,MATCH(ROWS($O$2:O843),$O$2:$O$1001,0),0), INDEX($V$1004:$AE$1004,1,MATCH(COLUMNS($V$1006:AB1006),$V$1006:$AE$1006,0)))),"Fix")))</f>
        <v>0</v>
      </c>
      <c r="I843" s="4">
        <f>IF(OR(INDEX($P$2:$P$1001,MATCH(ROWS($O$2:O843),$O$2:$O$1001,0),1)&gt;=100000,INDEX($V$1005:$AE$1005,1,MATCH(COLUMNS($V$1006:AC1006),$V$1006:$AE$1006,0))&gt;=100000), " ",IF(INDEX($V$2:$AE$1001,MATCH(ROWS($O$2:O843),$O$2:$O$1001,0),MATCH(COLUMNS($V$1006:AC1006),$V$1006:$AE$1006,0)), HYPERLINK("#",""), HYPERLINK(CONCATENATE("#Metadata!", ADDRESS(INDEX($Q$2:$Q$1001,MATCH(ROWS($O$2:O843),$O$2:$O$1001,0),0), INDEX($V$1004:$AE$1004,1,MATCH(COLUMNS($V$1006:AC1006),$V$1006:$AE$1006,0)))),"Fix")))</f>
        <v>0</v>
      </c>
      <c r="J843" s="4">
        <f>IF(OR(INDEX($P$2:$P$1001,MATCH(ROWS($O$2:O843),$O$2:$O$1001,0),1)&gt;=100000,INDEX($V$1005:$AE$1005,1,MATCH(COLUMNS($V$1006:AD1006),$V$1006:$AE$1006,0))&gt;=100000), " ",IF(INDEX($V$2:$AE$1001,MATCH(ROWS($O$2:O843),$O$2:$O$1001,0),MATCH(COLUMNS($V$1006:AD1006),$V$1006:$AE$1006,0)), HYPERLINK("#",""), HYPERLINK(CONCATENATE("#Metadata!", ADDRESS(INDEX($Q$2:$Q$1001,MATCH(ROWS($O$2:O843),$O$2:$O$1001,0),0), INDEX($V$1004:$AE$1004,1,MATCH(COLUMNS($V$1006:AD1006),$V$1006:$AE$1006,0)))),"Fix")))</f>
        <v>0</v>
      </c>
      <c r="K843" s="4">
        <f>IF(OR(INDEX($P$2:$P$1001,MATCH(ROWS($O$2:O843),$O$2:$O$1001,0),1)&gt;=100000,INDEX($V$1005:$AE$1005,1,MATCH(COLUMNS($V$1006:AE1006),$V$1006:$AE$1006,0))&gt;=100000), " ",IF(INDEX($V$2:$AE$1001,MATCH(ROWS($O$2:O843),$O$2:$O$1001,0),MATCH(COLUMNS($V$1006:AE1006),$V$1006:$AE$1006,0)), HYPERLINK("#",""), HYPERLINK(CONCATENATE("#Metadata!", ADDRESS(INDEX($Q$2:$Q$1001,MATCH(ROWS($O$2:O843),$O$2:$O$1001,0),0), INDEX($V$1004:$AE$1004,1,MATCH(COLUMNS($V$1006:AE1006),$V$1006:$AE$1006,0)))),"Fix")))</f>
        <v>0</v>
      </c>
      <c r="O843">
        <v>0</v>
      </c>
      <c r="P843">
        <v>0</v>
      </c>
      <c r="Q843">
        <v>0</v>
      </c>
      <c r="R843">
        <f>IF(S843,TRUE,AND(V843:AE843))</f>
        <v>0</v>
      </c>
      <c r="S843">
        <f>COUNTBLANK(Metadata!B843:K843)=COLUMNS(Metadata!B843:K843)</f>
        <v>0</v>
      </c>
      <c r="T843">
        <v>0</v>
      </c>
      <c r="V843">
        <f>AND(IF(Metadata!B843="",FALSE,TRUE),COUNTIF(Metadata!B:B, Metadata!B843) = 1,NOT(ISERROR(SUMPRODUCT(SEARCH(MID(Metadata!B843,ROW(INDIRECT("1:"&amp;LEN(Metadata!B843))), 1),"0123456789abcdefghijklmnopqrstuvwxyzABCDEFGHIJKLMNOPQRSTUVWXYZ.")))))</f>
        <v>0</v>
      </c>
      <c r="W843">
        <f>AND(IF(Metadata!C843="",FALSE,TRUE),exact(Metadata!C843,"urban biome"))</f>
        <v>0</v>
      </c>
      <c r="X843">
        <f>AND(IF(Metadata!D843="",FALSE,TRUE),exact(Metadata!D843,"animal-associated habitat"))</f>
        <v>0</v>
      </c>
      <c r="Y843">
        <f>OR(AND(IF(Metadata!E843="",FALSE,TRUE),OR(exact(Metadata!E843,"not applicable"),exact(Metadata!E843,"missing: not collected"),exact(Metadata!E843,"missing: not provided"),exact(Metadata!E843,"missing: restricted access"))),AND(IF(Metadata!E843="",FALSE,ISNUMBER(VALUE(Metadata!E843))),Metadata!E843&gt;0))</f>
        <v>0</v>
      </c>
      <c r="Z843">
        <f>AND(IF(Metadata!F843="",FALSE,TRUE),exact(Metadata!F843,"weeks"))</f>
        <v>0</v>
      </c>
      <c r="AA843">
        <f>AND(IF(Metadata!G843="",FALSE,TRUE),exact(Metadata!G843,"mouse"))</f>
        <v>0</v>
      </c>
      <c r="AB843">
        <f>AND(IF(Metadata!H843="",FALSE,TRUE),exact(Metadata!H843,"Mus musculus"))</f>
        <v>0</v>
      </c>
      <c r="AC843">
        <f>AND(IF(Metadata!I843="",FALSE,TRUE),exact(Metadata!I843,"10090"))</f>
        <v>0</v>
      </c>
      <c r="AD843">
        <f>OR(AND(IF(Metadata!J843="",FALSE,TRUE),OR(exact(Metadata!J843,"not applicable"),exact(Metadata!J843,"missing: not collected"),exact(Metadata!J843,"missing: not provided"),exact(Metadata!J843,"missing: restricted access"))),AND(IF(Metadata!J843="",FALSE,ISNUMBER(VALUE(Metadata!J843))),Metadata!J843&gt;0))</f>
        <v>0</v>
      </c>
      <c r="AE843">
        <f>AND(IF(Metadata!K843="",FALSE,TRUE),exact(Metadata!K843,"g"))</f>
        <v>0</v>
      </c>
    </row>
    <row r="844" spans="1:31">
      <c r="A844" s="5">
        <f>IF(B844=" "," ",HYPERLINK(CONCATENATE("#metadata!",ADDRESS(INDEX($Q$2:$Q$1001,MATCH(ROWS($O$2:O844),$O$2:$O$1001,0),0),1)),INDEX($T$2:$T$1001,MATCH(ROWS($O$2:O844),$O$2:$O$1001,0),0)))</f>
        <v>0</v>
      </c>
      <c r="B844" s="4">
        <f>IF(OR(INDEX($P$2:$P$1001,MATCH(ROWS($O$2:O844),$O$2:$O$1001,0),1)&gt;=100000,INDEX($V$1005:$AE$1005,1,MATCH(COLUMNS($V$1006:V1006),$V$1006:$AE$1006,0))&gt;=100000), " ",IF(INDEX($V$2:$AE$1001,MATCH(ROWS($O$2:O844),$O$2:$O$1001,0),MATCH(COLUMNS($V$1006:V1006),$V$1006:$AE$1006,0)), HYPERLINK("#",""), HYPERLINK(CONCATENATE("#Metadata!", ADDRESS(INDEX($Q$2:$Q$1001,MATCH(ROWS($O$2:O844),$O$2:$O$1001,0),0), INDEX($V$1004:$AE$1004,1,MATCH(COLUMNS($V$1006:V1006),$V$1006:$AE$1006,0)))),"Fix")))</f>
        <v>0</v>
      </c>
      <c r="C844" s="4">
        <f>IF(OR(INDEX($P$2:$P$1001,MATCH(ROWS($O$2:O844),$O$2:$O$1001,0),1)&gt;=100000,INDEX($V$1005:$AE$1005,1,MATCH(COLUMNS($V$1006:W1006),$V$1006:$AE$1006,0))&gt;=100000), " ",IF(INDEX($V$2:$AE$1001,MATCH(ROWS($O$2:O844),$O$2:$O$1001,0),MATCH(COLUMNS($V$1006:W1006),$V$1006:$AE$1006,0)), HYPERLINK("#",""), HYPERLINK(CONCATENATE("#Metadata!", ADDRESS(INDEX($Q$2:$Q$1001,MATCH(ROWS($O$2:O844),$O$2:$O$1001,0),0), INDEX($V$1004:$AE$1004,1,MATCH(COLUMNS($V$1006:W1006),$V$1006:$AE$1006,0)))),"Fix")))</f>
        <v>0</v>
      </c>
      <c r="D844" s="4">
        <f>IF(OR(INDEX($P$2:$P$1001,MATCH(ROWS($O$2:O844),$O$2:$O$1001,0),1)&gt;=100000,INDEX($V$1005:$AE$1005,1,MATCH(COLUMNS($V$1006:X1006),$V$1006:$AE$1006,0))&gt;=100000), " ",IF(INDEX($V$2:$AE$1001,MATCH(ROWS($O$2:O844),$O$2:$O$1001,0),MATCH(COLUMNS($V$1006:X1006),$V$1006:$AE$1006,0)), HYPERLINK("#",""), HYPERLINK(CONCATENATE("#Metadata!", ADDRESS(INDEX($Q$2:$Q$1001,MATCH(ROWS($O$2:O844),$O$2:$O$1001,0),0), INDEX($V$1004:$AE$1004,1,MATCH(COLUMNS($V$1006:X1006),$V$1006:$AE$1006,0)))),"Fix")))</f>
        <v>0</v>
      </c>
      <c r="E844" s="4">
        <f>IF(OR(INDEX($P$2:$P$1001,MATCH(ROWS($O$2:O844),$O$2:$O$1001,0),1)&gt;=100000,INDEX($V$1005:$AE$1005,1,MATCH(COLUMNS($V$1006:Y1006),$V$1006:$AE$1006,0))&gt;=100000), " ",IF(INDEX($V$2:$AE$1001,MATCH(ROWS($O$2:O844),$O$2:$O$1001,0),MATCH(COLUMNS($V$1006:Y1006),$V$1006:$AE$1006,0)), HYPERLINK("#",""), HYPERLINK(CONCATENATE("#Metadata!", ADDRESS(INDEX($Q$2:$Q$1001,MATCH(ROWS($O$2:O844),$O$2:$O$1001,0),0), INDEX($V$1004:$AE$1004,1,MATCH(COLUMNS($V$1006:Y1006),$V$1006:$AE$1006,0)))),"Fix")))</f>
        <v>0</v>
      </c>
      <c r="F844" s="4">
        <f>IF(OR(INDEX($P$2:$P$1001,MATCH(ROWS($O$2:O844),$O$2:$O$1001,0),1)&gt;=100000,INDEX($V$1005:$AE$1005,1,MATCH(COLUMNS($V$1006:Z1006),$V$1006:$AE$1006,0))&gt;=100000), " ",IF(INDEX($V$2:$AE$1001,MATCH(ROWS($O$2:O844),$O$2:$O$1001,0),MATCH(COLUMNS($V$1006:Z1006),$V$1006:$AE$1006,0)), HYPERLINK("#",""), HYPERLINK(CONCATENATE("#Metadata!", ADDRESS(INDEX($Q$2:$Q$1001,MATCH(ROWS($O$2:O844),$O$2:$O$1001,0),0), INDEX($V$1004:$AE$1004,1,MATCH(COLUMNS($V$1006:Z1006),$V$1006:$AE$1006,0)))),"Fix")))</f>
        <v>0</v>
      </c>
      <c r="G844" s="4">
        <f>IF(OR(INDEX($P$2:$P$1001,MATCH(ROWS($O$2:O844),$O$2:$O$1001,0),1)&gt;=100000,INDEX($V$1005:$AE$1005,1,MATCH(COLUMNS($V$1006:AA1006),$V$1006:$AE$1006,0))&gt;=100000), " ",IF(INDEX($V$2:$AE$1001,MATCH(ROWS($O$2:O844),$O$2:$O$1001,0),MATCH(COLUMNS($V$1006:AA1006),$V$1006:$AE$1006,0)), HYPERLINK("#",""), HYPERLINK(CONCATENATE("#Metadata!", ADDRESS(INDEX($Q$2:$Q$1001,MATCH(ROWS($O$2:O844),$O$2:$O$1001,0),0), INDEX($V$1004:$AE$1004,1,MATCH(COLUMNS($V$1006:AA1006),$V$1006:$AE$1006,0)))),"Fix")))</f>
        <v>0</v>
      </c>
      <c r="H844" s="4">
        <f>IF(OR(INDEX($P$2:$P$1001,MATCH(ROWS($O$2:O844),$O$2:$O$1001,0),1)&gt;=100000,INDEX($V$1005:$AE$1005,1,MATCH(COLUMNS($V$1006:AB1006),$V$1006:$AE$1006,0))&gt;=100000), " ",IF(INDEX($V$2:$AE$1001,MATCH(ROWS($O$2:O844),$O$2:$O$1001,0),MATCH(COLUMNS($V$1006:AB1006),$V$1006:$AE$1006,0)), HYPERLINK("#",""), HYPERLINK(CONCATENATE("#Metadata!", ADDRESS(INDEX($Q$2:$Q$1001,MATCH(ROWS($O$2:O844),$O$2:$O$1001,0),0), INDEX($V$1004:$AE$1004,1,MATCH(COLUMNS($V$1006:AB1006),$V$1006:$AE$1006,0)))),"Fix")))</f>
        <v>0</v>
      </c>
      <c r="I844" s="4">
        <f>IF(OR(INDEX($P$2:$P$1001,MATCH(ROWS($O$2:O844),$O$2:$O$1001,0),1)&gt;=100000,INDEX($V$1005:$AE$1005,1,MATCH(COLUMNS($V$1006:AC1006),$V$1006:$AE$1006,0))&gt;=100000), " ",IF(INDEX($V$2:$AE$1001,MATCH(ROWS($O$2:O844),$O$2:$O$1001,0),MATCH(COLUMNS($V$1006:AC1006),$V$1006:$AE$1006,0)), HYPERLINK("#",""), HYPERLINK(CONCATENATE("#Metadata!", ADDRESS(INDEX($Q$2:$Q$1001,MATCH(ROWS($O$2:O844),$O$2:$O$1001,0),0), INDEX($V$1004:$AE$1004,1,MATCH(COLUMNS($V$1006:AC1006),$V$1006:$AE$1006,0)))),"Fix")))</f>
        <v>0</v>
      </c>
      <c r="J844" s="4">
        <f>IF(OR(INDEX($P$2:$P$1001,MATCH(ROWS($O$2:O844),$O$2:$O$1001,0),1)&gt;=100000,INDEX($V$1005:$AE$1005,1,MATCH(COLUMNS($V$1006:AD1006),$V$1006:$AE$1006,0))&gt;=100000), " ",IF(INDEX($V$2:$AE$1001,MATCH(ROWS($O$2:O844),$O$2:$O$1001,0),MATCH(COLUMNS($V$1006:AD1006),$V$1006:$AE$1006,0)), HYPERLINK("#",""), HYPERLINK(CONCATENATE("#Metadata!", ADDRESS(INDEX($Q$2:$Q$1001,MATCH(ROWS($O$2:O844),$O$2:$O$1001,0),0), INDEX($V$1004:$AE$1004,1,MATCH(COLUMNS($V$1006:AD1006),$V$1006:$AE$1006,0)))),"Fix")))</f>
        <v>0</v>
      </c>
      <c r="K844" s="4">
        <f>IF(OR(INDEX($P$2:$P$1001,MATCH(ROWS($O$2:O844),$O$2:$O$1001,0),1)&gt;=100000,INDEX($V$1005:$AE$1005,1,MATCH(COLUMNS($V$1006:AE1006),$V$1006:$AE$1006,0))&gt;=100000), " ",IF(INDEX($V$2:$AE$1001,MATCH(ROWS($O$2:O844),$O$2:$O$1001,0),MATCH(COLUMNS($V$1006:AE1006),$V$1006:$AE$1006,0)), HYPERLINK("#",""), HYPERLINK(CONCATENATE("#Metadata!", ADDRESS(INDEX($Q$2:$Q$1001,MATCH(ROWS($O$2:O844),$O$2:$O$1001,0),0), INDEX($V$1004:$AE$1004,1,MATCH(COLUMNS($V$1006:AE1006),$V$1006:$AE$1006,0)))),"Fix")))</f>
        <v>0</v>
      </c>
      <c r="O844">
        <v>0</v>
      </c>
      <c r="P844">
        <v>0</v>
      </c>
      <c r="Q844">
        <v>0</v>
      </c>
      <c r="R844">
        <f>IF(S844,TRUE,AND(V844:AE844))</f>
        <v>0</v>
      </c>
      <c r="S844">
        <f>COUNTBLANK(Metadata!B844:K844)=COLUMNS(Metadata!B844:K844)</f>
        <v>0</v>
      </c>
      <c r="T844">
        <v>0</v>
      </c>
      <c r="V844">
        <f>AND(IF(Metadata!B844="",FALSE,TRUE),COUNTIF(Metadata!B:B, Metadata!B844) = 1,NOT(ISERROR(SUMPRODUCT(SEARCH(MID(Metadata!B844,ROW(INDIRECT("1:"&amp;LEN(Metadata!B844))), 1),"0123456789abcdefghijklmnopqrstuvwxyzABCDEFGHIJKLMNOPQRSTUVWXYZ.")))))</f>
        <v>0</v>
      </c>
      <c r="W844">
        <f>AND(IF(Metadata!C844="",FALSE,TRUE),exact(Metadata!C844,"urban biome"))</f>
        <v>0</v>
      </c>
      <c r="X844">
        <f>AND(IF(Metadata!D844="",FALSE,TRUE),exact(Metadata!D844,"animal-associated habitat"))</f>
        <v>0</v>
      </c>
      <c r="Y844">
        <f>OR(AND(IF(Metadata!E844="",FALSE,TRUE),OR(exact(Metadata!E844,"not applicable"),exact(Metadata!E844,"missing: not collected"),exact(Metadata!E844,"missing: not provided"),exact(Metadata!E844,"missing: restricted access"))),AND(IF(Metadata!E844="",FALSE,ISNUMBER(VALUE(Metadata!E844))),Metadata!E844&gt;0))</f>
        <v>0</v>
      </c>
      <c r="Z844">
        <f>AND(IF(Metadata!F844="",FALSE,TRUE),exact(Metadata!F844,"weeks"))</f>
        <v>0</v>
      </c>
      <c r="AA844">
        <f>AND(IF(Metadata!G844="",FALSE,TRUE),exact(Metadata!G844,"mouse"))</f>
        <v>0</v>
      </c>
      <c r="AB844">
        <f>AND(IF(Metadata!H844="",FALSE,TRUE),exact(Metadata!H844,"Mus musculus"))</f>
        <v>0</v>
      </c>
      <c r="AC844">
        <f>AND(IF(Metadata!I844="",FALSE,TRUE),exact(Metadata!I844,"10090"))</f>
        <v>0</v>
      </c>
      <c r="AD844">
        <f>OR(AND(IF(Metadata!J844="",FALSE,TRUE),OR(exact(Metadata!J844,"not applicable"),exact(Metadata!J844,"missing: not collected"),exact(Metadata!J844,"missing: not provided"),exact(Metadata!J844,"missing: restricted access"))),AND(IF(Metadata!J844="",FALSE,ISNUMBER(VALUE(Metadata!J844))),Metadata!J844&gt;0))</f>
        <v>0</v>
      </c>
      <c r="AE844">
        <f>AND(IF(Metadata!K844="",FALSE,TRUE),exact(Metadata!K844,"g"))</f>
        <v>0</v>
      </c>
    </row>
    <row r="845" spans="1:31">
      <c r="A845" s="5">
        <f>IF(B845=" "," ",HYPERLINK(CONCATENATE("#metadata!",ADDRESS(INDEX($Q$2:$Q$1001,MATCH(ROWS($O$2:O845),$O$2:$O$1001,0),0),1)),INDEX($T$2:$T$1001,MATCH(ROWS($O$2:O845),$O$2:$O$1001,0),0)))</f>
        <v>0</v>
      </c>
      <c r="B845" s="4">
        <f>IF(OR(INDEX($P$2:$P$1001,MATCH(ROWS($O$2:O845),$O$2:$O$1001,0),1)&gt;=100000,INDEX($V$1005:$AE$1005,1,MATCH(COLUMNS($V$1006:V1006),$V$1006:$AE$1006,0))&gt;=100000), " ",IF(INDEX($V$2:$AE$1001,MATCH(ROWS($O$2:O845),$O$2:$O$1001,0),MATCH(COLUMNS($V$1006:V1006),$V$1006:$AE$1006,0)), HYPERLINK("#",""), HYPERLINK(CONCATENATE("#Metadata!", ADDRESS(INDEX($Q$2:$Q$1001,MATCH(ROWS($O$2:O845),$O$2:$O$1001,0),0), INDEX($V$1004:$AE$1004,1,MATCH(COLUMNS($V$1006:V1006),$V$1006:$AE$1006,0)))),"Fix")))</f>
        <v>0</v>
      </c>
      <c r="C845" s="4">
        <f>IF(OR(INDEX($P$2:$P$1001,MATCH(ROWS($O$2:O845),$O$2:$O$1001,0),1)&gt;=100000,INDEX($V$1005:$AE$1005,1,MATCH(COLUMNS($V$1006:W1006),$V$1006:$AE$1006,0))&gt;=100000), " ",IF(INDEX($V$2:$AE$1001,MATCH(ROWS($O$2:O845),$O$2:$O$1001,0),MATCH(COLUMNS($V$1006:W1006),$V$1006:$AE$1006,0)), HYPERLINK("#",""), HYPERLINK(CONCATENATE("#Metadata!", ADDRESS(INDEX($Q$2:$Q$1001,MATCH(ROWS($O$2:O845),$O$2:$O$1001,0),0), INDEX($V$1004:$AE$1004,1,MATCH(COLUMNS($V$1006:W1006),$V$1006:$AE$1006,0)))),"Fix")))</f>
        <v>0</v>
      </c>
      <c r="D845" s="4">
        <f>IF(OR(INDEX($P$2:$P$1001,MATCH(ROWS($O$2:O845),$O$2:$O$1001,0),1)&gt;=100000,INDEX($V$1005:$AE$1005,1,MATCH(COLUMNS($V$1006:X1006),$V$1006:$AE$1006,0))&gt;=100000), " ",IF(INDEX($V$2:$AE$1001,MATCH(ROWS($O$2:O845),$O$2:$O$1001,0),MATCH(COLUMNS($V$1006:X1006),$V$1006:$AE$1006,0)), HYPERLINK("#",""), HYPERLINK(CONCATENATE("#Metadata!", ADDRESS(INDEX($Q$2:$Q$1001,MATCH(ROWS($O$2:O845),$O$2:$O$1001,0),0), INDEX($V$1004:$AE$1004,1,MATCH(COLUMNS($V$1006:X1006),$V$1006:$AE$1006,0)))),"Fix")))</f>
        <v>0</v>
      </c>
      <c r="E845" s="4">
        <f>IF(OR(INDEX($P$2:$P$1001,MATCH(ROWS($O$2:O845),$O$2:$O$1001,0),1)&gt;=100000,INDEX($V$1005:$AE$1005,1,MATCH(COLUMNS($V$1006:Y1006),$V$1006:$AE$1006,0))&gt;=100000), " ",IF(INDEX($V$2:$AE$1001,MATCH(ROWS($O$2:O845),$O$2:$O$1001,0),MATCH(COLUMNS($V$1006:Y1006),$V$1006:$AE$1006,0)), HYPERLINK("#",""), HYPERLINK(CONCATENATE("#Metadata!", ADDRESS(INDEX($Q$2:$Q$1001,MATCH(ROWS($O$2:O845),$O$2:$O$1001,0),0), INDEX($V$1004:$AE$1004,1,MATCH(COLUMNS($V$1006:Y1006),$V$1006:$AE$1006,0)))),"Fix")))</f>
        <v>0</v>
      </c>
      <c r="F845" s="4">
        <f>IF(OR(INDEX($P$2:$P$1001,MATCH(ROWS($O$2:O845),$O$2:$O$1001,0),1)&gt;=100000,INDEX($V$1005:$AE$1005,1,MATCH(COLUMNS($V$1006:Z1006),$V$1006:$AE$1006,0))&gt;=100000), " ",IF(INDEX($V$2:$AE$1001,MATCH(ROWS($O$2:O845),$O$2:$O$1001,0),MATCH(COLUMNS($V$1006:Z1006),$V$1006:$AE$1006,0)), HYPERLINK("#",""), HYPERLINK(CONCATENATE("#Metadata!", ADDRESS(INDEX($Q$2:$Q$1001,MATCH(ROWS($O$2:O845),$O$2:$O$1001,0),0), INDEX($V$1004:$AE$1004,1,MATCH(COLUMNS($V$1006:Z1006),$V$1006:$AE$1006,0)))),"Fix")))</f>
        <v>0</v>
      </c>
      <c r="G845" s="4">
        <f>IF(OR(INDEX($P$2:$P$1001,MATCH(ROWS($O$2:O845),$O$2:$O$1001,0),1)&gt;=100000,INDEX($V$1005:$AE$1005,1,MATCH(COLUMNS($V$1006:AA1006),$V$1006:$AE$1006,0))&gt;=100000), " ",IF(INDEX($V$2:$AE$1001,MATCH(ROWS($O$2:O845),$O$2:$O$1001,0),MATCH(COLUMNS($V$1006:AA1006),$V$1006:$AE$1006,0)), HYPERLINK("#",""), HYPERLINK(CONCATENATE("#Metadata!", ADDRESS(INDEX($Q$2:$Q$1001,MATCH(ROWS($O$2:O845),$O$2:$O$1001,0),0), INDEX($V$1004:$AE$1004,1,MATCH(COLUMNS($V$1006:AA1006),$V$1006:$AE$1006,0)))),"Fix")))</f>
        <v>0</v>
      </c>
      <c r="H845" s="4">
        <f>IF(OR(INDEX($P$2:$P$1001,MATCH(ROWS($O$2:O845),$O$2:$O$1001,0),1)&gt;=100000,INDEX($V$1005:$AE$1005,1,MATCH(COLUMNS($V$1006:AB1006),$V$1006:$AE$1006,0))&gt;=100000), " ",IF(INDEX($V$2:$AE$1001,MATCH(ROWS($O$2:O845),$O$2:$O$1001,0),MATCH(COLUMNS($V$1006:AB1006),$V$1006:$AE$1006,0)), HYPERLINK("#",""), HYPERLINK(CONCATENATE("#Metadata!", ADDRESS(INDEX($Q$2:$Q$1001,MATCH(ROWS($O$2:O845),$O$2:$O$1001,0),0), INDEX($V$1004:$AE$1004,1,MATCH(COLUMNS($V$1006:AB1006),$V$1006:$AE$1006,0)))),"Fix")))</f>
        <v>0</v>
      </c>
      <c r="I845" s="4">
        <f>IF(OR(INDEX($P$2:$P$1001,MATCH(ROWS($O$2:O845),$O$2:$O$1001,0),1)&gt;=100000,INDEX($V$1005:$AE$1005,1,MATCH(COLUMNS($V$1006:AC1006),$V$1006:$AE$1006,0))&gt;=100000), " ",IF(INDEX($V$2:$AE$1001,MATCH(ROWS($O$2:O845),$O$2:$O$1001,0),MATCH(COLUMNS($V$1006:AC1006),$V$1006:$AE$1006,0)), HYPERLINK("#",""), HYPERLINK(CONCATENATE("#Metadata!", ADDRESS(INDEX($Q$2:$Q$1001,MATCH(ROWS($O$2:O845),$O$2:$O$1001,0),0), INDEX($V$1004:$AE$1004,1,MATCH(COLUMNS($V$1006:AC1006),$V$1006:$AE$1006,0)))),"Fix")))</f>
        <v>0</v>
      </c>
      <c r="J845" s="4">
        <f>IF(OR(INDEX($P$2:$P$1001,MATCH(ROWS($O$2:O845),$O$2:$O$1001,0),1)&gt;=100000,INDEX($V$1005:$AE$1005,1,MATCH(COLUMNS($V$1006:AD1006),$V$1006:$AE$1006,0))&gt;=100000), " ",IF(INDEX($V$2:$AE$1001,MATCH(ROWS($O$2:O845),$O$2:$O$1001,0),MATCH(COLUMNS($V$1006:AD1006),$V$1006:$AE$1006,0)), HYPERLINK("#",""), HYPERLINK(CONCATENATE("#Metadata!", ADDRESS(INDEX($Q$2:$Q$1001,MATCH(ROWS($O$2:O845),$O$2:$O$1001,0),0), INDEX($V$1004:$AE$1004,1,MATCH(COLUMNS($V$1006:AD1006),$V$1006:$AE$1006,0)))),"Fix")))</f>
        <v>0</v>
      </c>
      <c r="K845" s="4">
        <f>IF(OR(INDEX($P$2:$P$1001,MATCH(ROWS($O$2:O845),$O$2:$O$1001,0),1)&gt;=100000,INDEX($V$1005:$AE$1005,1,MATCH(COLUMNS($V$1006:AE1006),$V$1006:$AE$1006,0))&gt;=100000), " ",IF(INDEX($V$2:$AE$1001,MATCH(ROWS($O$2:O845),$O$2:$O$1001,0),MATCH(COLUMNS($V$1006:AE1006),$V$1006:$AE$1006,0)), HYPERLINK("#",""), HYPERLINK(CONCATENATE("#Metadata!", ADDRESS(INDEX($Q$2:$Q$1001,MATCH(ROWS($O$2:O845),$O$2:$O$1001,0),0), INDEX($V$1004:$AE$1004,1,MATCH(COLUMNS($V$1006:AE1006),$V$1006:$AE$1006,0)))),"Fix")))</f>
        <v>0</v>
      </c>
      <c r="O845">
        <v>0</v>
      </c>
      <c r="P845">
        <v>0</v>
      </c>
      <c r="Q845">
        <v>0</v>
      </c>
      <c r="R845">
        <f>IF(S845,TRUE,AND(V845:AE845))</f>
        <v>0</v>
      </c>
      <c r="S845">
        <f>COUNTBLANK(Metadata!B845:K845)=COLUMNS(Metadata!B845:K845)</f>
        <v>0</v>
      </c>
      <c r="T845">
        <v>0</v>
      </c>
      <c r="V845">
        <f>AND(IF(Metadata!B845="",FALSE,TRUE),COUNTIF(Metadata!B:B, Metadata!B845) = 1,NOT(ISERROR(SUMPRODUCT(SEARCH(MID(Metadata!B845,ROW(INDIRECT("1:"&amp;LEN(Metadata!B845))), 1),"0123456789abcdefghijklmnopqrstuvwxyzABCDEFGHIJKLMNOPQRSTUVWXYZ.")))))</f>
        <v>0</v>
      </c>
      <c r="W845">
        <f>AND(IF(Metadata!C845="",FALSE,TRUE),exact(Metadata!C845,"urban biome"))</f>
        <v>0</v>
      </c>
      <c r="X845">
        <f>AND(IF(Metadata!D845="",FALSE,TRUE),exact(Metadata!D845,"animal-associated habitat"))</f>
        <v>0</v>
      </c>
      <c r="Y845">
        <f>OR(AND(IF(Metadata!E845="",FALSE,TRUE),OR(exact(Metadata!E845,"not applicable"),exact(Metadata!E845,"missing: not collected"),exact(Metadata!E845,"missing: not provided"),exact(Metadata!E845,"missing: restricted access"))),AND(IF(Metadata!E845="",FALSE,ISNUMBER(VALUE(Metadata!E845))),Metadata!E845&gt;0))</f>
        <v>0</v>
      </c>
      <c r="Z845">
        <f>AND(IF(Metadata!F845="",FALSE,TRUE),exact(Metadata!F845,"weeks"))</f>
        <v>0</v>
      </c>
      <c r="AA845">
        <f>AND(IF(Metadata!G845="",FALSE,TRUE),exact(Metadata!G845,"mouse"))</f>
        <v>0</v>
      </c>
      <c r="AB845">
        <f>AND(IF(Metadata!H845="",FALSE,TRUE),exact(Metadata!H845,"Mus musculus"))</f>
        <v>0</v>
      </c>
      <c r="AC845">
        <f>AND(IF(Metadata!I845="",FALSE,TRUE),exact(Metadata!I845,"10090"))</f>
        <v>0</v>
      </c>
      <c r="AD845">
        <f>OR(AND(IF(Metadata!J845="",FALSE,TRUE),OR(exact(Metadata!J845,"not applicable"),exact(Metadata!J845,"missing: not collected"),exact(Metadata!J845,"missing: not provided"),exact(Metadata!J845,"missing: restricted access"))),AND(IF(Metadata!J845="",FALSE,ISNUMBER(VALUE(Metadata!J845))),Metadata!J845&gt;0))</f>
        <v>0</v>
      </c>
      <c r="AE845">
        <f>AND(IF(Metadata!K845="",FALSE,TRUE),exact(Metadata!K845,"g"))</f>
        <v>0</v>
      </c>
    </row>
    <row r="846" spans="1:31">
      <c r="A846" s="5">
        <f>IF(B846=" "," ",HYPERLINK(CONCATENATE("#metadata!",ADDRESS(INDEX($Q$2:$Q$1001,MATCH(ROWS($O$2:O846),$O$2:$O$1001,0),0),1)),INDEX($T$2:$T$1001,MATCH(ROWS($O$2:O846),$O$2:$O$1001,0),0)))</f>
        <v>0</v>
      </c>
      <c r="B846" s="4">
        <f>IF(OR(INDEX($P$2:$P$1001,MATCH(ROWS($O$2:O846),$O$2:$O$1001,0),1)&gt;=100000,INDEX($V$1005:$AE$1005,1,MATCH(COLUMNS($V$1006:V1006),$V$1006:$AE$1006,0))&gt;=100000), " ",IF(INDEX($V$2:$AE$1001,MATCH(ROWS($O$2:O846),$O$2:$O$1001,0),MATCH(COLUMNS($V$1006:V1006),$V$1006:$AE$1006,0)), HYPERLINK("#",""), HYPERLINK(CONCATENATE("#Metadata!", ADDRESS(INDEX($Q$2:$Q$1001,MATCH(ROWS($O$2:O846),$O$2:$O$1001,0),0), INDEX($V$1004:$AE$1004,1,MATCH(COLUMNS($V$1006:V1006),$V$1006:$AE$1006,0)))),"Fix")))</f>
        <v>0</v>
      </c>
      <c r="C846" s="4">
        <f>IF(OR(INDEX($P$2:$P$1001,MATCH(ROWS($O$2:O846),$O$2:$O$1001,0),1)&gt;=100000,INDEX($V$1005:$AE$1005,1,MATCH(COLUMNS($V$1006:W1006),$V$1006:$AE$1006,0))&gt;=100000), " ",IF(INDEX($V$2:$AE$1001,MATCH(ROWS($O$2:O846),$O$2:$O$1001,0),MATCH(COLUMNS($V$1006:W1006),$V$1006:$AE$1006,0)), HYPERLINK("#",""), HYPERLINK(CONCATENATE("#Metadata!", ADDRESS(INDEX($Q$2:$Q$1001,MATCH(ROWS($O$2:O846),$O$2:$O$1001,0),0), INDEX($V$1004:$AE$1004,1,MATCH(COLUMNS($V$1006:W1006),$V$1006:$AE$1006,0)))),"Fix")))</f>
        <v>0</v>
      </c>
      <c r="D846" s="4">
        <f>IF(OR(INDEX($P$2:$P$1001,MATCH(ROWS($O$2:O846),$O$2:$O$1001,0),1)&gt;=100000,INDEX($V$1005:$AE$1005,1,MATCH(COLUMNS($V$1006:X1006),$V$1006:$AE$1006,0))&gt;=100000), " ",IF(INDEX($V$2:$AE$1001,MATCH(ROWS($O$2:O846),$O$2:$O$1001,0),MATCH(COLUMNS($V$1006:X1006),$V$1006:$AE$1006,0)), HYPERLINK("#",""), HYPERLINK(CONCATENATE("#Metadata!", ADDRESS(INDEX($Q$2:$Q$1001,MATCH(ROWS($O$2:O846),$O$2:$O$1001,0),0), INDEX($V$1004:$AE$1004,1,MATCH(COLUMNS($V$1006:X1006),$V$1006:$AE$1006,0)))),"Fix")))</f>
        <v>0</v>
      </c>
      <c r="E846" s="4">
        <f>IF(OR(INDEX($P$2:$P$1001,MATCH(ROWS($O$2:O846),$O$2:$O$1001,0),1)&gt;=100000,INDEX($V$1005:$AE$1005,1,MATCH(COLUMNS($V$1006:Y1006),$V$1006:$AE$1006,0))&gt;=100000), " ",IF(INDEX($V$2:$AE$1001,MATCH(ROWS($O$2:O846),$O$2:$O$1001,0),MATCH(COLUMNS($V$1006:Y1006),$V$1006:$AE$1006,0)), HYPERLINK("#",""), HYPERLINK(CONCATENATE("#Metadata!", ADDRESS(INDEX($Q$2:$Q$1001,MATCH(ROWS($O$2:O846),$O$2:$O$1001,0),0), INDEX($V$1004:$AE$1004,1,MATCH(COLUMNS($V$1006:Y1006),$V$1006:$AE$1006,0)))),"Fix")))</f>
        <v>0</v>
      </c>
      <c r="F846" s="4">
        <f>IF(OR(INDEX($P$2:$P$1001,MATCH(ROWS($O$2:O846),$O$2:$O$1001,0),1)&gt;=100000,INDEX($V$1005:$AE$1005,1,MATCH(COLUMNS($V$1006:Z1006),$V$1006:$AE$1006,0))&gt;=100000), " ",IF(INDEX($V$2:$AE$1001,MATCH(ROWS($O$2:O846),$O$2:$O$1001,0),MATCH(COLUMNS($V$1006:Z1006),$V$1006:$AE$1006,0)), HYPERLINK("#",""), HYPERLINK(CONCATENATE("#Metadata!", ADDRESS(INDEX($Q$2:$Q$1001,MATCH(ROWS($O$2:O846),$O$2:$O$1001,0),0), INDEX($V$1004:$AE$1004,1,MATCH(COLUMNS($V$1006:Z1006),$V$1006:$AE$1006,0)))),"Fix")))</f>
        <v>0</v>
      </c>
      <c r="G846" s="4">
        <f>IF(OR(INDEX($P$2:$P$1001,MATCH(ROWS($O$2:O846),$O$2:$O$1001,0),1)&gt;=100000,INDEX($V$1005:$AE$1005,1,MATCH(COLUMNS($V$1006:AA1006),$V$1006:$AE$1006,0))&gt;=100000), " ",IF(INDEX($V$2:$AE$1001,MATCH(ROWS($O$2:O846),$O$2:$O$1001,0),MATCH(COLUMNS($V$1006:AA1006),$V$1006:$AE$1006,0)), HYPERLINK("#",""), HYPERLINK(CONCATENATE("#Metadata!", ADDRESS(INDEX($Q$2:$Q$1001,MATCH(ROWS($O$2:O846),$O$2:$O$1001,0),0), INDEX($V$1004:$AE$1004,1,MATCH(COLUMNS($V$1006:AA1006),$V$1006:$AE$1006,0)))),"Fix")))</f>
        <v>0</v>
      </c>
      <c r="H846" s="4">
        <f>IF(OR(INDEX($P$2:$P$1001,MATCH(ROWS($O$2:O846),$O$2:$O$1001,0),1)&gt;=100000,INDEX($V$1005:$AE$1005,1,MATCH(COLUMNS($V$1006:AB1006),$V$1006:$AE$1006,0))&gt;=100000), " ",IF(INDEX($V$2:$AE$1001,MATCH(ROWS($O$2:O846),$O$2:$O$1001,0),MATCH(COLUMNS($V$1006:AB1006),$V$1006:$AE$1006,0)), HYPERLINK("#",""), HYPERLINK(CONCATENATE("#Metadata!", ADDRESS(INDEX($Q$2:$Q$1001,MATCH(ROWS($O$2:O846),$O$2:$O$1001,0),0), INDEX($V$1004:$AE$1004,1,MATCH(COLUMNS($V$1006:AB1006),$V$1006:$AE$1006,0)))),"Fix")))</f>
        <v>0</v>
      </c>
      <c r="I846" s="4">
        <f>IF(OR(INDEX($P$2:$P$1001,MATCH(ROWS($O$2:O846),$O$2:$O$1001,0),1)&gt;=100000,INDEX($V$1005:$AE$1005,1,MATCH(COLUMNS($V$1006:AC1006),$V$1006:$AE$1006,0))&gt;=100000), " ",IF(INDEX($V$2:$AE$1001,MATCH(ROWS($O$2:O846),$O$2:$O$1001,0),MATCH(COLUMNS($V$1006:AC1006),$V$1006:$AE$1006,0)), HYPERLINK("#",""), HYPERLINK(CONCATENATE("#Metadata!", ADDRESS(INDEX($Q$2:$Q$1001,MATCH(ROWS($O$2:O846),$O$2:$O$1001,0),0), INDEX($V$1004:$AE$1004,1,MATCH(COLUMNS($V$1006:AC1006),$V$1006:$AE$1006,0)))),"Fix")))</f>
        <v>0</v>
      </c>
      <c r="J846" s="4">
        <f>IF(OR(INDEX($P$2:$P$1001,MATCH(ROWS($O$2:O846),$O$2:$O$1001,0),1)&gt;=100000,INDEX($V$1005:$AE$1005,1,MATCH(COLUMNS($V$1006:AD1006),$V$1006:$AE$1006,0))&gt;=100000), " ",IF(INDEX($V$2:$AE$1001,MATCH(ROWS($O$2:O846),$O$2:$O$1001,0),MATCH(COLUMNS($V$1006:AD1006),$V$1006:$AE$1006,0)), HYPERLINK("#",""), HYPERLINK(CONCATENATE("#Metadata!", ADDRESS(INDEX($Q$2:$Q$1001,MATCH(ROWS($O$2:O846),$O$2:$O$1001,0),0), INDEX($V$1004:$AE$1004,1,MATCH(COLUMNS($V$1006:AD1006),$V$1006:$AE$1006,0)))),"Fix")))</f>
        <v>0</v>
      </c>
      <c r="K846" s="4">
        <f>IF(OR(INDEX($P$2:$P$1001,MATCH(ROWS($O$2:O846),$O$2:$O$1001,0),1)&gt;=100000,INDEX($V$1005:$AE$1005,1,MATCH(COLUMNS($V$1006:AE1006),$V$1006:$AE$1006,0))&gt;=100000), " ",IF(INDEX($V$2:$AE$1001,MATCH(ROWS($O$2:O846),$O$2:$O$1001,0),MATCH(COLUMNS($V$1006:AE1006),$V$1006:$AE$1006,0)), HYPERLINK("#",""), HYPERLINK(CONCATENATE("#Metadata!", ADDRESS(INDEX($Q$2:$Q$1001,MATCH(ROWS($O$2:O846),$O$2:$O$1001,0),0), INDEX($V$1004:$AE$1004,1,MATCH(COLUMNS($V$1006:AE1006),$V$1006:$AE$1006,0)))),"Fix")))</f>
        <v>0</v>
      </c>
      <c r="O846">
        <v>0</v>
      </c>
      <c r="P846">
        <v>0</v>
      </c>
      <c r="Q846">
        <v>0</v>
      </c>
      <c r="R846">
        <f>IF(S846,TRUE,AND(V846:AE846))</f>
        <v>0</v>
      </c>
      <c r="S846">
        <f>COUNTBLANK(Metadata!B846:K846)=COLUMNS(Metadata!B846:K846)</f>
        <v>0</v>
      </c>
      <c r="T846">
        <v>0</v>
      </c>
      <c r="V846">
        <f>AND(IF(Metadata!B846="",FALSE,TRUE),COUNTIF(Metadata!B:B, Metadata!B846) = 1,NOT(ISERROR(SUMPRODUCT(SEARCH(MID(Metadata!B846,ROW(INDIRECT("1:"&amp;LEN(Metadata!B846))), 1),"0123456789abcdefghijklmnopqrstuvwxyzABCDEFGHIJKLMNOPQRSTUVWXYZ.")))))</f>
        <v>0</v>
      </c>
      <c r="W846">
        <f>AND(IF(Metadata!C846="",FALSE,TRUE),exact(Metadata!C846,"urban biome"))</f>
        <v>0</v>
      </c>
      <c r="X846">
        <f>AND(IF(Metadata!D846="",FALSE,TRUE),exact(Metadata!D846,"animal-associated habitat"))</f>
        <v>0</v>
      </c>
      <c r="Y846">
        <f>OR(AND(IF(Metadata!E846="",FALSE,TRUE),OR(exact(Metadata!E846,"not applicable"),exact(Metadata!E846,"missing: not collected"),exact(Metadata!E846,"missing: not provided"),exact(Metadata!E846,"missing: restricted access"))),AND(IF(Metadata!E846="",FALSE,ISNUMBER(VALUE(Metadata!E846))),Metadata!E846&gt;0))</f>
        <v>0</v>
      </c>
      <c r="Z846">
        <f>AND(IF(Metadata!F846="",FALSE,TRUE),exact(Metadata!F846,"weeks"))</f>
        <v>0</v>
      </c>
      <c r="AA846">
        <f>AND(IF(Metadata!G846="",FALSE,TRUE),exact(Metadata!G846,"mouse"))</f>
        <v>0</v>
      </c>
      <c r="AB846">
        <f>AND(IF(Metadata!H846="",FALSE,TRUE),exact(Metadata!H846,"Mus musculus"))</f>
        <v>0</v>
      </c>
      <c r="AC846">
        <f>AND(IF(Metadata!I846="",FALSE,TRUE),exact(Metadata!I846,"10090"))</f>
        <v>0</v>
      </c>
      <c r="AD846">
        <f>OR(AND(IF(Metadata!J846="",FALSE,TRUE),OR(exact(Metadata!J846,"not applicable"),exact(Metadata!J846,"missing: not collected"),exact(Metadata!J846,"missing: not provided"),exact(Metadata!J846,"missing: restricted access"))),AND(IF(Metadata!J846="",FALSE,ISNUMBER(VALUE(Metadata!J846))),Metadata!J846&gt;0))</f>
        <v>0</v>
      </c>
      <c r="AE846">
        <f>AND(IF(Metadata!K846="",FALSE,TRUE),exact(Metadata!K846,"g"))</f>
        <v>0</v>
      </c>
    </row>
    <row r="847" spans="1:31">
      <c r="A847" s="5">
        <f>IF(B847=" "," ",HYPERLINK(CONCATENATE("#metadata!",ADDRESS(INDEX($Q$2:$Q$1001,MATCH(ROWS($O$2:O847),$O$2:$O$1001,0),0),1)),INDEX($T$2:$T$1001,MATCH(ROWS($O$2:O847),$O$2:$O$1001,0),0)))</f>
        <v>0</v>
      </c>
      <c r="B847" s="4">
        <f>IF(OR(INDEX($P$2:$P$1001,MATCH(ROWS($O$2:O847),$O$2:$O$1001,0),1)&gt;=100000,INDEX($V$1005:$AE$1005,1,MATCH(COLUMNS($V$1006:V1006),$V$1006:$AE$1006,0))&gt;=100000), " ",IF(INDEX($V$2:$AE$1001,MATCH(ROWS($O$2:O847),$O$2:$O$1001,0),MATCH(COLUMNS($V$1006:V1006),$V$1006:$AE$1006,0)), HYPERLINK("#",""), HYPERLINK(CONCATENATE("#Metadata!", ADDRESS(INDEX($Q$2:$Q$1001,MATCH(ROWS($O$2:O847),$O$2:$O$1001,0),0), INDEX($V$1004:$AE$1004,1,MATCH(COLUMNS($V$1006:V1006),$V$1006:$AE$1006,0)))),"Fix")))</f>
        <v>0</v>
      </c>
      <c r="C847" s="4">
        <f>IF(OR(INDEX($P$2:$P$1001,MATCH(ROWS($O$2:O847),$O$2:$O$1001,0),1)&gt;=100000,INDEX($V$1005:$AE$1005,1,MATCH(COLUMNS($V$1006:W1006),$V$1006:$AE$1006,0))&gt;=100000), " ",IF(INDEX($V$2:$AE$1001,MATCH(ROWS($O$2:O847),$O$2:$O$1001,0),MATCH(COLUMNS($V$1006:W1006),$V$1006:$AE$1006,0)), HYPERLINK("#",""), HYPERLINK(CONCATENATE("#Metadata!", ADDRESS(INDEX($Q$2:$Q$1001,MATCH(ROWS($O$2:O847),$O$2:$O$1001,0),0), INDEX($V$1004:$AE$1004,1,MATCH(COLUMNS($V$1006:W1006),$V$1006:$AE$1006,0)))),"Fix")))</f>
        <v>0</v>
      </c>
      <c r="D847" s="4">
        <f>IF(OR(INDEX($P$2:$P$1001,MATCH(ROWS($O$2:O847),$O$2:$O$1001,0),1)&gt;=100000,INDEX($V$1005:$AE$1005,1,MATCH(COLUMNS($V$1006:X1006),$V$1006:$AE$1006,0))&gt;=100000), " ",IF(INDEX($V$2:$AE$1001,MATCH(ROWS($O$2:O847),$O$2:$O$1001,0),MATCH(COLUMNS($V$1006:X1006),$V$1006:$AE$1006,0)), HYPERLINK("#",""), HYPERLINK(CONCATENATE("#Metadata!", ADDRESS(INDEX($Q$2:$Q$1001,MATCH(ROWS($O$2:O847),$O$2:$O$1001,0),0), INDEX($V$1004:$AE$1004,1,MATCH(COLUMNS($V$1006:X1006),$V$1006:$AE$1006,0)))),"Fix")))</f>
        <v>0</v>
      </c>
      <c r="E847" s="4">
        <f>IF(OR(INDEX($P$2:$P$1001,MATCH(ROWS($O$2:O847),$O$2:$O$1001,0),1)&gt;=100000,INDEX($V$1005:$AE$1005,1,MATCH(COLUMNS($V$1006:Y1006),$V$1006:$AE$1006,0))&gt;=100000), " ",IF(INDEX($V$2:$AE$1001,MATCH(ROWS($O$2:O847),$O$2:$O$1001,0),MATCH(COLUMNS($V$1006:Y1006),$V$1006:$AE$1006,0)), HYPERLINK("#",""), HYPERLINK(CONCATENATE("#Metadata!", ADDRESS(INDEX($Q$2:$Q$1001,MATCH(ROWS($O$2:O847),$O$2:$O$1001,0),0), INDEX($V$1004:$AE$1004,1,MATCH(COLUMNS($V$1006:Y1006),$V$1006:$AE$1006,0)))),"Fix")))</f>
        <v>0</v>
      </c>
      <c r="F847" s="4">
        <f>IF(OR(INDEX($P$2:$P$1001,MATCH(ROWS($O$2:O847),$O$2:$O$1001,0),1)&gt;=100000,INDEX($V$1005:$AE$1005,1,MATCH(COLUMNS($V$1006:Z1006),$V$1006:$AE$1006,0))&gt;=100000), " ",IF(INDEX($V$2:$AE$1001,MATCH(ROWS($O$2:O847),$O$2:$O$1001,0),MATCH(COLUMNS($V$1006:Z1006),$V$1006:$AE$1006,0)), HYPERLINK("#",""), HYPERLINK(CONCATENATE("#Metadata!", ADDRESS(INDEX($Q$2:$Q$1001,MATCH(ROWS($O$2:O847),$O$2:$O$1001,0),0), INDEX($V$1004:$AE$1004,1,MATCH(COLUMNS($V$1006:Z1006),$V$1006:$AE$1006,0)))),"Fix")))</f>
        <v>0</v>
      </c>
      <c r="G847" s="4">
        <f>IF(OR(INDEX($P$2:$P$1001,MATCH(ROWS($O$2:O847),$O$2:$O$1001,0),1)&gt;=100000,INDEX($V$1005:$AE$1005,1,MATCH(COLUMNS($V$1006:AA1006),$V$1006:$AE$1006,0))&gt;=100000), " ",IF(INDEX($V$2:$AE$1001,MATCH(ROWS($O$2:O847),$O$2:$O$1001,0),MATCH(COLUMNS($V$1006:AA1006),$V$1006:$AE$1006,0)), HYPERLINK("#",""), HYPERLINK(CONCATENATE("#Metadata!", ADDRESS(INDEX($Q$2:$Q$1001,MATCH(ROWS($O$2:O847),$O$2:$O$1001,0),0), INDEX($V$1004:$AE$1004,1,MATCH(COLUMNS($V$1006:AA1006),$V$1006:$AE$1006,0)))),"Fix")))</f>
        <v>0</v>
      </c>
      <c r="H847" s="4">
        <f>IF(OR(INDEX($P$2:$P$1001,MATCH(ROWS($O$2:O847),$O$2:$O$1001,0),1)&gt;=100000,INDEX($V$1005:$AE$1005,1,MATCH(COLUMNS($V$1006:AB1006),$V$1006:$AE$1006,0))&gt;=100000), " ",IF(INDEX($V$2:$AE$1001,MATCH(ROWS($O$2:O847),$O$2:$O$1001,0),MATCH(COLUMNS($V$1006:AB1006),$V$1006:$AE$1006,0)), HYPERLINK("#",""), HYPERLINK(CONCATENATE("#Metadata!", ADDRESS(INDEX($Q$2:$Q$1001,MATCH(ROWS($O$2:O847),$O$2:$O$1001,0),0), INDEX($V$1004:$AE$1004,1,MATCH(COLUMNS($V$1006:AB1006),$V$1006:$AE$1006,0)))),"Fix")))</f>
        <v>0</v>
      </c>
      <c r="I847" s="4">
        <f>IF(OR(INDEX($P$2:$P$1001,MATCH(ROWS($O$2:O847),$O$2:$O$1001,0),1)&gt;=100000,INDEX($V$1005:$AE$1005,1,MATCH(COLUMNS($V$1006:AC1006),$V$1006:$AE$1006,0))&gt;=100000), " ",IF(INDEX($V$2:$AE$1001,MATCH(ROWS($O$2:O847),$O$2:$O$1001,0),MATCH(COLUMNS($V$1006:AC1006),$V$1006:$AE$1006,0)), HYPERLINK("#",""), HYPERLINK(CONCATENATE("#Metadata!", ADDRESS(INDEX($Q$2:$Q$1001,MATCH(ROWS($O$2:O847),$O$2:$O$1001,0),0), INDEX($V$1004:$AE$1004,1,MATCH(COLUMNS($V$1006:AC1006),$V$1006:$AE$1006,0)))),"Fix")))</f>
        <v>0</v>
      </c>
      <c r="J847" s="4">
        <f>IF(OR(INDEX($P$2:$P$1001,MATCH(ROWS($O$2:O847),$O$2:$O$1001,0),1)&gt;=100000,INDEX($V$1005:$AE$1005,1,MATCH(COLUMNS($V$1006:AD1006),$V$1006:$AE$1006,0))&gt;=100000), " ",IF(INDEX($V$2:$AE$1001,MATCH(ROWS($O$2:O847),$O$2:$O$1001,0),MATCH(COLUMNS($V$1006:AD1006),$V$1006:$AE$1006,0)), HYPERLINK("#",""), HYPERLINK(CONCATENATE("#Metadata!", ADDRESS(INDEX($Q$2:$Q$1001,MATCH(ROWS($O$2:O847),$O$2:$O$1001,0),0), INDEX($V$1004:$AE$1004,1,MATCH(COLUMNS($V$1006:AD1006),$V$1006:$AE$1006,0)))),"Fix")))</f>
        <v>0</v>
      </c>
      <c r="K847" s="4">
        <f>IF(OR(INDEX($P$2:$P$1001,MATCH(ROWS($O$2:O847),$O$2:$O$1001,0),1)&gt;=100000,INDEX($V$1005:$AE$1005,1,MATCH(COLUMNS($V$1006:AE1006),$V$1006:$AE$1006,0))&gt;=100000), " ",IF(INDEX($V$2:$AE$1001,MATCH(ROWS($O$2:O847),$O$2:$O$1001,0),MATCH(COLUMNS($V$1006:AE1006),$V$1006:$AE$1006,0)), HYPERLINK("#",""), HYPERLINK(CONCATENATE("#Metadata!", ADDRESS(INDEX($Q$2:$Q$1001,MATCH(ROWS($O$2:O847),$O$2:$O$1001,0),0), INDEX($V$1004:$AE$1004,1,MATCH(COLUMNS($V$1006:AE1006),$V$1006:$AE$1006,0)))),"Fix")))</f>
        <v>0</v>
      </c>
      <c r="O847">
        <v>0</v>
      </c>
      <c r="P847">
        <v>0</v>
      </c>
      <c r="Q847">
        <v>0</v>
      </c>
      <c r="R847">
        <f>IF(S847,TRUE,AND(V847:AE847))</f>
        <v>0</v>
      </c>
      <c r="S847">
        <f>COUNTBLANK(Metadata!B847:K847)=COLUMNS(Metadata!B847:K847)</f>
        <v>0</v>
      </c>
      <c r="T847">
        <v>0</v>
      </c>
      <c r="V847">
        <f>AND(IF(Metadata!B847="",FALSE,TRUE),COUNTIF(Metadata!B:B, Metadata!B847) = 1,NOT(ISERROR(SUMPRODUCT(SEARCH(MID(Metadata!B847,ROW(INDIRECT("1:"&amp;LEN(Metadata!B847))), 1),"0123456789abcdefghijklmnopqrstuvwxyzABCDEFGHIJKLMNOPQRSTUVWXYZ.")))))</f>
        <v>0</v>
      </c>
      <c r="W847">
        <f>AND(IF(Metadata!C847="",FALSE,TRUE),exact(Metadata!C847,"urban biome"))</f>
        <v>0</v>
      </c>
      <c r="X847">
        <f>AND(IF(Metadata!D847="",FALSE,TRUE),exact(Metadata!D847,"animal-associated habitat"))</f>
        <v>0</v>
      </c>
      <c r="Y847">
        <f>OR(AND(IF(Metadata!E847="",FALSE,TRUE),OR(exact(Metadata!E847,"not applicable"),exact(Metadata!E847,"missing: not collected"),exact(Metadata!E847,"missing: not provided"),exact(Metadata!E847,"missing: restricted access"))),AND(IF(Metadata!E847="",FALSE,ISNUMBER(VALUE(Metadata!E847))),Metadata!E847&gt;0))</f>
        <v>0</v>
      </c>
      <c r="Z847">
        <f>AND(IF(Metadata!F847="",FALSE,TRUE),exact(Metadata!F847,"weeks"))</f>
        <v>0</v>
      </c>
      <c r="AA847">
        <f>AND(IF(Metadata!G847="",FALSE,TRUE),exact(Metadata!G847,"mouse"))</f>
        <v>0</v>
      </c>
      <c r="AB847">
        <f>AND(IF(Metadata!H847="",FALSE,TRUE),exact(Metadata!H847,"Mus musculus"))</f>
        <v>0</v>
      </c>
      <c r="AC847">
        <f>AND(IF(Metadata!I847="",FALSE,TRUE),exact(Metadata!I847,"10090"))</f>
        <v>0</v>
      </c>
      <c r="AD847">
        <f>OR(AND(IF(Metadata!J847="",FALSE,TRUE),OR(exact(Metadata!J847,"not applicable"),exact(Metadata!J847,"missing: not collected"),exact(Metadata!J847,"missing: not provided"),exact(Metadata!J847,"missing: restricted access"))),AND(IF(Metadata!J847="",FALSE,ISNUMBER(VALUE(Metadata!J847))),Metadata!J847&gt;0))</f>
        <v>0</v>
      </c>
      <c r="AE847">
        <f>AND(IF(Metadata!K847="",FALSE,TRUE),exact(Metadata!K847,"g"))</f>
        <v>0</v>
      </c>
    </row>
    <row r="848" spans="1:31">
      <c r="A848" s="5">
        <f>IF(B848=" "," ",HYPERLINK(CONCATENATE("#metadata!",ADDRESS(INDEX($Q$2:$Q$1001,MATCH(ROWS($O$2:O848),$O$2:$O$1001,0),0),1)),INDEX($T$2:$T$1001,MATCH(ROWS($O$2:O848),$O$2:$O$1001,0),0)))</f>
        <v>0</v>
      </c>
      <c r="B848" s="4">
        <f>IF(OR(INDEX($P$2:$P$1001,MATCH(ROWS($O$2:O848),$O$2:$O$1001,0),1)&gt;=100000,INDEX($V$1005:$AE$1005,1,MATCH(COLUMNS($V$1006:V1006),$V$1006:$AE$1006,0))&gt;=100000), " ",IF(INDEX($V$2:$AE$1001,MATCH(ROWS($O$2:O848),$O$2:$O$1001,0),MATCH(COLUMNS($V$1006:V1006),$V$1006:$AE$1006,0)), HYPERLINK("#",""), HYPERLINK(CONCATENATE("#Metadata!", ADDRESS(INDEX($Q$2:$Q$1001,MATCH(ROWS($O$2:O848),$O$2:$O$1001,0),0), INDEX($V$1004:$AE$1004,1,MATCH(COLUMNS($V$1006:V1006),$V$1006:$AE$1006,0)))),"Fix")))</f>
        <v>0</v>
      </c>
      <c r="C848" s="4">
        <f>IF(OR(INDEX($P$2:$P$1001,MATCH(ROWS($O$2:O848),$O$2:$O$1001,0),1)&gt;=100000,INDEX($V$1005:$AE$1005,1,MATCH(COLUMNS($V$1006:W1006),$V$1006:$AE$1006,0))&gt;=100000), " ",IF(INDEX($V$2:$AE$1001,MATCH(ROWS($O$2:O848),$O$2:$O$1001,0),MATCH(COLUMNS($V$1006:W1006),$V$1006:$AE$1006,0)), HYPERLINK("#",""), HYPERLINK(CONCATENATE("#Metadata!", ADDRESS(INDEX($Q$2:$Q$1001,MATCH(ROWS($O$2:O848),$O$2:$O$1001,0),0), INDEX($V$1004:$AE$1004,1,MATCH(COLUMNS($V$1006:W1006),$V$1006:$AE$1006,0)))),"Fix")))</f>
        <v>0</v>
      </c>
      <c r="D848" s="4">
        <f>IF(OR(INDEX($P$2:$P$1001,MATCH(ROWS($O$2:O848),$O$2:$O$1001,0),1)&gt;=100000,INDEX($V$1005:$AE$1005,1,MATCH(COLUMNS($V$1006:X1006),$V$1006:$AE$1006,0))&gt;=100000), " ",IF(INDEX($V$2:$AE$1001,MATCH(ROWS($O$2:O848),$O$2:$O$1001,0),MATCH(COLUMNS($V$1006:X1006),$V$1006:$AE$1006,0)), HYPERLINK("#",""), HYPERLINK(CONCATENATE("#Metadata!", ADDRESS(INDEX($Q$2:$Q$1001,MATCH(ROWS($O$2:O848),$O$2:$O$1001,0),0), INDEX($V$1004:$AE$1004,1,MATCH(COLUMNS($V$1006:X1006),$V$1006:$AE$1006,0)))),"Fix")))</f>
        <v>0</v>
      </c>
      <c r="E848" s="4">
        <f>IF(OR(INDEX($P$2:$P$1001,MATCH(ROWS($O$2:O848),$O$2:$O$1001,0),1)&gt;=100000,INDEX($V$1005:$AE$1005,1,MATCH(COLUMNS($V$1006:Y1006),$V$1006:$AE$1006,0))&gt;=100000), " ",IF(INDEX($V$2:$AE$1001,MATCH(ROWS($O$2:O848),$O$2:$O$1001,0),MATCH(COLUMNS($V$1006:Y1006),$V$1006:$AE$1006,0)), HYPERLINK("#",""), HYPERLINK(CONCATENATE("#Metadata!", ADDRESS(INDEX($Q$2:$Q$1001,MATCH(ROWS($O$2:O848),$O$2:$O$1001,0),0), INDEX($V$1004:$AE$1004,1,MATCH(COLUMNS($V$1006:Y1006),$V$1006:$AE$1006,0)))),"Fix")))</f>
        <v>0</v>
      </c>
      <c r="F848" s="4">
        <f>IF(OR(INDEX($P$2:$P$1001,MATCH(ROWS($O$2:O848),$O$2:$O$1001,0),1)&gt;=100000,INDEX($V$1005:$AE$1005,1,MATCH(COLUMNS($V$1006:Z1006),$V$1006:$AE$1006,0))&gt;=100000), " ",IF(INDEX($V$2:$AE$1001,MATCH(ROWS($O$2:O848),$O$2:$O$1001,0),MATCH(COLUMNS($V$1006:Z1006),$V$1006:$AE$1006,0)), HYPERLINK("#",""), HYPERLINK(CONCATENATE("#Metadata!", ADDRESS(INDEX($Q$2:$Q$1001,MATCH(ROWS($O$2:O848),$O$2:$O$1001,0),0), INDEX($V$1004:$AE$1004,1,MATCH(COLUMNS($V$1006:Z1006),$V$1006:$AE$1006,0)))),"Fix")))</f>
        <v>0</v>
      </c>
      <c r="G848" s="4">
        <f>IF(OR(INDEX($P$2:$P$1001,MATCH(ROWS($O$2:O848),$O$2:$O$1001,0),1)&gt;=100000,INDEX($V$1005:$AE$1005,1,MATCH(COLUMNS($V$1006:AA1006),$V$1006:$AE$1006,0))&gt;=100000), " ",IF(INDEX($V$2:$AE$1001,MATCH(ROWS($O$2:O848),$O$2:$O$1001,0),MATCH(COLUMNS($V$1006:AA1006),$V$1006:$AE$1006,0)), HYPERLINK("#",""), HYPERLINK(CONCATENATE("#Metadata!", ADDRESS(INDEX($Q$2:$Q$1001,MATCH(ROWS($O$2:O848),$O$2:$O$1001,0),0), INDEX($V$1004:$AE$1004,1,MATCH(COLUMNS($V$1006:AA1006),$V$1006:$AE$1006,0)))),"Fix")))</f>
        <v>0</v>
      </c>
      <c r="H848" s="4">
        <f>IF(OR(INDEX($P$2:$P$1001,MATCH(ROWS($O$2:O848),$O$2:$O$1001,0),1)&gt;=100000,INDEX($V$1005:$AE$1005,1,MATCH(COLUMNS($V$1006:AB1006),$V$1006:$AE$1006,0))&gt;=100000), " ",IF(INDEX($V$2:$AE$1001,MATCH(ROWS($O$2:O848),$O$2:$O$1001,0),MATCH(COLUMNS($V$1006:AB1006),$V$1006:$AE$1006,0)), HYPERLINK("#",""), HYPERLINK(CONCATENATE("#Metadata!", ADDRESS(INDEX($Q$2:$Q$1001,MATCH(ROWS($O$2:O848),$O$2:$O$1001,0),0), INDEX($V$1004:$AE$1004,1,MATCH(COLUMNS($V$1006:AB1006),$V$1006:$AE$1006,0)))),"Fix")))</f>
        <v>0</v>
      </c>
      <c r="I848" s="4">
        <f>IF(OR(INDEX($P$2:$P$1001,MATCH(ROWS($O$2:O848),$O$2:$O$1001,0),1)&gt;=100000,INDEX($V$1005:$AE$1005,1,MATCH(COLUMNS($V$1006:AC1006),$V$1006:$AE$1006,0))&gt;=100000), " ",IF(INDEX($V$2:$AE$1001,MATCH(ROWS($O$2:O848),$O$2:$O$1001,0),MATCH(COLUMNS($V$1006:AC1006),$V$1006:$AE$1006,0)), HYPERLINK("#",""), HYPERLINK(CONCATENATE("#Metadata!", ADDRESS(INDEX($Q$2:$Q$1001,MATCH(ROWS($O$2:O848),$O$2:$O$1001,0),0), INDEX($V$1004:$AE$1004,1,MATCH(COLUMNS($V$1006:AC1006),$V$1006:$AE$1006,0)))),"Fix")))</f>
        <v>0</v>
      </c>
      <c r="J848" s="4">
        <f>IF(OR(INDEX($P$2:$P$1001,MATCH(ROWS($O$2:O848),$O$2:$O$1001,0),1)&gt;=100000,INDEX($V$1005:$AE$1005,1,MATCH(COLUMNS($V$1006:AD1006),$V$1006:$AE$1006,0))&gt;=100000), " ",IF(INDEX($V$2:$AE$1001,MATCH(ROWS($O$2:O848),$O$2:$O$1001,0),MATCH(COLUMNS($V$1006:AD1006),$V$1006:$AE$1006,0)), HYPERLINK("#",""), HYPERLINK(CONCATENATE("#Metadata!", ADDRESS(INDEX($Q$2:$Q$1001,MATCH(ROWS($O$2:O848),$O$2:$O$1001,0),0), INDEX($V$1004:$AE$1004,1,MATCH(COLUMNS($V$1006:AD1006),$V$1006:$AE$1006,0)))),"Fix")))</f>
        <v>0</v>
      </c>
      <c r="K848" s="4">
        <f>IF(OR(INDEX($P$2:$P$1001,MATCH(ROWS($O$2:O848),$O$2:$O$1001,0),1)&gt;=100000,INDEX($V$1005:$AE$1005,1,MATCH(COLUMNS($V$1006:AE1006),$V$1006:$AE$1006,0))&gt;=100000), " ",IF(INDEX($V$2:$AE$1001,MATCH(ROWS($O$2:O848),$O$2:$O$1001,0),MATCH(COLUMNS($V$1006:AE1006),$V$1006:$AE$1006,0)), HYPERLINK("#",""), HYPERLINK(CONCATENATE("#Metadata!", ADDRESS(INDEX($Q$2:$Q$1001,MATCH(ROWS($O$2:O848),$O$2:$O$1001,0),0), INDEX($V$1004:$AE$1004,1,MATCH(COLUMNS($V$1006:AE1006),$V$1006:$AE$1006,0)))),"Fix")))</f>
        <v>0</v>
      </c>
      <c r="O848">
        <v>0</v>
      </c>
      <c r="P848">
        <v>0</v>
      </c>
      <c r="Q848">
        <v>0</v>
      </c>
      <c r="R848">
        <f>IF(S848,TRUE,AND(V848:AE848))</f>
        <v>0</v>
      </c>
      <c r="S848">
        <f>COUNTBLANK(Metadata!B848:K848)=COLUMNS(Metadata!B848:K848)</f>
        <v>0</v>
      </c>
      <c r="T848">
        <v>0</v>
      </c>
      <c r="V848">
        <f>AND(IF(Metadata!B848="",FALSE,TRUE),COUNTIF(Metadata!B:B, Metadata!B848) = 1,NOT(ISERROR(SUMPRODUCT(SEARCH(MID(Metadata!B848,ROW(INDIRECT("1:"&amp;LEN(Metadata!B848))), 1),"0123456789abcdefghijklmnopqrstuvwxyzABCDEFGHIJKLMNOPQRSTUVWXYZ.")))))</f>
        <v>0</v>
      </c>
      <c r="W848">
        <f>AND(IF(Metadata!C848="",FALSE,TRUE),exact(Metadata!C848,"urban biome"))</f>
        <v>0</v>
      </c>
      <c r="X848">
        <f>AND(IF(Metadata!D848="",FALSE,TRUE),exact(Metadata!D848,"animal-associated habitat"))</f>
        <v>0</v>
      </c>
      <c r="Y848">
        <f>OR(AND(IF(Metadata!E848="",FALSE,TRUE),OR(exact(Metadata!E848,"not applicable"),exact(Metadata!E848,"missing: not collected"),exact(Metadata!E848,"missing: not provided"),exact(Metadata!E848,"missing: restricted access"))),AND(IF(Metadata!E848="",FALSE,ISNUMBER(VALUE(Metadata!E848))),Metadata!E848&gt;0))</f>
        <v>0</v>
      </c>
      <c r="Z848">
        <f>AND(IF(Metadata!F848="",FALSE,TRUE),exact(Metadata!F848,"weeks"))</f>
        <v>0</v>
      </c>
      <c r="AA848">
        <f>AND(IF(Metadata!G848="",FALSE,TRUE),exact(Metadata!G848,"mouse"))</f>
        <v>0</v>
      </c>
      <c r="AB848">
        <f>AND(IF(Metadata!H848="",FALSE,TRUE),exact(Metadata!H848,"Mus musculus"))</f>
        <v>0</v>
      </c>
      <c r="AC848">
        <f>AND(IF(Metadata!I848="",FALSE,TRUE),exact(Metadata!I848,"10090"))</f>
        <v>0</v>
      </c>
      <c r="AD848">
        <f>OR(AND(IF(Metadata!J848="",FALSE,TRUE),OR(exact(Metadata!J848,"not applicable"),exact(Metadata!J848,"missing: not collected"),exact(Metadata!J848,"missing: not provided"),exact(Metadata!J848,"missing: restricted access"))),AND(IF(Metadata!J848="",FALSE,ISNUMBER(VALUE(Metadata!J848))),Metadata!J848&gt;0))</f>
        <v>0</v>
      </c>
      <c r="AE848">
        <f>AND(IF(Metadata!K848="",FALSE,TRUE),exact(Metadata!K848,"g"))</f>
        <v>0</v>
      </c>
    </row>
    <row r="849" spans="1:31">
      <c r="A849" s="5">
        <f>IF(B849=" "," ",HYPERLINK(CONCATENATE("#metadata!",ADDRESS(INDEX($Q$2:$Q$1001,MATCH(ROWS($O$2:O849),$O$2:$O$1001,0),0),1)),INDEX($T$2:$T$1001,MATCH(ROWS($O$2:O849),$O$2:$O$1001,0),0)))</f>
        <v>0</v>
      </c>
      <c r="B849" s="4">
        <f>IF(OR(INDEX($P$2:$P$1001,MATCH(ROWS($O$2:O849),$O$2:$O$1001,0),1)&gt;=100000,INDEX($V$1005:$AE$1005,1,MATCH(COLUMNS($V$1006:V1006),$V$1006:$AE$1006,0))&gt;=100000), " ",IF(INDEX($V$2:$AE$1001,MATCH(ROWS($O$2:O849),$O$2:$O$1001,0),MATCH(COLUMNS($V$1006:V1006),$V$1006:$AE$1006,0)), HYPERLINK("#",""), HYPERLINK(CONCATENATE("#Metadata!", ADDRESS(INDEX($Q$2:$Q$1001,MATCH(ROWS($O$2:O849),$O$2:$O$1001,0),0), INDEX($V$1004:$AE$1004,1,MATCH(COLUMNS($V$1006:V1006),$V$1006:$AE$1006,0)))),"Fix")))</f>
        <v>0</v>
      </c>
      <c r="C849" s="4">
        <f>IF(OR(INDEX($P$2:$P$1001,MATCH(ROWS($O$2:O849),$O$2:$O$1001,0),1)&gt;=100000,INDEX($V$1005:$AE$1005,1,MATCH(COLUMNS($V$1006:W1006),$V$1006:$AE$1006,0))&gt;=100000), " ",IF(INDEX($V$2:$AE$1001,MATCH(ROWS($O$2:O849),$O$2:$O$1001,0),MATCH(COLUMNS($V$1006:W1006),$V$1006:$AE$1006,0)), HYPERLINK("#",""), HYPERLINK(CONCATENATE("#Metadata!", ADDRESS(INDEX($Q$2:$Q$1001,MATCH(ROWS($O$2:O849),$O$2:$O$1001,0),0), INDEX($V$1004:$AE$1004,1,MATCH(COLUMNS($V$1006:W1006),$V$1006:$AE$1006,0)))),"Fix")))</f>
        <v>0</v>
      </c>
      <c r="D849" s="4">
        <f>IF(OR(INDEX($P$2:$P$1001,MATCH(ROWS($O$2:O849),$O$2:$O$1001,0),1)&gt;=100000,INDEX($V$1005:$AE$1005,1,MATCH(COLUMNS($V$1006:X1006),$V$1006:$AE$1006,0))&gt;=100000), " ",IF(INDEX($V$2:$AE$1001,MATCH(ROWS($O$2:O849),$O$2:$O$1001,0),MATCH(COLUMNS($V$1006:X1006),$V$1006:$AE$1006,0)), HYPERLINK("#",""), HYPERLINK(CONCATENATE("#Metadata!", ADDRESS(INDEX($Q$2:$Q$1001,MATCH(ROWS($O$2:O849),$O$2:$O$1001,0),0), INDEX($V$1004:$AE$1004,1,MATCH(COLUMNS($V$1006:X1006),$V$1006:$AE$1006,0)))),"Fix")))</f>
        <v>0</v>
      </c>
      <c r="E849" s="4">
        <f>IF(OR(INDEX($P$2:$P$1001,MATCH(ROWS($O$2:O849),$O$2:$O$1001,0),1)&gt;=100000,INDEX($V$1005:$AE$1005,1,MATCH(COLUMNS($V$1006:Y1006),$V$1006:$AE$1006,0))&gt;=100000), " ",IF(INDEX($V$2:$AE$1001,MATCH(ROWS($O$2:O849),$O$2:$O$1001,0),MATCH(COLUMNS($V$1006:Y1006),$V$1006:$AE$1006,0)), HYPERLINK("#",""), HYPERLINK(CONCATENATE("#Metadata!", ADDRESS(INDEX($Q$2:$Q$1001,MATCH(ROWS($O$2:O849),$O$2:$O$1001,0),0), INDEX($V$1004:$AE$1004,1,MATCH(COLUMNS($V$1006:Y1006),$V$1006:$AE$1006,0)))),"Fix")))</f>
        <v>0</v>
      </c>
      <c r="F849" s="4">
        <f>IF(OR(INDEX($P$2:$P$1001,MATCH(ROWS($O$2:O849),$O$2:$O$1001,0),1)&gt;=100000,INDEX($V$1005:$AE$1005,1,MATCH(COLUMNS($V$1006:Z1006),$V$1006:$AE$1006,0))&gt;=100000), " ",IF(INDEX($V$2:$AE$1001,MATCH(ROWS($O$2:O849),$O$2:$O$1001,0),MATCH(COLUMNS($V$1006:Z1006),$V$1006:$AE$1006,0)), HYPERLINK("#",""), HYPERLINK(CONCATENATE("#Metadata!", ADDRESS(INDEX($Q$2:$Q$1001,MATCH(ROWS($O$2:O849),$O$2:$O$1001,0),0), INDEX($V$1004:$AE$1004,1,MATCH(COLUMNS($V$1006:Z1006),$V$1006:$AE$1006,0)))),"Fix")))</f>
        <v>0</v>
      </c>
      <c r="G849" s="4">
        <f>IF(OR(INDEX($P$2:$P$1001,MATCH(ROWS($O$2:O849),$O$2:$O$1001,0),1)&gt;=100000,INDEX($V$1005:$AE$1005,1,MATCH(COLUMNS($V$1006:AA1006),$V$1006:$AE$1006,0))&gt;=100000), " ",IF(INDEX($V$2:$AE$1001,MATCH(ROWS($O$2:O849),$O$2:$O$1001,0),MATCH(COLUMNS($V$1006:AA1006),$V$1006:$AE$1006,0)), HYPERLINK("#",""), HYPERLINK(CONCATENATE("#Metadata!", ADDRESS(INDEX($Q$2:$Q$1001,MATCH(ROWS($O$2:O849),$O$2:$O$1001,0),0), INDEX($V$1004:$AE$1004,1,MATCH(COLUMNS($V$1006:AA1006),$V$1006:$AE$1006,0)))),"Fix")))</f>
        <v>0</v>
      </c>
      <c r="H849" s="4">
        <f>IF(OR(INDEX($P$2:$P$1001,MATCH(ROWS($O$2:O849),$O$2:$O$1001,0),1)&gt;=100000,INDEX($V$1005:$AE$1005,1,MATCH(COLUMNS($V$1006:AB1006),$V$1006:$AE$1006,0))&gt;=100000), " ",IF(INDEX($V$2:$AE$1001,MATCH(ROWS($O$2:O849),$O$2:$O$1001,0),MATCH(COLUMNS($V$1006:AB1006),$V$1006:$AE$1006,0)), HYPERLINK("#",""), HYPERLINK(CONCATENATE("#Metadata!", ADDRESS(INDEX($Q$2:$Q$1001,MATCH(ROWS($O$2:O849),$O$2:$O$1001,0),0), INDEX($V$1004:$AE$1004,1,MATCH(COLUMNS($V$1006:AB1006),$V$1006:$AE$1006,0)))),"Fix")))</f>
        <v>0</v>
      </c>
      <c r="I849" s="4">
        <f>IF(OR(INDEX($P$2:$P$1001,MATCH(ROWS($O$2:O849),$O$2:$O$1001,0),1)&gt;=100000,INDEX($V$1005:$AE$1005,1,MATCH(COLUMNS($V$1006:AC1006),$V$1006:$AE$1006,0))&gt;=100000), " ",IF(INDEX($V$2:$AE$1001,MATCH(ROWS($O$2:O849),$O$2:$O$1001,0),MATCH(COLUMNS($V$1006:AC1006),$V$1006:$AE$1006,0)), HYPERLINK("#",""), HYPERLINK(CONCATENATE("#Metadata!", ADDRESS(INDEX($Q$2:$Q$1001,MATCH(ROWS($O$2:O849),$O$2:$O$1001,0),0), INDEX($V$1004:$AE$1004,1,MATCH(COLUMNS($V$1006:AC1006),$V$1006:$AE$1006,0)))),"Fix")))</f>
        <v>0</v>
      </c>
      <c r="J849" s="4">
        <f>IF(OR(INDEX($P$2:$P$1001,MATCH(ROWS($O$2:O849),$O$2:$O$1001,0),1)&gt;=100000,INDEX($V$1005:$AE$1005,1,MATCH(COLUMNS($V$1006:AD1006),$V$1006:$AE$1006,0))&gt;=100000), " ",IF(INDEX($V$2:$AE$1001,MATCH(ROWS($O$2:O849),$O$2:$O$1001,0),MATCH(COLUMNS($V$1006:AD1006),$V$1006:$AE$1006,0)), HYPERLINK("#",""), HYPERLINK(CONCATENATE("#Metadata!", ADDRESS(INDEX($Q$2:$Q$1001,MATCH(ROWS($O$2:O849),$O$2:$O$1001,0),0), INDEX($V$1004:$AE$1004,1,MATCH(COLUMNS($V$1006:AD1006),$V$1006:$AE$1006,0)))),"Fix")))</f>
        <v>0</v>
      </c>
      <c r="K849" s="4">
        <f>IF(OR(INDEX($P$2:$P$1001,MATCH(ROWS($O$2:O849),$O$2:$O$1001,0),1)&gt;=100000,INDEX($V$1005:$AE$1005,1,MATCH(COLUMNS($V$1006:AE1006),$V$1006:$AE$1006,0))&gt;=100000), " ",IF(INDEX($V$2:$AE$1001,MATCH(ROWS($O$2:O849),$O$2:$O$1001,0),MATCH(COLUMNS($V$1006:AE1006),$V$1006:$AE$1006,0)), HYPERLINK("#",""), HYPERLINK(CONCATENATE("#Metadata!", ADDRESS(INDEX($Q$2:$Q$1001,MATCH(ROWS($O$2:O849),$O$2:$O$1001,0),0), INDEX($V$1004:$AE$1004,1,MATCH(COLUMNS($V$1006:AE1006),$V$1006:$AE$1006,0)))),"Fix")))</f>
        <v>0</v>
      </c>
      <c r="O849">
        <v>0</v>
      </c>
      <c r="P849">
        <v>0</v>
      </c>
      <c r="Q849">
        <v>0</v>
      </c>
      <c r="R849">
        <f>IF(S849,TRUE,AND(V849:AE849))</f>
        <v>0</v>
      </c>
      <c r="S849">
        <f>COUNTBLANK(Metadata!B849:K849)=COLUMNS(Metadata!B849:K849)</f>
        <v>0</v>
      </c>
      <c r="T849">
        <v>0</v>
      </c>
      <c r="V849">
        <f>AND(IF(Metadata!B849="",FALSE,TRUE),COUNTIF(Metadata!B:B, Metadata!B849) = 1,NOT(ISERROR(SUMPRODUCT(SEARCH(MID(Metadata!B849,ROW(INDIRECT("1:"&amp;LEN(Metadata!B849))), 1),"0123456789abcdefghijklmnopqrstuvwxyzABCDEFGHIJKLMNOPQRSTUVWXYZ.")))))</f>
        <v>0</v>
      </c>
      <c r="W849">
        <f>AND(IF(Metadata!C849="",FALSE,TRUE),exact(Metadata!C849,"urban biome"))</f>
        <v>0</v>
      </c>
      <c r="X849">
        <f>AND(IF(Metadata!D849="",FALSE,TRUE),exact(Metadata!D849,"animal-associated habitat"))</f>
        <v>0</v>
      </c>
      <c r="Y849">
        <f>OR(AND(IF(Metadata!E849="",FALSE,TRUE),OR(exact(Metadata!E849,"not applicable"),exact(Metadata!E849,"missing: not collected"),exact(Metadata!E849,"missing: not provided"),exact(Metadata!E849,"missing: restricted access"))),AND(IF(Metadata!E849="",FALSE,ISNUMBER(VALUE(Metadata!E849))),Metadata!E849&gt;0))</f>
        <v>0</v>
      </c>
      <c r="Z849">
        <f>AND(IF(Metadata!F849="",FALSE,TRUE),exact(Metadata!F849,"weeks"))</f>
        <v>0</v>
      </c>
      <c r="AA849">
        <f>AND(IF(Metadata!G849="",FALSE,TRUE),exact(Metadata!G849,"mouse"))</f>
        <v>0</v>
      </c>
      <c r="AB849">
        <f>AND(IF(Metadata!H849="",FALSE,TRUE),exact(Metadata!H849,"Mus musculus"))</f>
        <v>0</v>
      </c>
      <c r="AC849">
        <f>AND(IF(Metadata!I849="",FALSE,TRUE),exact(Metadata!I849,"10090"))</f>
        <v>0</v>
      </c>
      <c r="AD849">
        <f>OR(AND(IF(Metadata!J849="",FALSE,TRUE),OR(exact(Metadata!J849,"not applicable"),exact(Metadata!J849,"missing: not collected"),exact(Metadata!J849,"missing: not provided"),exact(Metadata!J849,"missing: restricted access"))),AND(IF(Metadata!J849="",FALSE,ISNUMBER(VALUE(Metadata!J849))),Metadata!J849&gt;0))</f>
        <v>0</v>
      </c>
      <c r="AE849">
        <f>AND(IF(Metadata!K849="",FALSE,TRUE),exact(Metadata!K849,"g"))</f>
        <v>0</v>
      </c>
    </row>
    <row r="850" spans="1:31">
      <c r="A850" s="5">
        <f>IF(B850=" "," ",HYPERLINK(CONCATENATE("#metadata!",ADDRESS(INDEX($Q$2:$Q$1001,MATCH(ROWS($O$2:O850),$O$2:$O$1001,0),0),1)),INDEX($T$2:$T$1001,MATCH(ROWS($O$2:O850),$O$2:$O$1001,0),0)))</f>
        <v>0</v>
      </c>
      <c r="B850" s="4">
        <f>IF(OR(INDEX($P$2:$P$1001,MATCH(ROWS($O$2:O850),$O$2:$O$1001,0),1)&gt;=100000,INDEX($V$1005:$AE$1005,1,MATCH(COLUMNS($V$1006:V1006),$V$1006:$AE$1006,0))&gt;=100000), " ",IF(INDEX($V$2:$AE$1001,MATCH(ROWS($O$2:O850),$O$2:$O$1001,0),MATCH(COLUMNS($V$1006:V1006),$V$1006:$AE$1006,0)), HYPERLINK("#",""), HYPERLINK(CONCATENATE("#Metadata!", ADDRESS(INDEX($Q$2:$Q$1001,MATCH(ROWS($O$2:O850),$O$2:$O$1001,0),0), INDEX($V$1004:$AE$1004,1,MATCH(COLUMNS($V$1006:V1006),$V$1006:$AE$1006,0)))),"Fix")))</f>
        <v>0</v>
      </c>
      <c r="C850" s="4">
        <f>IF(OR(INDEX($P$2:$P$1001,MATCH(ROWS($O$2:O850),$O$2:$O$1001,0),1)&gt;=100000,INDEX($V$1005:$AE$1005,1,MATCH(COLUMNS($V$1006:W1006),$V$1006:$AE$1006,0))&gt;=100000), " ",IF(INDEX($V$2:$AE$1001,MATCH(ROWS($O$2:O850),$O$2:$O$1001,0),MATCH(COLUMNS($V$1006:W1006),$V$1006:$AE$1006,0)), HYPERLINK("#",""), HYPERLINK(CONCATENATE("#Metadata!", ADDRESS(INDEX($Q$2:$Q$1001,MATCH(ROWS($O$2:O850),$O$2:$O$1001,0),0), INDEX($V$1004:$AE$1004,1,MATCH(COLUMNS($V$1006:W1006),$V$1006:$AE$1006,0)))),"Fix")))</f>
        <v>0</v>
      </c>
      <c r="D850" s="4">
        <f>IF(OR(INDEX($P$2:$P$1001,MATCH(ROWS($O$2:O850),$O$2:$O$1001,0),1)&gt;=100000,INDEX($V$1005:$AE$1005,1,MATCH(COLUMNS($V$1006:X1006),$V$1006:$AE$1006,0))&gt;=100000), " ",IF(INDEX($V$2:$AE$1001,MATCH(ROWS($O$2:O850),$O$2:$O$1001,0),MATCH(COLUMNS($V$1006:X1006),$V$1006:$AE$1006,0)), HYPERLINK("#",""), HYPERLINK(CONCATENATE("#Metadata!", ADDRESS(INDEX($Q$2:$Q$1001,MATCH(ROWS($O$2:O850),$O$2:$O$1001,0),0), INDEX($V$1004:$AE$1004,1,MATCH(COLUMNS($V$1006:X1006),$V$1006:$AE$1006,0)))),"Fix")))</f>
        <v>0</v>
      </c>
      <c r="E850" s="4">
        <f>IF(OR(INDEX($P$2:$P$1001,MATCH(ROWS($O$2:O850),$O$2:$O$1001,0),1)&gt;=100000,INDEX($V$1005:$AE$1005,1,MATCH(COLUMNS($V$1006:Y1006),$V$1006:$AE$1006,0))&gt;=100000), " ",IF(INDEX($V$2:$AE$1001,MATCH(ROWS($O$2:O850),$O$2:$O$1001,0),MATCH(COLUMNS($V$1006:Y1006),$V$1006:$AE$1006,0)), HYPERLINK("#",""), HYPERLINK(CONCATENATE("#Metadata!", ADDRESS(INDEX($Q$2:$Q$1001,MATCH(ROWS($O$2:O850),$O$2:$O$1001,0),0), INDEX($V$1004:$AE$1004,1,MATCH(COLUMNS($V$1006:Y1006),$V$1006:$AE$1006,0)))),"Fix")))</f>
        <v>0</v>
      </c>
      <c r="F850" s="4">
        <f>IF(OR(INDEX($P$2:$P$1001,MATCH(ROWS($O$2:O850),$O$2:$O$1001,0),1)&gt;=100000,INDEX($V$1005:$AE$1005,1,MATCH(COLUMNS($V$1006:Z1006),$V$1006:$AE$1006,0))&gt;=100000), " ",IF(INDEX($V$2:$AE$1001,MATCH(ROWS($O$2:O850),$O$2:$O$1001,0),MATCH(COLUMNS($V$1006:Z1006),$V$1006:$AE$1006,0)), HYPERLINK("#",""), HYPERLINK(CONCATENATE("#Metadata!", ADDRESS(INDEX($Q$2:$Q$1001,MATCH(ROWS($O$2:O850),$O$2:$O$1001,0),0), INDEX($V$1004:$AE$1004,1,MATCH(COLUMNS($V$1006:Z1006),$V$1006:$AE$1006,0)))),"Fix")))</f>
        <v>0</v>
      </c>
      <c r="G850" s="4">
        <f>IF(OR(INDEX($P$2:$P$1001,MATCH(ROWS($O$2:O850),$O$2:$O$1001,0),1)&gt;=100000,INDEX($V$1005:$AE$1005,1,MATCH(COLUMNS($V$1006:AA1006),$V$1006:$AE$1006,0))&gt;=100000), " ",IF(INDEX($V$2:$AE$1001,MATCH(ROWS($O$2:O850),$O$2:$O$1001,0),MATCH(COLUMNS($V$1006:AA1006),$V$1006:$AE$1006,0)), HYPERLINK("#",""), HYPERLINK(CONCATENATE("#Metadata!", ADDRESS(INDEX($Q$2:$Q$1001,MATCH(ROWS($O$2:O850),$O$2:$O$1001,0),0), INDEX($V$1004:$AE$1004,1,MATCH(COLUMNS($V$1006:AA1006),$V$1006:$AE$1006,0)))),"Fix")))</f>
        <v>0</v>
      </c>
      <c r="H850" s="4">
        <f>IF(OR(INDEX($P$2:$P$1001,MATCH(ROWS($O$2:O850),$O$2:$O$1001,0),1)&gt;=100000,INDEX($V$1005:$AE$1005,1,MATCH(COLUMNS($V$1006:AB1006),$V$1006:$AE$1006,0))&gt;=100000), " ",IF(INDEX($V$2:$AE$1001,MATCH(ROWS($O$2:O850),$O$2:$O$1001,0),MATCH(COLUMNS($V$1006:AB1006),$V$1006:$AE$1006,0)), HYPERLINK("#",""), HYPERLINK(CONCATENATE("#Metadata!", ADDRESS(INDEX($Q$2:$Q$1001,MATCH(ROWS($O$2:O850),$O$2:$O$1001,0),0), INDEX($V$1004:$AE$1004,1,MATCH(COLUMNS($V$1006:AB1006),$V$1006:$AE$1006,0)))),"Fix")))</f>
        <v>0</v>
      </c>
      <c r="I850" s="4">
        <f>IF(OR(INDEX($P$2:$P$1001,MATCH(ROWS($O$2:O850),$O$2:$O$1001,0),1)&gt;=100000,INDEX($V$1005:$AE$1005,1,MATCH(COLUMNS($V$1006:AC1006),$V$1006:$AE$1006,0))&gt;=100000), " ",IF(INDEX($V$2:$AE$1001,MATCH(ROWS($O$2:O850),$O$2:$O$1001,0),MATCH(COLUMNS($V$1006:AC1006),$V$1006:$AE$1006,0)), HYPERLINK("#",""), HYPERLINK(CONCATENATE("#Metadata!", ADDRESS(INDEX($Q$2:$Q$1001,MATCH(ROWS($O$2:O850),$O$2:$O$1001,0),0), INDEX($V$1004:$AE$1004,1,MATCH(COLUMNS($V$1006:AC1006),$V$1006:$AE$1006,0)))),"Fix")))</f>
        <v>0</v>
      </c>
      <c r="J850" s="4">
        <f>IF(OR(INDEX($P$2:$P$1001,MATCH(ROWS($O$2:O850),$O$2:$O$1001,0),1)&gt;=100000,INDEX($V$1005:$AE$1005,1,MATCH(COLUMNS($V$1006:AD1006),$V$1006:$AE$1006,0))&gt;=100000), " ",IF(INDEX($V$2:$AE$1001,MATCH(ROWS($O$2:O850),$O$2:$O$1001,0),MATCH(COLUMNS($V$1006:AD1006),$V$1006:$AE$1006,0)), HYPERLINK("#",""), HYPERLINK(CONCATENATE("#Metadata!", ADDRESS(INDEX($Q$2:$Q$1001,MATCH(ROWS($O$2:O850),$O$2:$O$1001,0),0), INDEX($V$1004:$AE$1004,1,MATCH(COLUMNS($V$1006:AD1006),$V$1006:$AE$1006,0)))),"Fix")))</f>
        <v>0</v>
      </c>
      <c r="K850" s="4">
        <f>IF(OR(INDEX($P$2:$P$1001,MATCH(ROWS($O$2:O850),$O$2:$O$1001,0),1)&gt;=100000,INDEX($V$1005:$AE$1005,1,MATCH(COLUMNS($V$1006:AE1006),$V$1006:$AE$1006,0))&gt;=100000), " ",IF(INDEX($V$2:$AE$1001,MATCH(ROWS($O$2:O850),$O$2:$O$1001,0),MATCH(COLUMNS($V$1006:AE1006),$V$1006:$AE$1006,0)), HYPERLINK("#",""), HYPERLINK(CONCATENATE("#Metadata!", ADDRESS(INDEX($Q$2:$Q$1001,MATCH(ROWS($O$2:O850),$O$2:$O$1001,0),0), INDEX($V$1004:$AE$1004,1,MATCH(COLUMNS($V$1006:AE1006),$V$1006:$AE$1006,0)))),"Fix")))</f>
        <v>0</v>
      </c>
      <c r="O850">
        <v>0</v>
      </c>
      <c r="P850">
        <v>0</v>
      </c>
      <c r="Q850">
        <v>0</v>
      </c>
      <c r="R850">
        <f>IF(S850,TRUE,AND(V850:AE850))</f>
        <v>0</v>
      </c>
      <c r="S850">
        <f>COUNTBLANK(Metadata!B850:K850)=COLUMNS(Metadata!B850:K850)</f>
        <v>0</v>
      </c>
      <c r="T850">
        <v>0</v>
      </c>
      <c r="V850">
        <f>AND(IF(Metadata!B850="",FALSE,TRUE),COUNTIF(Metadata!B:B, Metadata!B850) = 1,NOT(ISERROR(SUMPRODUCT(SEARCH(MID(Metadata!B850,ROW(INDIRECT("1:"&amp;LEN(Metadata!B850))), 1),"0123456789abcdefghijklmnopqrstuvwxyzABCDEFGHIJKLMNOPQRSTUVWXYZ.")))))</f>
        <v>0</v>
      </c>
      <c r="W850">
        <f>AND(IF(Metadata!C850="",FALSE,TRUE),exact(Metadata!C850,"urban biome"))</f>
        <v>0</v>
      </c>
      <c r="X850">
        <f>AND(IF(Metadata!D850="",FALSE,TRUE),exact(Metadata!D850,"animal-associated habitat"))</f>
        <v>0</v>
      </c>
      <c r="Y850">
        <f>OR(AND(IF(Metadata!E850="",FALSE,TRUE),OR(exact(Metadata!E850,"not applicable"),exact(Metadata!E850,"missing: not collected"),exact(Metadata!E850,"missing: not provided"),exact(Metadata!E850,"missing: restricted access"))),AND(IF(Metadata!E850="",FALSE,ISNUMBER(VALUE(Metadata!E850))),Metadata!E850&gt;0))</f>
        <v>0</v>
      </c>
      <c r="Z850">
        <f>AND(IF(Metadata!F850="",FALSE,TRUE),exact(Metadata!F850,"weeks"))</f>
        <v>0</v>
      </c>
      <c r="AA850">
        <f>AND(IF(Metadata!G850="",FALSE,TRUE),exact(Metadata!G850,"mouse"))</f>
        <v>0</v>
      </c>
      <c r="AB850">
        <f>AND(IF(Metadata!H850="",FALSE,TRUE),exact(Metadata!H850,"Mus musculus"))</f>
        <v>0</v>
      </c>
      <c r="AC850">
        <f>AND(IF(Metadata!I850="",FALSE,TRUE),exact(Metadata!I850,"10090"))</f>
        <v>0</v>
      </c>
      <c r="AD850">
        <f>OR(AND(IF(Metadata!J850="",FALSE,TRUE),OR(exact(Metadata!J850,"not applicable"),exact(Metadata!J850,"missing: not collected"),exact(Metadata!J850,"missing: not provided"),exact(Metadata!J850,"missing: restricted access"))),AND(IF(Metadata!J850="",FALSE,ISNUMBER(VALUE(Metadata!J850))),Metadata!J850&gt;0))</f>
        <v>0</v>
      </c>
      <c r="AE850">
        <f>AND(IF(Metadata!K850="",FALSE,TRUE),exact(Metadata!K850,"g"))</f>
        <v>0</v>
      </c>
    </row>
    <row r="851" spans="1:31">
      <c r="A851" s="5">
        <f>IF(B851=" "," ",HYPERLINK(CONCATENATE("#metadata!",ADDRESS(INDEX($Q$2:$Q$1001,MATCH(ROWS($O$2:O851),$O$2:$O$1001,0),0),1)),INDEX($T$2:$T$1001,MATCH(ROWS($O$2:O851),$O$2:$O$1001,0),0)))</f>
        <v>0</v>
      </c>
      <c r="B851" s="4">
        <f>IF(OR(INDEX($P$2:$P$1001,MATCH(ROWS($O$2:O851),$O$2:$O$1001,0),1)&gt;=100000,INDEX($V$1005:$AE$1005,1,MATCH(COLUMNS($V$1006:V1006),$V$1006:$AE$1006,0))&gt;=100000), " ",IF(INDEX($V$2:$AE$1001,MATCH(ROWS($O$2:O851),$O$2:$O$1001,0),MATCH(COLUMNS($V$1006:V1006),$V$1006:$AE$1006,0)), HYPERLINK("#",""), HYPERLINK(CONCATENATE("#Metadata!", ADDRESS(INDEX($Q$2:$Q$1001,MATCH(ROWS($O$2:O851),$O$2:$O$1001,0),0), INDEX($V$1004:$AE$1004,1,MATCH(COLUMNS($V$1006:V1006),$V$1006:$AE$1006,0)))),"Fix")))</f>
        <v>0</v>
      </c>
      <c r="C851" s="4">
        <f>IF(OR(INDEX($P$2:$P$1001,MATCH(ROWS($O$2:O851),$O$2:$O$1001,0),1)&gt;=100000,INDEX($V$1005:$AE$1005,1,MATCH(COLUMNS($V$1006:W1006),$V$1006:$AE$1006,0))&gt;=100000), " ",IF(INDEX($V$2:$AE$1001,MATCH(ROWS($O$2:O851),$O$2:$O$1001,0),MATCH(COLUMNS($V$1006:W1006),$V$1006:$AE$1006,0)), HYPERLINK("#",""), HYPERLINK(CONCATENATE("#Metadata!", ADDRESS(INDEX($Q$2:$Q$1001,MATCH(ROWS($O$2:O851),$O$2:$O$1001,0),0), INDEX($V$1004:$AE$1004,1,MATCH(COLUMNS($V$1006:W1006),$V$1006:$AE$1006,0)))),"Fix")))</f>
        <v>0</v>
      </c>
      <c r="D851" s="4">
        <f>IF(OR(INDEX($P$2:$P$1001,MATCH(ROWS($O$2:O851),$O$2:$O$1001,0),1)&gt;=100000,INDEX($V$1005:$AE$1005,1,MATCH(COLUMNS($V$1006:X1006),$V$1006:$AE$1006,0))&gt;=100000), " ",IF(INDEX($V$2:$AE$1001,MATCH(ROWS($O$2:O851),$O$2:$O$1001,0),MATCH(COLUMNS($V$1006:X1006),$V$1006:$AE$1006,0)), HYPERLINK("#",""), HYPERLINK(CONCATENATE("#Metadata!", ADDRESS(INDEX($Q$2:$Q$1001,MATCH(ROWS($O$2:O851),$O$2:$O$1001,0),0), INDEX($V$1004:$AE$1004,1,MATCH(COLUMNS($V$1006:X1006),$V$1006:$AE$1006,0)))),"Fix")))</f>
        <v>0</v>
      </c>
      <c r="E851" s="4">
        <f>IF(OR(INDEX($P$2:$P$1001,MATCH(ROWS($O$2:O851),$O$2:$O$1001,0),1)&gt;=100000,INDEX($V$1005:$AE$1005,1,MATCH(COLUMNS($V$1006:Y1006),$V$1006:$AE$1006,0))&gt;=100000), " ",IF(INDEX($V$2:$AE$1001,MATCH(ROWS($O$2:O851),$O$2:$O$1001,0),MATCH(COLUMNS($V$1006:Y1006),$V$1006:$AE$1006,0)), HYPERLINK("#",""), HYPERLINK(CONCATENATE("#Metadata!", ADDRESS(INDEX($Q$2:$Q$1001,MATCH(ROWS($O$2:O851),$O$2:$O$1001,0),0), INDEX($V$1004:$AE$1004,1,MATCH(COLUMNS($V$1006:Y1006),$V$1006:$AE$1006,0)))),"Fix")))</f>
        <v>0</v>
      </c>
      <c r="F851" s="4">
        <f>IF(OR(INDEX($P$2:$P$1001,MATCH(ROWS($O$2:O851),$O$2:$O$1001,0),1)&gt;=100000,INDEX($V$1005:$AE$1005,1,MATCH(COLUMNS($V$1006:Z1006),$V$1006:$AE$1006,0))&gt;=100000), " ",IF(INDEX($V$2:$AE$1001,MATCH(ROWS($O$2:O851),$O$2:$O$1001,0),MATCH(COLUMNS($V$1006:Z1006),$V$1006:$AE$1006,0)), HYPERLINK("#",""), HYPERLINK(CONCATENATE("#Metadata!", ADDRESS(INDEX($Q$2:$Q$1001,MATCH(ROWS($O$2:O851),$O$2:$O$1001,0),0), INDEX($V$1004:$AE$1004,1,MATCH(COLUMNS($V$1006:Z1006),$V$1006:$AE$1006,0)))),"Fix")))</f>
        <v>0</v>
      </c>
      <c r="G851" s="4">
        <f>IF(OR(INDEX($P$2:$P$1001,MATCH(ROWS($O$2:O851),$O$2:$O$1001,0),1)&gt;=100000,INDEX($V$1005:$AE$1005,1,MATCH(COLUMNS($V$1006:AA1006),$V$1006:$AE$1006,0))&gt;=100000), " ",IF(INDEX($V$2:$AE$1001,MATCH(ROWS($O$2:O851),$O$2:$O$1001,0),MATCH(COLUMNS($V$1006:AA1006),$V$1006:$AE$1006,0)), HYPERLINK("#",""), HYPERLINK(CONCATENATE("#Metadata!", ADDRESS(INDEX($Q$2:$Q$1001,MATCH(ROWS($O$2:O851),$O$2:$O$1001,0),0), INDEX($V$1004:$AE$1004,1,MATCH(COLUMNS($V$1006:AA1006),$V$1006:$AE$1006,0)))),"Fix")))</f>
        <v>0</v>
      </c>
      <c r="H851" s="4">
        <f>IF(OR(INDEX($P$2:$P$1001,MATCH(ROWS($O$2:O851),$O$2:$O$1001,0),1)&gt;=100000,INDEX($V$1005:$AE$1005,1,MATCH(COLUMNS($V$1006:AB1006),$V$1006:$AE$1006,0))&gt;=100000), " ",IF(INDEX($V$2:$AE$1001,MATCH(ROWS($O$2:O851),$O$2:$O$1001,0),MATCH(COLUMNS($V$1006:AB1006),$V$1006:$AE$1006,0)), HYPERLINK("#",""), HYPERLINK(CONCATENATE("#Metadata!", ADDRESS(INDEX($Q$2:$Q$1001,MATCH(ROWS($O$2:O851),$O$2:$O$1001,0),0), INDEX($V$1004:$AE$1004,1,MATCH(COLUMNS($V$1006:AB1006),$V$1006:$AE$1006,0)))),"Fix")))</f>
        <v>0</v>
      </c>
      <c r="I851" s="4">
        <f>IF(OR(INDEX($P$2:$P$1001,MATCH(ROWS($O$2:O851),$O$2:$O$1001,0),1)&gt;=100000,INDEX($V$1005:$AE$1005,1,MATCH(COLUMNS($V$1006:AC1006),$V$1006:$AE$1006,0))&gt;=100000), " ",IF(INDEX($V$2:$AE$1001,MATCH(ROWS($O$2:O851),$O$2:$O$1001,0),MATCH(COLUMNS($V$1006:AC1006),$V$1006:$AE$1006,0)), HYPERLINK("#",""), HYPERLINK(CONCATENATE("#Metadata!", ADDRESS(INDEX($Q$2:$Q$1001,MATCH(ROWS($O$2:O851),$O$2:$O$1001,0),0), INDEX($V$1004:$AE$1004,1,MATCH(COLUMNS($V$1006:AC1006),$V$1006:$AE$1006,0)))),"Fix")))</f>
        <v>0</v>
      </c>
      <c r="J851" s="4">
        <f>IF(OR(INDEX($P$2:$P$1001,MATCH(ROWS($O$2:O851),$O$2:$O$1001,0),1)&gt;=100000,INDEX($V$1005:$AE$1005,1,MATCH(COLUMNS($V$1006:AD1006),$V$1006:$AE$1006,0))&gt;=100000), " ",IF(INDEX($V$2:$AE$1001,MATCH(ROWS($O$2:O851),$O$2:$O$1001,0),MATCH(COLUMNS($V$1006:AD1006),$V$1006:$AE$1006,0)), HYPERLINK("#",""), HYPERLINK(CONCATENATE("#Metadata!", ADDRESS(INDEX($Q$2:$Q$1001,MATCH(ROWS($O$2:O851),$O$2:$O$1001,0),0), INDEX($V$1004:$AE$1004,1,MATCH(COLUMNS($V$1006:AD1006),$V$1006:$AE$1006,0)))),"Fix")))</f>
        <v>0</v>
      </c>
      <c r="K851" s="4">
        <f>IF(OR(INDEX($P$2:$P$1001,MATCH(ROWS($O$2:O851),$O$2:$O$1001,0),1)&gt;=100000,INDEX($V$1005:$AE$1005,1,MATCH(COLUMNS($V$1006:AE1006),$V$1006:$AE$1006,0))&gt;=100000), " ",IF(INDEX($V$2:$AE$1001,MATCH(ROWS($O$2:O851),$O$2:$O$1001,0),MATCH(COLUMNS($V$1006:AE1006),$V$1006:$AE$1006,0)), HYPERLINK("#",""), HYPERLINK(CONCATENATE("#Metadata!", ADDRESS(INDEX($Q$2:$Q$1001,MATCH(ROWS($O$2:O851),$O$2:$O$1001,0),0), INDEX($V$1004:$AE$1004,1,MATCH(COLUMNS($V$1006:AE1006),$V$1006:$AE$1006,0)))),"Fix")))</f>
        <v>0</v>
      </c>
      <c r="O851">
        <v>0</v>
      </c>
      <c r="P851">
        <v>0</v>
      </c>
      <c r="Q851">
        <v>0</v>
      </c>
      <c r="R851">
        <f>IF(S851,TRUE,AND(V851:AE851))</f>
        <v>0</v>
      </c>
      <c r="S851">
        <f>COUNTBLANK(Metadata!B851:K851)=COLUMNS(Metadata!B851:K851)</f>
        <v>0</v>
      </c>
      <c r="T851">
        <v>0</v>
      </c>
      <c r="V851">
        <f>AND(IF(Metadata!B851="",FALSE,TRUE),COUNTIF(Metadata!B:B, Metadata!B851) = 1,NOT(ISERROR(SUMPRODUCT(SEARCH(MID(Metadata!B851,ROW(INDIRECT("1:"&amp;LEN(Metadata!B851))), 1),"0123456789abcdefghijklmnopqrstuvwxyzABCDEFGHIJKLMNOPQRSTUVWXYZ.")))))</f>
        <v>0</v>
      </c>
      <c r="W851">
        <f>AND(IF(Metadata!C851="",FALSE,TRUE),exact(Metadata!C851,"urban biome"))</f>
        <v>0</v>
      </c>
      <c r="X851">
        <f>AND(IF(Metadata!D851="",FALSE,TRUE),exact(Metadata!D851,"animal-associated habitat"))</f>
        <v>0</v>
      </c>
      <c r="Y851">
        <f>OR(AND(IF(Metadata!E851="",FALSE,TRUE),OR(exact(Metadata!E851,"not applicable"),exact(Metadata!E851,"missing: not collected"),exact(Metadata!E851,"missing: not provided"),exact(Metadata!E851,"missing: restricted access"))),AND(IF(Metadata!E851="",FALSE,ISNUMBER(VALUE(Metadata!E851))),Metadata!E851&gt;0))</f>
        <v>0</v>
      </c>
      <c r="Z851">
        <f>AND(IF(Metadata!F851="",FALSE,TRUE),exact(Metadata!F851,"weeks"))</f>
        <v>0</v>
      </c>
      <c r="AA851">
        <f>AND(IF(Metadata!G851="",FALSE,TRUE),exact(Metadata!G851,"mouse"))</f>
        <v>0</v>
      </c>
      <c r="AB851">
        <f>AND(IF(Metadata!H851="",FALSE,TRUE),exact(Metadata!H851,"Mus musculus"))</f>
        <v>0</v>
      </c>
      <c r="AC851">
        <f>AND(IF(Metadata!I851="",FALSE,TRUE),exact(Metadata!I851,"10090"))</f>
        <v>0</v>
      </c>
      <c r="AD851">
        <f>OR(AND(IF(Metadata!J851="",FALSE,TRUE),OR(exact(Metadata!J851,"not applicable"),exact(Metadata!J851,"missing: not collected"),exact(Metadata!J851,"missing: not provided"),exact(Metadata!J851,"missing: restricted access"))),AND(IF(Metadata!J851="",FALSE,ISNUMBER(VALUE(Metadata!J851))),Metadata!J851&gt;0))</f>
        <v>0</v>
      </c>
      <c r="AE851">
        <f>AND(IF(Metadata!K851="",FALSE,TRUE),exact(Metadata!K851,"g"))</f>
        <v>0</v>
      </c>
    </row>
    <row r="852" spans="1:31">
      <c r="A852" s="5">
        <f>IF(B852=" "," ",HYPERLINK(CONCATENATE("#metadata!",ADDRESS(INDEX($Q$2:$Q$1001,MATCH(ROWS($O$2:O852),$O$2:$O$1001,0),0),1)),INDEX($T$2:$T$1001,MATCH(ROWS($O$2:O852),$O$2:$O$1001,0),0)))</f>
        <v>0</v>
      </c>
      <c r="B852" s="4">
        <f>IF(OR(INDEX($P$2:$P$1001,MATCH(ROWS($O$2:O852),$O$2:$O$1001,0),1)&gt;=100000,INDEX($V$1005:$AE$1005,1,MATCH(COLUMNS($V$1006:V1006),$V$1006:$AE$1006,0))&gt;=100000), " ",IF(INDEX($V$2:$AE$1001,MATCH(ROWS($O$2:O852),$O$2:$O$1001,0),MATCH(COLUMNS($V$1006:V1006),$V$1006:$AE$1006,0)), HYPERLINK("#",""), HYPERLINK(CONCATENATE("#Metadata!", ADDRESS(INDEX($Q$2:$Q$1001,MATCH(ROWS($O$2:O852),$O$2:$O$1001,0),0), INDEX($V$1004:$AE$1004,1,MATCH(COLUMNS($V$1006:V1006),$V$1006:$AE$1006,0)))),"Fix")))</f>
        <v>0</v>
      </c>
      <c r="C852" s="4">
        <f>IF(OR(INDEX($P$2:$P$1001,MATCH(ROWS($O$2:O852),$O$2:$O$1001,0),1)&gt;=100000,INDEX($V$1005:$AE$1005,1,MATCH(COLUMNS($V$1006:W1006),$V$1006:$AE$1006,0))&gt;=100000), " ",IF(INDEX($V$2:$AE$1001,MATCH(ROWS($O$2:O852),$O$2:$O$1001,0),MATCH(COLUMNS($V$1006:W1006),$V$1006:$AE$1006,0)), HYPERLINK("#",""), HYPERLINK(CONCATENATE("#Metadata!", ADDRESS(INDEX($Q$2:$Q$1001,MATCH(ROWS($O$2:O852),$O$2:$O$1001,0),0), INDEX($V$1004:$AE$1004,1,MATCH(COLUMNS($V$1006:W1006),$V$1006:$AE$1006,0)))),"Fix")))</f>
        <v>0</v>
      </c>
      <c r="D852" s="4">
        <f>IF(OR(INDEX($P$2:$P$1001,MATCH(ROWS($O$2:O852),$O$2:$O$1001,0),1)&gt;=100000,INDEX($V$1005:$AE$1005,1,MATCH(COLUMNS($V$1006:X1006),$V$1006:$AE$1006,0))&gt;=100000), " ",IF(INDEX($V$2:$AE$1001,MATCH(ROWS($O$2:O852),$O$2:$O$1001,0),MATCH(COLUMNS($V$1006:X1006),$V$1006:$AE$1006,0)), HYPERLINK("#",""), HYPERLINK(CONCATENATE("#Metadata!", ADDRESS(INDEX($Q$2:$Q$1001,MATCH(ROWS($O$2:O852),$O$2:$O$1001,0),0), INDEX($V$1004:$AE$1004,1,MATCH(COLUMNS($V$1006:X1006),$V$1006:$AE$1006,0)))),"Fix")))</f>
        <v>0</v>
      </c>
      <c r="E852" s="4">
        <f>IF(OR(INDEX($P$2:$P$1001,MATCH(ROWS($O$2:O852),$O$2:$O$1001,0),1)&gt;=100000,INDEX($V$1005:$AE$1005,1,MATCH(COLUMNS($V$1006:Y1006),$V$1006:$AE$1006,0))&gt;=100000), " ",IF(INDEX($V$2:$AE$1001,MATCH(ROWS($O$2:O852),$O$2:$O$1001,0),MATCH(COLUMNS($V$1006:Y1006),$V$1006:$AE$1006,0)), HYPERLINK("#",""), HYPERLINK(CONCATENATE("#Metadata!", ADDRESS(INDEX($Q$2:$Q$1001,MATCH(ROWS($O$2:O852),$O$2:$O$1001,0),0), INDEX($V$1004:$AE$1004,1,MATCH(COLUMNS($V$1006:Y1006),$V$1006:$AE$1006,0)))),"Fix")))</f>
        <v>0</v>
      </c>
      <c r="F852" s="4">
        <f>IF(OR(INDEX($P$2:$P$1001,MATCH(ROWS($O$2:O852),$O$2:$O$1001,0),1)&gt;=100000,INDEX($V$1005:$AE$1005,1,MATCH(COLUMNS($V$1006:Z1006),$V$1006:$AE$1006,0))&gt;=100000), " ",IF(INDEX($V$2:$AE$1001,MATCH(ROWS($O$2:O852),$O$2:$O$1001,0),MATCH(COLUMNS($V$1006:Z1006),$V$1006:$AE$1006,0)), HYPERLINK("#",""), HYPERLINK(CONCATENATE("#Metadata!", ADDRESS(INDEX($Q$2:$Q$1001,MATCH(ROWS($O$2:O852),$O$2:$O$1001,0),0), INDEX($V$1004:$AE$1004,1,MATCH(COLUMNS($V$1006:Z1006),$V$1006:$AE$1006,0)))),"Fix")))</f>
        <v>0</v>
      </c>
      <c r="G852" s="4">
        <f>IF(OR(INDEX($P$2:$P$1001,MATCH(ROWS($O$2:O852),$O$2:$O$1001,0),1)&gt;=100000,INDEX($V$1005:$AE$1005,1,MATCH(COLUMNS($V$1006:AA1006),$V$1006:$AE$1006,0))&gt;=100000), " ",IF(INDEX($V$2:$AE$1001,MATCH(ROWS($O$2:O852),$O$2:$O$1001,0),MATCH(COLUMNS($V$1006:AA1006),$V$1006:$AE$1006,0)), HYPERLINK("#",""), HYPERLINK(CONCATENATE("#Metadata!", ADDRESS(INDEX($Q$2:$Q$1001,MATCH(ROWS($O$2:O852),$O$2:$O$1001,0),0), INDEX($V$1004:$AE$1004,1,MATCH(COLUMNS($V$1006:AA1006),$V$1006:$AE$1006,0)))),"Fix")))</f>
        <v>0</v>
      </c>
      <c r="H852" s="4">
        <f>IF(OR(INDEX($P$2:$P$1001,MATCH(ROWS($O$2:O852),$O$2:$O$1001,0),1)&gt;=100000,INDEX($V$1005:$AE$1005,1,MATCH(COLUMNS($V$1006:AB1006),$V$1006:$AE$1006,0))&gt;=100000), " ",IF(INDEX($V$2:$AE$1001,MATCH(ROWS($O$2:O852),$O$2:$O$1001,0),MATCH(COLUMNS($V$1006:AB1006),$V$1006:$AE$1006,0)), HYPERLINK("#",""), HYPERLINK(CONCATENATE("#Metadata!", ADDRESS(INDEX($Q$2:$Q$1001,MATCH(ROWS($O$2:O852),$O$2:$O$1001,0),0), INDEX($V$1004:$AE$1004,1,MATCH(COLUMNS($V$1006:AB1006),$V$1006:$AE$1006,0)))),"Fix")))</f>
        <v>0</v>
      </c>
      <c r="I852" s="4">
        <f>IF(OR(INDEX($P$2:$P$1001,MATCH(ROWS($O$2:O852),$O$2:$O$1001,0),1)&gt;=100000,INDEX($V$1005:$AE$1005,1,MATCH(COLUMNS($V$1006:AC1006),$V$1006:$AE$1006,0))&gt;=100000), " ",IF(INDEX($V$2:$AE$1001,MATCH(ROWS($O$2:O852),$O$2:$O$1001,0),MATCH(COLUMNS($V$1006:AC1006),$V$1006:$AE$1006,0)), HYPERLINK("#",""), HYPERLINK(CONCATENATE("#Metadata!", ADDRESS(INDEX($Q$2:$Q$1001,MATCH(ROWS($O$2:O852),$O$2:$O$1001,0),0), INDEX($V$1004:$AE$1004,1,MATCH(COLUMNS($V$1006:AC1006),$V$1006:$AE$1006,0)))),"Fix")))</f>
        <v>0</v>
      </c>
      <c r="J852" s="4">
        <f>IF(OR(INDEX($P$2:$P$1001,MATCH(ROWS($O$2:O852),$O$2:$O$1001,0),1)&gt;=100000,INDEX($V$1005:$AE$1005,1,MATCH(COLUMNS($V$1006:AD1006),$V$1006:$AE$1006,0))&gt;=100000), " ",IF(INDEX($V$2:$AE$1001,MATCH(ROWS($O$2:O852),$O$2:$O$1001,0),MATCH(COLUMNS($V$1006:AD1006),$V$1006:$AE$1006,0)), HYPERLINK("#",""), HYPERLINK(CONCATENATE("#Metadata!", ADDRESS(INDEX($Q$2:$Q$1001,MATCH(ROWS($O$2:O852),$O$2:$O$1001,0),0), INDEX($V$1004:$AE$1004,1,MATCH(COLUMNS($V$1006:AD1006),$V$1006:$AE$1006,0)))),"Fix")))</f>
        <v>0</v>
      </c>
      <c r="K852" s="4">
        <f>IF(OR(INDEX($P$2:$P$1001,MATCH(ROWS($O$2:O852),$O$2:$O$1001,0),1)&gt;=100000,INDEX($V$1005:$AE$1005,1,MATCH(COLUMNS($V$1006:AE1006),$V$1006:$AE$1006,0))&gt;=100000), " ",IF(INDEX($V$2:$AE$1001,MATCH(ROWS($O$2:O852),$O$2:$O$1001,0),MATCH(COLUMNS($V$1006:AE1006),$V$1006:$AE$1006,0)), HYPERLINK("#",""), HYPERLINK(CONCATENATE("#Metadata!", ADDRESS(INDEX($Q$2:$Q$1001,MATCH(ROWS($O$2:O852),$O$2:$O$1001,0),0), INDEX($V$1004:$AE$1004,1,MATCH(COLUMNS($V$1006:AE1006),$V$1006:$AE$1006,0)))),"Fix")))</f>
        <v>0</v>
      </c>
      <c r="O852">
        <v>0</v>
      </c>
      <c r="P852">
        <v>0</v>
      </c>
      <c r="Q852">
        <v>0</v>
      </c>
      <c r="R852">
        <f>IF(S852,TRUE,AND(V852:AE852))</f>
        <v>0</v>
      </c>
      <c r="S852">
        <f>COUNTBLANK(Metadata!B852:K852)=COLUMNS(Metadata!B852:K852)</f>
        <v>0</v>
      </c>
      <c r="T852">
        <v>0</v>
      </c>
      <c r="V852">
        <f>AND(IF(Metadata!B852="",FALSE,TRUE),COUNTIF(Metadata!B:B, Metadata!B852) = 1,NOT(ISERROR(SUMPRODUCT(SEARCH(MID(Metadata!B852,ROW(INDIRECT("1:"&amp;LEN(Metadata!B852))), 1),"0123456789abcdefghijklmnopqrstuvwxyzABCDEFGHIJKLMNOPQRSTUVWXYZ.")))))</f>
        <v>0</v>
      </c>
      <c r="W852">
        <f>AND(IF(Metadata!C852="",FALSE,TRUE),exact(Metadata!C852,"urban biome"))</f>
        <v>0</v>
      </c>
      <c r="X852">
        <f>AND(IF(Metadata!D852="",FALSE,TRUE),exact(Metadata!D852,"animal-associated habitat"))</f>
        <v>0</v>
      </c>
      <c r="Y852">
        <f>OR(AND(IF(Metadata!E852="",FALSE,TRUE),OR(exact(Metadata!E852,"not applicable"),exact(Metadata!E852,"missing: not collected"),exact(Metadata!E852,"missing: not provided"),exact(Metadata!E852,"missing: restricted access"))),AND(IF(Metadata!E852="",FALSE,ISNUMBER(VALUE(Metadata!E852))),Metadata!E852&gt;0))</f>
        <v>0</v>
      </c>
      <c r="Z852">
        <f>AND(IF(Metadata!F852="",FALSE,TRUE),exact(Metadata!F852,"weeks"))</f>
        <v>0</v>
      </c>
      <c r="AA852">
        <f>AND(IF(Metadata!G852="",FALSE,TRUE),exact(Metadata!G852,"mouse"))</f>
        <v>0</v>
      </c>
      <c r="AB852">
        <f>AND(IF(Metadata!H852="",FALSE,TRUE),exact(Metadata!H852,"Mus musculus"))</f>
        <v>0</v>
      </c>
      <c r="AC852">
        <f>AND(IF(Metadata!I852="",FALSE,TRUE),exact(Metadata!I852,"10090"))</f>
        <v>0</v>
      </c>
      <c r="AD852">
        <f>OR(AND(IF(Metadata!J852="",FALSE,TRUE),OR(exact(Metadata!J852,"not applicable"),exact(Metadata!J852,"missing: not collected"),exact(Metadata!J852,"missing: not provided"),exact(Metadata!J852,"missing: restricted access"))),AND(IF(Metadata!J852="",FALSE,ISNUMBER(VALUE(Metadata!J852))),Metadata!J852&gt;0))</f>
        <v>0</v>
      </c>
      <c r="AE852">
        <f>AND(IF(Metadata!K852="",FALSE,TRUE),exact(Metadata!K852,"g"))</f>
        <v>0</v>
      </c>
    </row>
    <row r="853" spans="1:31">
      <c r="A853" s="5">
        <f>IF(B853=" "," ",HYPERLINK(CONCATENATE("#metadata!",ADDRESS(INDEX($Q$2:$Q$1001,MATCH(ROWS($O$2:O853),$O$2:$O$1001,0),0),1)),INDEX($T$2:$T$1001,MATCH(ROWS($O$2:O853),$O$2:$O$1001,0),0)))</f>
        <v>0</v>
      </c>
      <c r="B853" s="4">
        <f>IF(OR(INDEX($P$2:$P$1001,MATCH(ROWS($O$2:O853),$O$2:$O$1001,0),1)&gt;=100000,INDEX($V$1005:$AE$1005,1,MATCH(COLUMNS($V$1006:V1006),$V$1006:$AE$1006,0))&gt;=100000), " ",IF(INDEX($V$2:$AE$1001,MATCH(ROWS($O$2:O853),$O$2:$O$1001,0),MATCH(COLUMNS($V$1006:V1006),$V$1006:$AE$1006,0)), HYPERLINK("#",""), HYPERLINK(CONCATENATE("#Metadata!", ADDRESS(INDEX($Q$2:$Q$1001,MATCH(ROWS($O$2:O853),$O$2:$O$1001,0),0), INDEX($V$1004:$AE$1004,1,MATCH(COLUMNS($V$1006:V1006),$V$1006:$AE$1006,0)))),"Fix")))</f>
        <v>0</v>
      </c>
      <c r="C853" s="4">
        <f>IF(OR(INDEX($P$2:$P$1001,MATCH(ROWS($O$2:O853),$O$2:$O$1001,0),1)&gt;=100000,INDEX($V$1005:$AE$1005,1,MATCH(COLUMNS($V$1006:W1006),$V$1006:$AE$1006,0))&gt;=100000), " ",IF(INDEX($V$2:$AE$1001,MATCH(ROWS($O$2:O853),$O$2:$O$1001,0),MATCH(COLUMNS($V$1006:W1006),$V$1006:$AE$1006,0)), HYPERLINK("#",""), HYPERLINK(CONCATENATE("#Metadata!", ADDRESS(INDEX($Q$2:$Q$1001,MATCH(ROWS($O$2:O853),$O$2:$O$1001,0),0), INDEX($V$1004:$AE$1004,1,MATCH(COLUMNS($V$1006:W1006),$V$1006:$AE$1006,0)))),"Fix")))</f>
        <v>0</v>
      </c>
      <c r="D853" s="4">
        <f>IF(OR(INDEX($P$2:$P$1001,MATCH(ROWS($O$2:O853),$O$2:$O$1001,0),1)&gt;=100000,INDEX($V$1005:$AE$1005,1,MATCH(COLUMNS($V$1006:X1006),$V$1006:$AE$1006,0))&gt;=100000), " ",IF(INDEX($V$2:$AE$1001,MATCH(ROWS($O$2:O853),$O$2:$O$1001,0),MATCH(COLUMNS($V$1006:X1006),$V$1006:$AE$1006,0)), HYPERLINK("#",""), HYPERLINK(CONCATENATE("#Metadata!", ADDRESS(INDEX($Q$2:$Q$1001,MATCH(ROWS($O$2:O853),$O$2:$O$1001,0),0), INDEX($V$1004:$AE$1004,1,MATCH(COLUMNS($V$1006:X1006),$V$1006:$AE$1006,0)))),"Fix")))</f>
        <v>0</v>
      </c>
      <c r="E853" s="4">
        <f>IF(OR(INDEX($P$2:$P$1001,MATCH(ROWS($O$2:O853),$O$2:$O$1001,0),1)&gt;=100000,INDEX($V$1005:$AE$1005,1,MATCH(COLUMNS($V$1006:Y1006),$V$1006:$AE$1006,0))&gt;=100000), " ",IF(INDEX($V$2:$AE$1001,MATCH(ROWS($O$2:O853),$O$2:$O$1001,0),MATCH(COLUMNS($V$1006:Y1006),$V$1006:$AE$1006,0)), HYPERLINK("#",""), HYPERLINK(CONCATENATE("#Metadata!", ADDRESS(INDEX($Q$2:$Q$1001,MATCH(ROWS($O$2:O853),$O$2:$O$1001,0),0), INDEX($V$1004:$AE$1004,1,MATCH(COLUMNS($V$1006:Y1006),$V$1006:$AE$1006,0)))),"Fix")))</f>
        <v>0</v>
      </c>
      <c r="F853" s="4">
        <f>IF(OR(INDEX($P$2:$P$1001,MATCH(ROWS($O$2:O853),$O$2:$O$1001,0),1)&gt;=100000,INDEX($V$1005:$AE$1005,1,MATCH(COLUMNS($V$1006:Z1006),$V$1006:$AE$1006,0))&gt;=100000), " ",IF(INDEX($V$2:$AE$1001,MATCH(ROWS($O$2:O853),$O$2:$O$1001,0),MATCH(COLUMNS($V$1006:Z1006),$V$1006:$AE$1006,0)), HYPERLINK("#",""), HYPERLINK(CONCATENATE("#Metadata!", ADDRESS(INDEX($Q$2:$Q$1001,MATCH(ROWS($O$2:O853),$O$2:$O$1001,0),0), INDEX($V$1004:$AE$1004,1,MATCH(COLUMNS($V$1006:Z1006),$V$1006:$AE$1006,0)))),"Fix")))</f>
        <v>0</v>
      </c>
      <c r="G853" s="4">
        <f>IF(OR(INDEX($P$2:$P$1001,MATCH(ROWS($O$2:O853),$O$2:$O$1001,0),1)&gt;=100000,INDEX($V$1005:$AE$1005,1,MATCH(COLUMNS($V$1006:AA1006),$V$1006:$AE$1006,0))&gt;=100000), " ",IF(INDEX($V$2:$AE$1001,MATCH(ROWS($O$2:O853),$O$2:$O$1001,0),MATCH(COLUMNS($V$1006:AA1006),$V$1006:$AE$1006,0)), HYPERLINK("#",""), HYPERLINK(CONCATENATE("#Metadata!", ADDRESS(INDEX($Q$2:$Q$1001,MATCH(ROWS($O$2:O853),$O$2:$O$1001,0),0), INDEX($V$1004:$AE$1004,1,MATCH(COLUMNS($V$1006:AA1006),$V$1006:$AE$1006,0)))),"Fix")))</f>
        <v>0</v>
      </c>
      <c r="H853" s="4">
        <f>IF(OR(INDEX($P$2:$P$1001,MATCH(ROWS($O$2:O853),$O$2:$O$1001,0),1)&gt;=100000,INDEX($V$1005:$AE$1005,1,MATCH(COLUMNS($V$1006:AB1006),$V$1006:$AE$1006,0))&gt;=100000), " ",IF(INDEX($V$2:$AE$1001,MATCH(ROWS($O$2:O853),$O$2:$O$1001,0),MATCH(COLUMNS($V$1006:AB1006),$V$1006:$AE$1006,0)), HYPERLINK("#",""), HYPERLINK(CONCATENATE("#Metadata!", ADDRESS(INDEX($Q$2:$Q$1001,MATCH(ROWS($O$2:O853),$O$2:$O$1001,0),0), INDEX($V$1004:$AE$1004,1,MATCH(COLUMNS($V$1006:AB1006),$V$1006:$AE$1006,0)))),"Fix")))</f>
        <v>0</v>
      </c>
      <c r="I853" s="4">
        <f>IF(OR(INDEX($P$2:$P$1001,MATCH(ROWS($O$2:O853),$O$2:$O$1001,0),1)&gt;=100000,INDEX($V$1005:$AE$1005,1,MATCH(COLUMNS($V$1006:AC1006),$V$1006:$AE$1006,0))&gt;=100000), " ",IF(INDEX($V$2:$AE$1001,MATCH(ROWS($O$2:O853),$O$2:$O$1001,0),MATCH(COLUMNS($V$1006:AC1006),$V$1006:$AE$1006,0)), HYPERLINK("#",""), HYPERLINK(CONCATENATE("#Metadata!", ADDRESS(INDEX($Q$2:$Q$1001,MATCH(ROWS($O$2:O853),$O$2:$O$1001,0),0), INDEX($V$1004:$AE$1004,1,MATCH(COLUMNS($V$1006:AC1006),$V$1006:$AE$1006,0)))),"Fix")))</f>
        <v>0</v>
      </c>
      <c r="J853" s="4">
        <f>IF(OR(INDEX($P$2:$P$1001,MATCH(ROWS($O$2:O853),$O$2:$O$1001,0),1)&gt;=100000,INDEX($V$1005:$AE$1005,1,MATCH(COLUMNS($V$1006:AD1006),$V$1006:$AE$1006,0))&gt;=100000), " ",IF(INDEX($V$2:$AE$1001,MATCH(ROWS($O$2:O853),$O$2:$O$1001,0),MATCH(COLUMNS($V$1006:AD1006),$V$1006:$AE$1006,0)), HYPERLINK("#",""), HYPERLINK(CONCATENATE("#Metadata!", ADDRESS(INDEX($Q$2:$Q$1001,MATCH(ROWS($O$2:O853),$O$2:$O$1001,0),0), INDEX($V$1004:$AE$1004,1,MATCH(COLUMNS($V$1006:AD1006),$V$1006:$AE$1006,0)))),"Fix")))</f>
        <v>0</v>
      </c>
      <c r="K853" s="4">
        <f>IF(OR(INDEX($P$2:$P$1001,MATCH(ROWS($O$2:O853),$O$2:$O$1001,0),1)&gt;=100000,INDEX($V$1005:$AE$1005,1,MATCH(COLUMNS($V$1006:AE1006),$V$1006:$AE$1006,0))&gt;=100000), " ",IF(INDEX($V$2:$AE$1001,MATCH(ROWS($O$2:O853),$O$2:$O$1001,0),MATCH(COLUMNS($V$1006:AE1006),$V$1006:$AE$1006,0)), HYPERLINK("#",""), HYPERLINK(CONCATENATE("#Metadata!", ADDRESS(INDEX($Q$2:$Q$1001,MATCH(ROWS($O$2:O853),$O$2:$O$1001,0),0), INDEX($V$1004:$AE$1004,1,MATCH(COLUMNS($V$1006:AE1006),$V$1006:$AE$1006,0)))),"Fix")))</f>
        <v>0</v>
      </c>
      <c r="O853">
        <v>0</v>
      </c>
      <c r="P853">
        <v>0</v>
      </c>
      <c r="Q853">
        <v>0</v>
      </c>
      <c r="R853">
        <f>IF(S853,TRUE,AND(V853:AE853))</f>
        <v>0</v>
      </c>
      <c r="S853">
        <f>COUNTBLANK(Metadata!B853:K853)=COLUMNS(Metadata!B853:K853)</f>
        <v>0</v>
      </c>
      <c r="T853">
        <v>0</v>
      </c>
      <c r="V853">
        <f>AND(IF(Metadata!B853="",FALSE,TRUE),COUNTIF(Metadata!B:B, Metadata!B853) = 1,NOT(ISERROR(SUMPRODUCT(SEARCH(MID(Metadata!B853,ROW(INDIRECT("1:"&amp;LEN(Metadata!B853))), 1),"0123456789abcdefghijklmnopqrstuvwxyzABCDEFGHIJKLMNOPQRSTUVWXYZ.")))))</f>
        <v>0</v>
      </c>
      <c r="W853">
        <f>AND(IF(Metadata!C853="",FALSE,TRUE),exact(Metadata!C853,"urban biome"))</f>
        <v>0</v>
      </c>
      <c r="X853">
        <f>AND(IF(Metadata!D853="",FALSE,TRUE),exact(Metadata!D853,"animal-associated habitat"))</f>
        <v>0</v>
      </c>
      <c r="Y853">
        <f>OR(AND(IF(Metadata!E853="",FALSE,TRUE),OR(exact(Metadata!E853,"not applicable"),exact(Metadata!E853,"missing: not collected"),exact(Metadata!E853,"missing: not provided"),exact(Metadata!E853,"missing: restricted access"))),AND(IF(Metadata!E853="",FALSE,ISNUMBER(VALUE(Metadata!E853))),Metadata!E853&gt;0))</f>
        <v>0</v>
      </c>
      <c r="Z853">
        <f>AND(IF(Metadata!F853="",FALSE,TRUE),exact(Metadata!F853,"weeks"))</f>
        <v>0</v>
      </c>
      <c r="AA853">
        <f>AND(IF(Metadata!G853="",FALSE,TRUE),exact(Metadata!G853,"mouse"))</f>
        <v>0</v>
      </c>
      <c r="AB853">
        <f>AND(IF(Metadata!H853="",FALSE,TRUE),exact(Metadata!H853,"Mus musculus"))</f>
        <v>0</v>
      </c>
      <c r="AC853">
        <f>AND(IF(Metadata!I853="",FALSE,TRUE),exact(Metadata!I853,"10090"))</f>
        <v>0</v>
      </c>
      <c r="AD853">
        <f>OR(AND(IF(Metadata!J853="",FALSE,TRUE),OR(exact(Metadata!J853,"not applicable"),exact(Metadata!J853,"missing: not collected"),exact(Metadata!J853,"missing: not provided"),exact(Metadata!J853,"missing: restricted access"))),AND(IF(Metadata!J853="",FALSE,ISNUMBER(VALUE(Metadata!J853))),Metadata!J853&gt;0))</f>
        <v>0</v>
      </c>
      <c r="AE853">
        <f>AND(IF(Metadata!K853="",FALSE,TRUE),exact(Metadata!K853,"g"))</f>
        <v>0</v>
      </c>
    </row>
    <row r="854" spans="1:31">
      <c r="A854" s="5">
        <f>IF(B854=" "," ",HYPERLINK(CONCATENATE("#metadata!",ADDRESS(INDEX($Q$2:$Q$1001,MATCH(ROWS($O$2:O854),$O$2:$O$1001,0),0),1)),INDEX($T$2:$T$1001,MATCH(ROWS($O$2:O854),$O$2:$O$1001,0),0)))</f>
        <v>0</v>
      </c>
      <c r="B854" s="4">
        <f>IF(OR(INDEX($P$2:$P$1001,MATCH(ROWS($O$2:O854),$O$2:$O$1001,0),1)&gt;=100000,INDEX($V$1005:$AE$1005,1,MATCH(COLUMNS($V$1006:V1006),$V$1006:$AE$1006,0))&gt;=100000), " ",IF(INDEX($V$2:$AE$1001,MATCH(ROWS($O$2:O854),$O$2:$O$1001,0),MATCH(COLUMNS($V$1006:V1006),$V$1006:$AE$1006,0)), HYPERLINK("#",""), HYPERLINK(CONCATENATE("#Metadata!", ADDRESS(INDEX($Q$2:$Q$1001,MATCH(ROWS($O$2:O854),$O$2:$O$1001,0),0), INDEX($V$1004:$AE$1004,1,MATCH(COLUMNS($V$1006:V1006),$V$1006:$AE$1006,0)))),"Fix")))</f>
        <v>0</v>
      </c>
      <c r="C854" s="4">
        <f>IF(OR(INDEX($P$2:$P$1001,MATCH(ROWS($O$2:O854),$O$2:$O$1001,0),1)&gt;=100000,INDEX($V$1005:$AE$1005,1,MATCH(COLUMNS($V$1006:W1006),$V$1006:$AE$1006,0))&gt;=100000), " ",IF(INDEX($V$2:$AE$1001,MATCH(ROWS($O$2:O854),$O$2:$O$1001,0),MATCH(COLUMNS($V$1006:W1006),$V$1006:$AE$1006,0)), HYPERLINK("#",""), HYPERLINK(CONCATENATE("#Metadata!", ADDRESS(INDEX($Q$2:$Q$1001,MATCH(ROWS($O$2:O854),$O$2:$O$1001,0),0), INDEX($V$1004:$AE$1004,1,MATCH(COLUMNS($V$1006:W1006),$V$1006:$AE$1006,0)))),"Fix")))</f>
        <v>0</v>
      </c>
      <c r="D854" s="4">
        <f>IF(OR(INDEX($P$2:$P$1001,MATCH(ROWS($O$2:O854),$O$2:$O$1001,0),1)&gt;=100000,INDEX($V$1005:$AE$1005,1,MATCH(COLUMNS($V$1006:X1006),$V$1006:$AE$1006,0))&gt;=100000), " ",IF(INDEX($V$2:$AE$1001,MATCH(ROWS($O$2:O854),$O$2:$O$1001,0),MATCH(COLUMNS($V$1006:X1006),$V$1006:$AE$1006,0)), HYPERLINK("#",""), HYPERLINK(CONCATENATE("#Metadata!", ADDRESS(INDEX($Q$2:$Q$1001,MATCH(ROWS($O$2:O854),$O$2:$O$1001,0),0), INDEX($V$1004:$AE$1004,1,MATCH(COLUMNS($V$1006:X1006),$V$1006:$AE$1006,0)))),"Fix")))</f>
        <v>0</v>
      </c>
      <c r="E854" s="4">
        <f>IF(OR(INDEX($P$2:$P$1001,MATCH(ROWS($O$2:O854),$O$2:$O$1001,0),1)&gt;=100000,INDEX($V$1005:$AE$1005,1,MATCH(COLUMNS($V$1006:Y1006),$V$1006:$AE$1006,0))&gt;=100000), " ",IF(INDEX($V$2:$AE$1001,MATCH(ROWS($O$2:O854),$O$2:$O$1001,0),MATCH(COLUMNS($V$1006:Y1006),$V$1006:$AE$1006,0)), HYPERLINK("#",""), HYPERLINK(CONCATENATE("#Metadata!", ADDRESS(INDEX($Q$2:$Q$1001,MATCH(ROWS($O$2:O854),$O$2:$O$1001,0),0), INDEX($V$1004:$AE$1004,1,MATCH(COLUMNS($V$1006:Y1006),$V$1006:$AE$1006,0)))),"Fix")))</f>
        <v>0</v>
      </c>
      <c r="F854" s="4">
        <f>IF(OR(INDEX($P$2:$P$1001,MATCH(ROWS($O$2:O854),$O$2:$O$1001,0),1)&gt;=100000,INDEX($V$1005:$AE$1005,1,MATCH(COLUMNS($V$1006:Z1006),$V$1006:$AE$1006,0))&gt;=100000), " ",IF(INDEX($V$2:$AE$1001,MATCH(ROWS($O$2:O854),$O$2:$O$1001,0),MATCH(COLUMNS($V$1006:Z1006),$V$1006:$AE$1006,0)), HYPERLINK("#",""), HYPERLINK(CONCATENATE("#Metadata!", ADDRESS(INDEX($Q$2:$Q$1001,MATCH(ROWS($O$2:O854),$O$2:$O$1001,0),0), INDEX($V$1004:$AE$1004,1,MATCH(COLUMNS($V$1006:Z1006),$V$1006:$AE$1006,0)))),"Fix")))</f>
        <v>0</v>
      </c>
      <c r="G854" s="4">
        <f>IF(OR(INDEX($P$2:$P$1001,MATCH(ROWS($O$2:O854),$O$2:$O$1001,0),1)&gt;=100000,INDEX($V$1005:$AE$1005,1,MATCH(COLUMNS($V$1006:AA1006),$V$1006:$AE$1006,0))&gt;=100000), " ",IF(INDEX($V$2:$AE$1001,MATCH(ROWS($O$2:O854),$O$2:$O$1001,0),MATCH(COLUMNS($V$1006:AA1006),$V$1006:$AE$1006,0)), HYPERLINK("#",""), HYPERLINK(CONCATENATE("#Metadata!", ADDRESS(INDEX($Q$2:$Q$1001,MATCH(ROWS($O$2:O854),$O$2:$O$1001,0),0), INDEX($V$1004:$AE$1004,1,MATCH(COLUMNS($V$1006:AA1006),$V$1006:$AE$1006,0)))),"Fix")))</f>
        <v>0</v>
      </c>
      <c r="H854" s="4">
        <f>IF(OR(INDEX($P$2:$P$1001,MATCH(ROWS($O$2:O854),$O$2:$O$1001,0),1)&gt;=100000,INDEX($V$1005:$AE$1005,1,MATCH(COLUMNS($V$1006:AB1006),$V$1006:$AE$1006,0))&gt;=100000), " ",IF(INDEX($V$2:$AE$1001,MATCH(ROWS($O$2:O854),$O$2:$O$1001,0),MATCH(COLUMNS($V$1006:AB1006),$V$1006:$AE$1006,0)), HYPERLINK("#",""), HYPERLINK(CONCATENATE("#Metadata!", ADDRESS(INDEX($Q$2:$Q$1001,MATCH(ROWS($O$2:O854),$O$2:$O$1001,0),0), INDEX($V$1004:$AE$1004,1,MATCH(COLUMNS($V$1006:AB1006),$V$1006:$AE$1006,0)))),"Fix")))</f>
        <v>0</v>
      </c>
      <c r="I854" s="4">
        <f>IF(OR(INDEX($P$2:$P$1001,MATCH(ROWS($O$2:O854),$O$2:$O$1001,0),1)&gt;=100000,INDEX($V$1005:$AE$1005,1,MATCH(COLUMNS($V$1006:AC1006),$V$1006:$AE$1006,0))&gt;=100000), " ",IF(INDEX($V$2:$AE$1001,MATCH(ROWS($O$2:O854),$O$2:$O$1001,0),MATCH(COLUMNS($V$1006:AC1006),$V$1006:$AE$1006,0)), HYPERLINK("#",""), HYPERLINK(CONCATENATE("#Metadata!", ADDRESS(INDEX($Q$2:$Q$1001,MATCH(ROWS($O$2:O854),$O$2:$O$1001,0),0), INDEX($V$1004:$AE$1004,1,MATCH(COLUMNS($V$1006:AC1006),$V$1006:$AE$1006,0)))),"Fix")))</f>
        <v>0</v>
      </c>
      <c r="J854" s="4">
        <f>IF(OR(INDEX($P$2:$P$1001,MATCH(ROWS($O$2:O854),$O$2:$O$1001,0),1)&gt;=100000,INDEX($V$1005:$AE$1005,1,MATCH(COLUMNS($V$1006:AD1006),$V$1006:$AE$1006,0))&gt;=100000), " ",IF(INDEX($V$2:$AE$1001,MATCH(ROWS($O$2:O854),$O$2:$O$1001,0),MATCH(COLUMNS($V$1006:AD1006),$V$1006:$AE$1006,0)), HYPERLINK("#",""), HYPERLINK(CONCATENATE("#Metadata!", ADDRESS(INDEX($Q$2:$Q$1001,MATCH(ROWS($O$2:O854),$O$2:$O$1001,0),0), INDEX($V$1004:$AE$1004,1,MATCH(COLUMNS($V$1006:AD1006),$V$1006:$AE$1006,0)))),"Fix")))</f>
        <v>0</v>
      </c>
      <c r="K854" s="4">
        <f>IF(OR(INDEX($P$2:$P$1001,MATCH(ROWS($O$2:O854),$O$2:$O$1001,0),1)&gt;=100000,INDEX($V$1005:$AE$1005,1,MATCH(COLUMNS($V$1006:AE1006),$V$1006:$AE$1006,0))&gt;=100000), " ",IF(INDEX($V$2:$AE$1001,MATCH(ROWS($O$2:O854),$O$2:$O$1001,0),MATCH(COLUMNS($V$1006:AE1006),$V$1006:$AE$1006,0)), HYPERLINK("#",""), HYPERLINK(CONCATENATE("#Metadata!", ADDRESS(INDEX($Q$2:$Q$1001,MATCH(ROWS($O$2:O854),$O$2:$O$1001,0),0), INDEX($V$1004:$AE$1004,1,MATCH(COLUMNS($V$1006:AE1006),$V$1006:$AE$1006,0)))),"Fix")))</f>
        <v>0</v>
      </c>
      <c r="O854">
        <v>0</v>
      </c>
      <c r="P854">
        <v>0</v>
      </c>
      <c r="Q854">
        <v>0</v>
      </c>
      <c r="R854">
        <f>IF(S854,TRUE,AND(V854:AE854))</f>
        <v>0</v>
      </c>
      <c r="S854">
        <f>COUNTBLANK(Metadata!B854:K854)=COLUMNS(Metadata!B854:K854)</f>
        <v>0</v>
      </c>
      <c r="T854">
        <v>0</v>
      </c>
      <c r="V854">
        <f>AND(IF(Metadata!B854="",FALSE,TRUE),COUNTIF(Metadata!B:B, Metadata!B854) = 1,NOT(ISERROR(SUMPRODUCT(SEARCH(MID(Metadata!B854,ROW(INDIRECT("1:"&amp;LEN(Metadata!B854))), 1),"0123456789abcdefghijklmnopqrstuvwxyzABCDEFGHIJKLMNOPQRSTUVWXYZ.")))))</f>
        <v>0</v>
      </c>
      <c r="W854">
        <f>AND(IF(Metadata!C854="",FALSE,TRUE),exact(Metadata!C854,"urban biome"))</f>
        <v>0</v>
      </c>
      <c r="X854">
        <f>AND(IF(Metadata!D854="",FALSE,TRUE),exact(Metadata!D854,"animal-associated habitat"))</f>
        <v>0</v>
      </c>
      <c r="Y854">
        <f>OR(AND(IF(Metadata!E854="",FALSE,TRUE),OR(exact(Metadata!E854,"not applicable"),exact(Metadata!E854,"missing: not collected"),exact(Metadata!E854,"missing: not provided"),exact(Metadata!E854,"missing: restricted access"))),AND(IF(Metadata!E854="",FALSE,ISNUMBER(VALUE(Metadata!E854))),Metadata!E854&gt;0))</f>
        <v>0</v>
      </c>
      <c r="Z854">
        <f>AND(IF(Metadata!F854="",FALSE,TRUE),exact(Metadata!F854,"weeks"))</f>
        <v>0</v>
      </c>
      <c r="AA854">
        <f>AND(IF(Metadata!G854="",FALSE,TRUE),exact(Metadata!G854,"mouse"))</f>
        <v>0</v>
      </c>
      <c r="AB854">
        <f>AND(IF(Metadata!H854="",FALSE,TRUE),exact(Metadata!H854,"Mus musculus"))</f>
        <v>0</v>
      </c>
      <c r="AC854">
        <f>AND(IF(Metadata!I854="",FALSE,TRUE),exact(Metadata!I854,"10090"))</f>
        <v>0</v>
      </c>
      <c r="AD854">
        <f>OR(AND(IF(Metadata!J854="",FALSE,TRUE),OR(exact(Metadata!J854,"not applicable"),exact(Metadata!J854,"missing: not collected"),exact(Metadata!J854,"missing: not provided"),exact(Metadata!J854,"missing: restricted access"))),AND(IF(Metadata!J854="",FALSE,ISNUMBER(VALUE(Metadata!J854))),Metadata!J854&gt;0))</f>
        <v>0</v>
      </c>
      <c r="AE854">
        <f>AND(IF(Metadata!K854="",FALSE,TRUE),exact(Metadata!K854,"g"))</f>
        <v>0</v>
      </c>
    </row>
    <row r="855" spans="1:31">
      <c r="A855" s="5">
        <f>IF(B855=" "," ",HYPERLINK(CONCATENATE("#metadata!",ADDRESS(INDEX($Q$2:$Q$1001,MATCH(ROWS($O$2:O855),$O$2:$O$1001,0),0),1)),INDEX($T$2:$T$1001,MATCH(ROWS($O$2:O855),$O$2:$O$1001,0),0)))</f>
        <v>0</v>
      </c>
      <c r="B855" s="4">
        <f>IF(OR(INDEX($P$2:$P$1001,MATCH(ROWS($O$2:O855),$O$2:$O$1001,0),1)&gt;=100000,INDEX($V$1005:$AE$1005,1,MATCH(COLUMNS($V$1006:V1006),$V$1006:$AE$1006,0))&gt;=100000), " ",IF(INDEX($V$2:$AE$1001,MATCH(ROWS($O$2:O855),$O$2:$O$1001,0),MATCH(COLUMNS($V$1006:V1006),$V$1006:$AE$1006,0)), HYPERLINK("#",""), HYPERLINK(CONCATENATE("#Metadata!", ADDRESS(INDEX($Q$2:$Q$1001,MATCH(ROWS($O$2:O855),$O$2:$O$1001,0),0), INDEX($V$1004:$AE$1004,1,MATCH(COLUMNS($V$1006:V1006),$V$1006:$AE$1006,0)))),"Fix")))</f>
        <v>0</v>
      </c>
      <c r="C855" s="4">
        <f>IF(OR(INDEX($P$2:$P$1001,MATCH(ROWS($O$2:O855),$O$2:$O$1001,0),1)&gt;=100000,INDEX($V$1005:$AE$1005,1,MATCH(COLUMNS($V$1006:W1006),$V$1006:$AE$1006,0))&gt;=100000), " ",IF(INDEX($V$2:$AE$1001,MATCH(ROWS($O$2:O855),$O$2:$O$1001,0),MATCH(COLUMNS($V$1006:W1006),$V$1006:$AE$1006,0)), HYPERLINK("#",""), HYPERLINK(CONCATENATE("#Metadata!", ADDRESS(INDEX($Q$2:$Q$1001,MATCH(ROWS($O$2:O855),$O$2:$O$1001,0),0), INDEX($V$1004:$AE$1004,1,MATCH(COLUMNS($V$1006:W1006),$V$1006:$AE$1006,0)))),"Fix")))</f>
        <v>0</v>
      </c>
      <c r="D855" s="4">
        <f>IF(OR(INDEX($P$2:$P$1001,MATCH(ROWS($O$2:O855),$O$2:$O$1001,0),1)&gt;=100000,INDEX($V$1005:$AE$1005,1,MATCH(COLUMNS($V$1006:X1006),$V$1006:$AE$1006,0))&gt;=100000), " ",IF(INDEX($V$2:$AE$1001,MATCH(ROWS($O$2:O855),$O$2:$O$1001,0),MATCH(COLUMNS($V$1006:X1006),$V$1006:$AE$1006,0)), HYPERLINK("#",""), HYPERLINK(CONCATENATE("#Metadata!", ADDRESS(INDEX($Q$2:$Q$1001,MATCH(ROWS($O$2:O855),$O$2:$O$1001,0),0), INDEX($V$1004:$AE$1004,1,MATCH(COLUMNS($V$1006:X1006),$V$1006:$AE$1006,0)))),"Fix")))</f>
        <v>0</v>
      </c>
      <c r="E855" s="4">
        <f>IF(OR(INDEX($P$2:$P$1001,MATCH(ROWS($O$2:O855),$O$2:$O$1001,0),1)&gt;=100000,INDEX($V$1005:$AE$1005,1,MATCH(COLUMNS($V$1006:Y1006),$V$1006:$AE$1006,0))&gt;=100000), " ",IF(INDEX($V$2:$AE$1001,MATCH(ROWS($O$2:O855),$O$2:$O$1001,0),MATCH(COLUMNS($V$1006:Y1006),$V$1006:$AE$1006,0)), HYPERLINK("#",""), HYPERLINK(CONCATENATE("#Metadata!", ADDRESS(INDEX($Q$2:$Q$1001,MATCH(ROWS($O$2:O855),$O$2:$O$1001,0),0), INDEX($V$1004:$AE$1004,1,MATCH(COLUMNS($V$1006:Y1006),$V$1006:$AE$1006,0)))),"Fix")))</f>
        <v>0</v>
      </c>
      <c r="F855" s="4">
        <f>IF(OR(INDEX($P$2:$P$1001,MATCH(ROWS($O$2:O855),$O$2:$O$1001,0),1)&gt;=100000,INDEX($V$1005:$AE$1005,1,MATCH(COLUMNS($V$1006:Z1006),$V$1006:$AE$1006,0))&gt;=100000), " ",IF(INDEX($V$2:$AE$1001,MATCH(ROWS($O$2:O855),$O$2:$O$1001,0),MATCH(COLUMNS($V$1006:Z1006),$V$1006:$AE$1006,0)), HYPERLINK("#",""), HYPERLINK(CONCATENATE("#Metadata!", ADDRESS(INDEX($Q$2:$Q$1001,MATCH(ROWS($O$2:O855),$O$2:$O$1001,0),0), INDEX($V$1004:$AE$1004,1,MATCH(COLUMNS($V$1006:Z1006),$V$1006:$AE$1006,0)))),"Fix")))</f>
        <v>0</v>
      </c>
      <c r="G855" s="4">
        <f>IF(OR(INDEX($P$2:$P$1001,MATCH(ROWS($O$2:O855),$O$2:$O$1001,0),1)&gt;=100000,INDEX($V$1005:$AE$1005,1,MATCH(COLUMNS($V$1006:AA1006),$V$1006:$AE$1006,0))&gt;=100000), " ",IF(INDEX($V$2:$AE$1001,MATCH(ROWS($O$2:O855),$O$2:$O$1001,0),MATCH(COLUMNS($V$1006:AA1006),$V$1006:$AE$1006,0)), HYPERLINK("#",""), HYPERLINK(CONCATENATE("#Metadata!", ADDRESS(INDEX($Q$2:$Q$1001,MATCH(ROWS($O$2:O855),$O$2:$O$1001,0),0), INDEX($V$1004:$AE$1004,1,MATCH(COLUMNS($V$1006:AA1006),$V$1006:$AE$1006,0)))),"Fix")))</f>
        <v>0</v>
      </c>
      <c r="H855" s="4">
        <f>IF(OR(INDEX($P$2:$P$1001,MATCH(ROWS($O$2:O855),$O$2:$O$1001,0),1)&gt;=100000,INDEX($V$1005:$AE$1005,1,MATCH(COLUMNS($V$1006:AB1006),$V$1006:$AE$1006,0))&gt;=100000), " ",IF(INDEX($V$2:$AE$1001,MATCH(ROWS($O$2:O855),$O$2:$O$1001,0),MATCH(COLUMNS($V$1006:AB1006),$V$1006:$AE$1006,0)), HYPERLINK("#",""), HYPERLINK(CONCATENATE("#Metadata!", ADDRESS(INDEX($Q$2:$Q$1001,MATCH(ROWS($O$2:O855),$O$2:$O$1001,0),0), INDEX($V$1004:$AE$1004,1,MATCH(COLUMNS($V$1006:AB1006),$V$1006:$AE$1006,0)))),"Fix")))</f>
        <v>0</v>
      </c>
      <c r="I855" s="4">
        <f>IF(OR(INDEX($P$2:$P$1001,MATCH(ROWS($O$2:O855),$O$2:$O$1001,0),1)&gt;=100000,INDEX($V$1005:$AE$1005,1,MATCH(COLUMNS($V$1006:AC1006),$V$1006:$AE$1006,0))&gt;=100000), " ",IF(INDEX($V$2:$AE$1001,MATCH(ROWS($O$2:O855),$O$2:$O$1001,0),MATCH(COLUMNS($V$1006:AC1006),$V$1006:$AE$1006,0)), HYPERLINK("#",""), HYPERLINK(CONCATENATE("#Metadata!", ADDRESS(INDEX($Q$2:$Q$1001,MATCH(ROWS($O$2:O855),$O$2:$O$1001,0),0), INDEX($V$1004:$AE$1004,1,MATCH(COLUMNS($V$1006:AC1006),$V$1006:$AE$1006,0)))),"Fix")))</f>
        <v>0</v>
      </c>
      <c r="J855" s="4">
        <f>IF(OR(INDEX($P$2:$P$1001,MATCH(ROWS($O$2:O855),$O$2:$O$1001,0),1)&gt;=100000,INDEX($V$1005:$AE$1005,1,MATCH(COLUMNS($V$1006:AD1006),$V$1006:$AE$1006,0))&gt;=100000), " ",IF(INDEX($V$2:$AE$1001,MATCH(ROWS($O$2:O855),$O$2:$O$1001,0),MATCH(COLUMNS($V$1006:AD1006),$V$1006:$AE$1006,0)), HYPERLINK("#",""), HYPERLINK(CONCATENATE("#Metadata!", ADDRESS(INDEX($Q$2:$Q$1001,MATCH(ROWS($O$2:O855),$O$2:$O$1001,0),0), INDEX($V$1004:$AE$1004,1,MATCH(COLUMNS($V$1006:AD1006),$V$1006:$AE$1006,0)))),"Fix")))</f>
        <v>0</v>
      </c>
      <c r="K855" s="4">
        <f>IF(OR(INDEX($P$2:$P$1001,MATCH(ROWS($O$2:O855),$O$2:$O$1001,0),1)&gt;=100000,INDEX($V$1005:$AE$1005,1,MATCH(COLUMNS($V$1006:AE1006),$V$1006:$AE$1006,0))&gt;=100000), " ",IF(INDEX($V$2:$AE$1001,MATCH(ROWS($O$2:O855),$O$2:$O$1001,0),MATCH(COLUMNS($V$1006:AE1006),$V$1006:$AE$1006,0)), HYPERLINK("#",""), HYPERLINK(CONCATENATE("#Metadata!", ADDRESS(INDEX($Q$2:$Q$1001,MATCH(ROWS($O$2:O855),$O$2:$O$1001,0),0), INDEX($V$1004:$AE$1004,1,MATCH(COLUMNS($V$1006:AE1006),$V$1006:$AE$1006,0)))),"Fix")))</f>
        <v>0</v>
      </c>
      <c r="O855">
        <v>0</v>
      </c>
      <c r="P855">
        <v>0</v>
      </c>
      <c r="Q855">
        <v>0</v>
      </c>
      <c r="R855">
        <f>IF(S855,TRUE,AND(V855:AE855))</f>
        <v>0</v>
      </c>
      <c r="S855">
        <f>COUNTBLANK(Metadata!B855:K855)=COLUMNS(Metadata!B855:K855)</f>
        <v>0</v>
      </c>
      <c r="T855">
        <v>0</v>
      </c>
      <c r="V855">
        <f>AND(IF(Metadata!B855="",FALSE,TRUE),COUNTIF(Metadata!B:B, Metadata!B855) = 1,NOT(ISERROR(SUMPRODUCT(SEARCH(MID(Metadata!B855,ROW(INDIRECT("1:"&amp;LEN(Metadata!B855))), 1),"0123456789abcdefghijklmnopqrstuvwxyzABCDEFGHIJKLMNOPQRSTUVWXYZ.")))))</f>
        <v>0</v>
      </c>
      <c r="W855">
        <f>AND(IF(Metadata!C855="",FALSE,TRUE),exact(Metadata!C855,"urban biome"))</f>
        <v>0</v>
      </c>
      <c r="X855">
        <f>AND(IF(Metadata!D855="",FALSE,TRUE),exact(Metadata!D855,"animal-associated habitat"))</f>
        <v>0</v>
      </c>
      <c r="Y855">
        <f>OR(AND(IF(Metadata!E855="",FALSE,TRUE),OR(exact(Metadata!E855,"not applicable"),exact(Metadata!E855,"missing: not collected"),exact(Metadata!E855,"missing: not provided"),exact(Metadata!E855,"missing: restricted access"))),AND(IF(Metadata!E855="",FALSE,ISNUMBER(VALUE(Metadata!E855))),Metadata!E855&gt;0))</f>
        <v>0</v>
      </c>
      <c r="Z855">
        <f>AND(IF(Metadata!F855="",FALSE,TRUE),exact(Metadata!F855,"weeks"))</f>
        <v>0</v>
      </c>
      <c r="AA855">
        <f>AND(IF(Metadata!G855="",FALSE,TRUE),exact(Metadata!G855,"mouse"))</f>
        <v>0</v>
      </c>
      <c r="AB855">
        <f>AND(IF(Metadata!H855="",FALSE,TRUE),exact(Metadata!H855,"Mus musculus"))</f>
        <v>0</v>
      </c>
      <c r="AC855">
        <f>AND(IF(Metadata!I855="",FALSE,TRUE),exact(Metadata!I855,"10090"))</f>
        <v>0</v>
      </c>
      <c r="AD855">
        <f>OR(AND(IF(Metadata!J855="",FALSE,TRUE),OR(exact(Metadata!J855,"not applicable"),exact(Metadata!J855,"missing: not collected"),exact(Metadata!J855,"missing: not provided"),exact(Metadata!J855,"missing: restricted access"))),AND(IF(Metadata!J855="",FALSE,ISNUMBER(VALUE(Metadata!J855))),Metadata!J855&gt;0))</f>
        <v>0</v>
      </c>
      <c r="AE855">
        <f>AND(IF(Metadata!K855="",FALSE,TRUE),exact(Metadata!K855,"g"))</f>
        <v>0</v>
      </c>
    </row>
    <row r="856" spans="1:31">
      <c r="A856" s="5">
        <f>IF(B856=" "," ",HYPERLINK(CONCATENATE("#metadata!",ADDRESS(INDEX($Q$2:$Q$1001,MATCH(ROWS($O$2:O856),$O$2:$O$1001,0),0),1)),INDEX($T$2:$T$1001,MATCH(ROWS($O$2:O856),$O$2:$O$1001,0),0)))</f>
        <v>0</v>
      </c>
      <c r="B856" s="4">
        <f>IF(OR(INDEX($P$2:$P$1001,MATCH(ROWS($O$2:O856),$O$2:$O$1001,0),1)&gt;=100000,INDEX($V$1005:$AE$1005,1,MATCH(COLUMNS($V$1006:V1006),$V$1006:$AE$1006,0))&gt;=100000), " ",IF(INDEX($V$2:$AE$1001,MATCH(ROWS($O$2:O856),$O$2:$O$1001,0),MATCH(COLUMNS($V$1006:V1006),$V$1006:$AE$1006,0)), HYPERLINK("#",""), HYPERLINK(CONCATENATE("#Metadata!", ADDRESS(INDEX($Q$2:$Q$1001,MATCH(ROWS($O$2:O856),$O$2:$O$1001,0),0), INDEX($V$1004:$AE$1004,1,MATCH(COLUMNS($V$1006:V1006),$V$1006:$AE$1006,0)))),"Fix")))</f>
        <v>0</v>
      </c>
      <c r="C856" s="4">
        <f>IF(OR(INDEX($P$2:$P$1001,MATCH(ROWS($O$2:O856),$O$2:$O$1001,0),1)&gt;=100000,INDEX($V$1005:$AE$1005,1,MATCH(COLUMNS($V$1006:W1006),$V$1006:$AE$1006,0))&gt;=100000), " ",IF(INDEX($V$2:$AE$1001,MATCH(ROWS($O$2:O856),$O$2:$O$1001,0),MATCH(COLUMNS($V$1006:W1006),$V$1006:$AE$1006,0)), HYPERLINK("#",""), HYPERLINK(CONCATENATE("#Metadata!", ADDRESS(INDEX($Q$2:$Q$1001,MATCH(ROWS($O$2:O856),$O$2:$O$1001,0),0), INDEX($V$1004:$AE$1004,1,MATCH(COLUMNS($V$1006:W1006),$V$1006:$AE$1006,0)))),"Fix")))</f>
        <v>0</v>
      </c>
      <c r="D856" s="4">
        <f>IF(OR(INDEX($P$2:$P$1001,MATCH(ROWS($O$2:O856),$O$2:$O$1001,0),1)&gt;=100000,INDEX($V$1005:$AE$1005,1,MATCH(COLUMNS($V$1006:X1006),$V$1006:$AE$1006,0))&gt;=100000), " ",IF(INDEX($V$2:$AE$1001,MATCH(ROWS($O$2:O856),$O$2:$O$1001,0),MATCH(COLUMNS($V$1006:X1006),$V$1006:$AE$1006,0)), HYPERLINK("#",""), HYPERLINK(CONCATENATE("#Metadata!", ADDRESS(INDEX($Q$2:$Q$1001,MATCH(ROWS($O$2:O856),$O$2:$O$1001,0),0), INDEX($V$1004:$AE$1004,1,MATCH(COLUMNS($V$1006:X1006),$V$1006:$AE$1006,0)))),"Fix")))</f>
        <v>0</v>
      </c>
      <c r="E856" s="4">
        <f>IF(OR(INDEX($P$2:$P$1001,MATCH(ROWS($O$2:O856),$O$2:$O$1001,0),1)&gt;=100000,INDEX($V$1005:$AE$1005,1,MATCH(COLUMNS($V$1006:Y1006),$V$1006:$AE$1006,0))&gt;=100000), " ",IF(INDEX($V$2:$AE$1001,MATCH(ROWS($O$2:O856),$O$2:$O$1001,0),MATCH(COLUMNS($V$1006:Y1006),$V$1006:$AE$1006,0)), HYPERLINK("#",""), HYPERLINK(CONCATENATE("#Metadata!", ADDRESS(INDEX($Q$2:$Q$1001,MATCH(ROWS($O$2:O856),$O$2:$O$1001,0),0), INDEX($V$1004:$AE$1004,1,MATCH(COLUMNS($V$1006:Y1006),$V$1006:$AE$1006,0)))),"Fix")))</f>
        <v>0</v>
      </c>
      <c r="F856" s="4">
        <f>IF(OR(INDEX($P$2:$P$1001,MATCH(ROWS($O$2:O856),$O$2:$O$1001,0),1)&gt;=100000,INDEX($V$1005:$AE$1005,1,MATCH(COLUMNS($V$1006:Z1006),$V$1006:$AE$1006,0))&gt;=100000), " ",IF(INDEX($V$2:$AE$1001,MATCH(ROWS($O$2:O856),$O$2:$O$1001,0),MATCH(COLUMNS($V$1006:Z1006),$V$1006:$AE$1006,0)), HYPERLINK("#",""), HYPERLINK(CONCATENATE("#Metadata!", ADDRESS(INDEX($Q$2:$Q$1001,MATCH(ROWS($O$2:O856),$O$2:$O$1001,0),0), INDEX($V$1004:$AE$1004,1,MATCH(COLUMNS($V$1006:Z1006),$V$1006:$AE$1006,0)))),"Fix")))</f>
        <v>0</v>
      </c>
      <c r="G856" s="4">
        <f>IF(OR(INDEX($P$2:$P$1001,MATCH(ROWS($O$2:O856),$O$2:$O$1001,0),1)&gt;=100000,INDEX($V$1005:$AE$1005,1,MATCH(COLUMNS($V$1006:AA1006),$V$1006:$AE$1006,0))&gt;=100000), " ",IF(INDEX($V$2:$AE$1001,MATCH(ROWS($O$2:O856),$O$2:$O$1001,0),MATCH(COLUMNS($V$1006:AA1006),$V$1006:$AE$1006,0)), HYPERLINK("#",""), HYPERLINK(CONCATENATE("#Metadata!", ADDRESS(INDEX($Q$2:$Q$1001,MATCH(ROWS($O$2:O856),$O$2:$O$1001,0),0), INDEX($V$1004:$AE$1004,1,MATCH(COLUMNS($V$1006:AA1006),$V$1006:$AE$1006,0)))),"Fix")))</f>
        <v>0</v>
      </c>
      <c r="H856" s="4">
        <f>IF(OR(INDEX($P$2:$P$1001,MATCH(ROWS($O$2:O856),$O$2:$O$1001,0),1)&gt;=100000,INDEX($V$1005:$AE$1005,1,MATCH(COLUMNS($V$1006:AB1006),$V$1006:$AE$1006,0))&gt;=100000), " ",IF(INDEX($V$2:$AE$1001,MATCH(ROWS($O$2:O856),$O$2:$O$1001,0),MATCH(COLUMNS($V$1006:AB1006),$V$1006:$AE$1006,0)), HYPERLINK("#",""), HYPERLINK(CONCATENATE("#Metadata!", ADDRESS(INDEX($Q$2:$Q$1001,MATCH(ROWS($O$2:O856),$O$2:$O$1001,0),0), INDEX($V$1004:$AE$1004,1,MATCH(COLUMNS($V$1006:AB1006),$V$1006:$AE$1006,0)))),"Fix")))</f>
        <v>0</v>
      </c>
      <c r="I856" s="4">
        <f>IF(OR(INDEX($P$2:$P$1001,MATCH(ROWS($O$2:O856),$O$2:$O$1001,0),1)&gt;=100000,INDEX($V$1005:$AE$1005,1,MATCH(COLUMNS($V$1006:AC1006),$V$1006:$AE$1006,0))&gt;=100000), " ",IF(INDEX($V$2:$AE$1001,MATCH(ROWS($O$2:O856),$O$2:$O$1001,0),MATCH(COLUMNS($V$1006:AC1006),$V$1006:$AE$1006,0)), HYPERLINK("#",""), HYPERLINK(CONCATENATE("#Metadata!", ADDRESS(INDEX($Q$2:$Q$1001,MATCH(ROWS($O$2:O856),$O$2:$O$1001,0),0), INDEX($V$1004:$AE$1004,1,MATCH(COLUMNS($V$1006:AC1006),$V$1006:$AE$1006,0)))),"Fix")))</f>
        <v>0</v>
      </c>
      <c r="J856" s="4">
        <f>IF(OR(INDEX($P$2:$P$1001,MATCH(ROWS($O$2:O856),$O$2:$O$1001,0),1)&gt;=100000,INDEX($V$1005:$AE$1005,1,MATCH(COLUMNS($V$1006:AD1006),$V$1006:$AE$1006,0))&gt;=100000), " ",IF(INDEX($V$2:$AE$1001,MATCH(ROWS($O$2:O856),$O$2:$O$1001,0),MATCH(COLUMNS($V$1006:AD1006),$V$1006:$AE$1006,0)), HYPERLINK("#",""), HYPERLINK(CONCATENATE("#Metadata!", ADDRESS(INDEX($Q$2:$Q$1001,MATCH(ROWS($O$2:O856),$O$2:$O$1001,0),0), INDEX($V$1004:$AE$1004,1,MATCH(COLUMNS($V$1006:AD1006),$V$1006:$AE$1006,0)))),"Fix")))</f>
        <v>0</v>
      </c>
      <c r="K856" s="4">
        <f>IF(OR(INDEX($P$2:$P$1001,MATCH(ROWS($O$2:O856),$O$2:$O$1001,0),1)&gt;=100000,INDEX($V$1005:$AE$1005,1,MATCH(COLUMNS($V$1006:AE1006),$V$1006:$AE$1006,0))&gt;=100000), " ",IF(INDEX($V$2:$AE$1001,MATCH(ROWS($O$2:O856),$O$2:$O$1001,0),MATCH(COLUMNS($V$1006:AE1006),$V$1006:$AE$1006,0)), HYPERLINK("#",""), HYPERLINK(CONCATENATE("#Metadata!", ADDRESS(INDEX($Q$2:$Q$1001,MATCH(ROWS($O$2:O856),$O$2:$O$1001,0),0), INDEX($V$1004:$AE$1004,1,MATCH(COLUMNS($V$1006:AE1006),$V$1006:$AE$1006,0)))),"Fix")))</f>
        <v>0</v>
      </c>
      <c r="O856">
        <v>0</v>
      </c>
      <c r="P856">
        <v>0</v>
      </c>
      <c r="Q856">
        <v>0</v>
      </c>
      <c r="R856">
        <f>IF(S856,TRUE,AND(V856:AE856))</f>
        <v>0</v>
      </c>
      <c r="S856">
        <f>COUNTBLANK(Metadata!B856:K856)=COLUMNS(Metadata!B856:K856)</f>
        <v>0</v>
      </c>
      <c r="T856">
        <v>0</v>
      </c>
      <c r="V856">
        <f>AND(IF(Metadata!B856="",FALSE,TRUE),COUNTIF(Metadata!B:B, Metadata!B856) = 1,NOT(ISERROR(SUMPRODUCT(SEARCH(MID(Metadata!B856,ROW(INDIRECT("1:"&amp;LEN(Metadata!B856))), 1),"0123456789abcdefghijklmnopqrstuvwxyzABCDEFGHIJKLMNOPQRSTUVWXYZ.")))))</f>
        <v>0</v>
      </c>
      <c r="W856">
        <f>AND(IF(Metadata!C856="",FALSE,TRUE),exact(Metadata!C856,"urban biome"))</f>
        <v>0</v>
      </c>
      <c r="X856">
        <f>AND(IF(Metadata!D856="",FALSE,TRUE),exact(Metadata!D856,"animal-associated habitat"))</f>
        <v>0</v>
      </c>
      <c r="Y856">
        <f>OR(AND(IF(Metadata!E856="",FALSE,TRUE),OR(exact(Metadata!E856,"not applicable"),exact(Metadata!E856,"missing: not collected"),exact(Metadata!E856,"missing: not provided"),exact(Metadata!E856,"missing: restricted access"))),AND(IF(Metadata!E856="",FALSE,ISNUMBER(VALUE(Metadata!E856))),Metadata!E856&gt;0))</f>
        <v>0</v>
      </c>
      <c r="Z856">
        <f>AND(IF(Metadata!F856="",FALSE,TRUE),exact(Metadata!F856,"weeks"))</f>
        <v>0</v>
      </c>
      <c r="AA856">
        <f>AND(IF(Metadata!G856="",FALSE,TRUE),exact(Metadata!G856,"mouse"))</f>
        <v>0</v>
      </c>
      <c r="AB856">
        <f>AND(IF(Metadata!H856="",FALSE,TRUE),exact(Metadata!H856,"Mus musculus"))</f>
        <v>0</v>
      </c>
      <c r="AC856">
        <f>AND(IF(Metadata!I856="",FALSE,TRUE),exact(Metadata!I856,"10090"))</f>
        <v>0</v>
      </c>
      <c r="AD856">
        <f>OR(AND(IF(Metadata!J856="",FALSE,TRUE),OR(exact(Metadata!J856,"not applicable"),exact(Metadata!J856,"missing: not collected"),exact(Metadata!J856,"missing: not provided"),exact(Metadata!J856,"missing: restricted access"))),AND(IF(Metadata!J856="",FALSE,ISNUMBER(VALUE(Metadata!J856))),Metadata!J856&gt;0))</f>
        <v>0</v>
      </c>
      <c r="AE856">
        <f>AND(IF(Metadata!K856="",FALSE,TRUE),exact(Metadata!K856,"g"))</f>
        <v>0</v>
      </c>
    </row>
    <row r="857" spans="1:31">
      <c r="A857" s="5">
        <f>IF(B857=" "," ",HYPERLINK(CONCATENATE("#metadata!",ADDRESS(INDEX($Q$2:$Q$1001,MATCH(ROWS($O$2:O857),$O$2:$O$1001,0),0),1)),INDEX($T$2:$T$1001,MATCH(ROWS($O$2:O857),$O$2:$O$1001,0),0)))</f>
        <v>0</v>
      </c>
      <c r="B857" s="4">
        <f>IF(OR(INDEX($P$2:$P$1001,MATCH(ROWS($O$2:O857),$O$2:$O$1001,0),1)&gt;=100000,INDEX($V$1005:$AE$1005,1,MATCH(COLUMNS($V$1006:V1006),$V$1006:$AE$1006,0))&gt;=100000), " ",IF(INDEX($V$2:$AE$1001,MATCH(ROWS($O$2:O857),$O$2:$O$1001,0),MATCH(COLUMNS($V$1006:V1006),$V$1006:$AE$1006,0)), HYPERLINK("#",""), HYPERLINK(CONCATENATE("#Metadata!", ADDRESS(INDEX($Q$2:$Q$1001,MATCH(ROWS($O$2:O857),$O$2:$O$1001,0),0), INDEX($V$1004:$AE$1004,1,MATCH(COLUMNS($V$1006:V1006),$V$1006:$AE$1006,0)))),"Fix")))</f>
        <v>0</v>
      </c>
      <c r="C857" s="4">
        <f>IF(OR(INDEX($P$2:$P$1001,MATCH(ROWS($O$2:O857),$O$2:$O$1001,0),1)&gt;=100000,INDEX($V$1005:$AE$1005,1,MATCH(COLUMNS($V$1006:W1006),$V$1006:$AE$1006,0))&gt;=100000), " ",IF(INDEX($V$2:$AE$1001,MATCH(ROWS($O$2:O857),$O$2:$O$1001,0),MATCH(COLUMNS($V$1006:W1006),$V$1006:$AE$1006,0)), HYPERLINK("#",""), HYPERLINK(CONCATENATE("#Metadata!", ADDRESS(INDEX($Q$2:$Q$1001,MATCH(ROWS($O$2:O857),$O$2:$O$1001,0),0), INDEX($V$1004:$AE$1004,1,MATCH(COLUMNS($V$1006:W1006),$V$1006:$AE$1006,0)))),"Fix")))</f>
        <v>0</v>
      </c>
      <c r="D857" s="4">
        <f>IF(OR(INDEX($P$2:$P$1001,MATCH(ROWS($O$2:O857),$O$2:$O$1001,0),1)&gt;=100000,INDEX($V$1005:$AE$1005,1,MATCH(COLUMNS($V$1006:X1006),$V$1006:$AE$1006,0))&gt;=100000), " ",IF(INDEX($V$2:$AE$1001,MATCH(ROWS($O$2:O857),$O$2:$O$1001,0),MATCH(COLUMNS($V$1006:X1006),$V$1006:$AE$1006,0)), HYPERLINK("#",""), HYPERLINK(CONCATENATE("#Metadata!", ADDRESS(INDEX($Q$2:$Q$1001,MATCH(ROWS($O$2:O857),$O$2:$O$1001,0),0), INDEX($V$1004:$AE$1004,1,MATCH(COLUMNS($V$1006:X1006),$V$1006:$AE$1006,0)))),"Fix")))</f>
        <v>0</v>
      </c>
      <c r="E857" s="4">
        <f>IF(OR(INDEX($P$2:$P$1001,MATCH(ROWS($O$2:O857),$O$2:$O$1001,0),1)&gt;=100000,INDEX($V$1005:$AE$1005,1,MATCH(COLUMNS($V$1006:Y1006),$V$1006:$AE$1006,0))&gt;=100000), " ",IF(INDEX($V$2:$AE$1001,MATCH(ROWS($O$2:O857),$O$2:$O$1001,0),MATCH(COLUMNS($V$1006:Y1006),$V$1006:$AE$1006,0)), HYPERLINK("#",""), HYPERLINK(CONCATENATE("#Metadata!", ADDRESS(INDEX($Q$2:$Q$1001,MATCH(ROWS($O$2:O857),$O$2:$O$1001,0),0), INDEX($V$1004:$AE$1004,1,MATCH(COLUMNS($V$1006:Y1006),$V$1006:$AE$1006,0)))),"Fix")))</f>
        <v>0</v>
      </c>
      <c r="F857" s="4">
        <f>IF(OR(INDEX($P$2:$P$1001,MATCH(ROWS($O$2:O857),$O$2:$O$1001,0),1)&gt;=100000,INDEX($V$1005:$AE$1005,1,MATCH(COLUMNS($V$1006:Z1006),$V$1006:$AE$1006,0))&gt;=100000), " ",IF(INDEX($V$2:$AE$1001,MATCH(ROWS($O$2:O857),$O$2:$O$1001,0),MATCH(COLUMNS($V$1006:Z1006),$V$1006:$AE$1006,0)), HYPERLINK("#",""), HYPERLINK(CONCATENATE("#Metadata!", ADDRESS(INDEX($Q$2:$Q$1001,MATCH(ROWS($O$2:O857),$O$2:$O$1001,0),0), INDEX($V$1004:$AE$1004,1,MATCH(COLUMNS($V$1006:Z1006),$V$1006:$AE$1006,0)))),"Fix")))</f>
        <v>0</v>
      </c>
      <c r="G857" s="4">
        <f>IF(OR(INDEX($P$2:$P$1001,MATCH(ROWS($O$2:O857),$O$2:$O$1001,0),1)&gt;=100000,INDEX($V$1005:$AE$1005,1,MATCH(COLUMNS($V$1006:AA1006),$V$1006:$AE$1006,0))&gt;=100000), " ",IF(INDEX($V$2:$AE$1001,MATCH(ROWS($O$2:O857),$O$2:$O$1001,0),MATCH(COLUMNS($V$1006:AA1006),$V$1006:$AE$1006,0)), HYPERLINK("#",""), HYPERLINK(CONCATENATE("#Metadata!", ADDRESS(INDEX($Q$2:$Q$1001,MATCH(ROWS($O$2:O857),$O$2:$O$1001,0),0), INDEX($V$1004:$AE$1004,1,MATCH(COLUMNS($V$1006:AA1006),$V$1006:$AE$1006,0)))),"Fix")))</f>
        <v>0</v>
      </c>
      <c r="H857" s="4">
        <f>IF(OR(INDEX($P$2:$P$1001,MATCH(ROWS($O$2:O857),$O$2:$O$1001,0),1)&gt;=100000,INDEX($V$1005:$AE$1005,1,MATCH(COLUMNS($V$1006:AB1006),$V$1006:$AE$1006,0))&gt;=100000), " ",IF(INDEX($V$2:$AE$1001,MATCH(ROWS($O$2:O857),$O$2:$O$1001,0),MATCH(COLUMNS($V$1006:AB1006),$V$1006:$AE$1006,0)), HYPERLINK("#",""), HYPERLINK(CONCATENATE("#Metadata!", ADDRESS(INDEX($Q$2:$Q$1001,MATCH(ROWS($O$2:O857),$O$2:$O$1001,0),0), INDEX($V$1004:$AE$1004,1,MATCH(COLUMNS($V$1006:AB1006),$V$1006:$AE$1006,0)))),"Fix")))</f>
        <v>0</v>
      </c>
      <c r="I857" s="4">
        <f>IF(OR(INDEX($P$2:$P$1001,MATCH(ROWS($O$2:O857),$O$2:$O$1001,0),1)&gt;=100000,INDEX($V$1005:$AE$1005,1,MATCH(COLUMNS($V$1006:AC1006),$V$1006:$AE$1006,0))&gt;=100000), " ",IF(INDEX($V$2:$AE$1001,MATCH(ROWS($O$2:O857),$O$2:$O$1001,0),MATCH(COLUMNS($V$1006:AC1006),$V$1006:$AE$1006,0)), HYPERLINK("#",""), HYPERLINK(CONCATENATE("#Metadata!", ADDRESS(INDEX($Q$2:$Q$1001,MATCH(ROWS($O$2:O857),$O$2:$O$1001,0),0), INDEX($V$1004:$AE$1004,1,MATCH(COLUMNS($V$1006:AC1006),$V$1006:$AE$1006,0)))),"Fix")))</f>
        <v>0</v>
      </c>
      <c r="J857" s="4">
        <f>IF(OR(INDEX($P$2:$P$1001,MATCH(ROWS($O$2:O857),$O$2:$O$1001,0),1)&gt;=100000,INDEX($V$1005:$AE$1005,1,MATCH(COLUMNS($V$1006:AD1006),$V$1006:$AE$1006,0))&gt;=100000), " ",IF(INDEX($V$2:$AE$1001,MATCH(ROWS($O$2:O857),$O$2:$O$1001,0),MATCH(COLUMNS($V$1006:AD1006),$V$1006:$AE$1006,0)), HYPERLINK("#",""), HYPERLINK(CONCATENATE("#Metadata!", ADDRESS(INDEX($Q$2:$Q$1001,MATCH(ROWS($O$2:O857),$O$2:$O$1001,0),0), INDEX($V$1004:$AE$1004,1,MATCH(COLUMNS($V$1006:AD1006),$V$1006:$AE$1006,0)))),"Fix")))</f>
        <v>0</v>
      </c>
      <c r="K857" s="4">
        <f>IF(OR(INDEX($P$2:$P$1001,MATCH(ROWS($O$2:O857),$O$2:$O$1001,0),1)&gt;=100000,INDEX($V$1005:$AE$1005,1,MATCH(COLUMNS($V$1006:AE1006),$V$1006:$AE$1006,0))&gt;=100000), " ",IF(INDEX($V$2:$AE$1001,MATCH(ROWS($O$2:O857),$O$2:$O$1001,0),MATCH(COLUMNS($V$1006:AE1006),$V$1006:$AE$1006,0)), HYPERLINK("#",""), HYPERLINK(CONCATENATE("#Metadata!", ADDRESS(INDEX($Q$2:$Q$1001,MATCH(ROWS($O$2:O857),$O$2:$O$1001,0),0), INDEX($V$1004:$AE$1004,1,MATCH(COLUMNS($V$1006:AE1006),$V$1006:$AE$1006,0)))),"Fix")))</f>
        <v>0</v>
      </c>
      <c r="O857">
        <v>0</v>
      </c>
      <c r="P857">
        <v>0</v>
      </c>
      <c r="Q857">
        <v>0</v>
      </c>
      <c r="R857">
        <f>IF(S857,TRUE,AND(V857:AE857))</f>
        <v>0</v>
      </c>
      <c r="S857">
        <f>COUNTBLANK(Metadata!B857:K857)=COLUMNS(Metadata!B857:K857)</f>
        <v>0</v>
      </c>
      <c r="T857">
        <v>0</v>
      </c>
      <c r="V857">
        <f>AND(IF(Metadata!B857="",FALSE,TRUE),COUNTIF(Metadata!B:B, Metadata!B857) = 1,NOT(ISERROR(SUMPRODUCT(SEARCH(MID(Metadata!B857,ROW(INDIRECT("1:"&amp;LEN(Metadata!B857))), 1),"0123456789abcdefghijklmnopqrstuvwxyzABCDEFGHIJKLMNOPQRSTUVWXYZ.")))))</f>
        <v>0</v>
      </c>
      <c r="W857">
        <f>AND(IF(Metadata!C857="",FALSE,TRUE),exact(Metadata!C857,"urban biome"))</f>
        <v>0</v>
      </c>
      <c r="X857">
        <f>AND(IF(Metadata!D857="",FALSE,TRUE),exact(Metadata!D857,"animal-associated habitat"))</f>
        <v>0</v>
      </c>
      <c r="Y857">
        <f>OR(AND(IF(Metadata!E857="",FALSE,TRUE),OR(exact(Metadata!E857,"not applicable"),exact(Metadata!E857,"missing: not collected"),exact(Metadata!E857,"missing: not provided"),exact(Metadata!E857,"missing: restricted access"))),AND(IF(Metadata!E857="",FALSE,ISNUMBER(VALUE(Metadata!E857))),Metadata!E857&gt;0))</f>
        <v>0</v>
      </c>
      <c r="Z857">
        <f>AND(IF(Metadata!F857="",FALSE,TRUE),exact(Metadata!F857,"weeks"))</f>
        <v>0</v>
      </c>
      <c r="AA857">
        <f>AND(IF(Metadata!G857="",FALSE,TRUE),exact(Metadata!G857,"mouse"))</f>
        <v>0</v>
      </c>
      <c r="AB857">
        <f>AND(IF(Metadata!H857="",FALSE,TRUE),exact(Metadata!H857,"Mus musculus"))</f>
        <v>0</v>
      </c>
      <c r="AC857">
        <f>AND(IF(Metadata!I857="",FALSE,TRUE),exact(Metadata!I857,"10090"))</f>
        <v>0</v>
      </c>
      <c r="AD857">
        <f>OR(AND(IF(Metadata!J857="",FALSE,TRUE),OR(exact(Metadata!J857,"not applicable"),exact(Metadata!J857,"missing: not collected"),exact(Metadata!J857,"missing: not provided"),exact(Metadata!J857,"missing: restricted access"))),AND(IF(Metadata!J857="",FALSE,ISNUMBER(VALUE(Metadata!J857))),Metadata!J857&gt;0))</f>
        <v>0</v>
      </c>
      <c r="AE857">
        <f>AND(IF(Metadata!K857="",FALSE,TRUE),exact(Metadata!K857,"g"))</f>
        <v>0</v>
      </c>
    </row>
    <row r="858" spans="1:31">
      <c r="A858" s="5">
        <f>IF(B858=" "," ",HYPERLINK(CONCATENATE("#metadata!",ADDRESS(INDEX($Q$2:$Q$1001,MATCH(ROWS($O$2:O858),$O$2:$O$1001,0),0),1)),INDEX($T$2:$T$1001,MATCH(ROWS($O$2:O858),$O$2:$O$1001,0),0)))</f>
        <v>0</v>
      </c>
      <c r="B858" s="4">
        <f>IF(OR(INDEX($P$2:$P$1001,MATCH(ROWS($O$2:O858),$O$2:$O$1001,0),1)&gt;=100000,INDEX($V$1005:$AE$1005,1,MATCH(COLUMNS($V$1006:V1006),$V$1006:$AE$1006,0))&gt;=100000), " ",IF(INDEX($V$2:$AE$1001,MATCH(ROWS($O$2:O858),$O$2:$O$1001,0),MATCH(COLUMNS($V$1006:V1006),$V$1006:$AE$1006,0)), HYPERLINK("#",""), HYPERLINK(CONCATENATE("#Metadata!", ADDRESS(INDEX($Q$2:$Q$1001,MATCH(ROWS($O$2:O858),$O$2:$O$1001,0),0), INDEX($V$1004:$AE$1004,1,MATCH(COLUMNS($V$1006:V1006),$V$1006:$AE$1006,0)))),"Fix")))</f>
        <v>0</v>
      </c>
      <c r="C858" s="4">
        <f>IF(OR(INDEX($P$2:$P$1001,MATCH(ROWS($O$2:O858),$O$2:$O$1001,0),1)&gt;=100000,INDEX($V$1005:$AE$1005,1,MATCH(COLUMNS($V$1006:W1006),$V$1006:$AE$1006,0))&gt;=100000), " ",IF(INDEX($V$2:$AE$1001,MATCH(ROWS($O$2:O858),$O$2:$O$1001,0),MATCH(COLUMNS($V$1006:W1006),$V$1006:$AE$1006,0)), HYPERLINK("#",""), HYPERLINK(CONCATENATE("#Metadata!", ADDRESS(INDEX($Q$2:$Q$1001,MATCH(ROWS($O$2:O858),$O$2:$O$1001,0),0), INDEX($V$1004:$AE$1004,1,MATCH(COLUMNS($V$1006:W1006),$V$1006:$AE$1006,0)))),"Fix")))</f>
        <v>0</v>
      </c>
      <c r="D858" s="4">
        <f>IF(OR(INDEX($P$2:$P$1001,MATCH(ROWS($O$2:O858),$O$2:$O$1001,0),1)&gt;=100000,INDEX($V$1005:$AE$1005,1,MATCH(COLUMNS($V$1006:X1006),$V$1006:$AE$1006,0))&gt;=100000), " ",IF(INDEX($V$2:$AE$1001,MATCH(ROWS($O$2:O858),$O$2:$O$1001,0),MATCH(COLUMNS($V$1006:X1006),$V$1006:$AE$1006,0)), HYPERLINK("#",""), HYPERLINK(CONCATENATE("#Metadata!", ADDRESS(INDEX($Q$2:$Q$1001,MATCH(ROWS($O$2:O858),$O$2:$O$1001,0),0), INDEX($V$1004:$AE$1004,1,MATCH(COLUMNS($V$1006:X1006),$V$1006:$AE$1006,0)))),"Fix")))</f>
        <v>0</v>
      </c>
      <c r="E858" s="4">
        <f>IF(OR(INDEX($P$2:$P$1001,MATCH(ROWS($O$2:O858),$O$2:$O$1001,0),1)&gt;=100000,INDEX($V$1005:$AE$1005,1,MATCH(COLUMNS($V$1006:Y1006),$V$1006:$AE$1006,0))&gt;=100000), " ",IF(INDEX($V$2:$AE$1001,MATCH(ROWS($O$2:O858),$O$2:$O$1001,0),MATCH(COLUMNS($V$1006:Y1006),$V$1006:$AE$1006,0)), HYPERLINK("#",""), HYPERLINK(CONCATENATE("#Metadata!", ADDRESS(INDEX($Q$2:$Q$1001,MATCH(ROWS($O$2:O858),$O$2:$O$1001,0),0), INDEX($V$1004:$AE$1004,1,MATCH(COLUMNS($V$1006:Y1006),$V$1006:$AE$1006,0)))),"Fix")))</f>
        <v>0</v>
      </c>
      <c r="F858" s="4">
        <f>IF(OR(INDEX($P$2:$P$1001,MATCH(ROWS($O$2:O858),$O$2:$O$1001,0),1)&gt;=100000,INDEX($V$1005:$AE$1005,1,MATCH(COLUMNS($V$1006:Z1006),$V$1006:$AE$1006,0))&gt;=100000), " ",IF(INDEX($V$2:$AE$1001,MATCH(ROWS($O$2:O858),$O$2:$O$1001,0),MATCH(COLUMNS($V$1006:Z1006),$V$1006:$AE$1006,0)), HYPERLINK("#",""), HYPERLINK(CONCATENATE("#Metadata!", ADDRESS(INDEX($Q$2:$Q$1001,MATCH(ROWS($O$2:O858),$O$2:$O$1001,0),0), INDEX($V$1004:$AE$1004,1,MATCH(COLUMNS($V$1006:Z1006),$V$1006:$AE$1006,0)))),"Fix")))</f>
        <v>0</v>
      </c>
      <c r="G858" s="4">
        <f>IF(OR(INDEX($P$2:$P$1001,MATCH(ROWS($O$2:O858),$O$2:$O$1001,0),1)&gt;=100000,INDEX($V$1005:$AE$1005,1,MATCH(COLUMNS($V$1006:AA1006),$V$1006:$AE$1006,0))&gt;=100000), " ",IF(INDEX($V$2:$AE$1001,MATCH(ROWS($O$2:O858),$O$2:$O$1001,0),MATCH(COLUMNS($V$1006:AA1006),$V$1006:$AE$1006,0)), HYPERLINK("#",""), HYPERLINK(CONCATENATE("#Metadata!", ADDRESS(INDEX($Q$2:$Q$1001,MATCH(ROWS($O$2:O858),$O$2:$O$1001,0),0), INDEX($V$1004:$AE$1004,1,MATCH(COLUMNS($V$1006:AA1006),$V$1006:$AE$1006,0)))),"Fix")))</f>
        <v>0</v>
      </c>
      <c r="H858" s="4">
        <f>IF(OR(INDEX($P$2:$P$1001,MATCH(ROWS($O$2:O858),$O$2:$O$1001,0),1)&gt;=100000,INDEX($V$1005:$AE$1005,1,MATCH(COLUMNS($V$1006:AB1006),$V$1006:$AE$1006,0))&gt;=100000), " ",IF(INDEX($V$2:$AE$1001,MATCH(ROWS($O$2:O858),$O$2:$O$1001,0),MATCH(COLUMNS($V$1006:AB1006),$V$1006:$AE$1006,0)), HYPERLINK("#",""), HYPERLINK(CONCATENATE("#Metadata!", ADDRESS(INDEX($Q$2:$Q$1001,MATCH(ROWS($O$2:O858),$O$2:$O$1001,0),0), INDEX($V$1004:$AE$1004,1,MATCH(COLUMNS($V$1006:AB1006),$V$1006:$AE$1006,0)))),"Fix")))</f>
        <v>0</v>
      </c>
      <c r="I858" s="4">
        <f>IF(OR(INDEX($P$2:$P$1001,MATCH(ROWS($O$2:O858),$O$2:$O$1001,0),1)&gt;=100000,INDEX($V$1005:$AE$1005,1,MATCH(COLUMNS($V$1006:AC1006),$V$1006:$AE$1006,0))&gt;=100000), " ",IF(INDEX($V$2:$AE$1001,MATCH(ROWS($O$2:O858),$O$2:$O$1001,0),MATCH(COLUMNS($V$1006:AC1006),$V$1006:$AE$1006,0)), HYPERLINK("#",""), HYPERLINK(CONCATENATE("#Metadata!", ADDRESS(INDEX($Q$2:$Q$1001,MATCH(ROWS($O$2:O858),$O$2:$O$1001,0),0), INDEX($V$1004:$AE$1004,1,MATCH(COLUMNS($V$1006:AC1006),$V$1006:$AE$1006,0)))),"Fix")))</f>
        <v>0</v>
      </c>
      <c r="J858" s="4">
        <f>IF(OR(INDEX($P$2:$P$1001,MATCH(ROWS($O$2:O858),$O$2:$O$1001,0),1)&gt;=100000,INDEX($V$1005:$AE$1005,1,MATCH(COLUMNS($V$1006:AD1006),$V$1006:$AE$1006,0))&gt;=100000), " ",IF(INDEX($V$2:$AE$1001,MATCH(ROWS($O$2:O858),$O$2:$O$1001,0),MATCH(COLUMNS($V$1006:AD1006),$V$1006:$AE$1006,0)), HYPERLINK("#",""), HYPERLINK(CONCATENATE("#Metadata!", ADDRESS(INDEX($Q$2:$Q$1001,MATCH(ROWS($O$2:O858),$O$2:$O$1001,0),0), INDEX($V$1004:$AE$1004,1,MATCH(COLUMNS($V$1006:AD1006),$V$1006:$AE$1006,0)))),"Fix")))</f>
        <v>0</v>
      </c>
      <c r="K858" s="4">
        <f>IF(OR(INDEX($P$2:$P$1001,MATCH(ROWS($O$2:O858),$O$2:$O$1001,0),1)&gt;=100000,INDEX($V$1005:$AE$1005,1,MATCH(COLUMNS($V$1006:AE1006),$V$1006:$AE$1006,0))&gt;=100000), " ",IF(INDEX($V$2:$AE$1001,MATCH(ROWS($O$2:O858),$O$2:$O$1001,0),MATCH(COLUMNS($V$1006:AE1006),$V$1006:$AE$1006,0)), HYPERLINK("#",""), HYPERLINK(CONCATENATE("#Metadata!", ADDRESS(INDEX($Q$2:$Q$1001,MATCH(ROWS($O$2:O858),$O$2:$O$1001,0),0), INDEX($V$1004:$AE$1004,1,MATCH(COLUMNS($V$1006:AE1006),$V$1006:$AE$1006,0)))),"Fix")))</f>
        <v>0</v>
      </c>
      <c r="O858">
        <v>0</v>
      </c>
      <c r="P858">
        <v>0</v>
      </c>
      <c r="Q858">
        <v>0</v>
      </c>
      <c r="R858">
        <f>IF(S858,TRUE,AND(V858:AE858))</f>
        <v>0</v>
      </c>
      <c r="S858">
        <f>COUNTBLANK(Metadata!B858:K858)=COLUMNS(Metadata!B858:K858)</f>
        <v>0</v>
      </c>
      <c r="T858">
        <v>0</v>
      </c>
      <c r="V858">
        <f>AND(IF(Metadata!B858="",FALSE,TRUE),COUNTIF(Metadata!B:B, Metadata!B858) = 1,NOT(ISERROR(SUMPRODUCT(SEARCH(MID(Metadata!B858,ROW(INDIRECT("1:"&amp;LEN(Metadata!B858))), 1),"0123456789abcdefghijklmnopqrstuvwxyzABCDEFGHIJKLMNOPQRSTUVWXYZ.")))))</f>
        <v>0</v>
      </c>
      <c r="W858">
        <f>AND(IF(Metadata!C858="",FALSE,TRUE),exact(Metadata!C858,"urban biome"))</f>
        <v>0</v>
      </c>
      <c r="X858">
        <f>AND(IF(Metadata!D858="",FALSE,TRUE),exact(Metadata!D858,"animal-associated habitat"))</f>
        <v>0</v>
      </c>
      <c r="Y858">
        <f>OR(AND(IF(Metadata!E858="",FALSE,TRUE),OR(exact(Metadata!E858,"not applicable"),exact(Metadata!E858,"missing: not collected"),exact(Metadata!E858,"missing: not provided"),exact(Metadata!E858,"missing: restricted access"))),AND(IF(Metadata!E858="",FALSE,ISNUMBER(VALUE(Metadata!E858))),Metadata!E858&gt;0))</f>
        <v>0</v>
      </c>
      <c r="Z858">
        <f>AND(IF(Metadata!F858="",FALSE,TRUE),exact(Metadata!F858,"weeks"))</f>
        <v>0</v>
      </c>
      <c r="AA858">
        <f>AND(IF(Metadata!G858="",FALSE,TRUE),exact(Metadata!G858,"mouse"))</f>
        <v>0</v>
      </c>
      <c r="AB858">
        <f>AND(IF(Metadata!H858="",FALSE,TRUE),exact(Metadata!H858,"Mus musculus"))</f>
        <v>0</v>
      </c>
      <c r="AC858">
        <f>AND(IF(Metadata!I858="",FALSE,TRUE),exact(Metadata!I858,"10090"))</f>
        <v>0</v>
      </c>
      <c r="AD858">
        <f>OR(AND(IF(Metadata!J858="",FALSE,TRUE),OR(exact(Metadata!J858,"not applicable"),exact(Metadata!J858,"missing: not collected"),exact(Metadata!J858,"missing: not provided"),exact(Metadata!J858,"missing: restricted access"))),AND(IF(Metadata!J858="",FALSE,ISNUMBER(VALUE(Metadata!J858))),Metadata!J858&gt;0))</f>
        <v>0</v>
      </c>
      <c r="AE858">
        <f>AND(IF(Metadata!K858="",FALSE,TRUE),exact(Metadata!K858,"g"))</f>
        <v>0</v>
      </c>
    </row>
    <row r="859" spans="1:31">
      <c r="A859" s="5">
        <f>IF(B859=" "," ",HYPERLINK(CONCATENATE("#metadata!",ADDRESS(INDEX($Q$2:$Q$1001,MATCH(ROWS($O$2:O859),$O$2:$O$1001,0),0),1)),INDEX($T$2:$T$1001,MATCH(ROWS($O$2:O859),$O$2:$O$1001,0),0)))</f>
        <v>0</v>
      </c>
      <c r="B859" s="4">
        <f>IF(OR(INDEX($P$2:$P$1001,MATCH(ROWS($O$2:O859),$O$2:$O$1001,0),1)&gt;=100000,INDEX($V$1005:$AE$1005,1,MATCH(COLUMNS($V$1006:V1006),$V$1006:$AE$1006,0))&gt;=100000), " ",IF(INDEX($V$2:$AE$1001,MATCH(ROWS($O$2:O859),$O$2:$O$1001,0),MATCH(COLUMNS($V$1006:V1006),$V$1006:$AE$1006,0)), HYPERLINK("#",""), HYPERLINK(CONCATENATE("#Metadata!", ADDRESS(INDEX($Q$2:$Q$1001,MATCH(ROWS($O$2:O859),$O$2:$O$1001,0),0), INDEX($V$1004:$AE$1004,1,MATCH(COLUMNS($V$1006:V1006),$V$1006:$AE$1006,0)))),"Fix")))</f>
        <v>0</v>
      </c>
      <c r="C859" s="4">
        <f>IF(OR(INDEX($P$2:$P$1001,MATCH(ROWS($O$2:O859),$O$2:$O$1001,0),1)&gt;=100000,INDEX($V$1005:$AE$1005,1,MATCH(COLUMNS($V$1006:W1006),$V$1006:$AE$1006,0))&gt;=100000), " ",IF(INDEX($V$2:$AE$1001,MATCH(ROWS($O$2:O859),$O$2:$O$1001,0),MATCH(COLUMNS($V$1006:W1006),$V$1006:$AE$1006,0)), HYPERLINK("#",""), HYPERLINK(CONCATENATE("#Metadata!", ADDRESS(INDEX($Q$2:$Q$1001,MATCH(ROWS($O$2:O859),$O$2:$O$1001,0),0), INDEX($V$1004:$AE$1004,1,MATCH(COLUMNS($V$1006:W1006),$V$1006:$AE$1006,0)))),"Fix")))</f>
        <v>0</v>
      </c>
      <c r="D859" s="4">
        <f>IF(OR(INDEX($P$2:$P$1001,MATCH(ROWS($O$2:O859),$O$2:$O$1001,0),1)&gt;=100000,INDEX($V$1005:$AE$1005,1,MATCH(COLUMNS($V$1006:X1006),$V$1006:$AE$1006,0))&gt;=100000), " ",IF(INDEX($V$2:$AE$1001,MATCH(ROWS($O$2:O859),$O$2:$O$1001,0),MATCH(COLUMNS($V$1006:X1006),$V$1006:$AE$1006,0)), HYPERLINK("#",""), HYPERLINK(CONCATENATE("#Metadata!", ADDRESS(INDEX($Q$2:$Q$1001,MATCH(ROWS($O$2:O859),$O$2:$O$1001,0),0), INDEX($V$1004:$AE$1004,1,MATCH(COLUMNS($V$1006:X1006),$V$1006:$AE$1006,0)))),"Fix")))</f>
        <v>0</v>
      </c>
      <c r="E859" s="4">
        <f>IF(OR(INDEX($P$2:$P$1001,MATCH(ROWS($O$2:O859),$O$2:$O$1001,0),1)&gt;=100000,INDEX($V$1005:$AE$1005,1,MATCH(COLUMNS($V$1006:Y1006),$V$1006:$AE$1006,0))&gt;=100000), " ",IF(INDEX($V$2:$AE$1001,MATCH(ROWS($O$2:O859),$O$2:$O$1001,0),MATCH(COLUMNS($V$1006:Y1006),$V$1006:$AE$1006,0)), HYPERLINK("#",""), HYPERLINK(CONCATENATE("#Metadata!", ADDRESS(INDEX($Q$2:$Q$1001,MATCH(ROWS($O$2:O859),$O$2:$O$1001,0),0), INDEX($V$1004:$AE$1004,1,MATCH(COLUMNS($V$1006:Y1006),$V$1006:$AE$1006,0)))),"Fix")))</f>
        <v>0</v>
      </c>
      <c r="F859" s="4">
        <f>IF(OR(INDEX($P$2:$P$1001,MATCH(ROWS($O$2:O859),$O$2:$O$1001,0),1)&gt;=100000,INDEX($V$1005:$AE$1005,1,MATCH(COLUMNS($V$1006:Z1006),$V$1006:$AE$1006,0))&gt;=100000), " ",IF(INDEX($V$2:$AE$1001,MATCH(ROWS($O$2:O859),$O$2:$O$1001,0),MATCH(COLUMNS($V$1006:Z1006),$V$1006:$AE$1006,0)), HYPERLINK("#",""), HYPERLINK(CONCATENATE("#Metadata!", ADDRESS(INDEX($Q$2:$Q$1001,MATCH(ROWS($O$2:O859),$O$2:$O$1001,0),0), INDEX($V$1004:$AE$1004,1,MATCH(COLUMNS($V$1006:Z1006),$V$1006:$AE$1006,0)))),"Fix")))</f>
        <v>0</v>
      </c>
      <c r="G859" s="4">
        <f>IF(OR(INDEX($P$2:$P$1001,MATCH(ROWS($O$2:O859),$O$2:$O$1001,0),1)&gt;=100000,INDEX($V$1005:$AE$1005,1,MATCH(COLUMNS($V$1006:AA1006),$V$1006:$AE$1006,0))&gt;=100000), " ",IF(INDEX($V$2:$AE$1001,MATCH(ROWS($O$2:O859),$O$2:$O$1001,0),MATCH(COLUMNS($V$1006:AA1006),$V$1006:$AE$1006,0)), HYPERLINK("#",""), HYPERLINK(CONCATENATE("#Metadata!", ADDRESS(INDEX($Q$2:$Q$1001,MATCH(ROWS($O$2:O859),$O$2:$O$1001,0),0), INDEX($V$1004:$AE$1004,1,MATCH(COLUMNS($V$1006:AA1006),$V$1006:$AE$1006,0)))),"Fix")))</f>
        <v>0</v>
      </c>
      <c r="H859" s="4">
        <f>IF(OR(INDEX($P$2:$P$1001,MATCH(ROWS($O$2:O859),$O$2:$O$1001,0),1)&gt;=100000,INDEX($V$1005:$AE$1005,1,MATCH(COLUMNS($V$1006:AB1006),$V$1006:$AE$1006,0))&gt;=100000), " ",IF(INDEX($V$2:$AE$1001,MATCH(ROWS($O$2:O859),$O$2:$O$1001,0),MATCH(COLUMNS($V$1006:AB1006),$V$1006:$AE$1006,0)), HYPERLINK("#",""), HYPERLINK(CONCATENATE("#Metadata!", ADDRESS(INDEX($Q$2:$Q$1001,MATCH(ROWS($O$2:O859),$O$2:$O$1001,0),0), INDEX($V$1004:$AE$1004,1,MATCH(COLUMNS($V$1006:AB1006),$V$1006:$AE$1006,0)))),"Fix")))</f>
        <v>0</v>
      </c>
      <c r="I859" s="4">
        <f>IF(OR(INDEX($P$2:$P$1001,MATCH(ROWS($O$2:O859),$O$2:$O$1001,0),1)&gt;=100000,INDEX($V$1005:$AE$1005,1,MATCH(COLUMNS($V$1006:AC1006),$V$1006:$AE$1006,0))&gt;=100000), " ",IF(INDEX($V$2:$AE$1001,MATCH(ROWS($O$2:O859),$O$2:$O$1001,0),MATCH(COLUMNS($V$1006:AC1006),$V$1006:$AE$1006,0)), HYPERLINK("#",""), HYPERLINK(CONCATENATE("#Metadata!", ADDRESS(INDEX($Q$2:$Q$1001,MATCH(ROWS($O$2:O859),$O$2:$O$1001,0),0), INDEX($V$1004:$AE$1004,1,MATCH(COLUMNS($V$1006:AC1006),$V$1006:$AE$1006,0)))),"Fix")))</f>
        <v>0</v>
      </c>
      <c r="J859" s="4">
        <f>IF(OR(INDEX($P$2:$P$1001,MATCH(ROWS($O$2:O859),$O$2:$O$1001,0),1)&gt;=100000,INDEX($V$1005:$AE$1005,1,MATCH(COLUMNS($V$1006:AD1006),$V$1006:$AE$1006,0))&gt;=100000), " ",IF(INDEX($V$2:$AE$1001,MATCH(ROWS($O$2:O859),$O$2:$O$1001,0),MATCH(COLUMNS($V$1006:AD1006),$V$1006:$AE$1006,0)), HYPERLINK("#",""), HYPERLINK(CONCATENATE("#Metadata!", ADDRESS(INDEX($Q$2:$Q$1001,MATCH(ROWS($O$2:O859),$O$2:$O$1001,0),0), INDEX($V$1004:$AE$1004,1,MATCH(COLUMNS($V$1006:AD1006),$V$1006:$AE$1006,0)))),"Fix")))</f>
        <v>0</v>
      </c>
      <c r="K859" s="4">
        <f>IF(OR(INDEX($P$2:$P$1001,MATCH(ROWS($O$2:O859),$O$2:$O$1001,0),1)&gt;=100000,INDEX($V$1005:$AE$1005,1,MATCH(COLUMNS($V$1006:AE1006),$V$1006:$AE$1006,0))&gt;=100000), " ",IF(INDEX($V$2:$AE$1001,MATCH(ROWS($O$2:O859),$O$2:$O$1001,0),MATCH(COLUMNS($V$1006:AE1006),$V$1006:$AE$1006,0)), HYPERLINK("#",""), HYPERLINK(CONCATENATE("#Metadata!", ADDRESS(INDEX($Q$2:$Q$1001,MATCH(ROWS($O$2:O859),$O$2:$O$1001,0),0), INDEX($V$1004:$AE$1004,1,MATCH(COLUMNS($V$1006:AE1006),$V$1006:$AE$1006,0)))),"Fix")))</f>
        <v>0</v>
      </c>
      <c r="O859">
        <v>0</v>
      </c>
      <c r="P859">
        <v>0</v>
      </c>
      <c r="Q859">
        <v>0</v>
      </c>
      <c r="R859">
        <f>IF(S859,TRUE,AND(V859:AE859))</f>
        <v>0</v>
      </c>
      <c r="S859">
        <f>COUNTBLANK(Metadata!B859:K859)=COLUMNS(Metadata!B859:K859)</f>
        <v>0</v>
      </c>
      <c r="T859">
        <v>0</v>
      </c>
      <c r="V859">
        <f>AND(IF(Metadata!B859="",FALSE,TRUE),COUNTIF(Metadata!B:B, Metadata!B859) = 1,NOT(ISERROR(SUMPRODUCT(SEARCH(MID(Metadata!B859,ROW(INDIRECT("1:"&amp;LEN(Metadata!B859))), 1),"0123456789abcdefghijklmnopqrstuvwxyzABCDEFGHIJKLMNOPQRSTUVWXYZ.")))))</f>
        <v>0</v>
      </c>
      <c r="W859">
        <f>AND(IF(Metadata!C859="",FALSE,TRUE),exact(Metadata!C859,"urban biome"))</f>
        <v>0</v>
      </c>
      <c r="X859">
        <f>AND(IF(Metadata!D859="",FALSE,TRUE),exact(Metadata!D859,"animal-associated habitat"))</f>
        <v>0</v>
      </c>
      <c r="Y859">
        <f>OR(AND(IF(Metadata!E859="",FALSE,TRUE),OR(exact(Metadata!E859,"not applicable"),exact(Metadata!E859,"missing: not collected"),exact(Metadata!E859,"missing: not provided"),exact(Metadata!E859,"missing: restricted access"))),AND(IF(Metadata!E859="",FALSE,ISNUMBER(VALUE(Metadata!E859))),Metadata!E859&gt;0))</f>
        <v>0</v>
      </c>
      <c r="Z859">
        <f>AND(IF(Metadata!F859="",FALSE,TRUE),exact(Metadata!F859,"weeks"))</f>
        <v>0</v>
      </c>
      <c r="AA859">
        <f>AND(IF(Metadata!G859="",FALSE,TRUE),exact(Metadata!G859,"mouse"))</f>
        <v>0</v>
      </c>
      <c r="AB859">
        <f>AND(IF(Metadata!H859="",FALSE,TRUE),exact(Metadata!H859,"Mus musculus"))</f>
        <v>0</v>
      </c>
      <c r="AC859">
        <f>AND(IF(Metadata!I859="",FALSE,TRUE),exact(Metadata!I859,"10090"))</f>
        <v>0</v>
      </c>
      <c r="AD859">
        <f>OR(AND(IF(Metadata!J859="",FALSE,TRUE),OR(exact(Metadata!J859,"not applicable"),exact(Metadata!J859,"missing: not collected"),exact(Metadata!J859,"missing: not provided"),exact(Metadata!J859,"missing: restricted access"))),AND(IF(Metadata!J859="",FALSE,ISNUMBER(VALUE(Metadata!J859))),Metadata!J859&gt;0))</f>
        <v>0</v>
      </c>
      <c r="AE859">
        <f>AND(IF(Metadata!K859="",FALSE,TRUE),exact(Metadata!K859,"g"))</f>
        <v>0</v>
      </c>
    </row>
    <row r="860" spans="1:31">
      <c r="A860" s="5">
        <f>IF(B860=" "," ",HYPERLINK(CONCATENATE("#metadata!",ADDRESS(INDEX($Q$2:$Q$1001,MATCH(ROWS($O$2:O860),$O$2:$O$1001,0),0),1)),INDEX($T$2:$T$1001,MATCH(ROWS($O$2:O860),$O$2:$O$1001,0),0)))</f>
        <v>0</v>
      </c>
      <c r="B860" s="4">
        <f>IF(OR(INDEX($P$2:$P$1001,MATCH(ROWS($O$2:O860),$O$2:$O$1001,0),1)&gt;=100000,INDEX($V$1005:$AE$1005,1,MATCH(COLUMNS($V$1006:V1006),$V$1006:$AE$1006,0))&gt;=100000), " ",IF(INDEX($V$2:$AE$1001,MATCH(ROWS($O$2:O860),$O$2:$O$1001,0),MATCH(COLUMNS($V$1006:V1006),$V$1006:$AE$1006,0)), HYPERLINK("#",""), HYPERLINK(CONCATENATE("#Metadata!", ADDRESS(INDEX($Q$2:$Q$1001,MATCH(ROWS($O$2:O860),$O$2:$O$1001,0),0), INDEX($V$1004:$AE$1004,1,MATCH(COLUMNS($V$1006:V1006),$V$1006:$AE$1006,0)))),"Fix")))</f>
        <v>0</v>
      </c>
      <c r="C860" s="4">
        <f>IF(OR(INDEX($P$2:$P$1001,MATCH(ROWS($O$2:O860),$O$2:$O$1001,0),1)&gt;=100000,INDEX($V$1005:$AE$1005,1,MATCH(COLUMNS($V$1006:W1006),$V$1006:$AE$1006,0))&gt;=100000), " ",IF(INDEX($V$2:$AE$1001,MATCH(ROWS($O$2:O860),$O$2:$O$1001,0),MATCH(COLUMNS($V$1006:W1006),$V$1006:$AE$1006,0)), HYPERLINK("#",""), HYPERLINK(CONCATENATE("#Metadata!", ADDRESS(INDEX($Q$2:$Q$1001,MATCH(ROWS($O$2:O860),$O$2:$O$1001,0),0), INDEX($V$1004:$AE$1004,1,MATCH(COLUMNS($V$1006:W1006),$V$1006:$AE$1006,0)))),"Fix")))</f>
        <v>0</v>
      </c>
      <c r="D860" s="4">
        <f>IF(OR(INDEX($P$2:$P$1001,MATCH(ROWS($O$2:O860),$O$2:$O$1001,0),1)&gt;=100000,INDEX($V$1005:$AE$1005,1,MATCH(COLUMNS($V$1006:X1006),$V$1006:$AE$1006,0))&gt;=100000), " ",IF(INDEX($V$2:$AE$1001,MATCH(ROWS($O$2:O860),$O$2:$O$1001,0),MATCH(COLUMNS($V$1006:X1006),$V$1006:$AE$1006,0)), HYPERLINK("#",""), HYPERLINK(CONCATENATE("#Metadata!", ADDRESS(INDEX($Q$2:$Q$1001,MATCH(ROWS($O$2:O860),$O$2:$O$1001,0),0), INDEX($V$1004:$AE$1004,1,MATCH(COLUMNS($V$1006:X1006),$V$1006:$AE$1006,0)))),"Fix")))</f>
        <v>0</v>
      </c>
      <c r="E860" s="4">
        <f>IF(OR(INDEX($P$2:$P$1001,MATCH(ROWS($O$2:O860),$O$2:$O$1001,0),1)&gt;=100000,INDEX($V$1005:$AE$1005,1,MATCH(COLUMNS($V$1006:Y1006),$V$1006:$AE$1006,0))&gt;=100000), " ",IF(INDEX($V$2:$AE$1001,MATCH(ROWS($O$2:O860),$O$2:$O$1001,0),MATCH(COLUMNS($V$1006:Y1006),$V$1006:$AE$1006,0)), HYPERLINK("#",""), HYPERLINK(CONCATENATE("#Metadata!", ADDRESS(INDEX($Q$2:$Q$1001,MATCH(ROWS($O$2:O860),$O$2:$O$1001,0),0), INDEX($V$1004:$AE$1004,1,MATCH(COLUMNS($V$1006:Y1006),$V$1006:$AE$1006,0)))),"Fix")))</f>
        <v>0</v>
      </c>
      <c r="F860" s="4">
        <f>IF(OR(INDEX($P$2:$P$1001,MATCH(ROWS($O$2:O860),$O$2:$O$1001,0),1)&gt;=100000,INDEX($V$1005:$AE$1005,1,MATCH(COLUMNS($V$1006:Z1006),$V$1006:$AE$1006,0))&gt;=100000), " ",IF(INDEX($V$2:$AE$1001,MATCH(ROWS($O$2:O860),$O$2:$O$1001,0),MATCH(COLUMNS($V$1006:Z1006),$V$1006:$AE$1006,0)), HYPERLINK("#",""), HYPERLINK(CONCATENATE("#Metadata!", ADDRESS(INDEX($Q$2:$Q$1001,MATCH(ROWS($O$2:O860),$O$2:$O$1001,0),0), INDEX($V$1004:$AE$1004,1,MATCH(COLUMNS($V$1006:Z1006),$V$1006:$AE$1006,0)))),"Fix")))</f>
        <v>0</v>
      </c>
      <c r="G860" s="4">
        <f>IF(OR(INDEX($P$2:$P$1001,MATCH(ROWS($O$2:O860),$O$2:$O$1001,0),1)&gt;=100000,INDEX($V$1005:$AE$1005,1,MATCH(COLUMNS($V$1006:AA1006),$V$1006:$AE$1006,0))&gt;=100000), " ",IF(INDEX($V$2:$AE$1001,MATCH(ROWS($O$2:O860),$O$2:$O$1001,0),MATCH(COLUMNS($V$1006:AA1006),$V$1006:$AE$1006,0)), HYPERLINK("#",""), HYPERLINK(CONCATENATE("#Metadata!", ADDRESS(INDEX($Q$2:$Q$1001,MATCH(ROWS($O$2:O860),$O$2:$O$1001,0),0), INDEX($V$1004:$AE$1004,1,MATCH(COLUMNS($V$1006:AA1006),$V$1006:$AE$1006,0)))),"Fix")))</f>
        <v>0</v>
      </c>
      <c r="H860" s="4">
        <f>IF(OR(INDEX($P$2:$P$1001,MATCH(ROWS($O$2:O860),$O$2:$O$1001,0),1)&gt;=100000,INDEX($V$1005:$AE$1005,1,MATCH(COLUMNS($V$1006:AB1006),$V$1006:$AE$1006,0))&gt;=100000), " ",IF(INDEX($V$2:$AE$1001,MATCH(ROWS($O$2:O860),$O$2:$O$1001,0),MATCH(COLUMNS($V$1006:AB1006),$V$1006:$AE$1006,0)), HYPERLINK("#",""), HYPERLINK(CONCATENATE("#Metadata!", ADDRESS(INDEX($Q$2:$Q$1001,MATCH(ROWS($O$2:O860),$O$2:$O$1001,0),0), INDEX($V$1004:$AE$1004,1,MATCH(COLUMNS($V$1006:AB1006),$V$1006:$AE$1006,0)))),"Fix")))</f>
        <v>0</v>
      </c>
      <c r="I860" s="4">
        <f>IF(OR(INDEX($P$2:$P$1001,MATCH(ROWS($O$2:O860),$O$2:$O$1001,0),1)&gt;=100000,INDEX($V$1005:$AE$1005,1,MATCH(COLUMNS($V$1006:AC1006),$V$1006:$AE$1006,0))&gt;=100000), " ",IF(INDEX($V$2:$AE$1001,MATCH(ROWS($O$2:O860),$O$2:$O$1001,0),MATCH(COLUMNS($V$1006:AC1006),$V$1006:$AE$1006,0)), HYPERLINK("#",""), HYPERLINK(CONCATENATE("#Metadata!", ADDRESS(INDEX($Q$2:$Q$1001,MATCH(ROWS($O$2:O860),$O$2:$O$1001,0),0), INDEX($V$1004:$AE$1004,1,MATCH(COLUMNS($V$1006:AC1006),$V$1006:$AE$1006,0)))),"Fix")))</f>
        <v>0</v>
      </c>
      <c r="J860" s="4">
        <f>IF(OR(INDEX($P$2:$P$1001,MATCH(ROWS($O$2:O860),$O$2:$O$1001,0),1)&gt;=100000,INDEX($V$1005:$AE$1005,1,MATCH(COLUMNS($V$1006:AD1006),$V$1006:$AE$1006,0))&gt;=100000), " ",IF(INDEX($V$2:$AE$1001,MATCH(ROWS($O$2:O860),$O$2:$O$1001,0),MATCH(COLUMNS($V$1006:AD1006),$V$1006:$AE$1006,0)), HYPERLINK("#",""), HYPERLINK(CONCATENATE("#Metadata!", ADDRESS(INDEX($Q$2:$Q$1001,MATCH(ROWS($O$2:O860),$O$2:$O$1001,0),0), INDEX($V$1004:$AE$1004,1,MATCH(COLUMNS($V$1006:AD1006),$V$1006:$AE$1006,0)))),"Fix")))</f>
        <v>0</v>
      </c>
      <c r="K860" s="4">
        <f>IF(OR(INDEX($P$2:$P$1001,MATCH(ROWS($O$2:O860),$O$2:$O$1001,0),1)&gt;=100000,INDEX($V$1005:$AE$1005,1,MATCH(COLUMNS($V$1006:AE1006),$V$1006:$AE$1006,0))&gt;=100000), " ",IF(INDEX($V$2:$AE$1001,MATCH(ROWS($O$2:O860),$O$2:$O$1001,0),MATCH(COLUMNS($V$1006:AE1006),$V$1006:$AE$1006,0)), HYPERLINK("#",""), HYPERLINK(CONCATENATE("#Metadata!", ADDRESS(INDEX($Q$2:$Q$1001,MATCH(ROWS($O$2:O860),$O$2:$O$1001,0),0), INDEX($V$1004:$AE$1004,1,MATCH(COLUMNS($V$1006:AE1006),$V$1006:$AE$1006,0)))),"Fix")))</f>
        <v>0</v>
      </c>
      <c r="O860">
        <v>0</v>
      </c>
      <c r="P860">
        <v>0</v>
      </c>
      <c r="Q860">
        <v>0</v>
      </c>
      <c r="R860">
        <f>IF(S860,TRUE,AND(V860:AE860))</f>
        <v>0</v>
      </c>
      <c r="S860">
        <f>COUNTBLANK(Metadata!B860:K860)=COLUMNS(Metadata!B860:K860)</f>
        <v>0</v>
      </c>
      <c r="T860">
        <v>0</v>
      </c>
      <c r="V860">
        <f>AND(IF(Metadata!B860="",FALSE,TRUE),COUNTIF(Metadata!B:B, Metadata!B860) = 1,NOT(ISERROR(SUMPRODUCT(SEARCH(MID(Metadata!B860,ROW(INDIRECT("1:"&amp;LEN(Metadata!B860))), 1),"0123456789abcdefghijklmnopqrstuvwxyzABCDEFGHIJKLMNOPQRSTUVWXYZ.")))))</f>
        <v>0</v>
      </c>
      <c r="W860">
        <f>AND(IF(Metadata!C860="",FALSE,TRUE),exact(Metadata!C860,"urban biome"))</f>
        <v>0</v>
      </c>
      <c r="X860">
        <f>AND(IF(Metadata!D860="",FALSE,TRUE),exact(Metadata!D860,"animal-associated habitat"))</f>
        <v>0</v>
      </c>
      <c r="Y860">
        <f>OR(AND(IF(Metadata!E860="",FALSE,TRUE),OR(exact(Metadata!E860,"not applicable"),exact(Metadata!E860,"missing: not collected"),exact(Metadata!E860,"missing: not provided"),exact(Metadata!E860,"missing: restricted access"))),AND(IF(Metadata!E860="",FALSE,ISNUMBER(VALUE(Metadata!E860))),Metadata!E860&gt;0))</f>
        <v>0</v>
      </c>
      <c r="Z860">
        <f>AND(IF(Metadata!F860="",FALSE,TRUE),exact(Metadata!F860,"weeks"))</f>
        <v>0</v>
      </c>
      <c r="AA860">
        <f>AND(IF(Metadata!G860="",FALSE,TRUE),exact(Metadata!G860,"mouse"))</f>
        <v>0</v>
      </c>
      <c r="AB860">
        <f>AND(IF(Metadata!H860="",FALSE,TRUE),exact(Metadata!H860,"Mus musculus"))</f>
        <v>0</v>
      </c>
      <c r="AC860">
        <f>AND(IF(Metadata!I860="",FALSE,TRUE),exact(Metadata!I860,"10090"))</f>
        <v>0</v>
      </c>
      <c r="AD860">
        <f>OR(AND(IF(Metadata!J860="",FALSE,TRUE),OR(exact(Metadata!J860,"not applicable"),exact(Metadata!J860,"missing: not collected"),exact(Metadata!J860,"missing: not provided"),exact(Metadata!J860,"missing: restricted access"))),AND(IF(Metadata!J860="",FALSE,ISNUMBER(VALUE(Metadata!J860))),Metadata!J860&gt;0))</f>
        <v>0</v>
      </c>
      <c r="AE860">
        <f>AND(IF(Metadata!K860="",FALSE,TRUE),exact(Metadata!K860,"g"))</f>
        <v>0</v>
      </c>
    </row>
    <row r="861" spans="1:31">
      <c r="A861" s="5">
        <f>IF(B861=" "," ",HYPERLINK(CONCATENATE("#metadata!",ADDRESS(INDEX($Q$2:$Q$1001,MATCH(ROWS($O$2:O861),$O$2:$O$1001,0),0),1)),INDEX($T$2:$T$1001,MATCH(ROWS($O$2:O861),$O$2:$O$1001,0),0)))</f>
        <v>0</v>
      </c>
      <c r="B861" s="4">
        <f>IF(OR(INDEX($P$2:$P$1001,MATCH(ROWS($O$2:O861),$O$2:$O$1001,0),1)&gt;=100000,INDEX($V$1005:$AE$1005,1,MATCH(COLUMNS($V$1006:V1006),$V$1006:$AE$1006,0))&gt;=100000), " ",IF(INDEX($V$2:$AE$1001,MATCH(ROWS($O$2:O861),$O$2:$O$1001,0),MATCH(COLUMNS($V$1006:V1006),$V$1006:$AE$1006,0)), HYPERLINK("#",""), HYPERLINK(CONCATENATE("#Metadata!", ADDRESS(INDEX($Q$2:$Q$1001,MATCH(ROWS($O$2:O861),$O$2:$O$1001,0),0), INDEX($V$1004:$AE$1004,1,MATCH(COLUMNS($V$1006:V1006),$V$1006:$AE$1006,0)))),"Fix")))</f>
        <v>0</v>
      </c>
      <c r="C861" s="4">
        <f>IF(OR(INDEX($P$2:$P$1001,MATCH(ROWS($O$2:O861),$O$2:$O$1001,0),1)&gt;=100000,INDEX($V$1005:$AE$1005,1,MATCH(COLUMNS($V$1006:W1006),$V$1006:$AE$1006,0))&gt;=100000), " ",IF(INDEX($V$2:$AE$1001,MATCH(ROWS($O$2:O861),$O$2:$O$1001,0),MATCH(COLUMNS($V$1006:W1006),$V$1006:$AE$1006,0)), HYPERLINK("#",""), HYPERLINK(CONCATENATE("#Metadata!", ADDRESS(INDEX($Q$2:$Q$1001,MATCH(ROWS($O$2:O861),$O$2:$O$1001,0),0), INDEX($V$1004:$AE$1004,1,MATCH(COLUMNS($V$1006:W1006),$V$1006:$AE$1006,0)))),"Fix")))</f>
        <v>0</v>
      </c>
      <c r="D861" s="4">
        <f>IF(OR(INDEX($P$2:$P$1001,MATCH(ROWS($O$2:O861),$O$2:$O$1001,0),1)&gt;=100000,INDEX($V$1005:$AE$1005,1,MATCH(COLUMNS($V$1006:X1006),$V$1006:$AE$1006,0))&gt;=100000), " ",IF(INDEX($V$2:$AE$1001,MATCH(ROWS($O$2:O861),$O$2:$O$1001,0),MATCH(COLUMNS($V$1006:X1006),$V$1006:$AE$1006,0)), HYPERLINK("#",""), HYPERLINK(CONCATENATE("#Metadata!", ADDRESS(INDEX($Q$2:$Q$1001,MATCH(ROWS($O$2:O861),$O$2:$O$1001,0),0), INDEX($V$1004:$AE$1004,1,MATCH(COLUMNS($V$1006:X1006),$V$1006:$AE$1006,0)))),"Fix")))</f>
        <v>0</v>
      </c>
      <c r="E861" s="4">
        <f>IF(OR(INDEX($P$2:$P$1001,MATCH(ROWS($O$2:O861),$O$2:$O$1001,0),1)&gt;=100000,INDEX($V$1005:$AE$1005,1,MATCH(COLUMNS($V$1006:Y1006),$V$1006:$AE$1006,0))&gt;=100000), " ",IF(INDEX($V$2:$AE$1001,MATCH(ROWS($O$2:O861),$O$2:$O$1001,0),MATCH(COLUMNS($V$1006:Y1006),$V$1006:$AE$1006,0)), HYPERLINK("#",""), HYPERLINK(CONCATENATE("#Metadata!", ADDRESS(INDEX($Q$2:$Q$1001,MATCH(ROWS($O$2:O861),$O$2:$O$1001,0),0), INDEX($V$1004:$AE$1004,1,MATCH(COLUMNS($V$1006:Y1006),$V$1006:$AE$1006,0)))),"Fix")))</f>
        <v>0</v>
      </c>
      <c r="F861" s="4">
        <f>IF(OR(INDEX($P$2:$P$1001,MATCH(ROWS($O$2:O861),$O$2:$O$1001,0),1)&gt;=100000,INDEX($V$1005:$AE$1005,1,MATCH(COLUMNS($V$1006:Z1006),$V$1006:$AE$1006,0))&gt;=100000), " ",IF(INDEX($V$2:$AE$1001,MATCH(ROWS($O$2:O861),$O$2:$O$1001,0),MATCH(COLUMNS($V$1006:Z1006),$V$1006:$AE$1006,0)), HYPERLINK("#",""), HYPERLINK(CONCATENATE("#Metadata!", ADDRESS(INDEX($Q$2:$Q$1001,MATCH(ROWS($O$2:O861),$O$2:$O$1001,0),0), INDEX($V$1004:$AE$1004,1,MATCH(COLUMNS($V$1006:Z1006),$V$1006:$AE$1006,0)))),"Fix")))</f>
        <v>0</v>
      </c>
      <c r="G861" s="4">
        <f>IF(OR(INDEX($P$2:$P$1001,MATCH(ROWS($O$2:O861),$O$2:$O$1001,0),1)&gt;=100000,INDEX($V$1005:$AE$1005,1,MATCH(COLUMNS($V$1006:AA1006),$V$1006:$AE$1006,0))&gt;=100000), " ",IF(INDEX($V$2:$AE$1001,MATCH(ROWS($O$2:O861),$O$2:$O$1001,0),MATCH(COLUMNS($V$1006:AA1006),$V$1006:$AE$1006,0)), HYPERLINK("#",""), HYPERLINK(CONCATENATE("#Metadata!", ADDRESS(INDEX($Q$2:$Q$1001,MATCH(ROWS($O$2:O861),$O$2:$O$1001,0),0), INDEX($V$1004:$AE$1004,1,MATCH(COLUMNS($V$1006:AA1006),$V$1006:$AE$1006,0)))),"Fix")))</f>
        <v>0</v>
      </c>
      <c r="H861" s="4">
        <f>IF(OR(INDEX($P$2:$P$1001,MATCH(ROWS($O$2:O861),$O$2:$O$1001,0),1)&gt;=100000,INDEX($V$1005:$AE$1005,1,MATCH(COLUMNS($V$1006:AB1006),$V$1006:$AE$1006,0))&gt;=100000), " ",IF(INDEX($V$2:$AE$1001,MATCH(ROWS($O$2:O861),$O$2:$O$1001,0),MATCH(COLUMNS($V$1006:AB1006),$V$1006:$AE$1006,0)), HYPERLINK("#",""), HYPERLINK(CONCATENATE("#Metadata!", ADDRESS(INDEX($Q$2:$Q$1001,MATCH(ROWS($O$2:O861),$O$2:$O$1001,0),0), INDEX($V$1004:$AE$1004,1,MATCH(COLUMNS($V$1006:AB1006),$V$1006:$AE$1006,0)))),"Fix")))</f>
        <v>0</v>
      </c>
      <c r="I861" s="4">
        <f>IF(OR(INDEX($P$2:$P$1001,MATCH(ROWS($O$2:O861),$O$2:$O$1001,0),1)&gt;=100000,INDEX($V$1005:$AE$1005,1,MATCH(COLUMNS($V$1006:AC1006),$V$1006:$AE$1006,0))&gt;=100000), " ",IF(INDEX($V$2:$AE$1001,MATCH(ROWS($O$2:O861),$O$2:$O$1001,0),MATCH(COLUMNS($V$1006:AC1006),$V$1006:$AE$1006,0)), HYPERLINK("#",""), HYPERLINK(CONCATENATE("#Metadata!", ADDRESS(INDEX($Q$2:$Q$1001,MATCH(ROWS($O$2:O861),$O$2:$O$1001,0),0), INDEX($V$1004:$AE$1004,1,MATCH(COLUMNS($V$1006:AC1006),$V$1006:$AE$1006,0)))),"Fix")))</f>
        <v>0</v>
      </c>
      <c r="J861" s="4">
        <f>IF(OR(INDEX($P$2:$P$1001,MATCH(ROWS($O$2:O861),$O$2:$O$1001,0),1)&gt;=100000,INDEX($V$1005:$AE$1005,1,MATCH(COLUMNS($V$1006:AD1006),$V$1006:$AE$1006,0))&gt;=100000), " ",IF(INDEX($V$2:$AE$1001,MATCH(ROWS($O$2:O861),$O$2:$O$1001,0),MATCH(COLUMNS($V$1006:AD1006),$V$1006:$AE$1006,0)), HYPERLINK("#",""), HYPERLINK(CONCATENATE("#Metadata!", ADDRESS(INDEX($Q$2:$Q$1001,MATCH(ROWS($O$2:O861),$O$2:$O$1001,0),0), INDEX($V$1004:$AE$1004,1,MATCH(COLUMNS($V$1006:AD1006),$V$1006:$AE$1006,0)))),"Fix")))</f>
        <v>0</v>
      </c>
      <c r="K861" s="4">
        <f>IF(OR(INDEX($P$2:$P$1001,MATCH(ROWS($O$2:O861),$O$2:$O$1001,0),1)&gt;=100000,INDEX($V$1005:$AE$1005,1,MATCH(COLUMNS($V$1006:AE1006),$V$1006:$AE$1006,0))&gt;=100000), " ",IF(INDEX($V$2:$AE$1001,MATCH(ROWS($O$2:O861),$O$2:$O$1001,0),MATCH(COLUMNS($V$1006:AE1006),$V$1006:$AE$1006,0)), HYPERLINK("#",""), HYPERLINK(CONCATENATE("#Metadata!", ADDRESS(INDEX($Q$2:$Q$1001,MATCH(ROWS($O$2:O861),$O$2:$O$1001,0),0), INDEX($V$1004:$AE$1004,1,MATCH(COLUMNS($V$1006:AE1006),$V$1006:$AE$1006,0)))),"Fix")))</f>
        <v>0</v>
      </c>
      <c r="O861">
        <v>0</v>
      </c>
      <c r="P861">
        <v>0</v>
      </c>
      <c r="Q861">
        <v>0</v>
      </c>
      <c r="R861">
        <f>IF(S861,TRUE,AND(V861:AE861))</f>
        <v>0</v>
      </c>
      <c r="S861">
        <f>COUNTBLANK(Metadata!B861:K861)=COLUMNS(Metadata!B861:K861)</f>
        <v>0</v>
      </c>
      <c r="T861">
        <v>0</v>
      </c>
      <c r="V861">
        <f>AND(IF(Metadata!B861="",FALSE,TRUE),COUNTIF(Metadata!B:B, Metadata!B861) = 1,NOT(ISERROR(SUMPRODUCT(SEARCH(MID(Metadata!B861,ROW(INDIRECT("1:"&amp;LEN(Metadata!B861))), 1),"0123456789abcdefghijklmnopqrstuvwxyzABCDEFGHIJKLMNOPQRSTUVWXYZ.")))))</f>
        <v>0</v>
      </c>
      <c r="W861">
        <f>AND(IF(Metadata!C861="",FALSE,TRUE),exact(Metadata!C861,"urban biome"))</f>
        <v>0</v>
      </c>
      <c r="X861">
        <f>AND(IF(Metadata!D861="",FALSE,TRUE),exact(Metadata!D861,"animal-associated habitat"))</f>
        <v>0</v>
      </c>
      <c r="Y861">
        <f>OR(AND(IF(Metadata!E861="",FALSE,TRUE),OR(exact(Metadata!E861,"not applicable"),exact(Metadata!E861,"missing: not collected"),exact(Metadata!E861,"missing: not provided"),exact(Metadata!E861,"missing: restricted access"))),AND(IF(Metadata!E861="",FALSE,ISNUMBER(VALUE(Metadata!E861))),Metadata!E861&gt;0))</f>
        <v>0</v>
      </c>
      <c r="Z861">
        <f>AND(IF(Metadata!F861="",FALSE,TRUE),exact(Metadata!F861,"weeks"))</f>
        <v>0</v>
      </c>
      <c r="AA861">
        <f>AND(IF(Metadata!G861="",FALSE,TRUE),exact(Metadata!G861,"mouse"))</f>
        <v>0</v>
      </c>
      <c r="AB861">
        <f>AND(IF(Metadata!H861="",FALSE,TRUE),exact(Metadata!H861,"Mus musculus"))</f>
        <v>0</v>
      </c>
      <c r="AC861">
        <f>AND(IF(Metadata!I861="",FALSE,TRUE),exact(Metadata!I861,"10090"))</f>
        <v>0</v>
      </c>
      <c r="AD861">
        <f>OR(AND(IF(Metadata!J861="",FALSE,TRUE),OR(exact(Metadata!J861,"not applicable"),exact(Metadata!J861,"missing: not collected"),exact(Metadata!J861,"missing: not provided"),exact(Metadata!J861,"missing: restricted access"))),AND(IF(Metadata!J861="",FALSE,ISNUMBER(VALUE(Metadata!J861))),Metadata!J861&gt;0))</f>
        <v>0</v>
      </c>
      <c r="AE861">
        <f>AND(IF(Metadata!K861="",FALSE,TRUE),exact(Metadata!K861,"g"))</f>
        <v>0</v>
      </c>
    </row>
    <row r="862" spans="1:31">
      <c r="A862" s="5">
        <f>IF(B862=" "," ",HYPERLINK(CONCATENATE("#metadata!",ADDRESS(INDEX($Q$2:$Q$1001,MATCH(ROWS($O$2:O862),$O$2:$O$1001,0),0),1)),INDEX($T$2:$T$1001,MATCH(ROWS($O$2:O862),$O$2:$O$1001,0),0)))</f>
        <v>0</v>
      </c>
      <c r="B862" s="4">
        <f>IF(OR(INDEX($P$2:$P$1001,MATCH(ROWS($O$2:O862),$O$2:$O$1001,0),1)&gt;=100000,INDEX($V$1005:$AE$1005,1,MATCH(COLUMNS($V$1006:V1006),$V$1006:$AE$1006,0))&gt;=100000), " ",IF(INDEX($V$2:$AE$1001,MATCH(ROWS($O$2:O862),$O$2:$O$1001,0),MATCH(COLUMNS($V$1006:V1006),$V$1006:$AE$1006,0)), HYPERLINK("#",""), HYPERLINK(CONCATENATE("#Metadata!", ADDRESS(INDEX($Q$2:$Q$1001,MATCH(ROWS($O$2:O862),$O$2:$O$1001,0),0), INDEX($V$1004:$AE$1004,1,MATCH(COLUMNS($V$1006:V1006),$V$1006:$AE$1006,0)))),"Fix")))</f>
        <v>0</v>
      </c>
      <c r="C862" s="4">
        <f>IF(OR(INDEX($P$2:$P$1001,MATCH(ROWS($O$2:O862),$O$2:$O$1001,0),1)&gt;=100000,INDEX($V$1005:$AE$1005,1,MATCH(COLUMNS($V$1006:W1006),$V$1006:$AE$1006,0))&gt;=100000), " ",IF(INDEX($V$2:$AE$1001,MATCH(ROWS($O$2:O862),$O$2:$O$1001,0),MATCH(COLUMNS($V$1006:W1006),$V$1006:$AE$1006,0)), HYPERLINK("#",""), HYPERLINK(CONCATENATE("#Metadata!", ADDRESS(INDEX($Q$2:$Q$1001,MATCH(ROWS($O$2:O862),$O$2:$O$1001,0),0), INDEX($V$1004:$AE$1004,1,MATCH(COLUMNS($V$1006:W1006),$V$1006:$AE$1006,0)))),"Fix")))</f>
        <v>0</v>
      </c>
      <c r="D862" s="4">
        <f>IF(OR(INDEX($P$2:$P$1001,MATCH(ROWS($O$2:O862),$O$2:$O$1001,0),1)&gt;=100000,INDEX($V$1005:$AE$1005,1,MATCH(COLUMNS($V$1006:X1006),$V$1006:$AE$1006,0))&gt;=100000), " ",IF(INDEX($V$2:$AE$1001,MATCH(ROWS($O$2:O862),$O$2:$O$1001,0),MATCH(COLUMNS($V$1006:X1006),$V$1006:$AE$1006,0)), HYPERLINK("#",""), HYPERLINK(CONCATENATE("#Metadata!", ADDRESS(INDEX($Q$2:$Q$1001,MATCH(ROWS($O$2:O862),$O$2:$O$1001,0),0), INDEX($V$1004:$AE$1004,1,MATCH(COLUMNS($V$1006:X1006),$V$1006:$AE$1006,0)))),"Fix")))</f>
        <v>0</v>
      </c>
      <c r="E862" s="4">
        <f>IF(OR(INDEX($P$2:$P$1001,MATCH(ROWS($O$2:O862),$O$2:$O$1001,0),1)&gt;=100000,INDEX($V$1005:$AE$1005,1,MATCH(COLUMNS($V$1006:Y1006),$V$1006:$AE$1006,0))&gt;=100000), " ",IF(INDEX($V$2:$AE$1001,MATCH(ROWS($O$2:O862),$O$2:$O$1001,0),MATCH(COLUMNS($V$1006:Y1006),$V$1006:$AE$1006,0)), HYPERLINK("#",""), HYPERLINK(CONCATENATE("#Metadata!", ADDRESS(INDEX($Q$2:$Q$1001,MATCH(ROWS($O$2:O862),$O$2:$O$1001,0),0), INDEX($V$1004:$AE$1004,1,MATCH(COLUMNS($V$1006:Y1006),$V$1006:$AE$1006,0)))),"Fix")))</f>
        <v>0</v>
      </c>
      <c r="F862" s="4">
        <f>IF(OR(INDEX($P$2:$P$1001,MATCH(ROWS($O$2:O862),$O$2:$O$1001,0),1)&gt;=100000,INDEX($V$1005:$AE$1005,1,MATCH(COLUMNS($V$1006:Z1006),$V$1006:$AE$1006,0))&gt;=100000), " ",IF(INDEX($V$2:$AE$1001,MATCH(ROWS($O$2:O862),$O$2:$O$1001,0),MATCH(COLUMNS($V$1006:Z1006),$V$1006:$AE$1006,0)), HYPERLINK("#",""), HYPERLINK(CONCATENATE("#Metadata!", ADDRESS(INDEX($Q$2:$Q$1001,MATCH(ROWS($O$2:O862),$O$2:$O$1001,0),0), INDEX($V$1004:$AE$1004,1,MATCH(COLUMNS($V$1006:Z1006),$V$1006:$AE$1006,0)))),"Fix")))</f>
        <v>0</v>
      </c>
      <c r="G862" s="4">
        <f>IF(OR(INDEX($P$2:$P$1001,MATCH(ROWS($O$2:O862),$O$2:$O$1001,0),1)&gt;=100000,INDEX($V$1005:$AE$1005,1,MATCH(COLUMNS($V$1006:AA1006),$V$1006:$AE$1006,0))&gt;=100000), " ",IF(INDEX($V$2:$AE$1001,MATCH(ROWS($O$2:O862),$O$2:$O$1001,0),MATCH(COLUMNS($V$1006:AA1006),$V$1006:$AE$1006,0)), HYPERLINK("#",""), HYPERLINK(CONCATENATE("#Metadata!", ADDRESS(INDEX($Q$2:$Q$1001,MATCH(ROWS($O$2:O862),$O$2:$O$1001,0),0), INDEX($V$1004:$AE$1004,1,MATCH(COLUMNS($V$1006:AA1006),$V$1006:$AE$1006,0)))),"Fix")))</f>
        <v>0</v>
      </c>
      <c r="H862" s="4">
        <f>IF(OR(INDEX($P$2:$P$1001,MATCH(ROWS($O$2:O862),$O$2:$O$1001,0),1)&gt;=100000,INDEX($V$1005:$AE$1005,1,MATCH(COLUMNS($V$1006:AB1006),$V$1006:$AE$1006,0))&gt;=100000), " ",IF(INDEX($V$2:$AE$1001,MATCH(ROWS($O$2:O862),$O$2:$O$1001,0),MATCH(COLUMNS($V$1006:AB1006),$V$1006:$AE$1006,0)), HYPERLINK("#",""), HYPERLINK(CONCATENATE("#Metadata!", ADDRESS(INDEX($Q$2:$Q$1001,MATCH(ROWS($O$2:O862),$O$2:$O$1001,0),0), INDEX($V$1004:$AE$1004,1,MATCH(COLUMNS($V$1006:AB1006),$V$1006:$AE$1006,0)))),"Fix")))</f>
        <v>0</v>
      </c>
      <c r="I862" s="4">
        <f>IF(OR(INDEX($P$2:$P$1001,MATCH(ROWS($O$2:O862),$O$2:$O$1001,0),1)&gt;=100000,INDEX($V$1005:$AE$1005,1,MATCH(COLUMNS($V$1006:AC1006),$V$1006:$AE$1006,0))&gt;=100000), " ",IF(INDEX($V$2:$AE$1001,MATCH(ROWS($O$2:O862),$O$2:$O$1001,0),MATCH(COLUMNS($V$1006:AC1006),$V$1006:$AE$1006,0)), HYPERLINK("#",""), HYPERLINK(CONCATENATE("#Metadata!", ADDRESS(INDEX($Q$2:$Q$1001,MATCH(ROWS($O$2:O862),$O$2:$O$1001,0),0), INDEX($V$1004:$AE$1004,1,MATCH(COLUMNS($V$1006:AC1006),$V$1006:$AE$1006,0)))),"Fix")))</f>
        <v>0</v>
      </c>
      <c r="J862" s="4">
        <f>IF(OR(INDEX($P$2:$P$1001,MATCH(ROWS($O$2:O862),$O$2:$O$1001,0),1)&gt;=100000,INDEX($V$1005:$AE$1005,1,MATCH(COLUMNS($V$1006:AD1006),$V$1006:$AE$1006,0))&gt;=100000), " ",IF(INDEX($V$2:$AE$1001,MATCH(ROWS($O$2:O862),$O$2:$O$1001,0),MATCH(COLUMNS($V$1006:AD1006),$V$1006:$AE$1006,0)), HYPERLINK("#",""), HYPERLINK(CONCATENATE("#Metadata!", ADDRESS(INDEX($Q$2:$Q$1001,MATCH(ROWS($O$2:O862),$O$2:$O$1001,0),0), INDEX($V$1004:$AE$1004,1,MATCH(COLUMNS($V$1006:AD1006),$V$1006:$AE$1006,0)))),"Fix")))</f>
        <v>0</v>
      </c>
      <c r="K862" s="4">
        <f>IF(OR(INDEX($P$2:$P$1001,MATCH(ROWS($O$2:O862),$O$2:$O$1001,0),1)&gt;=100000,INDEX($V$1005:$AE$1005,1,MATCH(COLUMNS($V$1006:AE1006),$V$1006:$AE$1006,0))&gt;=100000), " ",IF(INDEX($V$2:$AE$1001,MATCH(ROWS($O$2:O862),$O$2:$O$1001,0),MATCH(COLUMNS($V$1006:AE1006),$V$1006:$AE$1006,0)), HYPERLINK("#",""), HYPERLINK(CONCATENATE("#Metadata!", ADDRESS(INDEX($Q$2:$Q$1001,MATCH(ROWS($O$2:O862),$O$2:$O$1001,0),0), INDEX($V$1004:$AE$1004,1,MATCH(COLUMNS($V$1006:AE1006),$V$1006:$AE$1006,0)))),"Fix")))</f>
        <v>0</v>
      </c>
      <c r="O862">
        <v>0</v>
      </c>
      <c r="P862">
        <v>0</v>
      </c>
      <c r="Q862">
        <v>0</v>
      </c>
      <c r="R862">
        <f>IF(S862,TRUE,AND(V862:AE862))</f>
        <v>0</v>
      </c>
      <c r="S862">
        <f>COUNTBLANK(Metadata!B862:K862)=COLUMNS(Metadata!B862:K862)</f>
        <v>0</v>
      </c>
      <c r="T862">
        <v>0</v>
      </c>
      <c r="V862">
        <f>AND(IF(Metadata!B862="",FALSE,TRUE),COUNTIF(Metadata!B:B, Metadata!B862) = 1,NOT(ISERROR(SUMPRODUCT(SEARCH(MID(Metadata!B862,ROW(INDIRECT("1:"&amp;LEN(Metadata!B862))), 1),"0123456789abcdefghijklmnopqrstuvwxyzABCDEFGHIJKLMNOPQRSTUVWXYZ.")))))</f>
        <v>0</v>
      </c>
      <c r="W862">
        <f>AND(IF(Metadata!C862="",FALSE,TRUE),exact(Metadata!C862,"urban biome"))</f>
        <v>0</v>
      </c>
      <c r="X862">
        <f>AND(IF(Metadata!D862="",FALSE,TRUE),exact(Metadata!D862,"animal-associated habitat"))</f>
        <v>0</v>
      </c>
      <c r="Y862">
        <f>OR(AND(IF(Metadata!E862="",FALSE,TRUE),OR(exact(Metadata!E862,"not applicable"),exact(Metadata!E862,"missing: not collected"),exact(Metadata!E862,"missing: not provided"),exact(Metadata!E862,"missing: restricted access"))),AND(IF(Metadata!E862="",FALSE,ISNUMBER(VALUE(Metadata!E862))),Metadata!E862&gt;0))</f>
        <v>0</v>
      </c>
      <c r="Z862">
        <f>AND(IF(Metadata!F862="",FALSE,TRUE),exact(Metadata!F862,"weeks"))</f>
        <v>0</v>
      </c>
      <c r="AA862">
        <f>AND(IF(Metadata!G862="",FALSE,TRUE),exact(Metadata!G862,"mouse"))</f>
        <v>0</v>
      </c>
      <c r="AB862">
        <f>AND(IF(Metadata!H862="",FALSE,TRUE),exact(Metadata!H862,"Mus musculus"))</f>
        <v>0</v>
      </c>
      <c r="AC862">
        <f>AND(IF(Metadata!I862="",FALSE,TRUE),exact(Metadata!I862,"10090"))</f>
        <v>0</v>
      </c>
      <c r="AD862">
        <f>OR(AND(IF(Metadata!J862="",FALSE,TRUE),OR(exact(Metadata!J862,"not applicable"),exact(Metadata!J862,"missing: not collected"),exact(Metadata!J862,"missing: not provided"),exact(Metadata!J862,"missing: restricted access"))),AND(IF(Metadata!J862="",FALSE,ISNUMBER(VALUE(Metadata!J862))),Metadata!J862&gt;0))</f>
        <v>0</v>
      </c>
      <c r="AE862">
        <f>AND(IF(Metadata!K862="",FALSE,TRUE),exact(Metadata!K862,"g"))</f>
        <v>0</v>
      </c>
    </row>
    <row r="863" spans="1:31">
      <c r="A863" s="5">
        <f>IF(B863=" "," ",HYPERLINK(CONCATENATE("#metadata!",ADDRESS(INDEX($Q$2:$Q$1001,MATCH(ROWS($O$2:O863),$O$2:$O$1001,0),0),1)),INDEX($T$2:$T$1001,MATCH(ROWS($O$2:O863),$O$2:$O$1001,0),0)))</f>
        <v>0</v>
      </c>
      <c r="B863" s="4">
        <f>IF(OR(INDEX($P$2:$P$1001,MATCH(ROWS($O$2:O863),$O$2:$O$1001,0),1)&gt;=100000,INDEX($V$1005:$AE$1005,1,MATCH(COLUMNS($V$1006:V1006),$V$1006:$AE$1006,0))&gt;=100000), " ",IF(INDEX($V$2:$AE$1001,MATCH(ROWS($O$2:O863),$O$2:$O$1001,0),MATCH(COLUMNS($V$1006:V1006),$V$1006:$AE$1006,0)), HYPERLINK("#",""), HYPERLINK(CONCATENATE("#Metadata!", ADDRESS(INDEX($Q$2:$Q$1001,MATCH(ROWS($O$2:O863),$O$2:$O$1001,0),0), INDEX($V$1004:$AE$1004,1,MATCH(COLUMNS($V$1006:V1006),$V$1006:$AE$1006,0)))),"Fix")))</f>
        <v>0</v>
      </c>
      <c r="C863" s="4">
        <f>IF(OR(INDEX($P$2:$P$1001,MATCH(ROWS($O$2:O863),$O$2:$O$1001,0),1)&gt;=100000,INDEX($V$1005:$AE$1005,1,MATCH(COLUMNS($V$1006:W1006),$V$1006:$AE$1006,0))&gt;=100000), " ",IF(INDEX($V$2:$AE$1001,MATCH(ROWS($O$2:O863),$O$2:$O$1001,0),MATCH(COLUMNS($V$1006:W1006),$V$1006:$AE$1006,0)), HYPERLINK("#",""), HYPERLINK(CONCATENATE("#Metadata!", ADDRESS(INDEX($Q$2:$Q$1001,MATCH(ROWS($O$2:O863),$O$2:$O$1001,0),0), INDEX($V$1004:$AE$1004,1,MATCH(COLUMNS($V$1006:W1006),$V$1006:$AE$1006,0)))),"Fix")))</f>
        <v>0</v>
      </c>
      <c r="D863" s="4">
        <f>IF(OR(INDEX($P$2:$P$1001,MATCH(ROWS($O$2:O863),$O$2:$O$1001,0),1)&gt;=100000,INDEX($V$1005:$AE$1005,1,MATCH(COLUMNS($V$1006:X1006),$V$1006:$AE$1006,0))&gt;=100000), " ",IF(INDEX($V$2:$AE$1001,MATCH(ROWS($O$2:O863),$O$2:$O$1001,0),MATCH(COLUMNS($V$1006:X1006),$V$1006:$AE$1006,0)), HYPERLINK("#",""), HYPERLINK(CONCATENATE("#Metadata!", ADDRESS(INDEX($Q$2:$Q$1001,MATCH(ROWS($O$2:O863),$O$2:$O$1001,0),0), INDEX($V$1004:$AE$1004,1,MATCH(COLUMNS($V$1006:X1006),$V$1006:$AE$1006,0)))),"Fix")))</f>
        <v>0</v>
      </c>
      <c r="E863" s="4">
        <f>IF(OR(INDEX($P$2:$P$1001,MATCH(ROWS($O$2:O863),$O$2:$O$1001,0),1)&gt;=100000,INDEX($V$1005:$AE$1005,1,MATCH(COLUMNS($V$1006:Y1006),$V$1006:$AE$1006,0))&gt;=100000), " ",IF(INDEX($V$2:$AE$1001,MATCH(ROWS($O$2:O863),$O$2:$O$1001,0),MATCH(COLUMNS($V$1006:Y1006),$V$1006:$AE$1006,0)), HYPERLINK("#",""), HYPERLINK(CONCATENATE("#Metadata!", ADDRESS(INDEX($Q$2:$Q$1001,MATCH(ROWS($O$2:O863),$O$2:$O$1001,0),0), INDEX($V$1004:$AE$1004,1,MATCH(COLUMNS($V$1006:Y1006),$V$1006:$AE$1006,0)))),"Fix")))</f>
        <v>0</v>
      </c>
      <c r="F863" s="4">
        <f>IF(OR(INDEX($P$2:$P$1001,MATCH(ROWS($O$2:O863),$O$2:$O$1001,0),1)&gt;=100000,INDEX($V$1005:$AE$1005,1,MATCH(COLUMNS($V$1006:Z1006),$V$1006:$AE$1006,0))&gt;=100000), " ",IF(INDEX($V$2:$AE$1001,MATCH(ROWS($O$2:O863),$O$2:$O$1001,0),MATCH(COLUMNS($V$1006:Z1006),$V$1006:$AE$1006,0)), HYPERLINK("#",""), HYPERLINK(CONCATENATE("#Metadata!", ADDRESS(INDEX($Q$2:$Q$1001,MATCH(ROWS($O$2:O863),$O$2:$O$1001,0),0), INDEX($V$1004:$AE$1004,1,MATCH(COLUMNS($V$1006:Z1006),$V$1006:$AE$1006,0)))),"Fix")))</f>
        <v>0</v>
      </c>
      <c r="G863" s="4">
        <f>IF(OR(INDEX($P$2:$P$1001,MATCH(ROWS($O$2:O863),$O$2:$O$1001,0),1)&gt;=100000,INDEX($V$1005:$AE$1005,1,MATCH(COLUMNS($V$1006:AA1006),$V$1006:$AE$1006,0))&gt;=100000), " ",IF(INDEX($V$2:$AE$1001,MATCH(ROWS($O$2:O863),$O$2:$O$1001,0),MATCH(COLUMNS($V$1006:AA1006),$V$1006:$AE$1006,0)), HYPERLINK("#",""), HYPERLINK(CONCATENATE("#Metadata!", ADDRESS(INDEX($Q$2:$Q$1001,MATCH(ROWS($O$2:O863),$O$2:$O$1001,0),0), INDEX($V$1004:$AE$1004,1,MATCH(COLUMNS($V$1006:AA1006),$V$1006:$AE$1006,0)))),"Fix")))</f>
        <v>0</v>
      </c>
      <c r="H863" s="4">
        <f>IF(OR(INDEX($P$2:$P$1001,MATCH(ROWS($O$2:O863),$O$2:$O$1001,0),1)&gt;=100000,INDEX($V$1005:$AE$1005,1,MATCH(COLUMNS($V$1006:AB1006),$V$1006:$AE$1006,0))&gt;=100000), " ",IF(INDEX($V$2:$AE$1001,MATCH(ROWS($O$2:O863),$O$2:$O$1001,0),MATCH(COLUMNS($V$1006:AB1006),$V$1006:$AE$1006,0)), HYPERLINK("#",""), HYPERLINK(CONCATENATE("#Metadata!", ADDRESS(INDEX($Q$2:$Q$1001,MATCH(ROWS($O$2:O863),$O$2:$O$1001,0),0), INDEX($V$1004:$AE$1004,1,MATCH(COLUMNS($V$1006:AB1006),$V$1006:$AE$1006,0)))),"Fix")))</f>
        <v>0</v>
      </c>
      <c r="I863" s="4">
        <f>IF(OR(INDEX($P$2:$P$1001,MATCH(ROWS($O$2:O863),$O$2:$O$1001,0),1)&gt;=100000,INDEX($V$1005:$AE$1005,1,MATCH(COLUMNS($V$1006:AC1006),$V$1006:$AE$1006,0))&gt;=100000), " ",IF(INDEX($V$2:$AE$1001,MATCH(ROWS($O$2:O863),$O$2:$O$1001,0),MATCH(COLUMNS($V$1006:AC1006),$V$1006:$AE$1006,0)), HYPERLINK("#",""), HYPERLINK(CONCATENATE("#Metadata!", ADDRESS(INDEX($Q$2:$Q$1001,MATCH(ROWS($O$2:O863),$O$2:$O$1001,0),0), INDEX($V$1004:$AE$1004,1,MATCH(COLUMNS($V$1006:AC1006),$V$1006:$AE$1006,0)))),"Fix")))</f>
        <v>0</v>
      </c>
      <c r="J863" s="4">
        <f>IF(OR(INDEX($P$2:$P$1001,MATCH(ROWS($O$2:O863),$O$2:$O$1001,0),1)&gt;=100000,INDEX($V$1005:$AE$1005,1,MATCH(COLUMNS($V$1006:AD1006),$V$1006:$AE$1006,0))&gt;=100000), " ",IF(INDEX($V$2:$AE$1001,MATCH(ROWS($O$2:O863),$O$2:$O$1001,0),MATCH(COLUMNS($V$1006:AD1006),$V$1006:$AE$1006,0)), HYPERLINK("#",""), HYPERLINK(CONCATENATE("#Metadata!", ADDRESS(INDEX($Q$2:$Q$1001,MATCH(ROWS($O$2:O863),$O$2:$O$1001,0),0), INDEX($V$1004:$AE$1004,1,MATCH(COLUMNS($V$1006:AD1006),$V$1006:$AE$1006,0)))),"Fix")))</f>
        <v>0</v>
      </c>
      <c r="K863" s="4">
        <f>IF(OR(INDEX($P$2:$P$1001,MATCH(ROWS($O$2:O863),$O$2:$O$1001,0),1)&gt;=100000,INDEX($V$1005:$AE$1005,1,MATCH(COLUMNS($V$1006:AE1006),$V$1006:$AE$1006,0))&gt;=100000), " ",IF(INDEX($V$2:$AE$1001,MATCH(ROWS($O$2:O863),$O$2:$O$1001,0),MATCH(COLUMNS($V$1006:AE1006),$V$1006:$AE$1006,0)), HYPERLINK("#",""), HYPERLINK(CONCATENATE("#Metadata!", ADDRESS(INDEX($Q$2:$Q$1001,MATCH(ROWS($O$2:O863),$O$2:$O$1001,0),0), INDEX($V$1004:$AE$1004,1,MATCH(COLUMNS($V$1006:AE1006),$V$1006:$AE$1006,0)))),"Fix")))</f>
        <v>0</v>
      </c>
      <c r="O863">
        <v>0</v>
      </c>
      <c r="P863">
        <v>0</v>
      </c>
      <c r="Q863">
        <v>0</v>
      </c>
      <c r="R863">
        <f>IF(S863,TRUE,AND(V863:AE863))</f>
        <v>0</v>
      </c>
      <c r="S863">
        <f>COUNTBLANK(Metadata!B863:K863)=COLUMNS(Metadata!B863:K863)</f>
        <v>0</v>
      </c>
      <c r="T863">
        <v>0</v>
      </c>
      <c r="V863">
        <f>AND(IF(Metadata!B863="",FALSE,TRUE),COUNTIF(Metadata!B:B, Metadata!B863) = 1,NOT(ISERROR(SUMPRODUCT(SEARCH(MID(Metadata!B863,ROW(INDIRECT("1:"&amp;LEN(Metadata!B863))), 1),"0123456789abcdefghijklmnopqrstuvwxyzABCDEFGHIJKLMNOPQRSTUVWXYZ.")))))</f>
        <v>0</v>
      </c>
      <c r="W863">
        <f>AND(IF(Metadata!C863="",FALSE,TRUE),exact(Metadata!C863,"urban biome"))</f>
        <v>0</v>
      </c>
      <c r="X863">
        <f>AND(IF(Metadata!D863="",FALSE,TRUE),exact(Metadata!D863,"animal-associated habitat"))</f>
        <v>0</v>
      </c>
      <c r="Y863">
        <f>OR(AND(IF(Metadata!E863="",FALSE,TRUE),OR(exact(Metadata!E863,"not applicable"),exact(Metadata!E863,"missing: not collected"),exact(Metadata!E863,"missing: not provided"),exact(Metadata!E863,"missing: restricted access"))),AND(IF(Metadata!E863="",FALSE,ISNUMBER(VALUE(Metadata!E863))),Metadata!E863&gt;0))</f>
        <v>0</v>
      </c>
      <c r="Z863">
        <f>AND(IF(Metadata!F863="",FALSE,TRUE),exact(Metadata!F863,"weeks"))</f>
        <v>0</v>
      </c>
      <c r="AA863">
        <f>AND(IF(Metadata!G863="",FALSE,TRUE),exact(Metadata!G863,"mouse"))</f>
        <v>0</v>
      </c>
      <c r="AB863">
        <f>AND(IF(Metadata!H863="",FALSE,TRUE),exact(Metadata!H863,"Mus musculus"))</f>
        <v>0</v>
      </c>
      <c r="AC863">
        <f>AND(IF(Metadata!I863="",FALSE,TRUE),exact(Metadata!I863,"10090"))</f>
        <v>0</v>
      </c>
      <c r="AD863">
        <f>OR(AND(IF(Metadata!J863="",FALSE,TRUE),OR(exact(Metadata!J863,"not applicable"),exact(Metadata!J863,"missing: not collected"),exact(Metadata!J863,"missing: not provided"),exact(Metadata!J863,"missing: restricted access"))),AND(IF(Metadata!J863="",FALSE,ISNUMBER(VALUE(Metadata!J863))),Metadata!J863&gt;0))</f>
        <v>0</v>
      </c>
      <c r="AE863">
        <f>AND(IF(Metadata!K863="",FALSE,TRUE),exact(Metadata!K863,"g"))</f>
        <v>0</v>
      </c>
    </row>
    <row r="864" spans="1:31">
      <c r="A864" s="5">
        <f>IF(B864=" "," ",HYPERLINK(CONCATENATE("#metadata!",ADDRESS(INDEX($Q$2:$Q$1001,MATCH(ROWS($O$2:O864),$O$2:$O$1001,0),0),1)),INDEX($T$2:$T$1001,MATCH(ROWS($O$2:O864),$O$2:$O$1001,0),0)))</f>
        <v>0</v>
      </c>
      <c r="B864" s="4">
        <f>IF(OR(INDEX($P$2:$P$1001,MATCH(ROWS($O$2:O864),$O$2:$O$1001,0),1)&gt;=100000,INDEX($V$1005:$AE$1005,1,MATCH(COLUMNS($V$1006:V1006),$V$1006:$AE$1006,0))&gt;=100000), " ",IF(INDEX($V$2:$AE$1001,MATCH(ROWS($O$2:O864),$O$2:$O$1001,0),MATCH(COLUMNS($V$1006:V1006),$V$1006:$AE$1006,0)), HYPERLINK("#",""), HYPERLINK(CONCATENATE("#Metadata!", ADDRESS(INDEX($Q$2:$Q$1001,MATCH(ROWS($O$2:O864),$O$2:$O$1001,0),0), INDEX($V$1004:$AE$1004,1,MATCH(COLUMNS($V$1006:V1006),$V$1006:$AE$1006,0)))),"Fix")))</f>
        <v>0</v>
      </c>
      <c r="C864" s="4">
        <f>IF(OR(INDEX($P$2:$P$1001,MATCH(ROWS($O$2:O864),$O$2:$O$1001,0),1)&gt;=100000,INDEX($V$1005:$AE$1005,1,MATCH(COLUMNS($V$1006:W1006),$V$1006:$AE$1006,0))&gt;=100000), " ",IF(INDEX($V$2:$AE$1001,MATCH(ROWS($O$2:O864),$O$2:$O$1001,0),MATCH(COLUMNS($V$1006:W1006),$V$1006:$AE$1006,0)), HYPERLINK("#",""), HYPERLINK(CONCATENATE("#Metadata!", ADDRESS(INDEX($Q$2:$Q$1001,MATCH(ROWS($O$2:O864),$O$2:$O$1001,0),0), INDEX($V$1004:$AE$1004,1,MATCH(COLUMNS($V$1006:W1006),$V$1006:$AE$1006,0)))),"Fix")))</f>
        <v>0</v>
      </c>
      <c r="D864" s="4">
        <f>IF(OR(INDEX($P$2:$P$1001,MATCH(ROWS($O$2:O864),$O$2:$O$1001,0),1)&gt;=100000,INDEX($V$1005:$AE$1005,1,MATCH(COLUMNS($V$1006:X1006),$V$1006:$AE$1006,0))&gt;=100000), " ",IF(INDEX($V$2:$AE$1001,MATCH(ROWS($O$2:O864),$O$2:$O$1001,0),MATCH(COLUMNS($V$1006:X1006),$V$1006:$AE$1006,0)), HYPERLINK("#",""), HYPERLINK(CONCATENATE("#Metadata!", ADDRESS(INDEX($Q$2:$Q$1001,MATCH(ROWS($O$2:O864),$O$2:$O$1001,0),0), INDEX($V$1004:$AE$1004,1,MATCH(COLUMNS($V$1006:X1006),$V$1006:$AE$1006,0)))),"Fix")))</f>
        <v>0</v>
      </c>
      <c r="E864" s="4">
        <f>IF(OR(INDEX($P$2:$P$1001,MATCH(ROWS($O$2:O864),$O$2:$O$1001,0),1)&gt;=100000,INDEX($V$1005:$AE$1005,1,MATCH(COLUMNS($V$1006:Y1006),$V$1006:$AE$1006,0))&gt;=100000), " ",IF(INDEX($V$2:$AE$1001,MATCH(ROWS($O$2:O864),$O$2:$O$1001,0),MATCH(COLUMNS($V$1006:Y1006),$V$1006:$AE$1006,0)), HYPERLINK("#",""), HYPERLINK(CONCATENATE("#Metadata!", ADDRESS(INDEX($Q$2:$Q$1001,MATCH(ROWS($O$2:O864),$O$2:$O$1001,0),0), INDEX($V$1004:$AE$1004,1,MATCH(COLUMNS($V$1006:Y1006),$V$1006:$AE$1006,0)))),"Fix")))</f>
        <v>0</v>
      </c>
      <c r="F864" s="4">
        <f>IF(OR(INDEX($P$2:$P$1001,MATCH(ROWS($O$2:O864),$O$2:$O$1001,0),1)&gt;=100000,INDEX($V$1005:$AE$1005,1,MATCH(COLUMNS($V$1006:Z1006),$V$1006:$AE$1006,0))&gt;=100000), " ",IF(INDEX($V$2:$AE$1001,MATCH(ROWS($O$2:O864),$O$2:$O$1001,0),MATCH(COLUMNS($V$1006:Z1006),$V$1006:$AE$1006,0)), HYPERLINK("#",""), HYPERLINK(CONCATENATE("#Metadata!", ADDRESS(INDEX($Q$2:$Q$1001,MATCH(ROWS($O$2:O864),$O$2:$O$1001,0),0), INDEX($V$1004:$AE$1004,1,MATCH(COLUMNS($V$1006:Z1006),$V$1006:$AE$1006,0)))),"Fix")))</f>
        <v>0</v>
      </c>
      <c r="G864" s="4">
        <f>IF(OR(INDEX($P$2:$P$1001,MATCH(ROWS($O$2:O864),$O$2:$O$1001,0),1)&gt;=100000,INDEX($V$1005:$AE$1005,1,MATCH(COLUMNS($V$1006:AA1006),$V$1006:$AE$1006,0))&gt;=100000), " ",IF(INDEX($V$2:$AE$1001,MATCH(ROWS($O$2:O864),$O$2:$O$1001,0),MATCH(COLUMNS($V$1006:AA1006),$V$1006:$AE$1006,0)), HYPERLINK("#",""), HYPERLINK(CONCATENATE("#Metadata!", ADDRESS(INDEX($Q$2:$Q$1001,MATCH(ROWS($O$2:O864),$O$2:$O$1001,0),0), INDEX($V$1004:$AE$1004,1,MATCH(COLUMNS($V$1006:AA1006),$V$1006:$AE$1006,0)))),"Fix")))</f>
        <v>0</v>
      </c>
      <c r="H864" s="4">
        <f>IF(OR(INDEX($P$2:$P$1001,MATCH(ROWS($O$2:O864),$O$2:$O$1001,0),1)&gt;=100000,INDEX($V$1005:$AE$1005,1,MATCH(COLUMNS($V$1006:AB1006),$V$1006:$AE$1006,0))&gt;=100000), " ",IF(INDEX($V$2:$AE$1001,MATCH(ROWS($O$2:O864),$O$2:$O$1001,0),MATCH(COLUMNS($V$1006:AB1006),$V$1006:$AE$1006,0)), HYPERLINK("#",""), HYPERLINK(CONCATENATE("#Metadata!", ADDRESS(INDEX($Q$2:$Q$1001,MATCH(ROWS($O$2:O864),$O$2:$O$1001,0),0), INDEX($V$1004:$AE$1004,1,MATCH(COLUMNS($V$1006:AB1006),$V$1006:$AE$1006,0)))),"Fix")))</f>
        <v>0</v>
      </c>
      <c r="I864" s="4">
        <f>IF(OR(INDEX($P$2:$P$1001,MATCH(ROWS($O$2:O864),$O$2:$O$1001,0),1)&gt;=100000,INDEX($V$1005:$AE$1005,1,MATCH(COLUMNS($V$1006:AC1006),$V$1006:$AE$1006,0))&gt;=100000), " ",IF(INDEX($V$2:$AE$1001,MATCH(ROWS($O$2:O864),$O$2:$O$1001,0),MATCH(COLUMNS($V$1006:AC1006),$V$1006:$AE$1006,0)), HYPERLINK("#",""), HYPERLINK(CONCATENATE("#Metadata!", ADDRESS(INDEX($Q$2:$Q$1001,MATCH(ROWS($O$2:O864),$O$2:$O$1001,0),0), INDEX($V$1004:$AE$1004,1,MATCH(COLUMNS($V$1006:AC1006),$V$1006:$AE$1006,0)))),"Fix")))</f>
        <v>0</v>
      </c>
      <c r="J864" s="4">
        <f>IF(OR(INDEX($P$2:$P$1001,MATCH(ROWS($O$2:O864),$O$2:$O$1001,0),1)&gt;=100000,INDEX($V$1005:$AE$1005,1,MATCH(COLUMNS($V$1006:AD1006),$V$1006:$AE$1006,0))&gt;=100000), " ",IF(INDEX($V$2:$AE$1001,MATCH(ROWS($O$2:O864),$O$2:$O$1001,0),MATCH(COLUMNS($V$1006:AD1006),$V$1006:$AE$1006,0)), HYPERLINK("#",""), HYPERLINK(CONCATENATE("#Metadata!", ADDRESS(INDEX($Q$2:$Q$1001,MATCH(ROWS($O$2:O864),$O$2:$O$1001,0),0), INDEX($V$1004:$AE$1004,1,MATCH(COLUMNS($V$1006:AD1006),$V$1006:$AE$1006,0)))),"Fix")))</f>
        <v>0</v>
      </c>
      <c r="K864" s="4">
        <f>IF(OR(INDEX($P$2:$P$1001,MATCH(ROWS($O$2:O864),$O$2:$O$1001,0),1)&gt;=100000,INDEX($V$1005:$AE$1005,1,MATCH(COLUMNS($V$1006:AE1006),$V$1006:$AE$1006,0))&gt;=100000), " ",IF(INDEX($V$2:$AE$1001,MATCH(ROWS($O$2:O864),$O$2:$O$1001,0),MATCH(COLUMNS($V$1006:AE1006),$V$1006:$AE$1006,0)), HYPERLINK("#",""), HYPERLINK(CONCATENATE("#Metadata!", ADDRESS(INDEX($Q$2:$Q$1001,MATCH(ROWS($O$2:O864),$O$2:$O$1001,0),0), INDEX($V$1004:$AE$1004,1,MATCH(COLUMNS($V$1006:AE1006),$V$1006:$AE$1006,0)))),"Fix")))</f>
        <v>0</v>
      </c>
      <c r="O864">
        <v>0</v>
      </c>
      <c r="P864">
        <v>0</v>
      </c>
      <c r="Q864">
        <v>0</v>
      </c>
      <c r="R864">
        <f>IF(S864,TRUE,AND(V864:AE864))</f>
        <v>0</v>
      </c>
      <c r="S864">
        <f>COUNTBLANK(Metadata!B864:K864)=COLUMNS(Metadata!B864:K864)</f>
        <v>0</v>
      </c>
      <c r="T864">
        <v>0</v>
      </c>
      <c r="V864">
        <f>AND(IF(Metadata!B864="",FALSE,TRUE),COUNTIF(Metadata!B:B, Metadata!B864) = 1,NOT(ISERROR(SUMPRODUCT(SEARCH(MID(Metadata!B864,ROW(INDIRECT("1:"&amp;LEN(Metadata!B864))), 1),"0123456789abcdefghijklmnopqrstuvwxyzABCDEFGHIJKLMNOPQRSTUVWXYZ.")))))</f>
        <v>0</v>
      </c>
      <c r="W864">
        <f>AND(IF(Metadata!C864="",FALSE,TRUE),exact(Metadata!C864,"urban biome"))</f>
        <v>0</v>
      </c>
      <c r="X864">
        <f>AND(IF(Metadata!D864="",FALSE,TRUE),exact(Metadata!D864,"animal-associated habitat"))</f>
        <v>0</v>
      </c>
      <c r="Y864">
        <f>OR(AND(IF(Metadata!E864="",FALSE,TRUE),OR(exact(Metadata!E864,"not applicable"),exact(Metadata!E864,"missing: not collected"),exact(Metadata!E864,"missing: not provided"),exact(Metadata!E864,"missing: restricted access"))),AND(IF(Metadata!E864="",FALSE,ISNUMBER(VALUE(Metadata!E864))),Metadata!E864&gt;0))</f>
        <v>0</v>
      </c>
      <c r="Z864">
        <f>AND(IF(Metadata!F864="",FALSE,TRUE),exact(Metadata!F864,"weeks"))</f>
        <v>0</v>
      </c>
      <c r="AA864">
        <f>AND(IF(Metadata!G864="",FALSE,TRUE),exact(Metadata!G864,"mouse"))</f>
        <v>0</v>
      </c>
      <c r="AB864">
        <f>AND(IF(Metadata!H864="",FALSE,TRUE),exact(Metadata!H864,"Mus musculus"))</f>
        <v>0</v>
      </c>
      <c r="AC864">
        <f>AND(IF(Metadata!I864="",FALSE,TRUE),exact(Metadata!I864,"10090"))</f>
        <v>0</v>
      </c>
      <c r="AD864">
        <f>OR(AND(IF(Metadata!J864="",FALSE,TRUE),OR(exact(Metadata!J864,"not applicable"),exact(Metadata!J864,"missing: not collected"),exact(Metadata!J864,"missing: not provided"),exact(Metadata!J864,"missing: restricted access"))),AND(IF(Metadata!J864="",FALSE,ISNUMBER(VALUE(Metadata!J864))),Metadata!J864&gt;0))</f>
        <v>0</v>
      </c>
      <c r="AE864">
        <f>AND(IF(Metadata!K864="",FALSE,TRUE),exact(Metadata!K864,"g"))</f>
        <v>0</v>
      </c>
    </row>
    <row r="865" spans="1:31">
      <c r="A865" s="5">
        <f>IF(B865=" "," ",HYPERLINK(CONCATENATE("#metadata!",ADDRESS(INDEX($Q$2:$Q$1001,MATCH(ROWS($O$2:O865),$O$2:$O$1001,0),0),1)),INDEX($T$2:$T$1001,MATCH(ROWS($O$2:O865),$O$2:$O$1001,0),0)))</f>
        <v>0</v>
      </c>
      <c r="B865" s="4">
        <f>IF(OR(INDEX($P$2:$P$1001,MATCH(ROWS($O$2:O865),$O$2:$O$1001,0),1)&gt;=100000,INDEX($V$1005:$AE$1005,1,MATCH(COLUMNS($V$1006:V1006),$V$1006:$AE$1006,0))&gt;=100000), " ",IF(INDEX($V$2:$AE$1001,MATCH(ROWS($O$2:O865),$O$2:$O$1001,0),MATCH(COLUMNS($V$1006:V1006),$V$1006:$AE$1006,0)), HYPERLINK("#",""), HYPERLINK(CONCATENATE("#Metadata!", ADDRESS(INDEX($Q$2:$Q$1001,MATCH(ROWS($O$2:O865),$O$2:$O$1001,0),0), INDEX($V$1004:$AE$1004,1,MATCH(COLUMNS($V$1006:V1006),$V$1006:$AE$1006,0)))),"Fix")))</f>
        <v>0</v>
      </c>
      <c r="C865" s="4">
        <f>IF(OR(INDEX($P$2:$P$1001,MATCH(ROWS($O$2:O865),$O$2:$O$1001,0),1)&gt;=100000,INDEX($V$1005:$AE$1005,1,MATCH(COLUMNS($V$1006:W1006),$V$1006:$AE$1006,0))&gt;=100000), " ",IF(INDEX($V$2:$AE$1001,MATCH(ROWS($O$2:O865),$O$2:$O$1001,0),MATCH(COLUMNS($V$1006:W1006),$V$1006:$AE$1006,0)), HYPERLINK("#",""), HYPERLINK(CONCATENATE("#Metadata!", ADDRESS(INDEX($Q$2:$Q$1001,MATCH(ROWS($O$2:O865),$O$2:$O$1001,0),0), INDEX($V$1004:$AE$1004,1,MATCH(COLUMNS($V$1006:W1006),$V$1006:$AE$1006,0)))),"Fix")))</f>
        <v>0</v>
      </c>
      <c r="D865" s="4">
        <f>IF(OR(INDEX($P$2:$P$1001,MATCH(ROWS($O$2:O865),$O$2:$O$1001,0),1)&gt;=100000,INDEX($V$1005:$AE$1005,1,MATCH(COLUMNS($V$1006:X1006),$V$1006:$AE$1006,0))&gt;=100000), " ",IF(INDEX($V$2:$AE$1001,MATCH(ROWS($O$2:O865),$O$2:$O$1001,0),MATCH(COLUMNS($V$1006:X1006),$V$1006:$AE$1006,0)), HYPERLINK("#",""), HYPERLINK(CONCATENATE("#Metadata!", ADDRESS(INDEX($Q$2:$Q$1001,MATCH(ROWS($O$2:O865),$O$2:$O$1001,0),0), INDEX($V$1004:$AE$1004,1,MATCH(COLUMNS($V$1006:X1006),$V$1006:$AE$1006,0)))),"Fix")))</f>
        <v>0</v>
      </c>
      <c r="E865" s="4">
        <f>IF(OR(INDEX($P$2:$P$1001,MATCH(ROWS($O$2:O865),$O$2:$O$1001,0),1)&gt;=100000,INDEX($V$1005:$AE$1005,1,MATCH(COLUMNS($V$1006:Y1006),$V$1006:$AE$1006,0))&gt;=100000), " ",IF(INDEX($V$2:$AE$1001,MATCH(ROWS($O$2:O865),$O$2:$O$1001,0),MATCH(COLUMNS($V$1006:Y1006),$V$1006:$AE$1006,0)), HYPERLINK("#",""), HYPERLINK(CONCATENATE("#Metadata!", ADDRESS(INDEX($Q$2:$Q$1001,MATCH(ROWS($O$2:O865),$O$2:$O$1001,0),0), INDEX($V$1004:$AE$1004,1,MATCH(COLUMNS($V$1006:Y1006),$V$1006:$AE$1006,0)))),"Fix")))</f>
        <v>0</v>
      </c>
      <c r="F865" s="4">
        <f>IF(OR(INDEX($P$2:$P$1001,MATCH(ROWS($O$2:O865),$O$2:$O$1001,0),1)&gt;=100000,INDEX($V$1005:$AE$1005,1,MATCH(COLUMNS($V$1006:Z1006),$V$1006:$AE$1006,0))&gt;=100000), " ",IF(INDEX($V$2:$AE$1001,MATCH(ROWS($O$2:O865),$O$2:$O$1001,0),MATCH(COLUMNS($V$1006:Z1006),$V$1006:$AE$1006,0)), HYPERLINK("#",""), HYPERLINK(CONCATENATE("#Metadata!", ADDRESS(INDEX($Q$2:$Q$1001,MATCH(ROWS($O$2:O865),$O$2:$O$1001,0),0), INDEX($V$1004:$AE$1004,1,MATCH(COLUMNS($V$1006:Z1006),$V$1006:$AE$1006,0)))),"Fix")))</f>
        <v>0</v>
      </c>
      <c r="G865" s="4">
        <f>IF(OR(INDEX($P$2:$P$1001,MATCH(ROWS($O$2:O865),$O$2:$O$1001,0),1)&gt;=100000,INDEX($V$1005:$AE$1005,1,MATCH(COLUMNS($V$1006:AA1006),$V$1006:$AE$1006,0))&gt;=100000), " ",IF(INDEX($V$2:$AE$1001,MATCH(ROWS($O$2:O865),$O$2:$O$1001,0),MATCH(COLUMNS($V$1006:AA1006),$V$1006:$AE$1006,0)), HYPERLINK("#",""), HYPERLINK(CONCATENATE("#Metadata!", ADDRESS(INDEX($Q$2:$Q$1001,MATCH(ROWS($O$2:O865),$O$2:$O$1001,0),0), INDEX($V$1004:$AE$1004,1,MATCH(COLUMNS($V$1006:AA1006),$V$1006:$AE$1006,0)))),"Fix")))</f>
        <v>0</v>
      </c>
      <c r="H865" s="4">
        <f>IF(OR(INDEX($P$2:$P$1001,MATCH(ROWS($O$2:O865),$O$2:$O$1001,0),1)&gt;=100000,INDEX($V$1005:$AE$1005,1,MATCH(COLUMNS($V$1006:AB1006),$V$1006:$AE$1006,0))&gt;=100000), " ",IF(INDEX($V$2:$AE$1001,MATCH(ROWS($O$2:O865),$O$2:$O$1001,0),MATCH(COLUMNS($V$1006:AB1006),$V$1006:$AE$1006,0)), HYPERLINK("#",""), HYPERLINK(CONCATENATE("#Metadata!", ADDRESS(INDEX($Q$2:$Q$1001,MATCH(ROWS($O$2:O865),$O$2:$O$1001,0),0), INDEX($V$1004:$AE$1004,1,MATCH(COLUMNS($V$1006:AB1006),$V$1006:$AE$1006,0)))),"Fix")))</f>
        <v>0</v>
      </c>
      <c r="I865" s="4">
        <f>IF(OR(INDEX($P$2:$P$1001,MATCH(ROWS($O$2:O865),$O$2:$O$1001,0),1)&gt;=100000,INDEX($V$1005:$AE$1005,1,MATCH(COLUMNS($V$1006:AC1006),$V$1006:$AE$1006,0))&gt;=100000), " ",IF(INDEX($V$2:$AE$1001,MATCH(ROWS($O$2:O865),$O$2:$O$1001,0),MATCH(COLUMNS($V$1006:AC1006),$V$1006:$AE$1006,0)), HYPERLINK("#",""), HYPERLINK(CONCATENATE("#Metadata!", ADDRESS(INDEX($Q$2:$Q$1001,MATCH(ROWS($O$2:O865),$O$2:$O$1001,0),0), INDEX($V$1004:$AE$1004,1,MATCH(COLUMNS($V$1006:AC1006),$V$1006:$AE$1006,0)))),"Fix")))</f>
        <v>0</v>
      </c>
      <c r="J865" s="4">
        <f>IF(OR(INDEX($P$2:$P$1001,MATCH(ROWS($O$2:O865),$O$2:$O$1001,0),1)&gt;=100000,INDEX($V$1005:$AE$1005,1,MATCH(COLUMNS($V$1006:AD1006),$V$1006:$AE$1006,0))&gt;=100000), " ",IF(INDEX($V$2:$AE$1001,MATCH(ROWS($O$2:O865),$O$2:$O$1001,0),MATCH(COLUMNS($V$1006:AD1006),$V$1006:$AE$1006,0)), HYPERLINK("#",""), HYPERLINK(CONCATENATE("#Metadata!", ADDRESS(INDEX($Q$2:$Q$1001,MATCH(ROWS($O$2:O865),$O$2:$O$1001,0),0), INDEX($V$1004:$AE$1004,1,MATCH(COLUMNS($V$1006:AD1006),$V$1006:$AE$1006,0)))),"Fix")))</f>
        <v>0</v>
      </c>
      <c r="K865" s="4">
        <f>IF(OR(INDEX($P$2:$P$1001,MATCH(ROWS($O$2:O865),$O$2:$O$1001,0),1)&gt;=100000,INDEX($V$1005:$AE$1005,1,MATCH(COLUMNS($V$1006:AE1006),$V$1006:$AE$1006,0))&gt;=100000), " ",IF(INDEX($V$2:$AE$1001,MATCH(ROWS($O$2:O865),$O$2:$O$1001,0),MATCH(COLUMNS($V$1006:AE1006),$V$1006:$AE$1006,0)), HYPERLINK("#",""), HYPERLINK(CONCATENATE("#Metadata!", ADDRESS(INDEX($Q$2:$Q$1001,MATCH(ROWS($O$2:O865),$O$2:$O$1001,0),0), INDEX($V$1004:$AE$1004,1,MATCH(COLUMNS($V$1006:AE1006),$V$1006:$AE$1006,0)))),"Fix")))</f>
        <v>0</v>
      </c>
      <c r="O865">
        <v>0</v>
      </c>
      <c r="P865">
        <v>0</v>
      </c>
      <c r="Q865">
        <v>0</v>
      </c>
      <c r="R865">
        <f>IF(S865,TRUE,AND(V865:AE865))</f>
        <v>0</v>
      </c>
      <c r="S865">
        <f>COUNTBLANK(Metadata!B865:K865)=COLUMNS(Metadata!B865:K865)</f>
        <v>0</v>
      </c>
      <c r="T865">
        <v>0</v>
      </c>
      <c r="V865">
        <f>AND(IF(Metadata!B865="",FALSE,TRUE),COUNTIF(Metadata!B:B, Metadata!B865) = 1,NOT(ISERROR(SUMPRODUCT(SEARCH(MID(Metadata!B865,ROW(INDIRECT("1:"&amp;LEN(Metadata!B865))), 1),"0123456789abcdefghijklmnopqrstuvwxyzABCDEFGHIJKLMNOPQRSTUVWXYZ.")))))</f>
        <v>0</v>
      </c>
      <c r="W865">
        <f>AND(IF(Metadata!C865="",FALSE,TRUE),exact(Metadata!C865,"urban biome"))</f>
        <v>0</v>
      </c>
      <c r="X865">
        <f>AND(IF(Metadata!D865="",FALSE,TRUE),exact(Metadata!D865,"animal-associated habitat"))</f>
        <v>0</v>
      </c>
      <c r="Y865">
        <f>OR(AND(IF(Metadata!E865="",FALSE,TRUE),OR(exact(Metadata!E865,"not applicable"),exact(Metadata!E865,"missing: not collected"),exact(Metadata!E865,"missing: not provided"),exact(Metadata!E865,"missing: restricted access"))),AND(IF(Metadata!E865="",FALSE,ISNUMBER(VALUE(Metadata!E865))),Metadata!E865&gt;0))</f>
        <v>0</v>
      </c>
      <c r="Z865">
        <f>AND(IF(Metadata!F865="",FALSE,TRUE),exact(Metadata!F865,"weeks"))</f>
        <v>0</v>
      </c>
      <c r="AA865">
        <f>AND(IF(Metadata!G865="",FALSE,TRUE),exact(Metadata!G865,"mouse"))</f>
        <v>0</v>
      </c>
      <c r="AB865">
        <f>AND(IF(Metadata!H865="",FALSE,TRUE),exact(Metadata!H865,"Mus musculus"))</f>
        <v>0</v>
      </c>
      <c r="AC865">
        <f>AND(IF(Metadata!I865="",FALSE,TRUE),exact(Metadata!I865,"10090"))</f>
        <v>0</v>
      </c>
      <c r="AD865">
        <f>OR(AND(IF(Metadata!J865="",FALSE,TRUE),OR(exact(Metadata!J865,"not applicable"),exact(Metadata!J865,"missing: not collected"),exact(Metadata!J865,"missing: not provided"),exact(Metadata!J865,"missing: restricted access"))),AND(IF(Metadata!J865="",FALSE,ISNUMBER(VALUE(Metadata!J865))),Metadata!J865&gt;0))</f>
        <v>0</v>
      </c>
      <c r="AE865">
        <f>AND(IF(Metadata!K865="",FALSE,TRUE),exact(Metadata!K865,"g"))</f>
        <v>0</v>
      </c>
    </row>
    <row r="866" spans="1:31">
      <c r="A866" s="5">
        <f>IF(B866=" "," ",HYPERLINK(CONCATENATE("#metadata!",ADDRESS(INDEX($Q$2:$Q$1001,MATCH(ROWS($O$2:O866),$O$2:$O$1001,0),0),1)),INDEX($T$2:$T$1001,MATCH(ROWS($O$2:O866),$O$2:$O$1001,0),0)))</f>
        <v>0</v>
      </c>
      <c r="B866" s="4">
        <f>IF(OR(INDEX($P$2:$P$1001,MATCH(ROWS($O$2:O866),$O$2:$O$1001,0),1)&gt;=100000,INDEX($V$1005:$AE$1005,1,MATCH(COLUMNS($V$1006:V1006),$V$1006:$AE$1006,0))&gt;=100000), " ",IF(INDEX($V$2:$AE$1001,MATCH(ROWS($O$2:O866),$O$2:$O$1001,0),MATCH(COLUMNS($V$1006:V1006),$V$1006:$AE$1006,0)), HYPERLINK("#",""), HYPERLINK(CONCATENATE("#Metadata!", ADDRESS(INDEX($Q$2:$Q$1001,MATCH(ROWS($O$2:O866),$O$2:$O$1001,0),0), INDEX($V$1004:$AE$1004,1,MATCH(COLUMNS($V$1006:V1006),$V$1006:$AE$1006,0)))),"Fix")))</f>
        <v>0</v>
      </c>
      <c r="C866" s="4">
        <f>IF(OR(INDEX($P$2:$P$1001,MATCH(ROWS($O$2:O866),$O$2:$O$1001,0),1)&gt;=100000,INDEX($V$1005:$AE$1005,1,MATCH(COLUMNS($V$1006:W1006),$V$1006:$AE$1006,0))&gt;=100000), " ",IF(INDEX($V$2:$AE$1001,MATCH(ROWS($O$2:O866),$O$2:$O$1001,0),MATCH(COLUMNS($V$1006:W1006),$V$1006:$AE$1006,0)), HYPERLINK("#",""), HYPERLINK(CONCATENATE("#Metadata!", ADDRESS(INDEX($Q$2:$Q$1001,MATCH(ROWS($O$2:O866),$O$2:$O$1001,0),0), INDEX($V$1004:$AE$1004,1,MATCH(COLUMNS($V$1006:W1006),$V$1006:$AE$1006,0)))),"Fix")))</f>
        <v>0</v>
      </c>
      <c r="D866" s="4">
        <f>IF(OR(INDEX($P$2:$P$1001,MATCH(ROWS($O$2:O866),$O$2:$O$1001,0),1)&gt;=100000,INDEX($V$1005:$AE$1005,1,MATCH(COLUMNS($V$1006:X1006),$V$1006:$AE$1006,0))&gt;=100000), " ",IF(INDEX($V$2:$AE$1001,MATCH(ROWS($O$2:O866),$O$2:$O$1001,0),MATCH(COLUMNS($V$1006:X1006),$V$1006:$AE$1006,0)), HYPERLINK("#",""), HYPERLINK(CONCATENATE("#Metadata!", ADDRESS(INDEX($Q$2:$Q$1001,MATCH(ROWS($O$2:O866),$O$2:$O$1001,0),0), INDEX($V$1004:$AE$1004,1,MATCH(COLUMNS($V$1006:X1006),$V$1006:$AE$1006,0)))),"Fix")))</f>
        <v>0</v>
      </c>
      <c r="E866" s="4">
        <f>IF(OR(INDEX($P$2:$P$1001,MATCH(ROWS($O$2:O866),$O$2:$O$1001,0),1)&gt;=100000,INDEX($V$1005:$AE$1005,1,MATCH(COLUMNS($V$1006:Y1006),$V$1006:$AE$1006,0))&gt;=100000), " ",IF(INDEX($V$2:$AE$1001,MATCH(ROWS($O$2:O866),$O$2:$O$1001,0),MATCH(COLUMNS($V$1006:Y1006),$V$1006:$AE$1006,0)), HYPERLINK("#",""), HYPERLINK(CONCATENATE("#Metadata!", ADDRESS(INDEX($Q$2:$Q$1001,MATCH(ROWS($O$2:O866),$O$2:$O$1001,0),0), INDEX($V$1004:$AE$1004,1,MATCH(COLUMNS($V$1006:Y1006),$V$1006:$AE$1006,0)))),"Fix")))</f>
        <v>0</v>
      </c>
      <c r="F866" s="4">
        <f>IF(OR(INDEX($P$2:$P$1001,MATCH(ROWS($O$2:O866),$O$2:$O$1001,0),1)&gt;=100000,INDEX($V$1005:$AE$1005,1,MATCH(COLUMNS($V$1006:Z1006),$V$1006:$AE$1006,0))&gt;=100000), " ",IF(INDEX($V$2:$AE$1001,MATCH(ROWS($O$2:O866),$O$2:$O$1001,0),MATCH(COLUMNS($V$1006:Z1006),$V$1006:$AE$1006,0)), HYPERLINK("#",""), HYPERLINK(CONCATENATE("#Metadata!", ADDRESS(INDEX($Q$2:$Q$1001,MATCH(ROWS($O$2:O866),$O$2:$O$1001,0),0), INDEX($V$1004:$AE$1004,1,MATCH(COLUMNS($V$1006:Z1006),$V$1006:$AE$1006,0)))),"Fix")))</f>
        <v>0</v>
      </c>
      <c r="G866" s="4">
        <f>IF(OR(INDEX($P$2:$P$1001,MATCH(ROWS($O$2:O866),$O$2:$O$1001,0),1)&gt;=100000,INDEX($V$1005:$AE$1005,1,MATCH(COLUMNS($V$1006:AA1006),$V$1006:$AE$1006,0))&gt;=100000), " ",IF(INDEX($V$2:$AE$1001,MATCH(ROWS($O$2:O866),$O$2:$O$1001,0),MATCH(COLUMNS($V$1006:AA1006),$V$1006:$AE$1006,0)), HYPERLINK("#",""), HYPERLINK(CONCATENATE("#Metadata!", ADDRESS(INDEX($Q$2:$Q$1001,MATCH(ROWS($O$2:O866),$O$2:$O$1001,0),0), INDEX($V$1004:$AE$1004,1,MATCH(COLUMNS($V$1006:AA1006),$V$1006:$AE$1006,0)))),"Fix")))</f>
        <v>0</v>
      </c>
      <c r="H866" s="4">
        <f>IF(OR(INDEX($P$2:$P$1001,MATCH(ROWS($O$2:O866),$O$2:$O$1001,0),1)&gt;=100000,INDEX($V$1005:$AE$1005,1,MATCH(COLUMNS($V$1006:AB1006),$V$1006:$AE$1006,0))&gt;=100000), " ",IF(INDEX($V$2:$AE$1001,MATCH(ROWS($O$2:O866),$O$2:$O$1001,0),MATCH(COLUMNS($V$1006:AB1006),$V$1006:$AE$1006,0)), HYPERLINK("#",""), HYPERLINK(CONCATENATE("#Metadata!", ADDRESS(INDEX($Q$2:$Q$1001,MATCH(ROWS($O$2:O866),$O$2:$O$1001,0),0), INDEX($V$1004:$AE$1004,1,MATCH(COLUMNS($V$1006:AB1006),$V$1006:$AE$1006,0)))),"Fix")))</f>
        <v>0</v>
      </c>
      <c r="I866" s="4">
        <f>IF(OR(INDEX($P$2:$P$1001,MATCH(ROWS($O$2:O866),$O$2:$O$1001,0),1)&gt;=100000,INDEX($V$1005:$AE$1005,1,MATCH(COLUMNS($V$1006:AC1006),$V$1006:$AE$1006,0))&gt;=100000), " ",IF(INDEX($V$2:$AE$1001,MATCH(ROWS($O$2:O866),$O$2:$O$1001,0),MATCH(COLUMNS($V$1006:AC1006),$V$1006:$AE$1006,0)), HYPERLINK("#",""), HYPERLINK(CONCATENATE("#Metadata!", ADDRESS(INDEX($Q$2:$Q$1001,MATCH(ROWS($O$2:O866),$O$2:$O$1001,0),0), INDEX($V$1004:$AE$1004,1,MATCH(COLUMNS($V$1006:AC1006),$V$1006:$AE$1006,0)))),"Fix")))</f>
        <v>0</v>
      </c>
      <c r="J866" s="4">
        <f>IF(OR(INDEX($P$2:$P$1001,MATCH(ROWS($O$2:O866),$O$2:$O$1001,0),1)&gt;=100000,INDEX($V$1005:$AE$1005,1,MATCH(COLUMNS($V$1006:AD1006),$V$1006:$AE$1006,0))&gt;=100000), " ",IF(INDEX($V$2:$AE$1001,MATCH(ROWS($O$2:O866),$O$2:$O$1001,0),MATCH(COLUMNS($V$1006:AD1006),$V$1006:$AE$1006,0)), HYPERLINK("#",""), HYPERLINK(CONCATENATE("#Metadata!", ADDRESS(INDEX($Q$2:$Q$1001,MATCH(ROWS($O$2:O866),$O$2:$O$1001,0),0), INDEX($V$1004:$AE$1004,1,MATCH(COLUMNS($V$1006:AD1006),$V$1006:$AE$1006,0)))),"Fix")))</f>
        <v>0</v>
      </c>
      <c r="K866" s="4">
        <f>IF(OR(INDEX($P$2:$P$1001,MATCH(ROWS($O$2:O866),$O$2:$O$1001,0),1)&gt;=100000,INDEX($V$1005:$AE$1005,1,MATCH(COLUMNS($V$1006:AE1006),$V$1006:$AE$1006,0))&gt;=100000), " ",IF(INDEX($V$2:$AE$1001,MATCH(ROWS($O$2:O866),$O$2:$O$1001,0),MATCH(COLUMNS($V$1006:AE1006),$V$1006:$AE$1006,0)), HYPERLINK("#",""), HYPERLINK(CONCATENATE("#Metadata!", ADDRESS(INDEX($Q$2:$Q$1001,MATCH(ROWS($O$2:O866),$O$2:$O$1001,0),0), INDEX($V$1004:$AE$1004,1,MATCH(COLUMNS($V$1006:AE1006),$V$1006:$AE$1006,0)))),"Fix")))</f>
        <v>0</v>
      </c>
      <c r="O866">
        <v>0</v>
      </c>
      <c r="P866">
        <v>0</v>
      </c>
      <c r="Q866">
        <v>0</v>
      </c>
      <c r="R866">
        <f>IF(S866,TRUE,AND(V866:AE866))</f>
        <v>0</v>
      </c>
      <c r="S866">
        <f>COUNTBLANK(Metadata!B866:K866)=COLUMNS(Metadata!B866:K866)</f>
        <v>0</v>
      </c>
      <c r="T866">
        <v>0</v>
      </c>
      <c r="V866">
        <f>AND(IF(Metadata!B866="",FALSE,TRUE),COUNTIF(Metadata!B:B, Metadata!B866) = 1,NOT(ISERROR(SUMPRODUCT(SEARCH(MID(Metadata!B866,ROW(INDIRECT("1:"&amp;LEN(Metadata!B866))), 1),"0123456789abcdefghijklmnopqrstuvwxyzABCDEFGHIJKLMNOPQRSTUVWXYZ.")))))</f>
        <v>0</v>
      </c>
      <c r="W866">
        <f>AND(IF(Metadata!C866="",FALSE,TRUE),exact(Metadata!C866,"urban biome"))</f>
        <v>0</v>
      </c>
      <c r="X866">
        <f>AND(IF(Metadata!D866="",FALSE,TRUE),exact(Metadata!D866,"animal-associated habitat"))</f>
        <v>0</v>
      </c>
      <c r="Y866">
        <f>OR(AND(IF(Metadata!E866="",FALSE,TRUE),OR(exact(Metadata!E866,"not applicable"),exact(Metadata!E866,"missing: not collected"),exact(Metadata!E866,"missing: not provided"),exact(Metadata!E866,"missing: restricted access"))),AND(IF(Metadata!E866="",FALSE,ISNUMBER(VALUE(Metadata!E866))),Metadata!E866&gt;0))</f>
        <v>0</v>
      </c>
      <c r="Z866">
        <f>AND(IF(Metadata!F866="",FALSE,TRUE),exact(Metadata!F866,"weeks"))</f>
        <v>0</v>
      </c>
      <c r="AA866">
        <f>AND(IF(Metadata!G866="",FALSE,TRUE),exact(Metadata!G866,"mouse"))</f>
        <v>0</v>
      </c>
      <c r="AB866">
        <f>AND(IF(Metadata!H866="",FALSE,TRUE),exact(Metadata!H866,"Mus musculus"))</f>
        <v>0</v>
      </c>
      <c r="AC866">
        <f>AND(IF(Metadata!I866="",FALSE,TRUE),exact(Metadata!I866,"10090"))</f>
        <v>0</v>
      </c>
      <c r="AD866">
        <f>OR(AND(IF(Metadata!J866="",FALSE,TRUE),OR(exact(Metadata!J866,"not applicable"),exact(Metadata!J866,"missing: not collected"),exact(Metadata!J866,"missing: not provided"),exact(Metadata!J866,"missing: restricted access"))),AND(IF(Metadata!J866="",FALSE,ISNUMBER(VALUE(Metadata!J866))),Metadata!J866&gt;0))</f>
        <v>0</v>
      </c>
      <c r="AE866">
        <f>AND(IF(Metadata!K866="",FALSE,TRUE),exact(Metadata!K866,"g"))</f>
        <v>0</v>
      </c>
    </row>
    <row r="867" spans="1:31">
      <c r="A867" s="5">
        <f>IF(B867=" "," ",HYPERLINK(CONCATENATE("#metadata!",ADDRESS(INDEX($Q$2:$Q$1001,MATCH(ROWS($O$2:O867),$O$2:$O$1001,0),0),1)),INDEX($T$2:$T$1001,MATCH(ROWS($O$2:O867),$O$2:$O$1001,0),0)))</f>
        <v>0</v>
      </c>
      <c r="B867" s="4">
        <f>IF(OR(INDEX($P$2:$P$1001,MATCH(ROWS($O$2:O867),$O$2:$O$1001,0),1)&gt;=100000,INDEX($V$1005:$AE$1005,1,MATCH(COLUMNS($V$1006:V1006),$V$1006:$AE$1006,0))&gt;=100000), " ",IF(INDEX($V$2:$AE$1001,MATCH(ROWS($O$2:O867),$O$2:$O$1001,0),MATCH(COLUMNS($V$1006:V1006),$V$1006:$AE$1006,0)), HYPERLINK("#",""), HYPERLINK(CONCATENATE("#Metadata!", ADDRESS(INDEX($Q$2:$Q$1001,MATCH(ROWS($O$2:O867),$O$2:$O$1001,0),0), INDEX($V$1004:$AE$1004,1,MATCH(COLUMNS($V$1006:V1006),$V$1006:$AE$1006,0)))),"Fix")))</f>
        <v>0</v>
      </c>
      <c r="C867" s="4">
        <f>IF(OR(INDEX($P$2:$P$1001,MATCH(ROWS($O$2:O867),$O$2:$O$1001,0),1)&gt;=100000,INDEX($V$1005:$AE$1005,1,MATCH(COLUMNS($V$1006:W1006),$V$1006:$AE$1006,0))&gt;=100000), " ",IF(INDEX($V$2:$AE$1001,MATCH(ROWS($O$2:O867),$O$2:$O$1001,0),MATCH(COLUMNS($V$1006:W1006),$V$1006:$AE$1006,0)), HYPERLINK("#",""), HYPERLINK(CONCATENATE("#Metadata!", ADDRESS(INDEX($Q$2:$Q$1001,MATCH(ROWS($O$2:O867),$O$2:$O$1001,0),0), INDEX($V$1004:$AE$1004,1,MATCH(COLUMNS($V$1006:W1006),$V$1006:$AE$1006,0)))),"Fix")))</f>
        <v>0</v>
      </c>
      <c r="D867" s="4">
        <f>IF(OR(INDEX($P$2:$P$1001,MATCH(ROWS($O$2:O867),$O$2:$O$1001,0),1)&gt;=100000,INDEX($V$1005:$AE$1005,1,MATCH(COLUMNS($V$1006:X1006),$V$1006:$AE$1006,0))&gt;=100000), " ",IF(INDEX($V$2:$AE$1001,MATCH(ROWS($O$2:O867),$O$2:$O$1001,0),MATCH(COLUMNS($V$1006:X1006),$V$1006:$AE$1006,0)), HYPERLINK("#",""), HYPERLINK(CONCATENATE("#Metadata!", ADDRESS(INDEX($Q$2:$Q$1001,MATCH(ROWS($O$2:O867),$O$2:$O$1001,0),0), INDEX($V$1004:$AE$1004,1,MATCH(COLUMNS($V$1006:X1006),$V$1006:$AE$1006,0)))),"Fix")))</f>
        <v>0</v>
      </c>
      <c r="E867" s="4">
        <f>IF(OR(INDEX($P$2:$P$1001,MATCH(ROWS($O$2:O867),$O$2:$O$1001,0),1)&gt;=100000,INDEX($V$1005:$AE$1005,1,MATCH(COLUMNS($V$1006:Y1006),$V$1006:$AE$1006,0))&gt;=100000), " ",IF(INDEX($V$2:$AE$1001,MATCH(ROWS($O$2:O867),$O$2:$O$1001,0),MATCH(COLUMNS($V$1006:Y1006),$V$1006:$AE$1006,0)), HYPERLINK("#",""), HYPERLINK(CONCATENATE("#Metadata!", ADDRESS(INDEX($Q$2:$Q$1001,MATCH(ROWS($O$2:O867),$O$2:$O$1001,0),0), INDEX($V$1004:$AE$1004,1,MATCH(COLUMNS($V$1006:Y1006),$V$1006:$AE$1006,0)))),"Fix")))</f>
        <v>0</v>
      </c>
      <c r="F867" s="4">
        <f>IF(OR(INDEX($P$2:$P$1001,MATCH(ROWS($O$2:O867),$O$2:$O$1001,0),1)&gt;=100000,INDEX($V$1005:$AE$1005,1,MATCH(COLUMNS($V$1006:Z1006),$V$1006:$AE$1006,0))&gt;=100000), " ",IF(INDEX($V$2:$AE$1001,MATCH(ROWS($O$2:O867),$O$2:$O$1001,0),MATCH(COLUMNS($V$1006:Z1006),$V$1006:$AE$1006,0)), HYPERLINK("#",""), HYPERLINK(CONCATENATE("#Metadata!", ADDRESS(INDEX($Q$2:$Q$1001,MATCH(ROWS($O$2:O867),$O$2:$O$1001,0),0), INDEX($V$1004:$AE$1004,1,MATCH(COLUMNS($V$1006:Z1006),$V$1006:$AE$1006,0)))),"Fix")))</f>
        <v>0</v>
      </c>
      <c r="G867" s="4">
        <f>IF(OR(INDEX($P$2:$P$1001,MATCH(ROWS($O$2:O867),$O$2:$O$1001,0),1)&gt;=100000,INDEX($V$1005:$AE$1005,1,MATCH(COLUMNS($V$1006:AA1006),$V$1006:$AE$1006,0))&gt;=100000), " ",IF(INDEX($V$2:$AE$1001,MATCH(ROWS($O$2:O867),$O$2:$O$1001,0),MATCH(COLUMNS($V$1006:AA1006),$V$1006:$AE$1006,0)), HYPERLINK("#",""), HYPERLINK(CONCATENATE("#Metadata!", ADDRESS(INDEX($Q$2:$Q$1001,MATCH(ROWS($O$2:O867),$O$2:$O$1001,0),0), INDEX($V$1004:$AE$1004,1,MATCH(COLUMNS($V$1006:AA1006),$V$1006:$AE$1006,0)))),"Fix")))</f>
        <v>0</v>
      </c>
      <c r="H867" s="4">
        <f>IF(OR(INDEX($P$2:$P$1001,MATCH(ROWS($O$2:O867),$O$2:$O$1001,0),1)&gt;=100000,INDEX($V$1005:$AE$1005,1,MATCH(COLUMNS($V$1006:AB1006),$V$1006:$AE$1006,0))&gt;=100000), " ",IF(INDEX($V$2:$AE$1001,MATCH(ROWS($O$2:O867),$O$2:$O$1001,0),MATCH(COLUMNS($V$1006:AB1006),$V$1006:$AE$1006,0)), HYPERLINK("#",""), HYPERLINK(CONCATENATE("#Metadata!", ADDRESS(INDEX($Q$2:$Q$1001,MATCH(ROWS($O$2:O867),$O$2:$O$1001,0),0), INDEX($V$1004:$AE$1004,1,MATCH(COLUMNS($V$1006:AB1006),$V$1006:$AE$1006,0)))),"Fix")))</f>
        <v>0</v>
      </c>
      <c r="I867" s="4">
        <f>IF(OR(INDEX($P$2:$P$1001,MATCH(ROWS($O$2:O867),$O$2:$O$1001,0),1)&gt;=100000,INDEX($V$1005:$AE$1005,1,MATCH(COLUMNS($V$1006:AC1006),$V$1006:$AE$1006,0))&gt;=100000), " ",IF(INDEX($V$2:$AE$1001,MATCH(ROWS($O$2:O867),$O$2:$O$1001,0),MATCH(COLUMNS($V$1006:AC1006),$V$1006:$AE$1006,0)), HYPERLINK("#",""), HYPERLINK(CONCATENATE("#Metadata!", ADDRESS(INDEX($Q$2:$Q$1001,MATCH(ROWS($O$2:O867),$O$2:$O$1001,0),0), INDEX($V$1004:$AE$1004,1,MATCH(COLUMNS($V$1006:AC1006),$V$1006:$AE$1006,0)))),"Fix")))</f>
        <v>0</v>
      </c>
      <c r="J867" s="4">
        <f>IF(OR(INDEX($P$2:$P$1001,MATCH(ROWS($O$2:O867),$O$2:$O$1001,0),1)&gt;=100000,INDEX($V$1005:$AE$1005,1,MATCH(COLUMNS($V$1006:AD1006),$V$1006:$AE$1006,0))&gt;=100000), " ",IF(INDEX($V$2:$AE$1001,MATCH(ROWS($O$2:O867),$O$2:$O$1001,0),MATCH(COLUMNS($V$1006:AD1006),$V$1006:$AE$1006,0)), HYPERLINK("#",""), HYPERLINK(CONCATENATE("#Metadata!", ADDRESS(INDEX($Q$2:$Q$1001,MATCH(ROWS($O$2:O867),$O$2:$O$1001,0),0), INDEX($V$1004:$AE$1004,1,MATCH(COLUMNS($V$1006:AD1006),$V$1006:$AE$1006,0)))),"Fix")))</f>
        <v>0</v>
      </c>
      <c r="K867" s="4">
        <f>IF(OR(INDEX($P$2:$P$1001,MATCH(ROWS($O$2:O867),$O$2:$O$1001,0),1)&gt;=100000,INDEX($V$1005:$AE$1005,1,MATCH(COLUMNS($V$1006:AE1006),$V$1006:$AE$1006,0))&gt;=100000), " ",IF(INDEX($V$2:$AE$1001,MATCH(ROWS($O$2:O867),$O$2:$O$1001,0),MATCH(COLUMNS($V$1006:AE1006),$V$1006:$AE$1006,0)), HYPERLINK("#",""), HYPERLINK(CONCATENATE("#Metadata!", ADDRESS(INDEX($Q$2:$Q$1001,MATCH(ROWS($O$2:O867),$O$2:$O$1001,0),0), INDEX($V$1004:$AE$1004,1,MATCH(COLUMNS($V$1006:AE1006),$V$1006:$AE$1006,0)))),"Fix")))</f>
        <v>0</v>
      </c>
      <c r="O867">
        <v>0</v>
      </c>
      <c r="P867">
        <v>0</v>
      </c>
      <c r="Q867">
        <v>0</v>
      </c>
      <c r="R867">
        <f>IF(S867,TRUE,AND(V867:AE867))</f>
        <v>0</v>
      </c>
      <c r="S867">
        <f>COUNTBLANK(Metadata!B867:K867)=COLUMNS(Metadata!B867:K867)</f>
        <v>0</v>
      </c>
      <c r="T867">
        <v>0</v>
      </c>
      <c r="V867">
        <f>AND(IF(Metadata!B867="",FALSE,TRUE),COUNTIF(Metadata!B:B, Metadata!B867) = 1,NOT(ISERROR(SUMPRODUCT(SEARCH(MID(Metadata!B867,ROW(INDIRECT("1:"&amp;LEN(Metadata!B867))), 1),"0123456789abcdefghijklmnopqrstuvwxyzABCDEFGHIJKLMNOPQRSTUVWXYZ.")))))</f>
        <v>0</v>
      </c>
      <c r="W867">
        <f>AND(IF(Metadata!C867="",FALSE,TRUE),exact(Metadata!C867,"urban biome"))</f>
        <v>0</v>
      </c>
      <c r="X867">
        <f>AND(IF(Metadata!D867="",FALSE,TRUE),exact(Metadata!D867,"animal-associated habitat"))</f>
        <v>0</v>
      </c>
      <c r="Y867">
        <f>OR(AND(IF(Metadata!E867="",FALSE,TRUE),OR(exact(Metadata!E867,"not applicable"),exact(Metadata!E867,"missing: not collected"),exact(Metadata!E867,"missing: not provided"),exact(Metadata!E867,"missing: restricted access"))),AND(IF(Metadata!E867="",FALSE,ISNUMBER(VALUE(Metadata!E867))),Metadata!E867&gt;0))</f>
        <v>0</v>
      </c>
      <c r="Z867">
        <f>AND(IF(Metadata!F867="",FALSE,TRUE),exact(Metadata!F867,"weeks"))</f>
        <v>0</v>
      </c>
      <c r="AA867">
        <f>AND(IF(Metadata!G867="",FALSE,TRUE),exact(Metadata!G867,"mouse"))</f>
        <v>0</v>
      </c>
      <c r="AB867">
        <f>AND(IF(Metadata!H867="",FALSE,TRUE),exact(Metadata!H867,"Mus musculus"))</f>
        <v>0</v>
      </c>
      <c r="AC867">
        <f>AND(IF(Metadata!I867="",FALSE,TRUE),exact(Metadata!I867,"10090"))</f>
        <v>0</v>
      </c>
      <c r="AD867">
        <f>OR(AND(IF(Metadata!J867="",FALSE,TRUE),OR(exact(Metadata!J867,"not applicable"),exact(Metadata!J867,"missing: not collected"),exact(Metadata!J867,"missing: not provided"),exact(Metadata!J867,"missing: restricted access"))),AND(IF(Metadata!J867="",FALSE,ISNUMBER(VALUE(Metadata!J867))),Metadata!J867&gt;0))</f>
        <v>0</v>
      </c>
      <c r="AE867">
        <f>AND(IF(Metadata!K867="",FALSE,TRUE),exact(Metadata!K867,"g"))</f>
        <v>0</v>
      </c>
    </row>
    <row r="868" spans="1:31">
      <c r="A868" s="5">
        <f>IF(B868=" "," ",HYPERLINK(CONCATENATE("#metadata!",ADDRESS(INDEX($Q$2:$Q$1001,MATCH(ROWS($O$2:O868),$O$2:$O$1001,0),0),1)),INDEX($T$2:$T$1001,MATCH(ROWS($O$2:O868),$O$2:$O$1001,0),0)))</f>
        <v>0</v>
      </c>
      <c r="B868" s="4">
        <f>IF(OR(INDEX($P$2:$P$1001,MATCH(ROWS($O$2:O868),$O$2:$O$1001,0),1)&gt;=100000,INDEX($V$1005:$AE$1005,1,MATCH(COLUMNS($V$1006:V1006),$V$1006:$AE$1006,0))&gt;=100000), " ",IF(INDEX($V$2:$AE$1001,MATCH(ROWS($O$2:O868),$O$2:$O$1001,0),MATCH(COLUMNS($V$1006:V1006),$V$1006:$AE$1006,0)), HYPERLINK("#",""), HYPERLINK(CONCATENATE("#Metadata!", ADDRESS(INDEX($Q$2:$Q$1001,MATCH(ROWS($O$2:O868),$O$2:$O$1001,0),0), INDEX($V$1004:$AE$1004,1,MATCH(COLUMNS($V$1006:V1006),$V$1006:$AE$1006,0)))),"Fix")))</f>
        <v>0</v>
      </c>
      <c r="C868" s="4">
        <f>IF(OR(INDEX($P$2:$P$1001,MATCH(ROWS($O$2:O868),$O$2:$O$1001,0),1)&gt;=100000,INDEX($V$1005:$AE$1005,1,MATCH(COLUMNS($V$1006:W1006),$V$1006:$AE$1006,0))&gt;=100000), " ",IF(INDEX($V$2:$AE$1001,MATCH(ROWS($O$2:O868),$O$2:$O$1001,0),MATCH(COLUMNS($V$1006:W1006),$V$1006:$AE$1006,0)), HYPERLINK("#",""), HYPERLINK(CONCATENATE("#Metadata!", ADDRESS(INDEX($Q$2:$Q$1001,MATCH(ROWS($O$2:O868),$O$2:$O$1001,0),0), INDEX($V$1004:$AE$1004,1,MATCH(COLUMNS($V$1006:W1006),$V$1006:$AE$1006,0)))),"Fix")))</f>
        <v>0</v>
      </c>
      <c r="D868" s="4">
        <f>IF(OR(INDEX($P$2:$P$1001,MATCH(ROWS($O$2:O868),$O$2:$O$1001,0),1)&gt;=100000,INDEX($V$1005:$AE$1005,1,MATCH(COLUMNS($V$1006:X1006),$V$1006:$AE$1006,0))&gt;=100000), " ",IF(INDEX($V$2:$AE$1001,MATCH(ROWS($O$2:O868),$O$2:$O$1001,0),MATCH(COLUMNS($V$1006:X1006),$V$1006:$AE$1006,0)), HYPERLINK("#",""), HYPERLINK(CONCATENATE("#Metadata!", ADDRESS(INDEX($Q$2:$Q$1001,MATCH(ROWS($O$2:O868),$O$2:$O$1001,0),0), INDEX($V$1004:$AE$1004,1,MATCH(COLUMNS($V$1006:X1006),$V$1006:$AE$1006,0)))),"Fix")))</f>
        <v>0</v>
      </c>
      <c r="E868" s="4">
        <f>IF(OR(INDEX($P$2:$P$1001,MATCH(ROWS($O$2:O868),$O$2:$O$1001,0),1)&gt;=100000,INDEX($V$1005:$AE$1005,1,MATCH(COLUMNS($V$1006:Y1006),$V$1006:$AE$1006,0))&gt;=100000), " ",IF(INDEX($V$2:$AE$1001,MATCH(ROWS($O$2:O868),$O$2:$O$1001,0),MATCH(COLUMNS($V$1006:Y1006),$V$1006:$AE$1006,0)), HYPERLINK("#",""), HYPERLINK(CONCATENATE("#Metadata!", ADDRESS(INDEX($Q$2:$Q$1001,MATCH(ROWS($O$2:O868),$O$2:$O$1001,0),0), INDEX($V$1004:$AE$1004,1,MATCH(COLUMNS($V$1006:Y1006),$V$1006:$AE$1006,0)))),"Fix")))</f>
        <v>0</v>
      </c>
      <c r="F868" s="4">
        <f>IF(OR(INDEX($P$2:$P$1001,MATCH(ROWS($O$2:O868),$O$2:$O$1001,0),1)&gt;=100000,INDEX($V$1005:$AE$1005,1,MATCH(COLUMNS($V$1006:Z1006),$V$1006:$AE$1006,0))&gt;=100000), " ",IF(INDEX($V$2:$AE$1001,MATCH(ROWS($O$2:O868),$O$2:$O$1001,0),MATCH(COLUMNS($V$1006:Z1006),$V$1006:$AE$1006,0)), HYPERLINK("#",""), HYPERLINK(CONCATENATE("#Metadata!", ADDRESS(INDEX($Q$2:$Q$1001,MATCH(ROWS($O$2:O868),$O$2:$O$1001,0),0), INDEX($V$1004:$AE$1004,1,MATCH(COLUMNS($V$1006:Z1006),$V$1006:$AE$1006,0)))),"Fix")))</f>
        <v>0</v>
      </c>
      <c r="G868" s="4">
        <f>IF(OR(INDEX($P$2:$P$1001,MATCH(ROWS($O$2:O868),$O$2:$O$1001,0),1)&gt;=100000,INDEX($V$1005:$AE$1005,1,MATCH(COLUMNS($V$1006:AA1006),$V$1006:$AE$1006,0))&gt;=100000), " ",IF(INDEX($V$2:$AE$1001,MATCH(ROWS($O$2:O868),$O$2:$O$1001,0),MATCH(COLUMNS($V$1006:AA1006),$V$1006:$AE$1006,0)), HYPERLINK("#",""), HYPERLINK(CONCATENATE("#Metadata!", ADDRESS(INDEX($Q$2:$Q$1001,MATCH(ROWS($O$2:O868),$O$2:$O$1001,0),0), INDEX($V$1004:$AE$1004,1,MATCH(COLUMNS($V$1006:AA1006),$V$1006:$AE$1006,0)))),"Fix")))</f>
        <v>0</v>
      </c>
      <c r="H868" s="4">
        <f>IF(OR(INDEX($P$2:$P$1001,MATCH(ROWS($O$2:O868),$O$2:$O$1001,0),1)&gt;=100000,INDEX($V$1005:$AE$1005,1,MATCH(COLUMNS($V$1006:AB1006),$V$1006:$AE$1006,0))&gt;=100000), " ",IF(INDEX($V$2:$AE$1001,MATCH(ROWS($O$2:O868),$O$2:$O$1001,0),MATCH(COLUMNS($V$1006:AB1006),$V$1006:$AE$1006,0)), HYPERLINK("#",""), HYPERLINK(CONCATENATE("#Metadata!", ADDRESS(INDEX($Q$2:$Q$1001,MATCH(ROWS($O$2:O868),$O$2:$O$1001,0),0), INDEX($V$1004:$AE$1004,1,MATCH(COLUMNS($V$1006:AB1006),$V$1006:$AE$1006,0)))),"Fix")))</f>
        <v>0</v>
      </c>
      <c r="I868" s="4">
        <f>IF(OR(INDEX($P$2:$P$1001,MATCH(ROWS($O$2:O868),$O$2:$O$1001,0),1)&gt;=100000,INDEX($V$1005:$AE$1005,1,MATCH(COLUMNS($V$1006:AC1006),$V$1006:$AE$1006,0))&gt;=100000), " ",IF(INDEX($V$2:$AE$1001,MATCH(ROWS($O$2:O868),$O$2:$O$1001,0),MATCH(COLUMNS($V$1006:AC1006),$V$1006:$AE$1006,0)), HYPERLINK("#",""), HYPERLINK(CONCATENATE("#Metadata!", ADDRESS(INDEX($Q$2:$Q$1001,MATCH(ROWS($O$2:O868),$O$2:$O$1001,0),0), INDEX($V$1004:$AE$1004,1,MATCH(COLUMNS($V$1006:AC1006),$V$1006:$AE$1006,0)))),"Fix")))</f>
        <v>0</v>
      </c>
      <c r="J868" s="4">
        <f>IF(OR(INDEX($P$2:$P$1001,MATCH(ROWS($O$2:O868),$O$2:$O$1001,0),1)&gt;=100000,INDEX($V$1005:$AE$1005,1,MATCH(COLUMNS($V$1006:AD1006),$V$1006:$AE$1006,0))&gt;=100000), " ",IF(INDEX($V$2:$AE$1001,MATCH(ROWS($O$2:O868),$O$2:$O$1001,0),MATCH(COLUMNS($V$1006:AD1006),$V$1006:$AE$1006,0)), HYPERLINK("#",""), HYPERLINK(CONCATENATE("#Metadata!", ADDRESS(INDEX($Q$2:$Q$1001,MATCH(ROWS($O$2:O868),$O$2:$O$1001,0),0), INDEX($V$1004:$AE$1004,1,MATCH(COLUMNS($V$1006:AD1006),$V$1006:$AE$1006,0)))),"Fix")))</f>
        <v>0</v>
      </c>
      <c r="K868" s="4">
        <f>IF(OR(INDEX($P$2:$P$1001,MATCH(ROWS($O$2:O868),$O$2:$O$1001,0),1)&gt;=100000,INDEX($V$1005:$AE$1005,1,MATCH(COLUMNS($V$1006:AE1006),$V$1006:$AE$1006,0))&gt;=100000), " ",IF(INDEX($V$2:$AE$1001,MATCH(ROWS($O$2:O868),$O$2:$O$1001,0),MATCH(COLUMNS($V$1006:AE1006),$V$1006:$AE$1006,0)), HYPERLINK("#",""), HYPERLINK(CONCATENATE("#Metadata!", ADDRESS(INDEX($Q$2:$Q$1001,MATCH(ROWS($O$2:O868),$O$2:$O$1001,0),0), INDEX($V$1004:$AE$1004,1,MATCH(COLUMNS($V$1006:AE1006),$V$1006:$AE$1006,0)))),"Fix")))</f>
        <v>0</v>
      </c>
      <c r="O868">
        <v>0</v>
      </c>
      <c r="P868">
        <v>0</v>
      </c>
      <c r="Q868">
        <v>0</v>
      </c>
      <c r="R868">
        <f>IF(S868,TRUE,AND(V868:AE868))</f>
        <v>0</v>
      </c>
      <c r="S868">
        <f>COUNTBLANK(Metadata!B868:K868)=COLUMNS(Metadata!B868:K868)</f>
        <v>0</v>
      </c>
      <c r="T868">
        <v>0</v>
      </c>
      <c r="V868">
        <f>AND(IF(Metadata!B868="",FALSE,TRUE),COUNTIF(Metadata!B:B, Metadata!B868) = 1,NOT(ISERROR(SUMPRODUCT(SEARCH(MID(Metadata!B868,ROW(INDIRECT("1:"&amp;LEN(Metadata!B868))), 1),"0123456789abcdefghijklmnopqrstuvwxyzABCDEFGHIJKLMNOPQRSTUVWXYZ.")))))</f>
        <v>0</v>
      </c>
      <c r="W868">
        <f>AND(IF(Metadata!C868="",FALSE,TRUE),exact(Metadata!C868,"urban biome"))</f>
        <v>0</v>
      </c>
      <c r="X868">
        <f>AND(IF(Metadata!D868="",FALSE,TRUE),exact(Metadata!D868,"animal-associated habitat"))</f>
        <v>0</v>
      </c>
      <c r="Y868">
        <f>OR(AND(IF(Metadata!E868="",FALSE,TRUE),OR(exact(Metadata!E868,"not applicable"),exact(Metadata!E868,"missing: not collected"),exact(Metadata!E868,"missing: not provided"),exact(Metadata!E868,"missing: restricted access"))),AND(IF(Metadata!E868="",FALSE,ISNUMBER(VALUE(Metadata!E868))),Metadata!E868&gt;0))</f>
        <v>0</v>
      </c>
      <c r="Z868">
        <f>AND(IF(Metadata!F868="",FALSE,TRUE),exact(Metadata!F868,"weeks"))</f>
        <v>0</v>
      </c>
      <c r="AA868">
        <f>AND(IF(Metadata!G868="",FALSE,TRUE),exact(Metadata!G868,"mouse"))</f>
        <v>0</v>
      </c>
      <c r="AB868">
        <f>AND(IF(Metadata!H868="",FALSE,TRUE),exact(Metadata!H868,"Mus musculus"))</f>
        <v>0</v>
      </c>
      <c r="AC868">
        <f>AND(IF(Metadata!I868="",FALSE,TRUE),exact(Metadata!I868,"10090"))</f>
        <v>0</v>
      </c>
      <c r="AD868">
        <f>OR(AND(IF(Metadata!J868="",FALSE,TRUE),OR(exact(Metadata!J868,"not applicable"),exact(Metadata!J868,"missing: not collected"),exact(Metadata!J868,"missing: not provided"),exact(Metadata!J868,"missing: restricted access"))),AND(IF(Metadata!J868="",FALSE,ISNUMBER(VALUE(Metadata!J868))),Metadata!J868&gt;0))</f>
        <v>0</v>
      </c>
      <c r="AE868">
        <f>AND(IF(Metadata!K868="",FALSE,TRUE),exact(Metadata!K868,"g"))</f>
        <v>0</v>
      </c>
    </row>
    <row r="869" spans="1:31">
      <c r="A869" s="5">
        <f>IF(B869=" "," ",HYPERLINK(CONCATENATE("#metadata!",ADDRESS(INDEX($Q$2:$Q$1001,MATCH(ROWS($O$2:O869),$O$2:$O$1001,0),0),1)),INDEX($T$2:$T$1001,MATCH(ROWS($O$2:O869),$O$2:$O$1001,0),0)))</f>
        <v>0</v>
      </c>
      <c r="B869" s="4">
        <f>IF(OR(INDEX($P$2:$P$1001,MATCH(ROWS($O$2:O869),$O$2:$O$1001,0),1)&gt;=100000,INDEX($V$1005:$AE$1005,1,MATCH(COLUMNS($V$1006:V1006),$V$1006:$AE$1006,0))&gt;=100000), " ",IF(INDEX($V$2:$AE$1001,MATCH(ROWS($O$2:O869),$O$2:$O$1001,0),MATCH(COLUMNS($V$1006:V1006),$V$1006:$AE$1006,0)), HYPERLINK("#",""), HYPERLINK(CONCATENATE("#Metadata!", ADDRESS(INDEX($Q$2:$Q$1001,MATCH(ROWS($O$2:O869),$O$2:$O$1001,0),0), INDEX($V$1004:$AE$1004,1,MATCH(COLUMNS($V$1006:V1006),$V$1006:$AE$1006,0)))),"Fix")))</f>
        <v>0</v>
      </c>
      <c r="C869" s="4">
        <f>IF(OR(INDEX($P$2:$P$1001,MATCH(ROWS($O$2:O869),$O$2:$O$1001,0),1)&gt;=100000,INDEX($V$1005:$AE$1005,1,MATCH(COLUMNS($V$1006:W1006),$V$1006:$AE$1006,0))&gt;=100000), " ",IF(INDEX($V$2:$AE$1001,MATCH(ROWS($O$2:O869),$O$2:$O$1001,0),MATCH(COLUMNS($V$1006:W1006),$V$1006:$AE$1006,0)), HYPERLINK("#",""), HYPERLINK(CONCATENATE("#Metadata!", ADDRESS(INDEX($Q$2:$Q$1001,MATCH(ROWS($O$2:O869),$O$2:$O$1001,0),0), INDEX($V$1004:$AE$1004,1,MATCH(COLUMNS($V$1006:W1006),$V$1006:$AE$1006,0)))),"Fix")))</f>
        <v>0</v>
      </c>
      <c r="D869" s="4">
        <f>IF(OR(INDEX($P$2:$P$1001,MATCH(ROWS($O$2:O869),$O$2:$O$1001,0),1)&gt;=100000,INDEX($V$1005:$AE$1005,1,MATCH(COLUMNS($V$1006:X1006),$V$1006:$AE$1006,0))&gt;=100000), " ",IF(INDEX($V$2:$AE$1001,MATCH(ROWS($O$2:O869),$O$2:$O$1001,0),MATCH(COLUMNS($V$1006:X1006),$V$1006:$AE$1006,0)), HYPERLINK("#",""), HYPERLINK(CONCATENATE("#Metadata!", ADDRESS(INDEX($Q$2:$Q$1001,MATCH(ROWS($O$2:O869),$O$2:$O$1001,0),0), INDEX($V$1004:$AE$1004,1,MATCH(COLUMNS($V$1006:X1006),$V$1006:$AE$1006,0)))),"Fix")))</f>
        <v>0</v>
      </c>
      <c r="E869" s="4">
        <f>IF(OR(INDEX($P$2:$P$1001,MATCH(ROWS($O$2:O869),$O$2:$O$1001,0),1)&gt;=100000,INDEX($V$1005:$AE$1005,1,MATCH(COLUMNS($V$1006:Y1006),$V$1006:$AE$1006,0))&gt;=100000), " ",IF(INDEX($V$2:$AE$1001,MATCH(ROWS($O$2:O869),$O$2:$O$1001,0),MATCH(COLUMNS($V$1006:Y1006),$V$1006:$AE$1006,0)), HYPERLINK("#",""), HYPERLINK(CONCATENATE("#Metadata!", ADDRESS(INDEX($Q$2:$Q$1001,MATCH(ROWS($O$2:O869),$O$2:$O$1001,0),0), INDEX($V$1004:$AE$1004,1,MATCH(COLUMNS($V$1006:Y1006),$V$1006:$AE$1006,0)))),"Fix")))</f>
        <v>0</v>
      </c>
      <c r="F869" s="4">
        <f>IF(OR(INDEX($P$2:$P$1001,MATCH(ROWS($O$2:O869),$O$2:$O$1001,0),1)&gt;=100000,INDEX($V$1005:$AE$1005,1,MATCH(COLUMNS($V$1006:Z1006),$V$1006:$AE$1006,0))&gt;=100000), " ",IF(INDEX($V$2:$AE$1001,MATCH(ROWS($O$2:O869),$O$2:$O$1001,0),MATCH(COLUMNS($V$1006:Z1006),$V$1006:$AE$1006,0)), HYPERLINK("#",""), HYPERLINK(CONCATENATE("#Metadata!", ADDRESS(INDEX($Q$2:$Q$1001,MATCH(ROWS($O$2:O869),$O$2:$O$1001,0),0), INDEX($V$1004:$AE$1004,1,MATCH(COLUMNS($V$1006:Z1006),$V$1006:$AE$1006,0)))),"Fix")))</f>
        <v>0</v>
      </c>
      <c r="G869" s="4">
        <f>IF(OR(INDEX($P$2:$P$1001,MATCH(ROWS($O$2:O869),$O$2:$O$1001,0),1)&gt;=100000,INDEX($V$1005:$AE$1005,1,MATCH(COLUMNS($V$1006:AA1006),$V$1006:$AE$1006,0))&gt;=100000), " ",IF(INDEX($V$2:$AE$1001,MATCH(ROWS($O$2:O869),$O$2:$O$1001,0),MATCH(COLUMNS($V$1006:AA1006),$V$1006:$AE$1006,0)), HYPERLINK("#",""), HYPERLINK(CONCATENATE("#Metadata!", ADDRESS(INDEX($Q$2:$Q$1001,MATCH(ROWS($O$2:O869),$O$2:$O$1001,0),0), INDEX($V$1004:$AE$1004,1,MATCH(COLUMNS($V$1006:AA1006),$V$1006:$AE$1006,0)))),"Fix")))</f>
        <v>0</v>
      </c>
      <c r="H869" s="4">
        <f>IF(OR(INDEX($P$2:$P$1001,MATCH(ROWS($O$2:O869),$O$2:$O$1001,0),1)&gt;=100000,INDEX($V$1005:$AE$1005,1,MATCH(COLUMNS($V$1006:AB1006),$V$1006:$AE$1006,0))&gt;=100000), " ",IF(INDEX($V$2:$AE$1001,MATCH(ROWS($O$2:O869),$O$2:$O$1001,0),MATCH(COLUMNS($V$1006:AB1006),$V$1006:$AE$1006,0)), HYPERLINK("#",""), HYPERLINK(CONCATENATE("#Metadata!", ADDRESS(INDEX($Q$2:$Q$1001,MATCH(ROWS($O$2:O869),$O$2:$O$1001,0),0), INDEX($V$1004:$AE$1004,1,MATCH(COLUMNS($V$1006:AB1006),$V$1006:$AE$1006,0)))),"Fix")))</f>
        <v>0</v>
      </c>
      <c r="I869" s="4">
        <f>IF(OR(INDEX($P$2:$P$1001,MATCH(ROWS($O$2:O869),$O$2:$O$1001,0),1)&gt;=100000,INDEX($V$1005:$AE$1005,1,MATCH(COLUMNS($V$1006:AC1006),$V$1006:$AE$1006,0))&gt;=100000), " ",IF(INDEX($V$2:$AE$1001,MATCH(ROWS($O$2:O869),$O$2:$O$1001,0),MATCH(COLUMNS($V$1006:AC1006),$V$1006:$AE$1006,0)), HYPERLINK("#",""), HYPERLINK(CONCATENATE("#Metadata!", ADDRESS(INDEX($Q$2:$Q$1001,MATCH(ROWS($O$2:O869),$O$2:$O$1001,0),0), INDEX($V$1004:$AE$1004,1,MATCH(COLUMNS($V$1006:AC1006),$V$1006:$AE$1006,0)))),"Fix")))</f>
        <v>0</v>
      </c>
      <c r="J869" s="4">
        <f>IF(OR(INDEX($P$2:$P$1001,MATCH(ROWS($O$2:O869),$O$2:$O$1001,0),1)&gt;=100000,INDEX($V$1005:$AE$1005,1,MATCH(COLUMNS($V$1006:AD1006),$V$1006:$AE$1006,0))&gt;=100000), " ",IF(INDEX($V$2:$AE$1001,MATCH(ROWS($O$2:O869),$O$2:$O$1001,0),MATCH(COLUMNS($V$1006:AD1006),$V$1006:$AE$1006,0)), HYPERLINK("#",""), HYPERLINK(CONCATENATE("#Metadata!", ADDRESS(INDEX($Q$2:$Q$1001,MATCH(ROWS($O$2:O869),$O$2:$O$1001,0),0), INDEX($V$1004:$AE$1004,1,MATCH(COLUMNS($V$1006:AD1006),$V$1006:$AE$1006,0)))),"Fix")))</f>
        <v>0</v>
      </c>
      <c r="K869" s="4">
        <f>IF(OR(INDEX($P$2:$P$1001,MATCH(ROWS($O$2:O869),$O$2:$O$1001,0),1)&gt;=100000,INDEX($V$1005:$AE$1005,1,MATCH(COLUMNS($V$1006:AE1006),$V$1006:$AE$1006,0))&gt;=100000), " ",IF(INDEX($V$2:$AE$1001,MATCH(ROWS($O$2:O869),$O$2:$O$1001,0),MATCH(COLUMNS($V$1006:AE1006),$V$1006:$AE$1006,0)), HYPERLINK("#",""), HYPERLINK(CONCATENATE("#Metadata!", ADDRESS(INDEX($Q$2:$Q$1001,MATCH(ROWS($O$2:O869),$O$2:$O$1001,0),0), INDEX($V$1004:$AE$1004,1,MATCH(COLUMNS($V$1006:AE1006),$V$1006:$AE$1006,0)))),"Fix")))</f>
        <v>0</v>
      </c>
      <c r="O869">
        <v>0</v>
      </c>
      <c r="P869">
        <v>0</v>
      </c>
      <c r="Q869">
        <v>0</v>
      </c>
      <c r="R869">
        <f>IF(S869,TRUE,AND(V869:AE869))</f>
        <v>0</v>
      </c>
      <c r="S869">
        <f>COUNTBLANK(Metadata!B869:K869)=COLUMNS(Metadata!B869:K869)</f>
        <v>0</v>
      </c>
      <c r="T869">
        <v>0</v>
      </c>
      <c r="V869">
        <f>AND(IF(Metadata!B869="",FALSE,TRUE),COUNTIF(Metadata!B:B, Metadata!B869) = 1,NOT(ISERROR(SUMPRODUCT(SEARCH(MID(Metadata!B869,ROW(INDIRECT("1:"&amp;LEN(Metadata!B869))), 1),"0123456789abcdefghijklmnopqrstuvwxyzABCDEFGHIJKLMNOPQRSTUVWXYZ.")))))</f>
        <v>0</v>
      </c>
      <c r="W869">
        <f>AND(IF(Metadata!C869="",FALSE,TRUE),exact(Metadata!C869,"urban biome"))</f>
        <v>0</v>
      </c>
      <c r="X869">
        <f>AND(IF(Metadata!D869="",FALSE,TRUE),exact(Metadata!D869,"animal-associated habitat"))</f>
        <v>0</v>
      </c>
      <c r="Y869">
        <f>OR(AND(IF(Metadata!E869="",FALSE,TRUE),OR(exact(Metadata!E869,"not applicable"),exact(Metadata!E869,"missing: not collected"),exact(Metadata!E869,"missing: not provided"),exact(Metadata!E869,"missing: restricted access"))),AND(IF(Metadata!E869="",FALSE,ISNUMBER(VALUE(Metadata!E869))),Metadata!E869&gt;0))</f>
        <v>0</v>
      </c>
      <c r="Z869">
        <f>AND(IF(Metadata!F869="",FALSE,TRUE),exact(Metadata!F869,"weeks"))</f>
        <v>0</v>
      </c>
      <c r="AA869">
        <f>AND(IF(Metadata!G869="",FALSE,TRUE),exact(Metadata!G869,"mouse"))</f>
        <v>0</v>
      </c>
      <c r="AB869">
        <f>AND(IF(Metadata!H869="",FALSE,TRUE),exact(Metadata!H869,"Mus musculus"))</f>
        <v>0</v>
      </c>
      <c r="AC869">
        <f>AND(IF(Metadata!I869="",FALSE,TRUE),exact(Metadata!I869,"10090"))</f>
        <v>0</v>
      </c>
      <c r="AD869">
        <f>OR(AND(IF(Metadata!J869="",FALSE,TRUE),OR(exact(Metadata!J869,"not applicable"),exact(Metadata!J869,"missing: not collected"),exact(Metadata!J869,"missing: not provided"),exact(Metadata!J869,"missing: restricted access"))),AND(IF(Metadata!J869="",FALSE,ISNUMBER(VALUE(Metadata!J869))),Metadata!J869&gt;0))</f>
        <v>0</v>
      </c>
      <c r="AE869">
        <f>AND(IF(Metadata!K869="",FALSE,TRUE),exact(Metadata!K869,"g"))</f>
        <v>0</v>
      </c>
    </row>
    <row r="870" spans="1:31">
      <c r="A870" s="5">
        <f>IF(B870=" "," ",HYPERLINK(CONCATENATE("#metadata!",ADDRESS(INDEX($Q$2:$Q$1001,MATCH(ROWS($O$2:O870),$O$2:$O$1001,0),0),1)),INDEX($T$2:$T$1001,MATCH(ROWS($O$2:O870),$O$2:$O$1001,0),0)))</f>
        <v>0</v>
      </c>
      <c r="B870" s="4">
        <f>IF(OR(INDEX($P$2:$P$1001,MATCH(ROWS($O$2:O870),$O$2:$O$1001,0),1)&gt;=100000,INDEX($V$1005:$AE$1005,1,MATCH(COLUMNS($V$1006:V1006),$V$1006:$AE$1006,0))&gt;=100000), " ",IF(INDEX($V$2:$AE$1001,MATCH(ROWS($O$2:O870),$O$2:$O$1001,0),MATCH(COLUMNS($V$1006:V1006),$V$1006:$AE$1006,0)), HYPERLINK("#",""), HYPERLINK(CONCATENATE("#Metadata!", ADDRESS(INDEX($Q$2:$Q$1001,MATCH(ROWS($O$2:O870),$O$2:$O$1001,0),0), INDEX($V$1004:$AE$1004,1,MATCH(COLUMNS($V$1006:V1006),$V$1006:$AE$1006,0)))),"Fix")))</f>
        <v>0</v>
      </c>
      <c r="C870" s="4">
        <f>IF(OR(INDEX($P$2:$P$1001,MATCH(ROWS($O$2:O870),$O$2:$O$1001,0),1)&gt;=100000,INDEX($V$1005:$AE$1005,1,MATCH(COLUMNS($V$1006:W1006),$V$1006:$AE$1006,0))&gt;=100000), " ",IF(INDEX($V$2:$AE$1001,MATCH(ROWS($O$2:O870),$O$2:$O$1001,0),MATCH(COLUMNS($V$1006:W1006),$V$1006:$AE$1006,0)), HYPERLINK("#",""), HYPERLINK(CONCATENATE("#Metadata!", ADDRESS(INDEX($Q$2:$Q$1001,MATCH(ROWS($O$2:O870),$O$2:$O$1001,0),0), INDEX($V$1004:$AE$1004,1,MATCH(COLUMNS($V$1006:W1006),$V$1006:$AE$1006,0)))),"Fix")))</f>
        <v>0</v>
      </c>
      <c r="D870" s="4">
        <f>IF(OR(INDEX($P$2:$P$1001,MATCH(ROWS($O$2:O870),$O$2:$O$1001,0),1)&gt;=100000,INDEX($V$1005:$AE$1005,1,MATCH(COLUMNS($V$1006:X1006),$V$1006:$AE$1006,0))&gt;=100000), " ",IF(INDEX($V$2:$AE$1001,MATCH(ROWS($O$2:O870),$O$2:$O$1001,0),MATCH(COLUMNS($V$1006:X1006),$V$1006:$AE$1006,0)), HYPERLINK("#",""), HYPERLINK(CONCATENATE("#Metadata!", ADDRESS(INDEX($Q$2:$Q$1001,MATCH(ROWS($O$2:O870),$O$2:$O$1001,0),0), INDEX($V$1004:$AE$1004,1,MATCH(COLUMNS($V$1006:X1006),$V$1006:$AE$1006,0)))),"Fix")))</f>
        <v>0</v>
      </c>
      <c r="E870" s="4">
        <f>IF(OR(INDEX($P$2:$P$1001,MATCH(ROWS($O$2:O870),$O$2:$O$1001,0),1)&gt;=100000,INDEX($V$1005:$AE$1005,1,MATCH(COLUMNS($V$1006:Y1006),$V$1006:$AE$1006,0))&gt;=100000), " ",IF(INDEX($V$2:$AE$1001,MATCH(ROWS($O$2:O870),$O$2:$O$1001,0),MATCH(COLUMNS($V$1006:Y1006),$V$1006:$AE$1006,0)), HYPERLINK("#",""), HYPERLINK(CONCATENATE("#Metadata!", ADDRESS(INDEX($Q$2:$Q$1001,MATCH(ROWS($O$2:O870),$O$2:$O$1001,0),0), INDEX($V$1004:$AE$1004,1,MATCH(COLUMNS($V$1006:Y1006),$V$1006:$AE$1006,0)))),"Fix")))</f>
        <v>0</v>
      </c>
      <c r="F870" s="4">
        <f>IF(OR(INDEX($P$2:$P$1001,MATCH(ROWS($O$2:O870),$O$2:$O$1001,0),1)&gt;=100000,INDEX($V$1005:$AE$1005,1,MATCH(COLUMNS($V$1006:Z1006),$V$1006:$AE$1006,0))&gt;=100000), " ",IF(INDEX($V$2:$AE$1001,MATCH(ROWS($O$2:O870),$O$2:$O$1001,0),MATCH(COLUMNS($V$1006:Z1006),$V$1006:$AE$1006,0)), HYPERLINK("#",""), HYPERLINK(CONCATENATE("#Metadata!", ADDRESS(INDEX($Q$2:$Q$1001,MATCH(ROWS($O$2:O870),$O$2:$O$1001,0),0), INDEX($V$1004:$AE$1004,1,MATCH(COLUMNS($V$1006:Z1006),$V$1006:$AE$1006,0)))),"Fix")))</f>
        <v>0</v>
      </c>
      <c r="G870" s="4">
        <f>IF(OR(INDEX($P$2:$P$1001,MATCH(ROWS($O$2:O870),$O$2:$O$1001,0),1)&gt;=100000,INDEX($V$1005:$AE$1005,1,MATCH(COLUMNS($V$1006:AA1006),$V$1006:$AE$1006,0))&gt;=100000), " ",IF(INDEX($V$2:$AE$1001,MATCH(ROWS($O$2:O870),$O$2:$O$1001,0),MATCH(COLUMNS($V$1006:AA1006),$V$1006:$AE$1006,0)), HYPERLINK("#",""), HYPERLINK(CONCATENATE("#Metadata!", ADDRESS(INDEX($Q$2:$Q$1001,MATCH(ROWS($O$2:O870),$O$2:$O$1001,0),0), INDEX($V$1004:$AE$1004,1,MATCH(COLUMNS($V$1006:AA1006),$V$1006:$AE$1006,0)))),"Fix")))</f>
        <v>0</v>
      </c>
      <c r="H870" s="4">
        <f>IF(OR(INDEX($P$2:$P$1001,MATCH(ROWS($O$2:O870),$O$2:$O$1001,0),1)&gt;=100000,INDEX($V$1005:$AE$1005,1,MATCH(COLUMNS($V$1006:AB1006),$V$1006:$AE$1006,0))&gt;=100000), " ",IF(INDEX($V$2:$AE$1001,MATCH(ROWS($O$2:O870),$O$2:$O$1001,0),MATCH(COLUMNS($V$1006:AB1006),$V$1006:$AE$1006,0)), HYPERLINK("#",""), HYPERLINK(CONCATENATE("#Metadata!", ADDRESS(INDEX($Q$2:$Q$1001,MATCH(ROWS($O$2:O870),$O$2:$O$1001,0),0), INDEX($V$1004:$AE$1004,1,MATCH(COLUMNS($V$1006:AB1006),$V$1006:$AE$1006,0)))),"Fix")))</f>
        <v>0</v>
      </c>
      <c r="I870" s="4">
        <f>IF(OR(INDEX($P$2:$P$1001,MATCH(ROWS($O$2:O870),$O$2:$O$1001,0),1)&gt;=100000,INDEX($V$1005:$AE$1005,1,MATCH(COLUMNS($V$1006:AC1006),$V$1006:$AE$1006,0))&gt;=100000), " ",IF(INDEX($V$2:$AE$1001,MATCH(ROWS($O$2:O870),$O$2:$O$1001,0),MATCH(COLUMNS($V$1006:AC1006),$V$1006:$AE$1006,0)), HYPERLINK("#",""), HYPERLINK(CONCATENATE("#Metadata!", ADDRESS(INDEX($Q$2:$Q$1001,MATCH(ROWS($O$2:O870),$O$2:$O$1001,0),0), INDEX($V$1004:$AE$1004,1,MATCH(COLUMNS($V$1006:AC1006),$V$1006:$AE$1006,0)))),"Fix")))</f>
        <v>0</v>
      </c>
      <c r="J870" s="4">
        <f>IF(OR(INDEX($P$2:$P$1001,MATCH(ROWS($O$2:O870),$O$2:$O$1001,0),1)&gt;=100000,INDEX($V$1005:$AE$1005,1,MATCH(COLUMNS($V$1006:AD1006),$V$1006:$AE$1006,0))&gt;=100000), " ",IF(INDEX($V$2:$AE$1001,MATCH(ROWS($O$2:O870),$O$2:$O$1001,0),MATCH(COLUMNS($V$1006:AD1006),$V$1006:$AE$1006,0)), HYPERLINK("#",""), HYPERLINK(CONCATENATE("#Metadata!", ADDRESS(INDEX($Q$2:$Q$1001,MATCH(ROWS($O$2:O870),$O$2:$O$1001,0),0), INDEX($V$1004:$AE$1004,1,MATCH(COLUMNS($V$1006:AD1006),$V$1006:$AE$1006,0)))),"Fix")))</f>
        <v>0</v>
      </c>
      <c r="K870" s="4">
        <f>IF(OR(INDEX($P$2:$P$1001,MATCH(ROWS($O$2:O870),$O$2:$O$1001,0),1)&gt;=100000,INDEX($V$1005:$AE$1005,1,MATCH(COLUMNS($V$1006:AE1006),$V$1006:$AE$1006,0))&gt;=100000), " ",IF(INDEX($V$2:$AE$1001,MATCH(ROWS($O$2:O870),$O$2:$O$1001,0),MATCH(COLUMNS($V$1006:AE1006),$V$1006:$AE$1006,0)), HYPERLINK("#",""), HYPERLINK(CONCATENATE("#Metadata!", ADDRESS(INDEX($Q$2:$Q$1001,MATCH(ROWS($O$2:O870),$O$2:$O$1001,0),0), INDEX($V$1004:$AE$1004,1,MATCH(COLUMNS($V$1006:AE1006),$V$1006:$AE$1006,0)))),"Fix")))</f>
        <v>0</v>
      </c>
      <c r="O870">
        <v>0</v>
      </c>
      <c r="P870">
        <v>0</v>
      </c>
      <c r="Q870">
        <v>0</v>
      </c>
      <c r="R870">
        <f>IF(S870,TRUE,AND(V870:AE870))</f>
        <v>0</v>
      </c>
      <c r="S870">
        <f>COUNTBLANK(Metadata!B870:K870)=COLUMNS(Metadata!B870:K870)</f>
        <v>0</v>
      </c>
      <c r="T870">
        <v>0</v>
      </c>
      <c r="V870">
        <f>AND(IF(Metadata!B870="",FALSE,TRUE),COUNTIF(Metadata!B:B, Metadata!B870) = 1,NOT(ISERROR(SUMPRODUCT(SEARCH(MID(Metadata!B870,ROW(INDIRECT("1:"&amp;LEN(Metadata!B870))), 1),"0123456789abcdefghijklmnopqrstuvwxyzABCDEFGHIJKLMNOPQRSTUVWXYZ.")))))</f>
        <v>0</v>
      </c>
      <c r="W870">
        <f>AND(IF(Metadata!C870="",FALSE,TRUE),exact(Metadata!C870,"urban biome"))</f>
        <v>0</v>
      </c>
      <c r="X870">
        <f>AND(IF(Metadata!D870="",FALSE,TRUE),exact(Metadata!D870,"animal-associated habitat"))</f>
        <v>0</v>
      </c>
      <c r="Y870">
        <f>OR(AND(IF(Metadata!E870="",FALSE,TRUE),OR(exact(Metadata!E870,"not applicable"),exact(Metadata!E870,"missing: not collected"),exact(Metadata!E870,"missing: not provided"),exact(Metadata!E870,"missing: restricted access"))),AND(IF(Metadata!E870="",FALSE,ISNUMBER(VALUE(Metadata!E870))),Metadata!E870&gt;0))</f>
        <v>0</v>
      </c>
      <c r="Z870">
        <f>AND(IF(Metadata!F870="",FALSE,TRUE),exact(Metadata!F870,"weeks"))</f>
        <v>0</v>
      </c>
      <c r="AA870">
        <f>AND(IF(Metadata!G870="",FALSE,TRUE),exact(Metadata!G870,"mouse"))</f>
        <v>0</v>
      </c>
      <c r="AB870">
        <f>AND(IF(Metadata!H870="",FALSE,TRUE),exact(Metadata!H870,"Mus musculus"))</f>
        <v>0</v>
      </c>
      <c r="AC870">
        <f>AND(IF(Metadata!I870="",FALSE,TRUE),exact(Metadata!I870,"10090"))</f>
        <v>0</v>
      </c>
      <c r="AD870">
        <f>OR(AND(IF(Metadata!J870="",FALSE,TRUE),OR(exact(Metadata!J870,"not applicable"),exact(Metadata!J870,"missing: not collected"),exact(Metadata!J870,"missing: not provided"),exact(Metadata!J870,"missing: restricted access"))),AND(IF(Metadata!J870="",FALSE,ISNUMBER(VALUE(Metadata!J870))),Metadata!J870&gt;0))</f>
        <v>0</v>
      </c>
      <c r="AE870">
        <f>AND(IF(Metadata!K870="",FALSE,TRUE),exact(Metadata!K870,"g"))</f>
        <v>0</v>
      </c>
    </row>
    <row r="871" spans="1:31">
      <c r="A871" s="5">
        <f>IF(B871=" "," ",HYPERLINK(CONCATENATE("#metadata!",ADDRESS(INDEX($Q$2:$Q$1001,MATCH(ROWS($O$2:O871),$O$2:$O$1001,0),0),1)),INDEX($T$2:$T$1001,MATCH(ROWS($O$2:O871),$O$2:$O$1001,0),0)))</f>
        <v>0</v>
      </c>
      <c r="B871" s="4">
        <f>IF(OR(INDEX($P$2:$P$1001,MATCH(ROWS($O$2:O871),$O$2:$O$1001,0),1)&gt;=100000,INDEX($V$1005:$AE$1005,1,MATCH(COLUMNS($V$1006:V1006),$V$1006:$AE$1006,0))&gt;=100000), " ",IF(INDEX($V$2:$AE$1001,MATCH(ROWS($O$2:O871),$O$2:$O$1001,0),MATCH(COLUMNS($V$1006:V1006),$V$1006:$AE$1006,0)), HYPERLINK("#",""), HYPERLINK(CONCATENATE("#Metadata!", ADDRESS(INDEX($Q$2:$Q$1001,MATCH(ROWS($O$2:O871),$O$2:$O$1001,0),0), INDEX($V$1004:$AE$1004,1,MATCH(COLUMNS($V$1006:V1006),$V$1006:$AE$1006,0)))),"Fix")))</f>
        <v>0</v>
      </c>
      <c r="C871" s="4">
        <f>IF(OR(INDEX($P$2:$P$1001,MATCH(ROWS($O$2:O871),$O$2:$O$1001,0),1)&gt;=100000,INDEX($V$1005:$AE$1005,1,MATCH(COLUMNS($V$1006:W1006),$V$1006:$AE$1006,0))&gt;=100000), " ",IF(INDEX($V$2:$AE$1001,MATCH(ROWS($O$2:O871),$O$2:$O$1001,0),MATCH(COLUMNS($V$1006:W1006),$V$1006:$AE$1006,0)), HYPERLINK("#",""), HYPERLINK(CONCATENATE("#Metadata!", ADDRESS(INDEX($Q$2:$Q$1001,MATCH(ROWS($O$2:O871),$O$2:$O$1001,0),0), INDEX($V$1004:$AE$1004,1,MATCH(COLUMNS($V$1006:W1006),$V$1006:$AE$1006,0)))),"Fix")))</f>
        <v>0</v>
      </c>
      <c r="D871" s="4">
        <f>IF(OR(INDEX($P$2:$P$1001,MATCH(ROWS($O$2:O871),$O$2:$O$1001,0),1)&gt;=100000,INDEX($V$1005:$AE$1005,1,MATCH(COLUMNS($V$1006:X1006),$V$1006:$AE$1006,0))&gt;=100000), " ",IF(INDEX($V$2:$AE$1001,MATCH(ROWS($O$2:O871),$O$2:$O$1001,0),MATCH(COLUMNS($V$1006:X1006),$V$1006:$AE$1006,0)), HYPERLINK("#",""), HYPERLINK(CONCATENATE("#Metadata!", ADDRESS(INDEX($Q$2:$Q$1001,MATCH(ROWS($O$2:O871),$O$2:$O$1001,0),0), INDEX($V$1004:$AE$1004,1,MATCH(COLUMNS($V$1006:X1006),$V$1006:$AE$1006,0)))),"Fix")))</f>
        <v>0</v>
      </c>
      <c r="E871" s="4">
        <f>IF(OR(INDEX($P$2:$P$1001,MATCH(ROWS($O$2:O871),$O$2:$O$1001,0),1)&gt;=100000,INDEX($V$1005:$AE$1005,1,MATCH(COLUMNS($V$1006:Y1006),$V$1006:$AE$1006,0))&gt;=100000), " ",IF(INDEX($V$2:$AE$1001,MATCH(ROWS($O$2:O871),$O$2:$O$1001,0),MATCH(COLUMNS($V$1006:Y1006),$V$1006:$AE$1006,0)), HYPERLINK("#",""), HYPERLINK(CONCATENATE("#Metadata!", ADDRESS(INDEX($Q$2:$Q$1001,MATCH(ROWS($O$2:O871),$O$2:$O$1001,0),0), INDEX($V$1004:$AE$1004,1,MATCH(COLUMNS($V$1006:Y1006),$V$1006:$AE$1006,0)))),"Fix")))</f>
        <v>0</v>
      </c>
      <c r="F871" s="4">
        <f>IF(OR(INDEX($P$2:$P$1001,MATCH(ROWS($O$2:O871),$O$2:$O$1001,0),1)&gt;=100000,INDEX($V$1005:$AE$1005,1,MATCH(COLUMNS($V$1006:Z1006),$V$1006:$AE$1006,0))&gt;=100000), " ",IF(INDEX($V$2:$AE$1001,MATCH(ROWS($O$2:O871),$O$2:$O$1001,0),MATCH(COLUMNS($V$1006:Z1006),$V$1006:$AE$1006,0)), HYPERLINK("#",""), HYPERLINK(CONCATENATE("#Metadata!", ADDRESS(INDEX($Q$2:$Q$1001,MATCH(ROWS($O$2:O871),$O$2:$O$1001,0),0), INDEX($V$1004:$AE$1004,1,MATCH(COLUMNS($V$1006:Z1006),$V$1006:$AE$1006,0)))),"Fix")))</f>
        <v>0</v>
      </c>
      <c r="G871" s="4">
        <f>IF(OR(INDEX($P$2:$P$1001,MATCH(ROWS($O$2:O871),$O$2:$O$1001,0),1)&gt;=100000,INDEX($V$1005:$AE$1005,1,MATCH(COLUMNS($V$1006:AA1006),$V$1006:$AE$1006,0))&gt;=100000), " ",IF(INDEX($V$2:$AE$1001,MATCH(ROWS($O$2:O871),$O$2:$O$1001,0),MATCH(COLUMNS($V$1006:AA1006),$V$1006:$AE$1006,0)), HYPERLINK("#",""), HYPERLINK(CONCATENATE("#Metadata!", ADDRESS(INDEX($Q$2:$Q$1001,MATCH(ROWS($O$2:O871),$O$2:$O$1001,0),0), INDEX($V$1004:$AE$1004,1,MATCH(COLUMNS($V$1006:AA1006),$V$1006:$AE$1006,0)))),"Fix")))</f>
        <v>0</v>
      </c>
      <c r="H871" s="4">
        <f>IF(OR(INDEX($P$2:$P$1001,MATCH(ROWS($O$2:O871),$O$2:$O$1001,0),1)&gt;=100000,INDEX($V$1005:$AE$1005,1,MATCH(COLUMNS($V$1006:AB1006),$V$1006:$AE$1006,0))&gt;=100000), " ",IF(INDEX($V$2:$AE$1001,MATCH(ROWS($O$2:O871),$O$2:$O$1001,0),MATCH(COLUMNS($V$1006:AB1006),$V$1006:$AE$1006,0)), HYPERLINK("#",""), HYPERLINK(CONCATENATE("#Metadata!", ADDRESS(INDEX($Q$2:$Q$1001,MATCH(ROWS($O$2:O871),$O$2:$O$1001,0),0), INDEX($V$1004:$AE$1004,1,MATCH(COLUMNS($V$1006:AB1006),$V$1006:$AE$1006,0)))),"Fix")))</f>
        <v>0</v>
      </c>
      <c r="I871" s="4">
        <f>IF(OR(INDEX($P$2:$P$1001,MATCH(ROWS($O$2:O871),$O$2:$O$1001,0),1)&gt;=100000,INDEX($V$1005:$AE$1005,1,MATCH(COLUMNS($V$1006:AC1006),$V$1006:$AE$1006,0))&gt;=100000), " ",IF(INDEX($V$2:$AE$1001,MATCH(ROWS($O$2:O871),$O$2:$O$1001,0),MATCH(COLUMNS($V$1006:AC1006),$V$1006:$AE$1006,0)), HYPERLINK("#",""), HYPERLINK(CONCATENATE("#Metadata!", ADDRESS(INDEX($Q$2:$Q$1001,MATCH(ROWS($O$2:O871),$O$2:$O$1001,0),0), INDEX($V$1004:$AE$1004,1,MATCH(COLUMNS($V$1006:AC1006),$V$1006:$AE$1006,0)))),"Fix")))</f>
        <v>0</v>
      </c>
      <c r="J871" s="4">
        <f>IF(OR(INDEX($P$2:$P$1001,MATCH(ROWS($O$2:O871),$O$2:$O$1001,0),1)&gt;=100000,INDEX($V$1005:$AE$1005,1,MATCH(COLUMNS($V$1006:AD1006),$V$1006:$AE$1006,0))&gt;=100000), " ",IF(INDEX($V$2:$AE$1001,MATCH(ROWS($O$2:O871),$O$2:$O$1001,0),MATCH(COLUMNS($V$1006:AD1006),$V$1006:$AE$1006,0)), HYPERLINK("#",""), HYPERLINK(CONCATENATE("#Metadata!", ADDRESS(INDEX($Q$2:$Q$1001,MATCH(ROWS($O$2:O871),$O$2:$O$1001,0),0), INDEX($V$1004:$AE$1004,1,MATCH(COLUMNS($V$1006:AD1006),$V$1006:$AE$1006,0)))),"Fix")))</f>
        <v>0</v>
      </c>
      <c r="K871" s="4">
        <f>IF(OR(INDEX($P$2:$P$1001,MATCH(ROWS($O$2:O871),$O$2:$O$1001,0),1)&gt;=100000,INDEX($V$1005:$AE$1005,1,MATCH(COLUMNS($V$1006:AE1006),$V$1006:$AE$1006,0))&gt;=100000), " ",IF(INDEX($V$2:$AE$1001,MATCH(ROWS($O$2:O871),$O$2:$O$1001,0),MATCH(COLUMNS($V$1006:AE1006),$V$1006:$AE$1006,0)), HYPERLINK("#",""), HYPERLINK(CONCATENATE("#Metadata!", ADDRESS(INDEX($Q$2:$Q$1001,MATCH(ROWS($O$2:O871),$O$2:$O$1001,0),0), INDEX($V$1004:$AE$1004,1,MATCH(COLUMNS($V$1006:AE1006),$V$1006:$AE$1006,0)))),"Fix")))</f>
        <v>0</v>
      </c>
      <c r="O871">
        <v>0</v>
      </c>
      <c r="P871">
        <v>0</v>
      </c>
      <c r="Q871">
        <v>0</v>
      </c>
      <c r="R871">
        <f>IF(S871,TRUE,AND(V871:AE871))</f>
        <v>0</v>
      </c>
      <c r="S871">
        <f>COUNTBLANK(Metadata!B871:K871)=COLUMNS(Metadata!B871:K871)</f>
        <v>0</v>
      </c>
      <c r="T871">
        <v>0</v>
      </c>
      <c r="V871">
        <f>AND(IF(Metadata!B871="",FALSE,TRUE),COUNTIF(Metadata!B:B, Metadata!B871) = 1,NOT(ISERROR(SUMPRODUCT(SEARCH(MID(Metadata!B871,ROW(INDIRECT("1:"&amp;LEN(Metadata!B871))), 1),"0123456789abcdefghijklmnopqrstuvwxyzABCDEFGHIJKLMNOPQRSTUVWXYZ.")))))</f>
        <v>0</v>
      </c>
      <c r="W871">
        <f>AND(IF(Metadata!C871="",FALSE,TRUE),exact(Metadata!C871,"urban biome"))</f>
        <v>0</v>
      </c>
      <c r="X871">
        <f>AND(IF(Metadata!D871="",FALSE,TRUE),exact(Metadata!D871,"animal-associated habitat"))</f>
        <v>0</v>
      </c>
      <c r="Y871">
        <f>OR(AND(IF(Metadata!E871="",FALSE,TRUE),OR(exact(Metadata!E871,"not applicable"),exact(Metadata!E871,"missing: not collected"),exact(Metadata!E871,"missing: not provided"),exact(Metadata!E871,"missing: restricted access"))),AND(IF(Metadata!E871="",FALSE,ISNUMBER(VALUE(Metadata!E871))),Metadata!E871&gt;0))</f>
        <v>0</v>
      </c>
      <c r="Z871">
        <f>AND(IF(Metadata!F871="",FALSE,TRUE),exact(Metadata!F871,"weeks"))</f>
        <v>0</v>
      </c>
      <c r="AA871">
        <f>AND(IF(Metadata!G871="",FALSE,TRUE),exact(Metadata!G871,"mouse"))</f>
        <v>0</v>
      </c>
      <c r="AB871">
        <f>AND(IF(Metadata!H871="",FALSE,TRUE),exact(Metadata!H871,"Mus musculus"))</f>
        <v>0</v>
      </c>
      <c r="AC871">
        <f>AND(IF(Metadata!I871="",FALSE,TRUE),exact(Metadata!I871,"10090"))</f>
        <v>0</v>
      </c>
      <c r="AD871">
        <f>OR(AND(IF(Metadata!J871="",FALSE,TRUE),OR(exact(Metadata!J871,"not applicable"),exact(Metadata!J871,"missing: not collected"),exact(Metadata!J871,"missing: not provided"),exact(Metadata!J871,"missing: restricted access"))),AND(IF(Metadata!J871="",FALSE,ISNUMBER(VALUE(Metadata!J871))),Metadata!J871&gt;0))</f>
        <v>0</v>
      </c>
      <c r="AE871">
        <f>AND(IF(Metadata!K871="",FALSE,TRUE),exact(Metadata!K871,"g"))</f>
        <v>0</v>
      </c>
    </row>
    <row r="872" spans="1:31">
      <c r="A872" s="5">
        <f>IF(B872=" "," ",HYPERLINK(CONCATENATE("#metadata!",ADDRESS(INDEX($Q$2:$Q$1001,MATCH(ROWS($O$2:O872),$O$2:$O$1001,0),0),1)),INDEX($T$2:$T$1001,MATCH(ROWS($O$2:O872),$O$2:$O$1001,0),0)))</f>
        <v>0</v>
      </c>
      <c r="B872" s="4">
        <f>IF(OR(INDEX($P$2:$P$1001,MATCH(ROWS($O$2:O872),$O$2:$O$1001,0),1)&gt;=100000,INDEX($V$1005:$AE$1005,1,MATCH(COLUMNS($V$1006:V1006),$V$1006:$AE$1006,0))&gt;=100000), " ",IF(INDEX($V$2:$AE$1001,MATCH(ROWS($O$2:O872),$O$2:$O$1001,0),MATCH(COLUMNS($V$1006:V1006),$V$1006:$AE$1006,0)), HYPERLINK("#",""), HYPERLINK(CONCATENATE("#Metadata!", ADDRESS(INDEX($Q$2:$Q$1001,MATCH(ROWS($O$2:O872),$O$2:$O$1001,0),0), INDEX($V$1004:$AE$1004,1,MATCH(COLUMNS($V$1006:V1006),$V$1006:$AE$1006,0)))),"Fix")))</f>
        <v>0</v>
      </c>
      <c r="C872" s="4">
        <f>IF(OR(INDEX($P$2:$P$1001,MATCH(ROWS($O$2:O872),$O$2:$O$1001,0),1)&gt;=100000,INDEX($V$1005:$AE$1005,1,MATCH(COLUMNS($V$1006:W1006),$V$1006:$AE$1006,0))&gt;=100000), " ",IF(INDEX($V$2:$AE$1001,MATCH(ROWS($O$2:O872),$O$2:$O$1001,0),MATCH(COLUMNS($V$1006:W1006),$V$1006:$AE$1006,0)), HYPERLINK("#",""), HYPERLINK(CONCATENATE("#Metadata!", ADDRESS(INDEX($Q$2:$Q$1001,MATCH(ROWS($O$2:O872),$O$2:$O$1001,0),0), INDEX($V$1004:$AE$1004,1,MATCH(COLUMNS($V$1006:W1006),$V$1006:$AE$1006,0)))),"Fix")))</f>
        <v>0</v>
      </c>
      <c r="D872" s="4">
        <f>IF(OR(INDEX($P$2:$P$1001,MATCH(ROWS($O$2:O872),$O$2:$O$1001,0),1)&gt;=100000,INDEX($V$1005:$AE$1005,1,MATCH(COLUMNS($V$1006:X1006),$V$1006:$AE$1006,0))&gt;=100000), " ",IF(INDEX($V$2:$AE$1001,MATCH(ROWS($O$2:O872),$O$2:$O$1001,0),MATCH(COLUMNS($V$1006:X1006),$V$1006:$AE$1006,0)), HYPERLINK("#",""), HYPERLINK(CONCATENATE("#Metadata!", ADDRESS(INDEX($Q$2:$Q$1001,MATCH(ROWS($O$2:O872),$O$2:$O$1001,0),0), INDEX($V$1004:$AE$1004,1,MATCH(COLUMNS($V$1006:X1006),$V$1006:$AE$1006,0)))),"Fix")))</f>
        <v>0</v>
      </c>
      <c r="E872" s="4">
        <f>IF(OR(INDEX($P$2:$P$1001,MATCH(ROWS($O$2:O872),$O$2:$O$1001,0),1)&gt;=100000,INDEX($V$1005:$AE$1005,1,MATCH(COLUMNS($V$1006:Y1006),$V$1006:$AE$1006,0))&gt;=100000), " ",IF(INDEX($V$2:$AE$1001,MATCH(ROWS($O$2:O872),$O$2:$O$1001,0),MATCH(COLUMNS($V$1006:Y1006),$V$1006:$AE$1006,0)), HYPERLINK("#",""), HYPERLINK(CONCATENATE("#Metadata!", ADDRESS(INDEX($Q$2:$Q$1001,MATCH(ROWS($O$2:O872),$O$2:$O$1001,0),0), INDEX($V$1004:$AE$1004,1,MATCH(COLUMNS($V$1006:Y1006),$V$1006:$AE$1006,0)))),"Fix")))</f>
        <v>0</v>
      </c>
      <c r="F872" s="4">
        <f>IF(OR(INDEX($P$2:$P$1001,MATCH(ROWS($O$2:O872),$O$2:$O$1001,0),1)&gt;=100000,INDEX($V$1005:$AE$1005,1,MATCH(COLUMNS($V$1006:Z1006),$V$1006:$AE$1006,0))&gt;=100000), " ",IF(INDEX($V$2:$AE$1001,MATCH(ROWS($O$2:O872),$O$2:$O$1001,0),MATCH(COLUMNS($V$1006:Z1006),$V$1006:$AE$1006,0)), HYPERLINK("#",""), HYPERLINK(CONCATENATE("#Metadata!", ADDRESS(INDEX($Q$2:$Q$1001,MATCH(ROWS($O$2:O872),$O$2:$O$1001,0),0), INDEX($V$1004:$AE$1004,1,MATCH(COLUMNS($V$1006:Z1006),$V$1006:$AE$1006,0)))),"Fix")))</f>
        <v>0</v>
      </c>
      <c r="G872" s="4">
        <f>IF(OR(INDEX($P$2:$P$1001,MATCH(ROWS($O$2:O872),$O$2:$O$1001,0),1)&gt;=100000,INDEX($V$1005:$AE$1005,1,MATCH(COLUMNS($V$1006:AA1006),$V$1006:$AE$1006,0))&gt;=100000), " ",IF(INDEX($V$2:$AE$1001,MATCH(ROWS($O$2:O872),$O$2:$O$1001,0),MATCH(COLUMNS($V$1006:AA1006),$V$1006:$AE$1006,0)), HYPERLINK("#",""), HYPERLINK(CONCATENATE("#Metadata!", ADDRESS(INDEX($Q$2:$Q$1001,MATCH(ROWS($O$2:O872),$O$2:$O$1001,0),0), INDEX($V$1004:$AE$1004,1,MATCH(COLUMNS($V$1006:AA1006),$V$1006:$AE$1006,0)))),"Fix")))</f>
        <v>0</v>
      </c>
      <c r="H872" s="4">
        <f>IF(OR(INDEX($P$2:$P$1001,MATCH(ROWS($O$2:O872),$O$2:$O$1001,0),1)&gt;=100000,INDEX($V$1005:$AE$1005,1,MATCH(COLUMNS($V$1006:AB1006),$V$1006:$AE$1006,0))&gt;=100000), " ",IF(INDEX($V$2:$AE$1001,MATCH(ROWS($O$2:O872),$O$2:$O$1001,0),MATCH(COLUMNS($V$1006:AB1006),$V$1006:$AE$1006,0)), HYPERLINK("#",""), HYPERLINK(CONCATENATE("#Metadata!", ADDRESS(INDEX($Q$2:$Q$1001,MATCH(ROWS($O$2:O872),$O$2:$O$1001,0),0), INDEX($V$1004:$AE$1004,1,MATCH(COLUMNS($V$1006:AB1006),$V$1006:$AE$1006,0)))),"Fix")))</f>
        <v>0</v>
      </c>
      <c r="I872" s="4">
        <f>IF(OR(INDEX($P$2:$P$1001,MATCH(ROWS($O$2:O872),$O$2:$O$1001,0),1)&gt;=100000,INDEX($V$1005:$AE$1005,1,MATCH(COLUMNS($V$1006:AC1006),$V$1006:$AE$1006,0))&gt;=100000), " ",IF(INDEX($V$2:$AE$1001,MATCH(ROWS($O$2:O872),$O$2:$O$1001,0),MATCH(COLUMNS($V$1006:AC1006),$V$1006:$AE$1006,0)), HYPERLINK("#",""), HYPERLINK(CONCATENATE("#Metadata!", ADDRESS(INDEX($Q$2:$Q$1001,MATCH(ROWS($O$2:O872),$O$2:$O$1001,0),0), INDEX($V$1004:$AE$1004,1,MATCH(COLUMNS($V$1006:AC1006),$V$1006:$AE$1006,0)))),"Fix")))</f>
        <v>0</v>
      </c>
      <c r="J872" s="4">
        <f>IF(OR(INDEX($P$2:$P$1001,MATCH(ROWS($O$2:O872),$O$2:$O$1001,0),1)&gt;=100000,INDEX($V$1005:$AE$1005,1,MATCH(COLUMNS($V$1006:AD1006),$V$1006:$AE$1006,0))&gt;=100000), " ",IF(INDEX($V$2:$AE$1001,MATCH(ROWS($O$2:O872),$O$2:$O$1001,0),MATCH(COLUMNS($V$1006:AD1006),$V$1006:$AE$1006,0)), HYPERLINK("#",""), HYPERLINK(CONCATENATE("#Metadata!", ADDRESS(INDEX($Q$2:$Q$1001,MATCH(ROWS($O$2:O872),$O$2:$O$1001,0),0), INDEX($V$1004:$AE$1004,1,MATCH(COLUMNS($V$1006:AD1006),$V$1006:$AE$1006,0)))),"Fix")))</f>
        <v>0</v>
      </c>
      <c r="K872" s="4">
        <f>IF(OR(INDEX($P$2:$P$1001,MATCH(ROWS($O$2:O872),$O$2:$O$1001,0),1)&gt;=100000,INDEX($V$1005:$AE$1005,1,MATCH(COLUMNS($V$1006:AE1006),$V$1006:$AE$1006,0))&gt;=100000), " ",IF(INDEX($V$2:$AE$1001,MATCH(ROWS($O$2:O872),$O$2:$O$1001,0),MATCH(COLUMNS($V$1006:AE1006),$V$1006:$AE$1006,0)), HYPERLINK("#",""), HYPERLINK(CONCATENATE("#Metadata!", ADDRESS(INDEX($Q$2:$Q$1001,MATCH(ROWS($O$2:O872),$O$2:$O$1001,0),0), INDEX($V$1004:$AE$1004,1,MATCH(COLUMNS($V$1006:AE1006),$V$1006:$AE$1006,0)))),"Fix")))</f>
        <v>0</v>
      </c>
      <c r="O872">
        <v>0</v>
      </c>
      <c r="P872">
        <v>0</v>
      </c>
      <c r="Q872">
        <v>0</v>
      </c>
      <c r="R872">
        <f>IF(S872,TRUE,AND(V872:AE872))</f>
        <v>0</v>
      </c>
      <c r="S872">
        <f>COUNTBLANK(Metadata!B872:K872)=COLUMNS(Metadata!B872:K872)</f>
        <v>0</v>
      </c>
      <c r="T872">
        <v>0</v>
      </c>
      <c r="V872">
        <f>AND(IF(Metadata!B872="",FALSE,TRUE),COUNTIF(Metadata!B:B, Metadata!B872) = 1,NOT(ISERROR(SUMPRODUCT(SEARCH(MID(Metadata!B872,ROW(INDIRECT("1:"&amp;LEN(Metadata!B872))), 1),"0123456789abcdefghijklmnopqrstuvwxyzABCDEFGHIJKLMNOPQRSTUVWXYZ.")))))</f>
        <v>0</v>
      </c>
      <c r="W872">
        <f>AND(IF(Metadata!C872="",FALSE,TRUE),exact(Metadata!C872,"urban biome"))</f>
        <v>0</v>
      </c>
      <c r="X872">
        <f>AND(IF(Metadata!D872="",FALSE,TRUE),exact(Metadata!D872,"animal-associated habitat"))</f>
        <v>0</v>
      </c>
      <c r="Y872">
        <f>OR(AND(IF(Metadata!E872="",FALSE,TRUE),OR(exact(Metadata!E872,"not applicable"),exact(Metadata!E872,"missing: not collected"),exact(Metadata!E872,"missing: not provided"),exact(Metadata!E872,"missing: restricted access"))),AND(IF(Metadata!E872="",FALSE,ISNUMBER(VALUE(Metadata!E872))),Metadata!E872&gt;0))</f>
        <v>0</v>
      </c>
      <c r="Z872">
        <f>AND(IF(Metadata!F872="",FALSE,TRUE),exact(Metadata!F872,"weeks"))</f>
        <v>0</v>
      </c>
      <c r="AA872">
        <f>AND(IF(Metadata!G872="",FALSE,TRUE),exact(Metadata!G872,"mouse"))</f>
        <v>0</v>
      </c>
      <c r="AB872">
        <f>AND(IF(Metadata!H872="",FALSE,TRUE),exact(Metadata!H872,"Mus musculus"))</f>
        <v>0</v>
      </c>
      <c r="AC872">
        <f>AND(IF(Metadata!I872="",FALSE,TRUE),exact(Metadata!I872,"10090"))</f>
        <v>0</v>
      </c>
      <c r="AD872">
        <f>OR(AND(IF(Metadata!J872="",FALSE,TRUE),OR(exact(Metadata!J872,"not applicable"),exact(Metadata!J872,"missing: not collected"),exact(Metadata!J872,"missing: not provided"),exact(Metadata!J872,"missing: restricted access"))),AND(IF(Metadata!J872="",FALSE,ISNUMBER(VALUE(Metadata!J872))),Metadata!J872&gt;0))</f>
        <v>0</v>
      </c>
      <c r="AE872">
        <f>AND(IF(Metadata!K872="",FALSE,TRUE),exact(Metadata!K872,"g"))</f>
        <v>0</v>
      </c>
    </row>
    <row r="873" spans="1:31">
      <c r="A873" s="5">
        <f>IF(B873=" "," ",HYPERLINK(CONCATENATE("#metadata!",ADDRESS(INDEX($Q$2:$Q$1001,MATCH(ROWS($O$2:O873),$O$2:$O$1001,0),0),1)),INDEX($T$2:$T$1001,MATCH(ROWS($O$2:O873),$O$2:$O$1001,0),0)))</f>
        <v>0</v>
      </c>
      <c r="B873" s="4">
        <f>IF(OR(INDEX($P$2:$P$1001,MATCH(ROWS($O$2:O873),$O$2:$O$1001,0),1)&gt;=100000,INDEX($V$1005:$AE$1005,1,MATCH(COLUMNS($V$1006:V1006),$V$1006:$AE$1006,0))&gt;=100000), " ",IF(INDEX($V$2:$AE$1001,MATCH(ROWS($O$2:O873),$O$2:$O$1001,0),MATCH(COLUMNS($V$1006:V1006),$V$1006:$AE$1006,0)), HYPERLINK("#",""), HYPERLINK(CONCATENATE("#Metadata!", ADDRESS(INDEX($Q$2:$Q$1001,MATCH(ROWS($O$2:O873),$O$2:$O$1001,0),0), INDEX($V$1004:$AE$1004,1,MATCH(COLUMNS($V$1006:V1006),$V$1006:$AE$1006,0)))),"Fix")))</f>
        <v>0</v>
      </c>
      <c r="C873" s="4">
        <f>IF(OR(INDEX($P$2:$P$1001,MATCH(ROWS($O$2:O873),$O$2:$O$1001,0),1)&gt;=100000,INDEX($V$1005:$AE$1005,1,MATCH(COLUMNS($V$1006:W1006),$V$1006:$AE$1006,0))&gt;=100000), " ",IF(INDEX($V$2:$AE$1001,MATCH(ROWS($O$2:O873),$O$2:$O$1001,0),MATCH(COLUMNS($V$1006:W1006),$V$1006:$AE$1006,0)), HYPERLINK("#",""), HYPERLINK(CONCATENATE("#Metadata!", ADDRESS(INDEX($Q$2:$Q$1001,MATCH(ROWS($O$2:O873),$O$2:$O$1001,0),0), INDEX($V$1004:$AE$1004,1,MATCH(COLUMNS($V$1006:W1006),$V$1006:$AE$1006,0)))),"Fix")))</f>
        <v>0</v>
      </c>
      <c r="D873" s="4">
        <f>IF(OR(INDEX($P$2:$P$1001,MATCH(ROWS($O$2:O873),$O$2:$O$1001,0),1)&gt;=100000,INDEX($V$1005:$AE$1005,1,MATCH(COLUMNS($V$1006:X1006),$V$1006:$AE$1006,0))&gt;=100000), " ",IF(INDEX($V$2:$AE$1001,MATCH(ROWS($O$2:O873),$O$2:$O$1001,0),MATCH(COLUMNS($V$1006:X1006),$V$1006:$AE$1006,0)), HYPERLINK("#",""), HYPERLINK(CONCATENATE("#Metadata!", ADDRESS(INDEX($Q$2:$Q$1001,MATCH(ROWS($O$2:O873),$O$2:$O$1001,0),0), INDEX($V$1004:$AE$1004,1,MATCH(COLUMNS($V$1006:X1006),$V$1006:$AE$1006,0)))),"Fix")))</f>
        <v>0</v>
      </c>
      <c r="E873" s="4">
        <f>IF(OR(INDEX($P$2:$P$1001,MATCH(ROWS($O$2:O873),$O$2:$O$1001,0),1)&gt;=100000,INDEX($V$1005:$AE$1005,1,MATCH(COLUMNS($V$1006:Y1006),$V$1006:$AE$1006,0))&gt;=100000), " ",IF(INDEX($V$2:$AE$1001,MATCH(ROWS($O$2:O873),$O$2:$O$1001,0),MATCH(COLUMNS($V$1006:Y1006),$V$1006:$AE$1006,0)), HYPERLINK("#",""), HYPERLINK(CONCATENATE("#Metadata!", ADDRESS(INDEX($Q$2:$Q$1001,MATCH(ROWS($O$2:O873),$O$2:$O$1001,0),0), INDEX($V$1004:$AE$1004,1,MATCH(COLUMNS($V$1006:Y1006),$V$1006:$AE$1006,0)))),"Fix")))</f>
        <v>0</v>
      </c>
      <c r="F873" s="4">
        <f>IF(OR(INDEX($P$2:$P$1001,MATCH(ROWS($O$2:O873),$O$2:$O$1001,0),1)&gt;=100000,INDEX($V$1005:$AE$1005,1,MATCH(COLUMNS($V$1006:Z1006),$V$1006:$AE$1006,0))&gt;=100000), " ",IF(INDEX($V$2:$AE$1001,MATCH(ROWS($O$2:O873),$O$2:$O$1001,0),MATCH(COLUMNS($V$1006:Z1006),$V$1006:$AE$1006,0)), HYPERLINK("#",""), HYPERLINK(CONCATENATE("#Metadata!", ADDRESS(INDEX($Q$2:$Q$1001,MATCH(ROWS($O$2:O873),$O$2:$O$1001,0),0), INDEX($V$1004:$AE$1004,1,MATCH(COLUMNS($V$1006:Z1006),$V$1006:$AE$1006,0)))),"Fix")))</f>
        <v>0</v>
      </c>
      <c r="G873" s="4">
        <f>IF(OR(INDEX($P$2:$P$1001,MATCH(ROWS($O$2:O873),$O$2:$O$1001,0),1)&gt;=100000,INDEX($V$1005:$AE$1005,1,MATCH(COLUMNS($V$1006:AA1006),$V$1006:$AE$1006,0))&gt;=100000), " ",IF(INDEX($V$2:$AE$1001,MATCH(ROWS($O$2:O873),$O$2:$O$1001,0),MATCH(COLUMNS($V$1006:AA1006),$V$1006:$AE$1006,0)), HYPERLINK("#",""), HYPERLINK(CONCATENATE("#Metadata!", ADDRESS(INDEX($Q$2:$Q$1001,MATCH(ROWS($O$2:O873),$O$2:$O$1001,0),0), INDEX($V$1004:$AE$1004,1,MATCH(COLUMNS($V$1006:AA1006),$V$1006:$AE$1006,0)))),"Fix")))</f>
        <v>0</v>
      </c>
      <c r="H873" s="4">
        <f>IF(OR(INDEX($P$2:$P$1001,MATCH(ROWS($O$2:O873),$O$2:$O$1001,0),1)&gt;=100000,INDEX($V$1005:$AE$1005,1,MATCH(COLUMNS($V$1006:AB1006),$V$1006:$AE$1006,0))&gt;=100000), " ",IF(INDEX($V$2:$AE$1001,MATCH(ROWS($O$2:O873),$O$2:$O$1001,0),MATCH(COLUMNS($V$1006:AB1006),$V$1006:$AE$1006,0)), HYPERLINK("#",""), HYPERLINK(CONCATENATE("#Metadata!", ADDRESS(INDEX($Q$2:$Q$1001,MATCH(ROWS($O$2:O873),$O$2:$O$1001,0),0), INDEX($V$1004:$AE$1004,1,MATCH(COLUMNS($V$1006:AB1006),$V$1006:$AE$1006,0)))),"Fix")))</f>
        <v>0</v>
      </c>
      <c r="I873" s="4">
        <f>IF(OR(INDEX($P$2:$P$1001,MATCH(ROWS($O$2:O873),$O$2:$O$1001,0),1)&gt;=100000,INDEX($V$1005:$AE$1005,1,MATCH(COLUMNS($V$1006:AC1006),$V$1006:$AE$1006,0))&gt;=100000), " ",IF(INDEX($V$2:$AE$1001,MATCH(ROWS($O$2:O873),$O$2:$O$1001,0),MATCH(COLUMNS($V$1006:AC1006),$V$1006:$AE$1006,0)), HYPERLINK("#",""), HYPERLINK(CONCATENATE("#Metadata!", ADDRESS(INDEX($Q$2:$Q$1001,MATCH(ROWS($O$2:O873),$O$2:$O$1001,0),0), INDEX($V$1004:$AE$1004,1,MATCH(COLUMNS($V$1006:AC1006),$V$1006:$AE$1006,0)))),"Fix")))</f>
        <v>0</v>
      </c>
      <c r="J873" s="4">
        <f>IF(OR(INDEX($P$2:$P$1001,MATCH(ROWS($O$2:O873),$O$2:$O$1001,0),1)&gt;=100000,INDEX($V$1005:$AE$1005,1,MATCH(COLUMNS($V$1006:AD1006),$V$1006:$AE$1006,0))&gt;=100000), " ",IF(INDEX($V$2:$AE$1001,MATCH(ROWS($O$2:O873),$O$2:$O$1001,0),MATCH(COLUMNS($V$1006:AD1006),$V$1006:$AE$1006,0)), HYPERLINK("#",""), HYPERLINK(CONCATENATE("#Metadata!", ADDRESS(INDEX($Q$2:$Q$1001,MATCH(ROWS($O$2:O873),$O$2:$O$1001,0),0), INDEX($V$1004:$AE$1004,1,MATCH(COLUMNS($V$1006:AD1006),$V$1006:$AE$1006,0)))),"Fix")))</f>
        <v>0</v>
      </c>
      <c r="K873" s="4">
        <f>IF(OR(INDEX($P$2:$P$1001,MATCH(ROWS($O$2:O873),$O$2:$O$1001,0),1)&gt;=100000,INDEX($V$1005:$AE$1005,1,MATCH(COLUMNS($V$1006:AE1006),$V$1006:$AE$1006,0))&gt;=100000), " ",IF(INDEX($V$2:$AE$1001,MATCH(ROWS($O$2:O873),$O$2:$O$1001,0),MATCH(COLUMNS($V$1006:AE1006),$V$1006:$AE$1006,0)), HYPERLINK("#",""), HYPERLINK(CONCATENATE("#Metadata!", ADDRESS(INDEX($Q$2:$Q$1001,MATCH(ROWS($O$2:O873),$O$2:$O$1001,0),0), INDEX($V$1004:$AE$1004,1,MATCH(COLUMNS($V$1006:AE1006),$V$1006:$AE$1006,0)))),"Fix")))</f>
        <v>0</v>
      </c>
      <c r="O873">
        <v>0</v>
      </c>
      <c r="P873">
        <v>0</v>
      </c>
      <c r="Q873">
        <v>0</v>
      </c>
      <c r="R873">
        <f>IF(S873,TRUE,AND(V873:AE873))</f>
        <v>0</v>
      </c>
      <c r="S873">
        <f>COUNTBLANK(Metadata!B873:K873)=COLUMNS(Metadata!B873:K873)</f>
        <v>0</v>
      </c>
      <c r="T873">
        <v>0</v>
      </c>
      <c r="V873">
        <f>AND(IF(Metadata!B873="",FALSE,TRUE),COUNTIF(Metadata!B:B, Metadata!B873) = 1,NOT(ISERROR(SUMPRODUCT(SEARCH(MID(Metadata!B873,ROW(INDIRECT("1:"&amp;LEN(Metadata!B873))), 1),"0123456789abcdefghijklmnopqrstuvwxyzABCDEFGHIJKLMNOPQRSTUVWXYZ.")))))</f>
        <v>0</v>
      </c>
      <c r="W873">
        <f>AND(IF(Metadata!C873="",FALSE,TRUE),exact(Metadata!C873,"urban biome"))</f>
        <v>0</v>
      </c>
      <c r="X873">
        <f>AND(IF(Metadata!D873="",FALSE,TRUE),exact(Metadata!D873,"animal-associated habitat"))</f>
        <v>0</v>
      </c>
      <c r="Y873">
        <f>OR(AND(IF(Metadata!E873="",FALSE,TRUE),OR(exact(Metadata!E873,"not applicable"),exact(Metadata!E873,"missing: not collected"),exact(Metadata!E873,"missing: not provided"),exact(Metadata!E873,"missing: restricted access"))),AND(IF(Metadata!E873="",FALSE,ISNUMBER(VALUE(Metadata!E873))),Metadata!E873&gt;0))</f>
        <v>0</v>
      </c>
      <c r="Z873">
        <f>AND(IF(Metadata!F873="",FALSE,TRUE),exact(Metadata!F873,"weeks"))</f>
        <v>0</v>
      </c>
      <c r="AA873">
        <f>AND(IF(Metadata!G873="",FALSE,TRUE),exact(Metadata!G873,"mouse"))</f>
        <v>0</v>
      </c>
      <c r="AB873">
        <f>AND(IF(Metadata!H873="",FALSE,TRUE),exact(Metadata!H873,"Mus musculus"))</f>
        <v>0</v>
      </c>
      <c r="AC873">
        <f>AND(IF(Metadata!I873="",FALSE,TRUE),exact(Metadata!I873,"10090"))</f>
        <v>0</v>
      </c>
      <c r="AD873">
        <f>OR(AND(IF(Metadata!J873="",FALSE,TRUE),OR(exact(Metadata!J873,"not applicable"),exact(Metadata!J873,"missing: not collected"),exact(Metadata!J873,"missing: not provided"),exact(Metadata!J873,"missing: restricted access"))),AND(IF(Metadata!J873="",FALSE,ISNUMBER(VALUE(Metadata!J873))),Metadata!J873&gt;0))</f>
        <v>0</v>
      </c>
      <c r="AE873">
        <f>AND(IF(Metadata!K873="",FALSE,TRUE),exact(Metadata!K873,"g"))</f>
        <v>0</v>
      </c>
    </row>
    <row r="874" spans="1:31">
      <c r="A874" s="5">
        <f>IF(B874=" "," ",HYPERLINK(CONCATENATE("#metadata!",ADDRESS(INDEX($Q$2:$Q$1001,MATCH(ROWS($O$2:O874),$O$2:$O$1001,0),0),1)),INDEX($T$2:$T$1001,MATCH(ROWS($O$2:O874),$O$2:$O$1001,0),0)))</f>
        <v>0</v>
      </c>
      <c r="B874" s="4">
        <f>IF(OR(INDEX($P$2:$P$1001,MATCH(ROWS($O$2:O874),$O$2:$O$1001,0),1)&gt;=100000,INDEX($V$1005:$AE$1005,1,MATCH(COLUMNS($V$1006:V1006),$V$1006:$AE$1006,0))&gt;=100000), " ",IF(INDEX($V$2:$AE$1001,MATCH(ROWS($O$2:O874),$O$2:$O$1001,0),MATCH(COLUMNS($V$1006:V1006),$V$1006:$AE$1006,0)), HYPERLINK("#",""), HYPERLINK(CONCATENATE("#Metadata!", ADDRESS(INDEX($Q$2:$Q$1001,MATCH(ROWS($O$2:O874),$O$2:$O$1001,0),0), INDEX($V$1004:$AE$1004,1,MATCH(COLUMNS($V$1006:V1006),$V$1006:$AE$1006,0)))),"Fix")))</f>
        <v>0</v>
      </c>
      <c r="C874" s="4">
        <f>IF(OR(INDEX($P$2:$P$1001,MATCH(ROWS($O$2:O874),$O$2:$O$1001,0),1)&gt;=100000,INDEX($V$1005:$AE$1005,1,MATCH(COLUMNS($V$1006:W1006),$V$1006:$AE$1006,0))&gt;=100000), " ",IF(INDEX($V$2:$AE$1001,MATCH(ROWS($O$2:O874),$O$2:$O$1001,0),MATCH(COLUMNS($V$1006:W1006),$V$1006:$AE$1006,0)), HYPERLINK("#",""), HYPERLINK(CONCATENATE("#Metadata!", ADDRESS(INDEX($Q$2:$Q$1001,MATCH(ROWS($O$2:O874),$O$2:$O$1001,0),0), INDEX($V$1004:$AE$1004,1,MATCH(COLUMNS($V$1006:W1006),$V$1006:$AE$1006,0)))),"Fix")))</f>
        <v>0</v>
      </c>
      <c r="D874" s="4">
        <f>IF(OR(INDEX($P$2:$P$1001,MATCH(ROWS($O$2:O874),$O$2:$O$1001,0),1)&gt;=100000,INDEX($V$1005:$AE$1005,1,MATCH(COLUMNS($V$1006:X1006),$V$1006:$AE$1006,0))&gt;=100000), " ",IF(INDEX($V$2:$AE$1001,MATCH(ROWS($O$2:O874),$O$2:$O$1001,0),MATCH(COLUMNS($V$1006:X1006),$V$1006:$AE$1006,0)), HYPERLINK("#",""), HYPERLINK(CONCATENATE("#Metadata!", ADDRESS(INDEX($Q$2:$Q$1001,MATCH(ROWS($O$2:O874),$O$2:$O$1001,0),0), INDEX($V$1004:$AE$1004,1,MATCH(COLUMNS($V$1006:X1006),$V$1006:$AE$1006,0)))),"Fix")))</f>
        <v>0</v>
      </c>
      <c r="E874" s="4">
        <f>IF(OR(INDEX($P$2:$P$1001,MATCH(ROWS($O$2:O874),$O$2:$O$1001,0),1)&gt;=100000,INDEX($V$1005:$AE$1005,1,MATCH(COLUMNS($V$1006:Y1006),$V$1006:$AE$1006,0))&gt;=100000), " ",IF(INDEX($V$2:$AE$1001,MATCH(ROWS($O$2:O874),$O$2:$O$1001,0),MATCH(COLUMNS($V$1006:Y1006),$V$1006:$AE$1006,0)), HYPERLINK("#",""), HYPERLINK(CONCATENATE("#Metadata!", ADDRESS(INDEX($Q$2:$Q$1001,MATCH(ROWS($O$2:O874),$O$2:$O$1001,0),0), INDEX($V$1004:$AE$1004,1,MATCH(COLUMNS($V$1006:Y1006),$V$1006:$AE$1006,0)))),"Fix")))</f>
        <v>0</v>
      </c>
      <c r="F874" s="4">
        <f>IF(OR(INDEX($P$2:$P$1001,MATCH(ROWS($O$2:O874),$O$2:$O$1001,0),1)&gt;=100000,INDEX($V$1005:$AE$1005,1,MATCH(COLUMNS($V$1006:Z1006),$V$1006:$AE$1006,0))&gt;=100000), " ",IF(INDEX($V$2:$AE$1001,MATCH(ROWS($O$2:O874),$O$2:$O$1001,0),MATCH(COLUMNS($V$1006:Z1006),$V$1006:$AE$1006,0)), HYPERLINK("#",""), HYPERLINK(CONCATENATE("#Metadata!", ADDRESS(INDEX($Q$2:$Q$1001,MATCH(ROWS($O$2:O874),$O$2:$O$1001,0),0), INDEX($V$1004:$AE$1004,1,MATCH(COLUMNS($V$1006:Z1006),$V$1006:$AE$1006,0)))),"Fix")))</f>
        <v>0</v>
      </c>
      <c r="G874" s="4">
        <f>IF(OR(INDEX($P$2:$P$1001,MATCH(ROWS($O$2:O874),$O$2:$O$1001,0),1)&gt;=100000,INDEX($V$1005:$AE$1005,1,MATCH(COLUMNS($V$1006:AA1006),$V$1006:$AE$1006,0))&gt;=100000), " ",IF(INDEX($V$2:$AE$1001,MATCH(ROWS($O$2:O874),$O$2:$O$1001,0),MATCH(COLUMNS($V$1006:AA1006),$V$1006:$AE$1006,0)), HYPERLINK("#",""), HYPERLINK(CONCATENATE("#Metadata!", ADDRESS(INDEX($Q$2:$Q$1001,MATCH(ROWS($O$2:O874),$O$2:$O$1001,0),0), INDEX($V$1004:$AE$1004,1,MATCH(COLUMNS($V$1006:AA1006),$V$1006:$AE$1006,0)))),"Fix")))</f>
        <v>0</v>
      </c>
      <c r="H874" s="4">
        <f>IF(OR(INDEX($P$2:$P$1001,MATCH(ROWS($O$2:O874),$O$2:$O$1001,0),1)&gt;=100000,INDEX($V$1005:$AE$1005,1,MATCH(COLUMNS($V$1006:AB1006),$V$1006:$AE$1006,0))&gt;=100000), " ",IF(INDEX($V$2:$AE$1001,MATCH(ROWS($O$2:O874),$O$2:$O$1001,0),MATCH(COLUMNS($V$1006:AB1006),$V$1006:$AE$1006,0)), HYPERLINK("#",""), HYPERLINK(CONCATENATE("#Metadata!", ADDRESS(INDEX($Q$2:$Q$1001,MATCH(ROWS($O$2:O874),$O$2:$O$1001,0),0), INDEX($V$1004:$AE$1004,1,MATCH(COLUMNS($V$1006:AB1006),$V$1006:$AE$1006,0)))),"Fix")))</f>
        <v>0</v>
      </c>
      <c r="I874" s="4">
        <f>IF(OR(INDEX($P$2:$P$1001,MATCH(ROWS($O$2:O874),$O$2:$O$1001,0),1)&gt;=100000,INDEX($V$1005:$AE$1005,1,MATCH(COLUMNS($V$1006:AC1006),$V$1006:$AE$1006,0))&gt;=100000), " ",IF(INDEX($V$2:$AE$1001,MATCH(ROWS($O$2:O874),$O$2:$O$1001,0),MATCH(COLUMNS($V$1006:AC1006),$V$1006:$AE$1006,0)), HYPERLINK("#",""), HYPERLINK(CONCATENATE("#Metadata!", ADDRESS(INDEX($Q$2:$Q$1001,MATCH(ROWS($O$2:O874),$O$2:$O$1001,0),0), INDEX($V$1004:$AE$1004,1,MATCH(COLUMNS($V$1006:AC1006),$V$1006:$AE$1006,0)))),"Fix")))</f>
        <v>0</v>
      </c>
      <c r="J874" s="4">
        <f>IF(OR(INDEX($P$2:$P$1001,MATCH(ROWS($O$2:O874),$O$2:$O$1001,0),1)&gt;=100000,INDEX($V$1005:$AE$1005,1,MATCH(COLUMNS($V$1006:AD1006),$V$1006:$AE$1006,0))&gt;=100000), " ",IF(INDEX($V$2:$AE$1001,MATCH(ROWS($O$2:O874),$O$2:$O$1001,0),MATCH(COLUMNS($V$1006:AD1006),$V$1006:$AE$1006,0)), HYPERLINK("#",""), HYPERLINK(CONCATENATE("#Metadata!", ADDRESS(INDEX($Q$2:$Q$1001,MATCH(ROWS($O$2:O874),$O$2:$O$1001,0),0), INDEX($V$1004:$AE$1004,1,MATCH(COLUMNS($V$1006:AD1006),$V$1006:$AE$1006,0)))),"Fix")))</f>
        <v>0</v>
      </c>
      <c r="K874" s="4">
        <f>IF(OR(INDEX($P$2:$P$1001,MATCH(ROWS($O$2:O874),$O$2:$O$1001,0),1)&gt;=100000,INDEX($V$1005:$AE$1005,1,MATCH(COLUMNS($V$1006:AE1006),$V$1006:$AE$1006,0))&gt;=100000), " ",IF(INDEX($V$2:$AE$1001,MATCH(ROWS($O$2:O874),$O$2:$O$1001,0),MATCH(COLUMNS($V$1006:AE1006),$V$1006:$AE$1006,0)), HYPERLINK("#",""), HYPERLINK(CONCATENATE("#Metadata!", ADDRESS(INDEX($Q$2:$Q$1001,MATCH(ROWS($O$2:O874),$O$2:$O$1001,0),0), INDEX($V$1004:$AE$1004,1,MATCH(COLUMNS($V$1006:AE1006),$V$1006:$AE$1006,0)))),"Fix")))</f>
        <v>0</v>
      </c>
      <c r="O874">
        <v>0</v>
      </c>
      <c r="P874">
        <v>0</v>
      </c>
      <c r="Q874">
        <v>0</v>
      </c>
      <c r="R874">
        <f>IF(S874,TRUE,AND(V874:AE874))</f>
        <v>0</v>
      </c>
      <c r="S874">
        <f>COUNTBLANK(Metadata!B874:K874)=COLUMNS(Metadata!B874:K874)</f>
        <v>0</v>
      </c>
      <c r="T874">
        <v>0</v>
      </c>
      <c r="V874">
        <f>AND(IF(Metadata!B874="",FALSE,TRUE),COUNTIF(Metadata!B:B, Metadata!B874) = 1,NOT(ISERROR(SUMPRODUCT(SEARCH(MID(Metadata!B874,ROW(INDIRECT("1:"&amp;LEN(Metadata!B874))), 1),"0123456789abcdefghijklmnopqrstuvwxyzABCDEFGHIJKLMNOPQRSTUVWXYZ.")))))</f>
        <v>0</v>
      </c>
      <c r="W874">
        <f>AND(IF(Metadata!C874="",FALSE,TRUE),exact(Metadata!C874,"urban biome"))</f>
        <v>0</v>
      </c>
      <c r="X874">
        <f>AND(IF(Metadata!D874="",FALSE,TRUE),exact(Metadata!D874,"animal-associated habitat"))</f>
        <v>0</v>
      </c>
      <c r="Y874">
        <f>OR(AND(IF(Metadata!E874="",FALSE,TRUE),OR(exact(Metadata!E874,"not applicable"),exact(Metadata!E874,"missing: not collected"),exact(Metadata!E874,"missing: not provided"),exact(Metadata!E874,"missing: restricted access"))),AND(IF(Metadata!E874="",FALSE,ISNUMBER(VALUE(Metadata!E874))),Metadata!E874&gt;0))</f>
        <v>0</v>
      </c>
      <c r="Z874">
        <f>AND(IF(Metadata!F874="",FALSE,TRUE),exact(Metadata!F874,"weeks"))</f>
        <v>0</v>
      </c>
      <c r="AA874">
        <f>AND(IF(Metadata!G874="",FALSE,TRUE),exact(Metadata!G874,"mouse"))</f>
        <v>0</v>
      </c>
      <c r="AB874">
        <f>AND(IF(Metadata!H874="",FALSE,TRUE),exact(Metadata!H874,"Mus musculus"))</f>
        <v>0</v>
      </c>
      <c r="AC874">
        <f>AND(IF(Metadata!I874="",FALSE,TRUE),exact(Metadata!I874,"10090"))</f>
        <v>0</v>
      </c>
      <c r="AD874">
        <f>OR(AND(IF(Metadata!J874="",FALSE,TRUE),OR(exact(Metadata!J874,"not applicable"),exact(Metadata!J874,"missing: not collected"),exact(Metadata!J874,"missing: not provided"),exact(Metadata!J874,"missing: restricted access"))),AND(IF(Metadata!J874="",FALSE,ISNUMBER(VALUE(Metadata!J874))),Metadata!J874&gt;0))</f>
        <v>0</v>
      </c>
      <c r="AE874">
        <f>AND(IF(Metadata!K874="",FALSE,TRUE),exact(Metadata!K874,"g"))</f>
        <v>0</v>
      </c>
    </row>
    <row r="875" spans="1:31">
      <c r="A875" s="5">
        <f>IF(B875=" "," ",HYPERLINK(CONCATENATE("#metadata!",ADDRESS(INDEX($Q$2:$Q$1001,MATCH(ROWS($O$2:O875),$O$2:$O$1001,0),0),1)),INDEX($T$2:$T$1001,MATCH(ROWS($O$2:O875),$O$2:$O$1001,0),0)))</f>
        <v>0</v>
      </c>
      <c r="B875" s="4">
        <f>IF(OR(INDEX($P$2:$P$1001,MATCH(ROWS($O$2:O875),$O$2:$O$1001,0),1)&gt;=100000,INDEX($V$1005:$AE$1005,1,MATCH(COLUMNS($V$1006:V1006),$V$1006:$AE$1006,0))&gt;=100000), " ",IF(INDEX($V$2:$AE$1001,MATCH(ROWS($O$2:O875),$O$2:$O$1001,0),MATCH(COLUMNS($V$1006:V1006),$V$1006:$AE$1006,0)), HYPERLINK("#",""), HYPERLINK(CONCATENATE("#Metadata!", ADDRESS(INDEX($Q$2:$Q$1001,MATCH(ROWS($O$2:O875),$O$2:$O$1001,0),0), INDEX($V$1004:$AE$1004,1,MATCH(COLUMNS($V$1006:V1006),$V$1006:$AE$1006,0)))),"Fix")))</f>
        <v>0</v>
      </c>
      <c r="C875" s="4">
        <f>IF(OR(INDEX($P$2:$P$1001,MATCH(ROWS($O$2:O875),$O$2:$O$1001,0),1)&gt;=100000,INDEX($V$1005:$AE$1005,1,MATCH(COLUMNS($V$1006:W1006),$V$1006:$AE$1006,0))&gt;=100000), " ",IF(INDEX($V$2:$AE$1001,MATCH(ROWS($O$2:O875),$O$2:$O$1001,0),MATCH(COLUMNS($V$1006:W1006),$V$1006:$AE$1006,0)), HYPERLINK("#",""), HYPERLINK(CONCATENATE("#Metadata!", ADDRESS(INDEX($Q$2:$Q$1001,MATCH(ROWS($O$2:O875),$O$2:$O$1001,0),0), INDEX($V$1004:$AE$1004,1,MATCH(COLUMNS($V$1006:W1006),$V$1006:$AE$1006,0)))),"Fix")))</f>
        <v>0</v>
      </c>
      <c r="D875" s="4">
        <f>IF(OR(INDEX($P$2:$P$1001,MATCH(ROWS($O$2:O875),$O$2:$O$1001,0),1)&gt;=100000,INDEX($V$1005:$AE$1005,1,MATCH(COLUMNS($V$1006:X1006),$V$1006:$AE$1006,0))&gt;=100000), " ",IF(INDEX($V$2:$AE$1001,MATCH(ROWS($O$2:O875),$O$2:$O$1001,0),MATCH(COLUMNS($V$1006:X1006),$V$1006:$AE$1006,0)), HYPERLINK("#",""), HYPERLINK(CONCATENATE("#Metadata!", ADDRESS(INDEX($Q$2:$Q$1001,MATCH(ROWS($O$2:O875),$O$2:$O$1001,0),0), INDEX($V$1004:$AE$1004,1,MATCH(COLUMNS($V$1006:X1006),$V$1006:$AE$1006,0)))),"Fix")))</f>
        <v>0</v>
      </c>
      <c r="E875" s="4">
        <f>IF(OR(INDEX($P$2:$P$1001,MATCH(ROWS($O$2:O875),$O$2:$O$1001,0),1)&gt;=100000,INDEX($V$1005:$AE$1005,1,MATCH(COLUMNS($V$1006:Y1006),$V$1006:$AE$1006,0))&gt;=100000), " ",IF(INDEX($V$2:$AE$1001,MATCH(ROWS($O$2:O875),$O$2:$O$1001,0),MATCH(COLUMNS($V$1006:Y1006),$V$1006:$AE$1006,0)), HYPERLINK("#",""), HYPERLINK(CONCATENATE("#Metadata!", ADDRESS(INDEX($Q$2:$Q$1001,MATCH(ROWS($O$2:O875),$O$2:$O$1001,0),0), INDEX($V$1004:$AE$1004,1,MATCH(COLUMNS($V$1006:Y1006),$V$1006:$AE$1006,0)))),"Fix")))</f>
        <v>0</v>
      </c>
      <c r="F875" s="4">
        <f>IF(OR(INDEX($P$2:$P$1001,MATCH(ROWS($O$2:O875),$O$2:$O$1001,0),1)&gt;=100000,INDEX($V$1005:$AE$1005,1,MATCH(COLUMNS($V$1006:Z1006),$V$1006:$AE$1006,0))&gt;=100000), " ",IF(INDEX($V$2:$AE$1001,MATCH(ROWS($O$2:O875),$O$2:$O$1001,0),MATCH(COLUMNS($V$1006:Z1006),$V$1006:$AE$1006,0)), HYPERLINK("#",""), HYPERLINK(CONCATENATE("#Metadata!", ADDRESS(INDEX($Q$2:$Q$1001,MATCH(ROWS($O$2:O875),$O$2:$O$1001,0),0), INDEX($V$1004:$AE$1004,1,MATCH(COLUMNS($V$1006:Z1006),$V$1006:$AE$1006,0)))),"Fix")))</f>
        <v>0</v>
      </c>
      <c r="G875" s="4">
        <f>IF(OR(INDEX($P$2:$P$1001,MATCH(ROWS($O$2:O875),$O$2:$O$1001,0),1)&gt;=100000,INDEX($V$1005:$AE$1005,1,MATCH(COLUMNS($V$1006:AA1006),$V$1006:$AE$1006,0))&gt;=100000), " ",IF(INDEX($V$2:$AE$1001,MATCH(ROWS($O$2:O875),$O$2:$O$1001,0),MATCH(COLUMNS($V$1006:AA1006),$V$1006:$AE$1006,0)), HYPERLINK("#",""), HYPERLINK(CONCATENATE("#Metadata!", ADDRESS(INDEX($Q$2:$Q$1001,MATCH(ROWS($O$2:O875),$O$2:$O$1001,0),0), INDEX($V$1004:$AE$1004,1,MATCH(COLUMNS($V$1006:AA1006),$V$1006:$AE$1006,0)))),"Fix")))</f>
        <v>0</v>
      </c>
      <c r="H875" s="4">
        <f>IF(OR(INDEX($P$2:$P$1001,MATCH(ROWS($O$2:O875),$O$2:$O$1001,0),1)&gt;=100000,INDEX($V$1005:$AE$1005,1,MATCH(COLUMNS($V$1006:AB1006),$V$1006:$AE$1006,0))&gt;=100000), " ",IF(INDEX($V$2:$AE$1001,MATCH(ROWS($O$2:O875),$O$2:$O$1001,0),MATCH(COLUMNS($V$1006:AB1006),$V$1006:$AE$1006,0)), HYPERLINK("#",""), HYPERLINK(CONCATENATE("#Metadata!", ADDRESS(INDEX($Q$2:$Q$1001,MATCH(ROWS($O$2:O875),$O$2:$O$1001,0),0), INDEX($V$1004:$AE$1004,1,MATCH(COLUMNS($V$1006:AB1006),$V$1006:$AE$1006,0)))),"Fix")))</f>
        <v>0</v>
      </c>
      <c r="I875" s="4">
        <f>IF(OR(INDEX($P$2:$P$1001,MATCH(ROWS($O$2:O875),$O$2:$O$1001,0),1)&gt;=100000,INDEX($V$1005:$AE$1005,1,MATCH(COLUMNS($V$1006:AC1006),$V$1006:$AE$1006,0))&gt;=100000), " ",IF(INDEX($V$2:$AE$1001,MATCH(ROWS($O$2:O875),$O$2:$O$1001,0),MATCH(COLUMNS($V$1006:AC1006),$V$1006:$AE$1006,0)), HYPERLINK("#",""), HYPERLINK(CONCATENATE("#Metadata!", ADDRESS(INDEX($Q$2:$Q$1001,MATCH(ROWS($O$2:O875),$O$2:$O$1001,0),0), INDEX($V$1004:$AE$1004,1,MATCH(COLUMNS($V$1006:AC1006),$V$1006:$AE$1006,0)))),"Fix")))</f>
        <v>0</v>
      </c>
      <c r="J875" s="4">
        <f>IF(OR(INDEX($P$2:$P$1001,MATCH(ROWS($O$2:O875),$O$2:$O$1001,0),1)&gt;=100000,INDEX($V$1005:$AE$1005,1,MATCH(COLUMNS($V$1006:AD1006),$V$1006:$AE$1006,0))&gt;=100000), " ",IF(INDEX($V$2:$AE$1001,MATCH(ROWS($O$2:O875),$O$2:$O$1001,0),MATCH(COLUMNS($V$1006:AD1006),$V$1006:$AE$1006,0)), HYPERLINK("#",""), HYPERLINK(CONCATENATE("#Metadata!", ADDRESS(INDEX($Q$2:$Q$1001,MATCH(ROWS($O$2:O875),$O$2:$O$1001,0),0), INDEX($V$1004:$AE$1004,1,MATCH(COLUMNS($V$1006:AD1006),$V$1006:$AE$1006,0)))),"Fix")))</f>
        <v>0</v>
      </c>
      <c r="K875" s="4">
        <f>IF(OR(INDEX($P$2:$P$1001,MATCH(ROWS($O$2:O875),$O$2:$O$1001,0),1)&gt;=100000,INDEX($V$1005:$AE$1005,1,MATCH(COLUMNS($V$1006:AE1006),$V$1006:$AE$1006,0))&gt;=100000), " ",IF(INDEX($V$2:$AE$1001,MATCH(ROWS($O$2:O875),$O$2:$O$1001,0),MATCH(COLUMNS($V$1006:AE1006),$V$1006:$AE$1006,0)), HYPERLINK("#",""), HYPERLINK(CONCATENATE("#Metadata!", ADDRESS(INDEX($Q$2:$Q$1001,MATCH(ROWS($O$2:O875),$O$2:$O$1001,0),0), INDEX($V$1004:$AE$1004,1,MATCH(COLUMNS($V$1006:AE1006),$V$1006:$AE$1006,0)))),"Fix")))</f>
        <v>0</v>
      </c>
      <c r="O875">
        <v>0</v>
      </c>
      <c r="P875">
        <v>0</v>
      </c>
      <c r="Q875">
        <v>0</v>
      </c>
      <c r="R875">
        <f>IF(S875,TRUE,AND(V875:AE875))</f>
        <v>0</v>
      </c>
      <c r="S875">
        <f>COUNTBLANK(Metadata!B875:K875)=COLUMNS(Metadata!B875:K875)</f>
        <v>0</v>
      </c>
      <c r="T875">
        <v>0</v>
      </c>
      <c r="V875">
        <f>AND(IF(Metadata!B875="",FALSE,TRUE),COUNTIF(Metadata!B:B, Metadata!B875) = 1,NOT(ISERROR(SUMPRODUCT(SEARCH(MID(Metadata!B875,ROW(INDIRECT("1:"&amp;LEN(Metadata!B875))), 1),"0123456789abcdefghijklmnopqrstuvwxyzABCDEFGHIJKLMNOPQRSTUVWXYZ.")))))</f>
        <v>0</v>
      </c>
      <c r="W875">
        <f>AND(IF(Metadata!C875="",FALSE,TRUE),exact(Metadata!C875,"urban biome"))</f>
        <v>0</v>
      </c>
      <c r="X875">
        <f>AND(IF(Metadata!D875="",FALSE,TRUE),exact(Metadata!D875,"animal-associated habitat"))</f>
        <v>0</v>
      </c>
      <c r="Y875">
        <f>OR(AND(IF(Metadata!E875="",FALSE,TRUE),OR(exact(Metadata!E875,"not applicable"),exact(Metadata!E875,"missing: not collected"),exact(Metadata!E875,"missing: not provided"),exact(Metadata!E875,"missing: restricted access"))),AND(IF(Metadata!E875="",FALSE,ISNUMBER(VALUE(Metadata!E875))),Metadata!E875&gt;0))</f>
        <v>0</v>
      </c>
      <c r="Z875">
        <f>AND(IF(Metadata!F875="",FALSE,TRUE),exact(Metadata!F875,"weeks"))</f>
        <v>0</v>
      </c>
      <c r="AA875">
        <f>AND(IF(Metadata!G875="",FALSE,TRUE),exact(Metadata!G875,"mouse"))</f>
        <v>0</v>
      </c>
      <c r="AB875">
        <f>AND(IF(Metadata!H875="",FALSE,TRUE),exact(Metadata!H875,"Mus musculus"))</f>
        <v>0</v>
      </c>
      <c r="AC875">
        <f>AND(IF(Metadata!I875="",FALSE,TRUE),exact(Metadata!I875,"10090"))</f>
        <v>0</v>
      </c>
      <c r="AD875">
        <f>OR(AND(IF(Metadata!J875="",FALSE,TRUE),OR(exact(Metadata!J875,"not applicable"),exact(Metadata!J875,"missing: not collected"),exact(Metadata!J875,"missing: not provided"),exact(Metadata!J875,"missing: restricted access"))),AND(IF(Metadata!J875="",FALSE,ISNUMBER(VALUE(Metadata!J875))),Metadata!J875&gt;0))</f>
        <v>0</v>
      </c>
      <c r="AE875">
        <f>AND(IF(Metadata!K875="",FALSE,TRUE),exact(Metadata!K875,"g"))</f>
        <v>0</v>
      </c>
    </row>
    <row r="876" spans="1:31">
      <c r="A876" s="5">
        <f>IF(B876=" "," ",HYPERLINK(CONCATENATE("#metadata!",ADDRESS(INDEX($Q$2:$Q$1001,MATCH(ROWS($O$2:O876),$O$2:$O$1001,0),0),1)),INDEX($T$2:$T$1001,MATCH(ROWS($O$2:O876),$O$2:$O$1001,0),0)))</f>
        <v>0</v>
      </c>
      <c r="B876" s="4">
        <f>IF(OR(INDEX($P$2:$P$1001,MATCH(ROWS($O$2:O876),$O$2:$O$1001,0),1)&gt;=100000,INDEX($V$1005:$AE$1005,1,MATCH(COLUMNS($V$1006:V1006),$V$1006:$AE$1006,0))&gt;=100000), " ",IF(INDEX($V$2:$AE$1001,MATCH(ROWS($O$2:O876),$O$2:$O$1001,0),MATCH(COLUMNS($V$1006:V1006),$V$1006:$AE$1006,0)), HYPERLINK("#",""), HYPERLINK(CONCATENATE("#Metadata!", ADDRESS(INDEX($Q$2:$Q$1001,MATCH(ROWS($O$2:O876),$O$2:$O$1001,0),0), INDEX($V$1004:$AE$1004,1,MATCH(COLUMNS($V$1006:V1006),$V$1006:$AE$1006,0)))),"Fix")))</f>
        <v>0</v>
      </c>
      <c r="C876" s="4">
        <f>IF(OR(INDEX($P$2:$P$1001,MATCH(ROWS($O$2:O876),$O$2:$O$1001,0),1)&gt;=100000,INDEX($V$1005:$AE$1005,1,MATCH(COLUMNS($V$1006:W1006),$V$1006:$AE$1006,0))&gt;=100000), " ",IF(INDEX($V$2:$AE$1001,MATCH(ROWS($O$2:O876),$O$2:$O$1001,0),MATCH(COLUMNS($V$1006:W1006),$V$1006:$AE$1006,0)), HYPERLINK("#",""), HYPERLINK(CONCATENATE("#Metadata!", ADDRESS(INDEX($Q$2:$Q$1001,MATCH(ROWS($O$2:O876),$O$2:$O$1001,0),0), INDEX($V$1004:$AE$1004,1,MATCH(COLUMNS($V$1006:W1006),$V$1006:$AE$1006,0)))),"Fix")))</f>
        <v>0</v>
      </c>
      <c r="D876" s="4">
        <f>IF(OR(INDEX($P$2:$P$1001,MATCH(ROWS($O$2:O876),$O$2:$O$1001,0),1)&gt;=100000,INDEX($V$1005:$AE$1005,1,MATCH(COLUMNS($V$1006:X1006),$V$1006:$AE$1006,0))&gt;=100000), " ",IF(INDEX($V$2:$AE$1001,MATCH(ROWS($O$2:O876),$O$2:$O$1001,0),MATCH(COLUMNS($V$1006:X1006),$V$1006:$AE$1006,0)), HYPERLINK("#",""), HYPERLINK(CONCATENATE("#Metadata!", ADDRESS(INDEX($Q$2:$Q$1001,MATCH(ROWS($O$2:O876),$O$2:$O$1001,0),0), INDEX($V$1004:$AE$1004,1,MATCH(COLUMNS($V$1006:X1006),$V$1006:$AE$1006,0)))),"Fix")))</f>
        <v>0</v>
      </c>
      <c r="E876" s="4">
        <f>IF(OR(INDEX($P$2:$P$1001,MATCH(ROWS($O$2:O876),$O$2:$O$1001,0),1)&gt;=100000,INDEX($V$1005:$AE$1005,1,MATCH(COLUMNS($V$1006:Y1006),$V$1006:$AE$1006,0))&gt;=100000), " ",IF(INDEX($V$2:$AE$1001,MATCH(ROWS($O$2:O876),$O$2:$O$1001,0),MATCH(COLUMNS($V$1006:Y1006),$V$1006:$AE$1006,0)), HYPERLINK("#",""), HYPERLINK(CONCATENATE("#Metadata!", ADDRESS(INDEX($Q$2:$Q$1001,MATCH(ROWS($O$2:O876),$O$2:$O$1001,0),0), INDEX($V$1004:$AE$1004,1,MATCH(COLUMNS($V$1006:Y1006),$V$1006:$AE$1006,0)))),"Fix")))</f>
        <v>0</v>
      </c>
      <c r="F876" s="4">
        <f>IF(OR(INDEX($P$2:$P$1001,MATCH(ROWS($O$2:O876),$O$2:$O$1001,0),1)&gt;=100000,INDEX($V$1005:$AE$1005,1,MATCH(COLUMNS($V$1006:Z1006),$V$1006:$AE$1006,0))&gt;=100000), " ",IF(INDEX($V$2:$AE$1001,MATCH(ROWS($O$2:O876),$O$2:$O$1001,0),MATCH(COLUMNS($V$1006:Z1006),$V$1006:$AE$1006,0)), HYPERLINK("#",""), HYPERLINK(CONCATENATE("#Metadata!", ADDRESS(INDEX($Q$2:$Q$1001,MATCH(ROWS($O$2:O876),$O$2:$O$1001,0),0), INDEX($V$1004:$AE$1004,1,MATCH(COLUMNS($V$1006:Z1006),$V$1006:$AE$1006,0)))),"Fix")))</f>
        <v>0</v>
      </c>
      <c r="G876" s="4">
        <f>IF(OR(INDEX($P$2:$P$1001,MATCH(ROWS($O$2:O876),$O$2:$O$1001,0),1)&gt;=100000,INDEX($V$1005:$AE$1005,1,MATCH(COLUMNS($V$1006:AA1006),$V$1006:$AE$1006,0))&gt;=100000), " ",IF(INDEX($V$2:$AE$1001,MATCH(ROWS($O$2:O876),$O$2:$O$1001,0),MATCH(COLUMNS($V$1006:AA1006),$V$1006:$AE$1006,0)), HYPERLINK("#",""), HYPERLINK(CONCATENATE("#Metadata!", ADDRESS(INDEX($Q$2:$Q$1001,MATCH(ROWS($O$2:O876),$O$2:$O$1001,0),0), INDEX($V$1004:$AE$1004,1,MATCH(COLUMNS($V$1006:AA1006),$V$1006:$AE$1006,0)))),"Fix")))</f>
        <v>0</v>
      </c>
      <c r="H876" s="4">
        <f>IF(OR(INDEX($P$2:$P$1001,MATCH(ROWS($O$2:O876),$O$2:$O$1001,0),1)&gt;=100000,INDEX($V$1005:$AE$1005,1,MATCH(COLUMNS($V$1006:AB1006),$V$1006:$AE$1006,0))&gt;=100000), " ",IF(INDEX($V$2:$AE$1001,MATCH(ROWS($O$2:O876),$O$2:$O$1001,0),MATCH(COLUMNS($V$1006:AB1006),$V$1006:$AE$1006,0)), HYPERLINK("#",""), HYPERLINK(CONCATENATE("#Metadata!", ADDRESS(INDEX($Q$2:$Q$1001,MATCH(ROWS($O$2:O876),$O$2:$O$1001,0),0), INDEX($V$1004:$AE$1004,1,MATCH(COLUMNS($V$1006:AB1006),$V$1006:$AE$1006,0)))),"Fix")))</f>
        <v>0</v>
      </c>
      <c r="I876" s="4">
        <f>IF(OR(INDEX($P$2:$P$1001,MATCH(ROWS($O$2:O876),$O$2:$O$1001,0),1)&gt;=100000,INDEX($V$1005:$AE$1005,1,MATCH(COLUMNS($V$1006:AC1006),$V$1006:$AE$1006,0))&gt;=100000), " ",IF(INDEX($V$2:$AE$1001,MATCH(ROWS($O$2:O876),$O$2:$O$1001,0),MATCH(COLUMNS($V$1006:AC1006),$V$1006:$AE$1006,0)), HYPERLINK("#",""), HYPERLINK(CONCATENATE("#Metadata!", ADDRESS(INDEX($Q$2:$Q$1001,MATCH(ROWS($O$2:O876),$O$2:$O$1001,0),0), INDEX($V$1004:$AE$1004,1,MATCH(COLUMNS($V$1006:AC1006),$V$1006:$AE$1006,0)))),"Fix")))</f>
        <v>0</v>
      </c>
      <c r="J876" s="4">
        <f>IF(OR(INDEX($P$2:$P$1001,MATCH(ROWS($O$2:O876),$O$2:$O$1001,0),1)&gt;=100000,INDEX($V$1005:$AE$1005,1,MATCH(COLUMNS($V$1006:AD1006),$V$1006:$AE$1006,0))&gt;=100000), " ",IF(INDEX($V$2:$AE$1001,MATCH(ROWS($O$2:O876),$O$2:$O$1001,0),MATCH(COLUMNS($V$1006:AD1006),$V$1006:$AE$1006,0)), HYPERLINK("#",""), HYPERLINK(CONCATENATE("#Metadata!", ADDRESS(INDEX($Q$2:$Q$1001,MATCH(ROWS($O$2:O876),$O$2:$O$1001,0),0), INDEX($V$1004:$AE$1004,1,MATCH(COLUMNS($V$1006:AD1006),$V$1006:$AE$1006,0)))),"Fix")))</f>
        <v>0</v>
      </c>
      <c r="K876" s="4">
        <f>IF(OR(INDEX($P$2:$P$1001,MATCH(ROWS($O$2:O876),$O$2:$O$1001,0),1)&gt;=100000,INDEX($V$1005:$AE$1005,1,MATCH(COLUMNS($V$1006:AE1006),$V$1006:$AE$1006,0))&gt;=100000), " ",IF(INDEX($V$2:$AE$1001,MATCH(ROWS($O$2:O876),$O$2:$O$1001,0),MATCH(COLUMNS($V$1006:AE1006),$V$1006:$AE$1006,0)), HYPERLINK("#",""), HYPERLINK(CONCATENATE("#Metadata!", ADDRESS(INDEX($Q$2:$Q$1001,MATCH(ROWS($O$2:O876),$O$2:$O$1001,0),0), INDEX($V$1004:$AE$1004,1,MATCH(COLUMNS($V$1006:AE1006),$V$1006:$AE$1006,0)))),"Fix")))</f>
        <v>0</v>
      </c>
      <c r="O876">
        <v>0</v>
      </c>
      <c r="P876">
        <v>0</v>
      </c>
      <c r="Q876">
        <v>0</v>
      </c>
      <c r="R876">
        <f>IF(S876,TRUE,AND(V876:AE876))</f>
        <v>0</v>
      </c>
      <c r="S876">
        <f>COUNTBLANK(Metadata!B876:K876)=COLUMNS(Metadata!B876:K876)</f>
        <v>0</v>
      </c>
      <c r="T876">
        <v>0</v>
      </c>
      <c r="V876">
        <f>AND(IF(Metadata!B876="",FALSE,TRUE),COUNTIF(Metadata!B:B, Metadata!B876) = 1,NOT(ISERROR(SUMPRODUCT(SEARCH(MID(Metadata!B876,ROW(INDIRECT("1:"&amp;LEN(Metadata!B876))), 1),"0123456789abcdefghijklmnopqrstuvwxyzABCDEFGHIJKLMNOPQRSTUVWXYZ.")))))</f>
        <v>0</v>
      </c>
      <c r="W876">
        <f>AND(IF(Metadata!C876="",FALSE,TRUE),exact(Metadata!C876,"urban biome"))</f>
        <v>0</v>
      </c>
      <c r="X876">
        <f>AND(IF(Metadata!D876="",FALSE,TRUE),exact(Metadata!D876,"animal-associated habitat"))</f>
        <v>0</v>
      </c>
      <c r="Y876">
        <f>OR(AND(IF(Metadata!E876="",FALSE,TRUE),OR(exact(Metadata!E876,"not applicable"),exact(Metadata!E876,"missing: not collected"),exact(Metadata!E876,"missing: not provided"),exact(Metadata!E876,"missing: restricted access"))),AND(IF(Metadata!E876="",FALSE,ISNUMBER(VALUE(Metadata!E876))),Metadata!E876&gt;0))</f>
        <v>0</v>
      </c>
      <c r="Z876">
        <f>AND(IF(Metadata!F876="",FALSE,TRUE),exact(Metadata!F876,"weeks"))</f>
        <v>0</v>
      </c>
      <c r="AA876">
        <f>AND(IF(Metadata!G876="",FALSE,TRUE),exact(Metadata!G876,"mouse"))</f>
        <v>0</v>
      </c>
      <c r="AB876">
        <f>AND(IF(Metadata!H876="",FALSE,TRUE),exact(Metadata!H876,"Mus musculus"))</f>
        <v>0</v>
      </c>
      <c r="AC876">
        <f>AND(IF(Metadata!I876="",FALSE,TRUE),exact(Metadata!I876,"10090"))</f>
        <v>0</v>
      </c>
      <c r="AD876">
        <f>OR(AND(IF(Metadata!J876="",FALSE,TRUE),OR(exact(Metadata!J876,"not applicable"),exact(Metadata!J876,"missing: not collected"),exact(Metadata!J876,"missing: not provided"),exact(Metadata!J876,"missing: restricted access"))),AND(IF(Metadata!J876="",FALSE,ISNUMBER(VALUE(Metadata!J876))),Metadata!J876&gt;0))</f>
        <v>0</v>
      </c>
      <c r="AE876">
        <f>AND(IF(Metadata!K876="",FALSE,TRUE),exact(Metadata!K876,"g"))</f>
        <v>0</v>
      </c>
    </row>
    <row r="877" spans="1:31">
      <c r="A877" s="5">
        <f>IF(B877=" "," ",HYPERLINK(CONCATENATE("#metadata!",ADDRESS(INDEX($Q$2:$Q$1001,MATCH(ROWS($O$2:O877),$O$2:$O$1001,0),0),1)),INDEX($T$2:$T$1001,MATCH(ROWS($O$2:O877),$O$2:$O$1001,0),0)))</f>
        <v>0</v>
      </c>
      <c r="B877" s="4">
        <f>IF(OR(INDEX($P$2:$P$1001,MATCH(ROWS($O$2:O877),$O$2:$O$1001,0),1)&gt;=100000,INDEX($V$1005:$AE$1005,1,MATCH(COLUMNS($V$1006:V1006),$V$1006:$AE$1006,0))&gt;=100000), " ",IF(INDEX($V$2:$AE$1001,MATCH(ROWS($O$2:O877),$O$2:$O$1001,0),MATCH(COLUMNS($V$1006:V1006),$V$1006:$AE$1006,0)), HYPERLINK("#",""), HYPERLINK(CONCATENATE("#Metadata!", ADDRESS(INDEX($Q$2:$Q$1001,MATCH(ROWS($O$2:O877),$O$2:$O$1001,0),0), INDEX($V$1004:$AE$1004,1,MATCH(COLUMNS($V$1006:V1006),$V$1006:$AE$1006,0)))),"Fix")))</f>
        <v>0</v>
      </c>
      <c r="C877" s="4">
        <f>IF(OR(INDEX($P$2:$P$1001,MATCH(ROWS($O$2:O877),$O$2:$O$1001,0),1)&gt;=100000,INDEX($V$1005:$AE$1005,1,MATCH(COLUMNS($V$1006:W1006),$V$1006:$AE$1006,0))&gt;=100000), " ",IF(INDEX($V$2:$AE$1001,MATCH(ROWS($O$2:O877),$O$2:$O$1001,0),MATCH(COLUMNS($V$1006:W1006),$V$1006:$AE$1006,0)), HYPERLINK("#",""), HYPERLINK(CONCATENATE("#Metadata!", ADDRESS(INDEX($Q$2:$Q$1001,MATCH(ROWS($O$2:O877),$O$2:$O$1001,0),0), INDEX($V$1004:$AE$1004,1,MATCH(COLUMNS($V$1006:W1006),$V$1006:$AE$1006,0)))),"Fix")))</f>
        <v>0</v>
      </c>
      <c r="D877" s="4">
        <f>IF(OR(INDEX($P$2:$P$1001,MATCH(ROWS($O$2:O877),$O$2:$O$1001,0),1)&gt;=100000,INDEX($V$1005:$AE$1005,1,MATCH(COLUMNS($V$1006:X1006),$V$1006:$AE$1006,0))&gt;=100000), " ",IF(INDEX($V$2:$AE$1001,MATCH(ROWS($O$2:O877),$O$2:$O$1001,0),MATCH(COLUMNS($V$1006:X1006),$V$1006:$AE$1006,0)), HYPERLINK("#",""), HYPERLINK(CONCATENATE("#Metadata!", ADDRESS(INDEX($Q$2:$Q$1001,MATCH(ROWS($O$2:O877),$O$2:$O$1001,0),0), INDEX($V$1004:$AE$1004,1,MATCH(COLUMNS($V$1006:X1006),$V$1006:$AE$1006,0)))),"Fix")))</f>
        <v>0</v>
      </c>
      <c r="E877" s="4">
        <f>IF(OR(INDEX($P$2:$P$1001,MATCH(ROWS($O$2:O877),$O$2:$O$1001,0),1)&gt;=100000,INDEX($V$1005:$AE$1005,1,MATCH(COLUMNS($V$1006:Y1006),$V$1006:$AE$1006,0))&gt;=100000), " ",IF(INDEX($V$2:$AE$1001,MATCH(ROWS($O$2:O877),$O$2:$O$1001,0),MATCH(COLUMNS($V$1006:Y1006),$V$1006:$AE$1006,0)), HYPERLINK("#",""), HYPERLINK(CONCATENATE("#Metadata!", ADDRESS(INDEX($Q$2:$Q$1001,MATCH(ROWS($O$2:O877),$O$2:$O$1001,0),0), INDEX($V$1004:$AE$1004,1,MATCH(COLUMNS($V$1006:Y1006),$V$1006:$AE$1006,0)))),"Fix")))</f>
        <v>0</v>
      </c>
      <c r="F877" s="4">
        <f>IF(OR(INDEX($P$2:$P$1001,MATCH(ROWS($O$2:O877),$O$2:$O$1001,0),1)&gt;=100000,INDEX($V$1005:$AE$1005,1,MATCH(COLUMNS($V$1006:Z1006),$V$1006:$AE$1006,0))&gt;=100000), " ",IF(INDEX($V$2:$AE$1001,MATCH(ROWS($O$2:O877),$O$2:$O$1001,0),MATCH(COLUMNS($V$1006:Z1006),$V$1006:$AE$1006,0)), HYPERLINK("#",""), HYPERLINK(CONCATENATE("#Metadata!", ADDRESS(INDEX($Q$2:$Q$1001,MATCH(ROWS($O$2:O877),$O$2:$O$1001,0),0), INDEX($V$1004:$AE$1004,1,MATCH(COLUMNS($V$1006:Z1006),$V$1006:$AE$1006,0)))),"Fix")))</f>
        <v>0</v>
      </c>
      <c r="G877" s="4">
        <f>IF(OR(INDEX($P$2:$P$1001,MATCH(ROWS($O$2:O877),$O$2:$O$1001,0),1)&gt;=100000,INDEX($V$1005:$AE$1005,1,MATCH(COLUMNS($V$1006:AA1006),$V$1006:$AE$1006,0))&gt;=100000), " ",IF(INDEX($V$2:$AE$1001,MATCH(ROWS($O$2:O877),$O$2:$O$1001,0),MATCH(COLUMNS($V$1006:AA1006),$V$1006:$AE$1006,0)), HYPERLINK("#",""), HYPERLINK(CONCATENATE("#Metadata!", ADDRESS(INDEX($Q$2:$Q$1001,MATCH(ROWS($O$2:O877),$O$2:$O$1001,0),0), INDEX($V$1004:$AE$1004,1,MATCH(COLUMNS($V$1006:AA1006),$V$1006:$AE$1006,0)))),"Fix")))</f>
        <v>0</v>
      </c>
      <c r="H877" s="4">
        <f>IF(OR(INDEX($P$2:$P$1001,MATCH(ROWS($O$2:O877),$O$2:$O$1001,0),1)&gt;=100000,INDEX($V$1005:$AE$1005,1,MATCH(COLUMNS($V$1006:AB1006),$V$1006:$AE$1006,0))&gt;=100000), " ",IF(INDEX($V$2:$AE$1001,MATCH(ROWS($O$2:O877),$O$2:$O$1001,0),MATCH(COLUMNS($V$1006:AB1006),$V$1006:$AE$1006,0)), HYPERLINK("#",""), HYPERLINK(CONCATENATE("#Metadata!", ADDRESS(INDEX($Q$2:$Q$1001,MATCH(ROWS($O$2:O877),$O$2:$O$1001,0),0), INDEX($V$1004:$AE$1004,1,MATCH(COLUMNS($V$1006:AB1006),$V$1006:$AE$1006,0)))),"Fix")))</f>
        <v>0</v>
      </c>
      <c r="I877" s="4">
        <f>IF(OR(INDEX($P$2:$P$1001,MATCH(ROWS($O$2:O877),$O$2:$O$1001,0),1)&gt;=100000,INDEX($V$1005:$AE$1005,1,MATCH(COLUMNS($V$1006:AC1006),$V$1006:$AE$1006,0))&gt;=100000), " ",IF(INDEX($V$2:$AE$1001,MATCH(ROWS($O$2:O877),$O$2:$O$1001,0),MATCH(COLUMNS($V$1006:AC1006),$V$1006:$AE$1006,0)), HYPERLINK("#",""), HYPERLINK(CONCATENATE("#Metadata!", ADDRESS(INDEX($Q$2:$Q$1001,MATCH(ROWS($O$2:O877),$O$2:$O$1001,0),0), INDEX($V$1004:$AE$1004,1,MATCH(COLUMNS($V$1006:AC1006),$V$1006:$AE$1006,0)))),"Fix")))</f>
        <v>0</v>
      </c>
      <c r="J877" s="4">
        <f>IF(OR(INDEX($P$2:$P$1001,MATCH(ROWS($O$2:O877),$O$2:$O$1001,0),1)&gt;=100000,INDEX($V$1005:$AE$1005,1,MATCH(COLUMNS($V$1006:AD1006),$V$1006:$AE$1006,0))&gt;=100000), " ",IF(INDEX($V$2:$AE$1001,MATCH(ROWS($O$2:O877),$O$2:$O$1001,0),MATCH(COLUMNS($V$1006:AD1006),$V$1006:$AE$1006,0)), HYPERLINK("#",""), HYPERLINK(CONCATENATE("#Metadata!", ADDRESS(INDEX($Q$2:$Q$1001,MATCH(ROWS($O$2:O877),$O$2:$O$1001,0),0), INDEX($V$1004:$AE$1004,1,MATCH(COLUMNS($V$1006:AD1006),$V$1006:$AE$1006,0)))),"Fix")))</f>
        <v>0</v>
      </c>
      <c r="K877" s="4">
        <f>IF(OR(INDEX($P$2:$P$1001,MATCH(ROWS($O$2:O877),$O$2:$O$1001,0),1)&gt;=100000,INDEX($V$1005:$AE$1005,1,MATCH(COLUMNS($V$1006:AE1006),$V$1006:$AE$1006,0))&gt;=100000), " ",IF(INDEX($V$2:$AE$1001,MATCH(ROWS($O$2:O877),$O$2:$O$1001,0),MATCH(COLUMNS($V$1006:AE1006),$V$1006:$AE$1006,0)), HYPERLINK("#",""), HYPERLINK(CONCATENATE("#Metadata!", ADDRESS(INDEX($Q$2:$Q$1001,MATCH(ROWS($O$2:O877),$O$2:$O$1001,0),0), INDEX($V$1004:$AE$1004,1,MATCH(COLUMNS($V$1006:AE1006),$V$1006:$AE$1006,0)))),"Fix")))</f>
        <v>0</v>
      </c>
      <c r="O877">
        <v>0</v>
      </c>
      <c r="P877">
        <v>0</v>
      </c>
      <c r="Q877">
        <v>0</v>
      </c>
      <c r="R877">
        <f>IF(S877,TRUE,AND(V877:AE877))</f>
        <v>0</v>
      </c>
      <c r="S877">
        <f>COUNTBLANK(Metadata!B877:K877)=COLUMNS(Metadata!B877:K877)</f>
        <v>0</v>
      </c>
      <c r="T877">
        <v>0</v>
      </c>
      <c r="V877">
        <f>AND(IF(Metadata!B877="",FALSE,TRUE),COUNTIF(Metadata!B:B, Metadata!B877) = 1,NOT(ISERROR(SUMPRODUCT(SEARCH(MID(Metadata!B877,ROW(INDIRECT("1:"&amp;LEN(Metadata!B877))), 1),"0123456789abcdefghijklmnopqrstuvwxyzABCDEFGHIJKLMNOPQRSTUVWXYZ.")))))</f>
        <v>0</v>
      </c>
      <c r="W877">
        <f>AND(IF(Metadata!C877="",FALSE,TRUE),exact(Metadata!C877,"urban biome"))</f>
        <v>0</v>
      </c>
      <c r="X877">
        <f>AND(IF(Metadata!D877="",FALSE,TRUE),exact(Metadata!D877,"animal-associated habitat"))</f>
        <v>0</v>
      </c>
      <c r="Y877">
        <f>OR(AND(IF(Metadata!E877="",FALSE,TRUE),OR(exact(Metadata!E877,"not applicable"),exact(Metadata!E877,"missing: not collected"),exact(Metadata!E877,"missing: not provided"),exact(Metadata!E877,"missing: restricted access"))),AND(IF(Metadata!E877="",FALSE,ISNUMBER(VALUE(Metadata!E877))),Metadata!E877&gt;0))</f>
        <v>0</v>
      </c>
      <c r="Z877">
        <f>AND(IF(Metadata!F877="",FALSE,TRUE),exact(Metadata!F877,"weeks"))</f>
        <v>0</v>
      </c>
      <c r="AA877">
        <f>AND(IF(Metadata!G877="",FALSE,TRUE),exact(Metadata!G877,"mouse"))</f>
        <v>0</v>
      </c>
      <c r="AB877">
        <f>AND(IF(Metadata!H877="",FALSE,TRUE),exact(Metadata!H877,"Mus musculus"))</f>
        <v>0</v>
      </c>
      <c r="AC877">
        <f>AND(IF(Metadata!I877="",FALSE,TRUE),exact(Metadata!I877,"10090"))</f>
        <v>0</v>
      </c>
      <c r="AD877">
        <f>OR(AND(IF(Metadata!J877="",FALSE,TRUE),OR(exact(Metadata!J877,"not applicable"),exact(Metadata!J877,"missing: not collected"),exact(Metadata!J877,"missing: not provided"),exact(Metadata!J877,"missing: restricted access"))),AND(IF(Metadata!J877="",FALSE,ISNUMBER(VALUE(Metadata!J877))),Metadata!J877&gt;0))</f>
        <v>0</v>
      </c>
      <c r="AE877">
        <f>AND(IF(Metadata!K877="",FALSE,TRUE),exact(Metadata!K877,"g"))</f>
        <v>0</v>
      </c>
    </row>
    <row r="878" spans="1:31">
      <c r="A878" s="5">
        <f>IF(B878=" "," ",HYPERLINK(CONCATENATE("#metadata!",ADDRESS(INDEX($Q$2:$Q$1001,MATCH(ROWS($O$2:O878),$O$2:$O$1001,0),0),1)),INDEX($T$2:$T$1001,MATCH(ROWS($O$2:O878),$O$2:$O$1001,0),0)))</f>
        <v>0</v>
      </c>
      <c r="B878" s="4">
        <f>IF(OR(INDEX($P$2:$P$1001,MATCH(ROWS($O$2:O878),$O$2:$O$1001,0),1)&gt;=100000,INDEX($V$1005:$AE$1005,1,MATCH(COLUMNS($V$1006:V1006),$V$1006:$AE$1006,0))&gt;=100000), " ",IF(INDEX($V$2:$AE$1001,MATCH(ROWS($O$2:O878),$O$2:$O$1001,0),MATCH(COLUMNS($V$1006:V1006),$V$1006:$AE$1006,0)), HYPERLINK("#",""), HYPERLINK(CONCATENATE("#Metadata!", ADDRESS(INDEX($Q$2:$Q$1001,MATCH(ROWS($O$2:O878),$O$2:$O$1001,0),0), INDEX($V$1004:$AE$1004,1,MATCH(COLUMNS($V$1006:V1006),$V$1006:$AE$1006,0)))),"Fix")))</f>
        <v>0</v>
      </c>
      <c r="C878" s="4">
        <f>IF(OR(INDEX($P$2:$P$1001,MATCH(ROWS($O$2:O878),$O$2:$O$1001,0),1)&gt;=100000,INDEX($V$1005:$AE$1005,1,MATCH(COLUMNS($V$1006:W1006),$V$1006:$AE$1006,0))&gt;=100000), " ",IF(INDEX($V$2:$AE$1001,MATCH(ROWS($O$2:O878),$O$2:$O$1001,0),MATCH(COLUMNS($V$1006:W1006),$V$1006:$AE$1006,0)), HYPERLINK("#",""), HYPERLINK(CONCATENATE("#Metadata!", ADDRESS(INDEX($Q$2:$Q$1001,MATCH(ROWS($O$2:O878),$O$2:$O$1001,0),0), INDEX($V$1004:$AE$1004,1,MATCH(COLUMNS($V$1006:W1006),$V$1006:$AE$1006,0)))),"Fix")))</f>
        <v>0</v>
      </c>
      <c r="D878" s="4">
        <f>IF(OR(INDEX($P$2:$P$1001,MATCH(ROWS($O$2:O878),$O$2:$O$1001,0),1)&gt;=100000,INDEX($V$1005:$AE$1005,1,MATCH(COLUMNS($V$1006:X1006),$V$1006:$AE$1006,0))&gt;=100000), " ",IF(INDEX($V$2:$AE$1001,MATCH(ROWS($O$2:O878),$O$2:$O$1001,0),MATCH(COLUMNS($V$1006:X1006),$V$1006:$AE$1006,0)), HYPERLINK("#",""), HYPERLINK(CONCATENATE("#Metadata!", ADDRESS(INDEX($Q$2:$Q$1001,MATCH(ROWS($O$2:O878),$O$2:$O$1001,0),0), INDEX($V$1004:$AE$1004,1,MATCH(COLUMNS($V$1006:X1006),$V$1006:$AE$1006,0)))),"Fix")))</f>
        <v>0</v>
      </c>
      <c r="E878" s="4">
        <f>IF(OR(INDEX($P$2:$P$1001,MATCH(ROWS($O$2:O878),$O$2:$O$1001,0),1)&gt;=100000,INDEX($V$1005:$AE$1005,1,MATCH(COLUMNS($V$1006:Y1006),$V$1006:$AE$1006,0))&gt;=100000), " ",IF(INDEX($V$2:$AE$1001,MATCH(ROWS($O$2:O878),$O$2:$O$1001,0),MATCH(COLUMNS($V$1006:Y1006),$V$1006:$AE$1006,0)), HYPERLINK("#",""), HYPERLINK(CONCATENATE("#Metadata!", ADDRESS(INDEX($Q$2:$Q$1001,MATCH(ROWS($O$2:O878),$O$2:$O$1001,0),0), INDEX($V$1004:$AE$1004,1,MATCH(COLUMNS($V$1006:Y1006),$V$1006:$AE$1006,0)))),"Fix")))</f>
        <v>0</v>
      </c>
      <c r="F878" s="4">
        <f>IF(OR(INDEX($P$2:$P$1001,MATCH(ROWS($O$2:O878),$O$2:$O$1001,0),1)&gt;=100000,INDEX($V$1005:$AE$1005,1,MATCH(COLUMNS($V$1006:Z1006),$V$1006:$AE$1006,0))&gt;=100000), " ",IF(INDEX($V$2:$AE$1001,MATCH(ROWS($O$2:O878),$O$2:$O$1001,0),MATCH(COLUMNS($V$1006:Z1006),$V$1006:$AE$1006,0)), HYPERLINK("#",""), HYPERLINK(CONCATENATE("#Metadata!", ADDRESS(INDEX($Q$2:$Q$1001,MATCH(ROWS($O$2:O878),$O$2:$O$1001,0),0), INDEX($V$1004:$AE$1004,1,MATCH(COLUMNS($V$1006:Z1006),$V$1006:$AE$1006,0)))),"Fix")))</f>
        <v>0</v>
      </c>
      <c r="G878" s="4">
        <f>IF(OR(INDEX($P$2:$P$1001,MATCH(ROWS($O$2:O878),$O$2:$O$1001,0),1)&gt;=100000,INDEX($V$1005:$AE$1005,1,MATCH(COLUMNS($V$1006:AA1006),$V$1006:$AE$1006,0))&gt;=100000), " ",IF(INDEX($V$2:$AE$1001,MATCH(ROWS($O$2:O878),$O$2:$O$1001,0),MATCH(COLUMNS($V$1006:AA1006),$V$1006:$AE$1006,0)), HYPERLINK("#",""), HYPERLINK(CONCATENATE("#Metadata!", ADDRESS(INDEX($Q$2:$Q$1001,MATCH(ROWS($O$2:O878),$O$2:$O$1001,0),0), INDEX($V$1004:$AE$1004,1,MATCH(COLUMNS($V$1006:AA1006),$V$1006:$AE$1006,0)))),"Fix")))</f>
        <v>0</v>
      </c>
      <c r="H878" s="4">
        <f>IF(OR(INDEX($P$2:$P$1001,MATCH(ROWS($O$2:O878),$O$2:$O$1001,0),1)&gt;=100000,INDEX($V$1005:$AE$1005,1,MATCH(COLUMNS($V$1006:AB1006),$V$1006:$AE$1006,0))&gt;=100000), " ",IF(INDEX($V$2:$AE$1001,MATCH(ROWS($O$2:O878),$O$2:$O$1001,0),MATCH(COLUMNS($V$1006:AB1006),$V$1006:$AE$1006,0)), HYPERLINK("#",""), HYPERLINK(CONCATENATE("#Metadata!", ADDRESS(INDEX($Q$2:$Q$1001,MATCH(ROWS($O$2:O878),$O$2:$O$1001,0),0), INDEX($V$1004:$AE$1004,1,MATCH(COLUMNS($V$1006:AB1006),$V$1006:$AE$1006,0)))),"Fix")))</f>
        <v>0</v>
      </c>
      <c r="I878" s="4">
        <f>IF(OR(INDEX($P$2:$P$1001,MATCH(ROWS($O$2:O878),$O$2:$O$1001,0),1)&gt;=100000,INDEX($V$1005:$AE$1005,1,MATCH(COLUMNS($V$1006:AC1006),$V$1006:$AE$1006,0))&gt;=100000), " ",IF(INDEX($V$2:$AE$1001,MATCH(ROWS($O$2:O878),$O$2:$O$1001,0),MATCH(COLUMNS($V$1006:AC1006),$V$1006:$AE$1006,0)), HYPERLINK("#",""), HYPERLINK(CONCATENATE("#Metadata!", ADDRESS(INDEX($Q$2:$Q$1001,MATCH(ROWS($O$2:O878),$O$2:$O$1001,0),0), INDEX($V$1004:$AE$1004,1,MATCH(COLUMNS($V$1006:AC1006),$V$1006:$AE$1006,0)))),"Fix")))</f>
        <v>0</v>
      </c>
      <c r="J878" s="4">
        <f>IF(OR(INDEX($P$2:$P$1001,MATCH(ROWS($O$2:O878),$O$2:$O$1001,0),1)&gt;=100000,INDEX($V$1005:$AE$1005,1,MATCH(COLUMNS($V$1006:AD1006),$V$1006:$AE$1006,0))&gt;=100000), " ",IF(INDEX($V$2:$AE$1001,MATCH(ROWS($O$2:O878),$O$2:$O$1001,0),MATCH(COLUMNS($V$1006:AD1006),$V$1006:$AE$1006,0)), HYPERLINK("#",""), HYPERLINK(CONCATENATE("#Metadata!", ADDRESS(INDEX($Q$2:$Q$1001,MATCH(ROWS($O$2:O878),$O$2:$O$1001,0),0), INDEX($V$1004:$AE$1004,1,MATCH(COLUMNS($V$1006:AD1006),$V$1006:$AE$1006,0)))),"Fix")))</f>
        <v>0</v>
      </c>
      <c r="K878" s="4">
        <f>IF(OR(INDEX($P$2:$P$1001,MATCH(ROWS($O$2:O878),$O$2:$O$1001,0),1)&gt;=100000,INDEX($V$1005:$AE$1005,1,MATCH(COLUMNS($V$1006:AE1006),$V$1006:$AE$1006,0))&gt;=100000), " ",IF(INDEX($V$2:$AE$1001,MATCH(ROWS($O$2:O878),$O$2:$O$1001,0),MATCH(COLUMNS($V$1006:AE1006),$V$1006:$AE$1006,0)), HYPERLINK("#",""), HYPERLINK(CONCATENATE("#Metadata!", ADDRESS(INDEX($Q$2:$Q$1001,MATCH(ROWS($O$2:O878),$O$2:$O$1001,0),0), INDEX($V$1004:$AE$1004,1,MATCH(COLUMNS($V$1006:AE1006),$V$1006:$AE$1006,0)))),"Fix")))</f>
        <v>0</v>
      </c>
      <c r="O878">
        <v>0</v>
      </c>
      <c r="P878">
        <v>0</v>
      </c>
      <c r="Q878">
        <v>0</v>
      </c>
      <c r="R878">
        <f>IF(S878,TRUE,AND(V878:AE878))</f>
        <v>0</v>
      </c>
      <c r="S878">
        <f>COUNTBLANK(Metadata!B878:K878)=COLUMNS(Metadata!B878:K878)</f>
        <v>0</v>
      </c>
      <c r="T878">
        <v>0</v>
      </c>
      <c r="V878">
        <f>AND(IF(Metadata!B878="",FALSE,TRUE),COUNTIF(Metadata!B:B, Metadata!B878) = 1,NOT(ISERROR(SUMPRODUCT(SEARCH(MID(Metadata!B878,ROW(INDIRECT("1:"&amp;LEN(Metadata!B878))), 1),"0123456789abcdefghijklmnopqrstuvwxyzABCDEFGHIJKLMNOPQRSTUVWXYZ.")))))</f>
        <v>0</v>
      </c>
      <c r="W878">
        <f>AND(IF(Metadata!C878="",FALSE,TRUE),exact(Metadata!C878,"urban biome"))</f>
        <v>0</v>
      </c>
      <c r="X878">
        <f>AND(IF(Metadata!D878="",FALSE,TRUE),exact(Metadata!D878,"animal-associated habitat"))</f>
        <v>0</v>
      </c>
      <c r="Y878">
        <f>OR(AND(IF(Metadata!E878="",FALSE,TRUE),OR(exact(Metadata!E878,"not applicable"),exact(Metadata!E878,"missing: not collected"),exact(Metadata!E878,"missing: not provided"),exact(Metadata!E878,"missing: restricted access"))),AND(IF(Metadata!E878="",FALSE,ISNUMBER(VALUE(Metadata!E878))),Metadata!E878&gt;0))</f>
        <v>0</v>
      </c>
      <c r="Z878">
        <f>AND(IF(Metadata!F878="",FALSE,TRUE),exact(Metadata!F878,"weeks"))</f>
        <v>0</v>
      </c>
      <c r="AA878">
        <f>AND(IF(Metadata!G878="",FALSE,TRUE),exact(Metadata!G878,"mouse"))</f>
        <v>0</v>
      </c>
      <c r="AB878">
        <f>AND(IF(Metadata!H878="",FALSE,TRUE),exact(Metadata!H878,"Mus musculus"))</f>
        <v>0</v>
      </c>
      <c r="AC878">
        <f>AND(IF(Metadata!I878="",FALSE,TRUE),exact(Metadata!I878,"10090"))</f>
        <v>0</v>
      </c>
      <c r="AD878">
        <f>OR(AND(IF(Metadata!J878="",FALSE,TRUE),OR(exact(Metadata!J878,"not applicable"),exact(Metadata!J878,"missing: not collected"),exact(Metadata!J878,"missing: not provided"),exact(Metadata!J878,"missing: restricted access"))),AND(IF(Metadata!J878="",FALSE,ISNUMBER(VALUE(Metadata!J878))),Metadata!J878&gt;0))</f>
        <v>0</v>
      </c>
      <c r="AE878">
        <f>AND(IF(Metadata!K878="",FALSE,TRUE),exact(Metadata!K878,"g"))</f>
        <v>0</v>
      </c>
    </row>
    <row r="879" spans="1:31">
      <c r="A879" s="5">
        <f>IF(B879=" "," ",HYPERLINK(CONCATENATE("#metadata!",ADDRESS(INDEX($Q$2:$Q$1001,MATCH(ROWS($O$2:O879),$O$2:$O$1001,0),0),1)),INDEX($T$2:$T$1001,MATCH(ROWS($O$2:O879),$O$2:$O$1001,0),0)))</f>
        <v>0</v>
      </c>
      <c r="B879" s="4">
        <f>IF(OR(INDEX($P$2:$P$1001,MATCH(ROWS($O$2:O879),$O$2:$O$1001,0),1)&gt;=100000,INDEX($V$1005:$AE$1005,1,MATCH(COLUMNS($V$1006:V1006),$V$1006:$AE$1006,0))&gt;=100000), " ",IF(INDEX($V$2:$AE$1001,MATCH(ROWS($O$2:O879),$O$2:$O$1001,0),MATCH(COLUMNS($V$1006:V1006),$V$1006:$AE$1006,0)), HYPERLINK("#",""), HYPERLINK(CONCATENATE("#Metadata!", ADDRESS(INDEX($Q$2:$Q$1001,MATCH(ROWS($O$2:O879),$O$2:$O$1001,0),0), INDEX($V$1004:$AE$1004,1,MATCH(COLUMNS($V$1006:V1006),$V$1006:$AE$1006,0)))),"Fix")))</f>
        <v>0</v>
      </c>
      <c r="C879" s="4">
        <f>IF(OR(INDEX($P$2:$P$1001,MATCH(ROWS($O$2:O879),$O$2:$O$1001,0),1)&gt;=100000,INDEX($V$1005:$AE$1005,1,MATCH(COLUMNS($V$1006:W1006),$V$1006:$AE$1006,0))&gt;=100000), " ",IF(INDEX($V$2:$AE$1001,MATCH(ROWS($O$2:O879),$O$2:$O$1001,0),MATCH(COLUMNS($V$1006:W1006),$V$1006:$AE$1006,0)), HYPERLINK("#",""), HYPERLINK(CONCATENATE("#Metadata!", ADDRESS(INDEX($Q$2:$Q$1001,MATCH(ROWS($O$2:O879),$O$2:$O$1001,0),0), INDEX($V$1004:$AE$1004,1,MATCH(COLUMNS($V$1006:W1006),$V$1006:$AE$1006,0)))),"Fix")))</f>
        <v>0</v>
      </c>
      <c r="D879" s="4">
        <f>IF(OR(INDEX($P$2:$P$1001,MATCH(ROWS($O$2:O879),$O$2:$O$1001,0),1)&gt;=100000,INDEX($V$1005:$AE$1005,1,MATCH(COLUMNS($V$1006:X1006),$V$1006:$AE$1006,0))&gt;=100000), " ",IF(INDEX($V$2:$AE$1001,MATCH(ROWS($O$2:O879),$O$2:$O$1001,0),MATCH(COLUMNS($V$1006:X1006),$V$1006:$AE$1006,0)), HYPERLINK("#",""), HYPERLINK(CONCATENATE("#Metadata!", ADDRESS(INDEX($Q$2:$Q$1001,MATCH(ROWS($O$2:O879),$O$2:$O$1001,0),0), INDEX($V$1004:$AE$1004,1,MATCH(COLUMNS($V$1006:X1006),$V$1006:$AE$1006,0)))),"Fix")))</f>
        <v>0</v>
      </c>
      <c r="E879" s="4">
        <f>IF(OR(INDEX($P$2:$P$1001,MATCH(ROWS($O$2:O879),$O$2:$O$1001,0),1)&gt;=100000,INDEX($V$1005:$AE$1005,1,MATCH(COLUMNS($V$1006:Y1006),$V$1006:$AE$1006,0))&gt;=100000), " ",IF(INDEX($V$2:$AE$1001,MATCH(ROWS($O$2:O879),$O$2:$O$1001,0),MATCH(COLUMNS($V$1006:Y1006),$V$1006:$AE$1006,0)), HYPERLINK("#",""), HYPERLINK(CONCATENATE("#Metadata!", ADDRESS(INDEX($Q$2:$Q$1001,MATCH(ROWS($O$2:O879),$O$2:$O$1001,0),0), INDEX($V$1004:$AE$1004,1,MATCH(COLUMNS($V$1006:Y1006),$V$1006:$AE$1006,0)))),"Fix")))</f>
        <v>0</v>
      </c>
      <c r="F879" s="4">
        <f>IF(OR(INDEX($P$2:$P$1001,MATCH(ROWS($O$2:O879),$O$2:$O$1001,0),1)&gt;=100000,INDEX($V$1005:$AE$1005,1,MATCH(COLUMNS($V$1006:Z1006),$V$1006:$AE$1006,0))&gt;=100000), " ",IF(INDEX($V$2:$AE$1001,MATCH(ROWS($O$2:O879),$O$2:$O$1001,0),MATCH(COLUMNS($V$1006:Z1006),$V$1006:$AE$1006,0)), HYPERLINK("#",""), HYPERLINK(CONCATENATE("#Metadata!", ADDRESS(INDEX($Q$2:$Q$1001,MATCH(ROWS($O$2:O879),$O$2:$O$1001,0),0), INDEX($V$1004:$AE$1004,1,MATCH(COLUMNS($V$1006:Z1006),$V$1006:$AE$1006,0)))),"Fix")))</f>
        <v>0</v>
      </c>
      <c r="G879" s="4">
        <f>IF(OR(INDEX($P$2:$P$1001,MATCH(ROWS($O$2:O879),$O$2:$O$1001,0),1)&gt;=100000,INDEX($V$1005:$AE$1005,1,MATCH(COLUMNS($V$1006:AA1006),$V$1006:$AE$1006,0))&gt;=100000), " ",IF(INDEX($V$2:$AE$1001,MATCH(ROWS($O$2:O879),$O$2:$O$1001,0),MATCH(COLUMNS($V$1006:AA1006),$V$1006:$AE$1006,0)), HYPERLINK("#",""), HYPERLINK(CONCATENATE("#Metadata!", ADDRESS(INDEX($Q$2:$Q$1001,MATCH(ROWS($O$2:O879),$O$2:$O$1001,0),0), INDEX($V$1004:$AE$1004,1,MATCH(COLUMNS($V$1006:AA1006),$V$1006:$AE$1006,0)))),"Fix")))</f>
        <v>0</v>
      </c>
      <c r="H879" s="4">
        <f>IF(OR(INDEX($P$2:$P$1001,MATCH(ROWS($O$2:O879),$O$2:$O$1001,0),1)&gt;=100000,INDEX($V$1005:$AE$1005,1,MATCH(COLUMNS($V$1006:AB1006),$V$1006:$AE$1006,0))&gt;=100000), " ",IF(INDEX($V$2:$AE$1001,MATCH(ROWS($O$2:O879),$O$2:$O$1001,0),MATCH(COLUMNS($V$1006:AB1006),$V$1006:$AE$1006,0)), HYPERLINK("#",""), HYPERLINK(CONCATENATE("#Metadata!", ADDRESS(INDEX($Q$2:$Q$1001,MATCH(ROWS($O$2:O879),$O$2:$O$1001,0),0), INDEX($V$1004:$AE$1004,1,MATCH(COLUMNS($V$1006:AB1006),$V$1006:$AE$1006,0)))),"Fix")))</f>
        <v>0</v>
      </c>
      <c r="I879" s="4">
        <f>IF(OR(INDEX($P$2:$P$1001,MATCH(ROWS($O$2:O879),$O$2:$O$1001,0),1)&gt;=100000,INDEX($V$1005:$AE$1005,1,MATCH(COLUMNS($V$1006:AC1006),$V$1006:$AE$1006,0))&gt;=100000), " ",IF(INDEX($V$2:$AE$1001,MATCH(ROWS($O$2:O879),$O$2:$O$1001,0),MATCH(COLUMNS($V$1006:AC1006),$V$1006:$AE$1006,0)), HYPERLINK("#",""), HYPERLINK(CONCATENATE("#Metadata!", ADDRESS(INDEX($Q$2:$Q$1001,MATCH(ROWS($O$2:O879),$O$2:$O$1001,0),0), INDEX($V$1004:$AE$1004,1,MATCH(COLUMNS($V$1006:AC1006),$V$1006:$AE$1006,0)))),"Fix")))</f>
        <v>0</v>
      </c>
      <c r="J879" s="4">
        <f>IF(OR(INDEX($P$2:$P$1001,MATCH(ROWS($O$2:O879),$O$2:$O$1001,0),1)&gt;=100000,INDEX($V$1005:$AE$1005,1,MATCH(COLUMNS($V$1006:AD1006),$V$1006:$AE$1006,0))&gt;=100000), " ",IF(INDEX($V$2:$AE$1001,MATCH(ROWS($O$2:O879),$O$2:$O$1001,0),MATCH(COLUMNS($V$1006:AD1006),$V$1006:$AE$1006,0)), HYPERLINK("#",""), HYPERLINK(CONCATENATE("#Metadata!", ADDRESS(INDEX($Q$2:$Q$1001,MATCH(ROWS($O$2:O879),$O$2:$O$1001,0),0), INDEX($V$1004:$AE$1004,1,MATCH(COLUMNS($V$1006:AD1006),$V$1006:$AE$1006,0)))),"Fix")))</f>
        <v>0</v>
      </c>
      <c r="K879" s="4">
        <f>IF(OR(INDEX($P$2:$P$1001,MATCH(ROWS($O$2:O879),$O$2:$O$1001,0),1)&gt;=100000,INDEX($V$1005:$AE$1005,1,MATCH(COLUMNS($V$1006:AE1006),$V$1006:$AE$1006,0))&gt;=100000), " ",IF(INDEX($V$2:$AE$1001,MATCH(ROWS($O$2:O879),$O$2:$O$1001,0),MATCH(COLUMNS($V$1006:AE1006),$V$1006:$AE$1006,0)), HYPERLINK("#",""), HYPERLINK(CONCATENATE("#Metadata!", ADDRESS(INDEX($Q$2:$Q$1001,MATCH(ROWS($O$2:O879),$O$2:$O$1001,0),0), INDEX($V$1004:$AE$1004,1,MATCH(COLUMNS($V$1006:AE1006),$V$1006:$AE$1006,0)))),"Fix")))</f>
        <v>0</v>
      </c>
      <c r="O879">
        <v>0</v>
      </c>
      <c r="P879">
        <v>0</v>
      </c>
      <c r="Q879">
        <v>0</v>
      </c>
      <c r="R879">
        <f>IF(S879,TRUE,AND(V879:AE879))</f>
        <v>0</v>
      </c>
      <c r="S879">
        <f>COUNTBLANK(Metadata!B879:K879)=COLUMNS(Metadata!B879:K879)</f>
        <v>0</v>
      </c>
      <c r="T879">
        <v>0</v>
      </c>
      <c r="V879">
        <f>AND(IF(Metadata!B879="",FALSE,TRUE),COUNTIF(Metadata!B:B, Metadata!B879) = 1,NOT(ISERROR(SUMPRODUCT(SEARCH(MID(Metadata!B879,ROW(INDIRECT("1:"&amp;LEN(Metadata!B879))), 1),"0123456789abcdefghijklmnopqrstuvwxyzABCDEFGHIJKLMNOPQRSTUVWXYZ.")))))</f>
        <v>0</v>
      </c>
      <c r="W879">
        <f>AND(IF(Metadata!C879="",FALSE,TRUE),exact(Metadata!C879,"urban biome"))</f>
        <v>0</v>
      </c>
      <c r="X879">
        <f>AND(IF(Metadata!D879="",FALSE,TRUE),exact(Metadata!D879,"animal-associated habitat"))</f>
        <v>0</v>
      </c>
      <c r="Y879">
        <f>OR(AND(IF(Metadata!E879="",FALSE,TRUE),OR(exact(Metadata!E879,"not applicable"),exact(Metadata!E879,"missing: not collected"),exact(Metadata!E879,"missing: not provided"),exact(Metadata!E879,"missing: restricted access"))),AND(IF(Metadata!E879="",FALSE,ISNUMBER(VALUE(Metadata!E879))),Metadata!E879&gt;0))</f>
        <v>0</v>
      </c>
      <c r="Z879">
        <f>AND(IF(Metadata!F879="",FALSE,TRUE),exact(Metadata!F879,"weeks"))</f>
        <v>0</v>
      </c>
      <c r="AA879">
        <f>AND(IF(Metadata!G879="",FALSE,TRUE),exact(Metadata!G879,"mouse"))</f>
        <v>0</v>
      </c>
      <c r="AB879">
        <f>AND(IF(Metadata!H879="",FALSE,TRUE),exact(Metadata!H879,"Mus musculus"))</f>
        <v>0</v>
      </c>
      <c r="AC879">
        <f>AND(IF(Metadata!I879="",FALSE,TRUE),exact(Metadata!I879,"10090"))</f>
        <v>0</v>
      </c>
      <c r="AD879">
        <f>OR(AND(IF(Metadata!J879="",FALSE,TRUE),OR(exact(Metadata!J879,"not applicable"),exact(Metadata!J879,"missing: not collected"),exact(Metadata!J879,"missing: not provided"),exact(Metadata!J879,"missing: restricted access"))),AND(IF(Metadata!J879="",FALSE,ISNUMBER(VALUE(Metadata!J879))),Metadata!J879&gt;0))</f>
        <v>0</v>
      </c>
      <c r="AE879">
        <f>AND(IF(Metadata!K879="",FALSE,TRUE),exact(Metadata!K879,"g"))</f>
        <v>0</v>
      </c>
    </row>
    <row r="880" spans="1:31">
      <c r="A880" s="5">
        <f>IF(B880=" "," ",HYPERLINK(CONCATENATE("#metadata!",ADDRESS(INDEX($Q$2:$Q$1001,MATCH(ROWS($O$2:O880),$O$2:$O$1001,0),0),1)),INDEX($T$2:$T$1001,MATCH(ROWS($O$2:O880),$O$2:$O$1001,0),0)))</f>
        <v>0</v>
      </c>
      <c r="B880" s="4">
        <f>IF(OR(INDEX($P$2:$P$1001,MATCH(ROWS($O$2:O880),$O$2:$O$1001,0),1)&gt;=100000,INDEX($V$1005:$AE$1005,1,MATCH(COLUMNS($V$1006:V1006),$V$1006:$AE$1006,0))&gt;=100000), " ",IF(INDEX($V$2:$AE$1001,MATCH(ROWS($O$2:O880),$O$2:$O$1001,0),MATCH(COLUMNS($V$1006:V1006),$V$1006:$AE$1006,0)), HYPERLINK("#",""), HYPERLINK(CONCATENATE("#Metadata!", ADDRESS(INDEX($Q$2:$Q$1001,MATCH(ROWS($O$2:O880),$O$2:$O$1001,0),0), INDEX($V$1004:$AE$1004,1,MATCH(COLUMNS($V$1006:V1006),$V$1006:$AE$1006,0)))),"Fix")))</f>
        <v>0</v>
      </c>
      <c r="C880" s="4">
        <f>IF(OR(INDEX($P$2:$P$1001,MATCH(ROWS($O$2:O880),$O$2:$O$1001,0),1)&gt;=100000,INDEX($V$1005:$AE$1005,1,MATCH(COLUMNS($V$1006:W1006),$V$1006:$AE$1006,0))&gt;=100000), " ",IF(INDEX($V$2:$AE$1001,MATCH(ROWS($O$2:O880),$O$2:$O$1001,0),MATCH(COLUMNS($V$1006:W1006),$V$1006:$AE$1006,0)), HYPERLINK("#",""), HYPERLINK(CONCATENATE("#Metadata!", ADDRESS(INDEX($Q$2:$Q$1001,MATCH(ROWS($O$2:O880),$O$2:$O$1001,0),0), INDEX($V$1004:$AE$1004,1,MATCH(COLUMNS($V$1006:W1006),$V$1006:$AE$1006,0)))),"Fix")))</f>
        <v>0</v>
      </c>
      <c r="D880" s="4">
        <f>IF(OR(INDEX($P$2:$P$1001,MATCH(ROWS($O$2:O880),$O$2:$O$1001,0),1)&gt;=100000,INDEX($V$1005:$AE$1005,1,MATCH(COLUMNS($V$1006:X1006),$V$1006:$AE$1006,0))&gt;=100000), " ",IF(INDEX($V$2:$AE$1001,MATCH(ROWS($O$2:O880),$O$2:$O$1001,0),MATCH(COLUMNS($V$1006:X1006),$V$1006:$AE$1006,0)), HYPERLINK("#",""), HYPERLINK(CONCATENATE("#Metadata!", ADDRESS(INDEX($Q$2:$Q$1001,MATCH(ROWS($O$2:O880),$O$2:$O$1001,0),0), INDEX($V$1004:$AE$1004,1,MATCH(COLUMNS($V$1006:X1006),$V$1006:$AE$1006,0)))),"Fix")))</f>
        <v>0</v>
      </c>
      <c r="E880" s="4">
        <f>IF(OR(INDEX($P$2:$P$1001,MATCH(ROWS($O$2:O880),$O$2:$O$1001,0),1)&gt;=100000,INDEX($V$1005:$AE$1005,1,MATCH(COLUMNS($V$1006:Y1006),$V$1006:$AE$1006,0))&gt;=100000), " ",IF(INDEX($V$2:$AE$1001,MATCH(ROWS($O$2:O880),$O$2:$O$1001,0),MATCH(COLUMNS($V$1006:Y1006),$V$1006:$AE$1006,0)), HYPERLINK("#",""), HYPERLINK(CONCATENATE("#Metadata!", ADDRESS(INDEX($Q$2:$Q$1001,MATCH(ROWS($O$2:O880),$O$2:$O$1001,0),0), INDEX($V$1004:$AE$1004,1,MATCH(COLUMNS($V$1006:Y1006),$V$1006:$AE$1006,0)))),"Fix")))</f>
        <v>0</v>
      </c>
      <c r="F880" s="4">
        <f>IF(OR(INDEX($P$2:$P$1001,MATCH(ROWS($O$2:O880),$O$2:$O$1001,0),1)&gt;=100000,INDEX($V$1005:$AE$1005,1,MATCH(COLUMNS($V$1006:Z1006),$V$1006:$AE$1006,0))&gt;=100000), " ",IF(INDEX($V$2:$AE$1001,MATCH(ROWS($O$2:O880),$O$2:$O$1001,0),MATCH(COLUMNS($V$1006:Z1006),$V$1006:$AE$1006,0)), HYPERLINK("#",""), HYPERLINK(CONCATENATE("#Metadata!", ADDRESS(INDEX($Q$2:$Q$1001,MATCH(ROWS($O$2:O880),$O$2:$O$1001,0),0), INDEX($V$1004:$AE$1004,1,MATCH(COLUMNS($V$1006:Z1006),$V$1006:$AE$1006,0)))),"Fix")))</f>
        <v>0</v>
      </c>
      <c r="G880" s="4">
        <f>IF(OR(INDEX($P$2:$P$1001,MATCH(ROWS($O$2:O880),$O$2:$O$1001,0),1)&gt;=100000,INDEX($V$1005:$AE$1005,1,MATCH(COLUMNS($V$1006:AA1006),$V$1006:$AE$1006,0))&gt;=100000), " ",IF(INDEX($V$2:$AE$1001,MATCH(ROWS($O$2:O880),$O$2:$O$1001,0),MATCH(COLUMNS($V$1006:AA1006),$V$1006:$AE$1006,0)), HYPERLINK("#",""), HYPERLINK(CONCATENATE("#Metadata!", ADDRESS(INDEX($Q$2:$Q$1001,MATCH(ROWS($O$2:O880),$O$2:$O$1001,0),0), INDEX($V$1004:$AE$1004,1,MATCH(COLUMNS($V$1006:AA1006),$V$1006:$AE$1006,0)))),"Fix")))</f>
        <v>0</v>
      </c>
      <c r="H880" s="4">
        <f>IF(OR(INDEX($P$2:$P$1001,MATCH(ROWS($O$2:O880),$O$2:$O$1001,0),1)&gt;=100000,INDEX($V$1005:$AE$1005,1,MATCH(COLUMNS($V$1006:AB1006),$V$1006:$AE$1006,0))&gt;=100000), " ",IF(INDEX($V$2:$AE$1001,MATCH(ROWS($O$2:O880),$O$2:$O$1001,0),MATCH(COLUMNS($V$1006:AB1006),$V$1006:$AE$1006,0)), HYPERLINK("#",""), HYPERLINK(CONCATENATE("#Metadata!", ADDRESS(INDEX($Q$2:$Q$1001,MATCH(ROWS($O$2:O880),$O$2:$O$1001,0),0), INDEX($V$1004:$AE$1004,1,MATCH(COLUMNS($V$1006:AB1006),$V$1006:$AE$1006,0)))),"Fix")))</f>
        <v>0</v>
      </c>
      <c r="I880" s="4">
        <f>IF(OR(INDEX($P$2:$P$1001,MATCH(ROWS($O$2:O880),$O$2:$O$1001,0),1)&gt;=100000,INDEX($V$1005:$AE$1005,1,MATCH(COLUMNS($V$1006:AC1006),$V$1006:$AE$1006,0))&gt;=100000), " ",IF(INDEX($V$2:$AE$1001,MATCH(ROWS($O$2:O880),$O$2:$O$1001,0),MATCH(COLUMNS($V$1006:AC1006),$V$1006:$AE$1006,0)), HYPERLINK("#",""), HYPERLINK(CONCATENATE("#Metadata!", ADDRESS(INDEX($Q$2:$Q$1001,MATCH(ROWS($O$2:O880),$O$2:$O$1001,0),0), INDEX($V$1004:$AE$1004,1,MATCH(COLUMNS($V$1006:AC1006),$V$1006:$AE$1006,0)))),"Fix")))</f>
        <v>0</v>
      </c>
      <c r="J880" s="4">
        <f>IF(OR(INDEX($P$2:$P$1001,MATCH(ROWS($O$2:O880),$O$2:$O$1001,0),1)&gt;=100000,INDEX($V$1005:$AE$1005,1,MATCH(COLUMNS($V$1006:AD1006),$V$1006:$AE$1006,0))&gt;=100000), " ",IF(INDEX($V$2:$AE$1001,MATCH(ROWS($O$2:O880),$O$2:$O$1001,0),MATCH(COLUMNS($V$1006:AD1006),$V$1006:$AE$1006,0)), HYPERLINK("#",""), HYPERLINK(CONCATENATE("#Metadata!", ADDRESS(INDEX($Q$2:$Q$1001,MATCH(ROWS($O$2:O880),$O$2:$O$1001,0),0), INDEX($V$1004:$AE$1004,1,MATCH(COLUMNS($V$1006:AD1006),$V$1006:$AE$1006,0)))),"Fix")))</f>
        <v>0</v>
      </c>
      <c r="K880" s="4">
        <f>IF(OR(INDEX($P$2:$P$1001,MATCH(ROWS($O$2:O880),$O$2:$O$1001,0),1)&gt;=100000,INDEX($V$1005:$AE$1005,1,MATCH(COLUMNS($V$1006:AE1006),$V$1006:$AE$1006,0))&gt;=100000), " ",IF(INDEX($V$2:$AE$1001,MATCH(ROWS($O$2:O880),$O$2:$O$1001,0),MATCH(COLUMNS($V$1006:AE1006),$V$1006:$AE$1006,0)), HYPERLINK("#",""), HYPERLINK(CONCATENATE("#Metadata!", ADDRESS(INDEX($Q$2:$Q$1001,MATCH(ROWS($O$2:O880),$O$2:$O$1001,0),0), INDEX($V$1004:$AE$1004,1,MATCH(COLUMNS($V$1006:AE1006),$V$1006:$AE$1006,0)))),"Fix")))</f>
        <v>0</v>
      </c>
      <c r="O880">
        <v>0</v>
      </c>
      <c r="P880">
        <v>0</v>
      </c>
      <c r="Q880">
        <v>0</v>
      </c>
      <c r="R880">
        <f>IF(S880,TRUE,AND(V880:AE880))</f>
        <v>0</v>
      </c>
      <c r="S880">
        <f>COUNTBLANK(Metadata!B880:K880)=COLUMNS(Metadata!B880:K880)</f>
        <v>0</v>
      </c>
      <c r="T880">
        <v>0</v>
      </c>
      <c r="V880">
        <f>AND(IF(Metadata!B880="",FALSE,TRUE),COUNTIF(Metadata!B:B, Metadata!B880) = 1,NOT(ISERROR(SUMPRODUCT(SEARCH(MID(Metadata!B880,ROW(INDIRECT("1:"&amp;LEN(Metadata!B880))), 1),"0123456789abcdefghijklmnopqrstuvwxyzABCDEFGHIJKLMNOPQRSTUVWXYZ.")))))</f>
        <v>0</v>
      </c>
      <c r="W880">
        <f>AND(IF(Metadata!C880="",FALSE,TRUE),exact(Metadata!C880,"urban biome"))</f>
        <v>0</v>
      </c>
      <c r="X880">
        <f>AND(IF(Metadata!D880="",FALSE,TRUE),exact(Metadata!D880,"animal-associated habitat"))</f>
        <v>0</v>
      </c>
      <c r="Y880">
        <f>OR(AND(IF(Metadata!E880="",FALSE,TRUE),OR(exact(Metadata!E880,"not applicable"),exact(Metadata!E880,"missing: not collected"),exact(Metadata!E880,"missing: not provided"),exact(Metadata!E880,"missing: restricted access"))),AND(IF(Metadata!E880="",FALSE,ISNUMBER(VALUE(Metadata!E880))),Metadata!E880&gt;0))</f>
        <v>0</v>
      </c>
      <c r="Z880">
        <f>AND(IF(Metadata!F880="",FALSE,TRUE),exact(Metadata!F880,"weeks"))</f>
        <v>0</v>
      </c>
      <c r="AA880">
        <f>AND(IF(Metadata!G880="",FALSE,TRUE),exact(Metadata!G880,"mouse"))</f>
        <v>0</v>
      </c>
      <c r="AB880">
        <f>AND(IF(Metadata!H880="",FALSE,TRUE),exact(Metadata!H880,"Mus musculus"))</f>
        <v>0</v>
      </c>
      <c r="AC880">
        <f>AND(IF(Metadata!I880="",FALSE,TRUE),exact(Metadata!I880,"10090"))</f>
        <v>0</v>
      </c>
      <c r="AD880">
        <f>OR(AND(IF(Metadata!J880="",FALSE,TRUE),OR(exact(Metadata!J880,"not applicable"),exact(Metadata!J880,"missing: not collected"),exact(Metadata!J880,"missing: not provided"),exact(Metadata!J880,"missing: restricted access"))),AND(IF(Metadata!J880="",FALSE,ISNUMBER(VALUE(Metadata!J880))),Metadata!J880&gt;0))</f>
        <v>0</v>
      </c>
      <c r="AE880">
        <f>AND(IF(Metadata!K880="",FALSE,TRUE),exact(Metadata!K880,"g"))</f>
        <v>0</v>
      </c>
    </row>
    <row r="881" spans="1:31">
      <c r="A881" s="5">
        <f>IF(B881=" "," ",HYPERLINK(CONCATENATE("#metadata!",ADDRESS(INDEX($Q$2:$Q$1001,MATCH(ROWS($O$2:O881),$O$2:$O$1001,0),0),1)),INDEX($T$2:$T$1001,MATCH(ROWS($O$2:O881),$O$2:$O$1001,0),0)))</f>
        <v>0</v>
      </c>
      <c r="B881" s="4">
        <f>IF(OR(INDEX($P$2:$P$1001,MATCH(ROWS($O$2:O881),$O$2:$O$1001,0),1)&gt;=100000,INDEX($V$1005:$AE$1005,1,MATCH(COLUMNS($V$1006:V1006),$V$1006:$AE$1006,0))&gt;=100000), " ",IF(INDEX($V$2:$AE$1001,MATCH(ROWS($O$2:O881),$O$2:$O$1001,0),MATCH(COLUMNS($V$1006:V1006),$V$1006:$AE$1006,0)), HYPERLINK("#",""), HYPERLINK(CONCATENATE("#Metadata!", ADDRESS(INDEX($Q$2:$Q$1001,MATCH(ROWS($O$2:O881),$O$2:$O$1001,0),0), INDEX($V$1004:$AE$1004,1,MATCH(COLUMNS($V$1006:V1006),$V$1006:$AE$1006,0)))),"Fix")))</f>
        <v>0</v>
      </c>
      <c r="C881" s="4">
        <f>IF(OR(INDEX($P$2:$P$1001,MATCH(ROWS($O$2:O881),$O$2:$O$1001,0),1)&gt;=100000,INDEX($V$1005:$AE$1005,1,MATCH(COLUMNS($V$1006:W1006),$V$1006:$AE$1006,0))&gt;=100000), " ",IF(INDEX($V$2:$AE$1001,MATCH(ROWS($O$2:O881),$O$2:$O$1001,0),MATCH(COLUMNS($V$1006:W1006),$V$1006:$AE$1006,0)), HYPERLINK("#",""), HYPERLINK(CONCATENATE("#Metadata!", ADDRESS(INDEX($Q$2:$Q$1001,MATCH(ROWS($O$2:O881),$O$2:$O$1001,0),0), INDEX($V$1004:$AE$1004,1,MATCH(COLUMNS($V$1006:W1006),$V$1006:$AE$1006,0)))),"Fix")))</f>
        <v>0</v>
      </c>
      <c r="D881" s="4">
        <f>IF(OR(INDEX($P$2:$P$1001,MATCH(ROWS($O$2:O881),$O$2:$O$1001,0),1)&gt;=100000,INDEX($V$1005:$AE$1005,1,MATCH(COLUMNS($V$1006:X1006),$V$1006:$AE$1006,0))&gt;=100000), " ",IF(INDEX($V$2:$AE$1001,MATCH(ROWS($O$2:O881),$O$2:$O$1001,0),MATCH(COLUMNS($V$1006:X1006),$V$1006:$AE$1006,0)), HYPERLINK("#",""), HYPERLINK(CONCATENATE("#Metadata!", ADDRESS(INDEX($Q$2:$Q$1001,MATCH(ROWS($O$2:O881),$O$2:$O$1001,0),0), INDEX($V$1004:$AE$1004,1,MATCH(COLUMNS($V$1006:X1006),$V$1006:$AE$1006,0)))),"Fix")))</f>
        <v>0</v>
      </c>
      <c r="E881" s="4">
        <f>IF(OR(INDEX($P$2:$P$1001,MATCH(ROWS($O$2:O881),$O$2:$O$1001,0),1)&gt;=100000,INDEX($V$1005:$AE$1005,1,MATCH(COLUMNS($V$1006:Y1006),$V$1006:$AE$1006,0))&gt;=100000), " ",IF(INDEX($V$2:$AE$1001,MATCH(ROWS($O$2:O881),$O$2:$O$1001,0),MATCH(COLUMNS($V$1006:Y1006),$V$1006:$AE$1006,0)), HYPERLINK("#",""), HYPERLINK(CONCATENATE("#Metadata!", ADDRESS(INDEX($Q$2:$Q$1001,MATCH(ROWS($O$2:O881),$O$2:$O$1001,0),0), INDEX($V$1004:$AE$1004,1,MATCH(COLUMNS($V$1006:Y1006),$V$1006:$AE$1006,0)))),"Fix")))</f>
        <v>0</v>
      </c>
      <c r="F881" s="4">
        <f>IF(OR(INDEX($P$2:$P$1001,MATCH(ROWS($O$2:O881),$O$2:$O$1001,0),1)&gt;=100000,INDEX($V$1005:$AE$1005,1,MATCH(COLUMNS($V$1006:Z1006),$V$1006:$AE$1006,0))&gt;=100000), " ",IF(INDEX($V$2:$AE$1001,MATCH(ROWS($O$2:O881),$O$2:$O$1001,0),MATCH(COLUMNS($V$1006:Z1006),$V$1006:$AE$1006,0)), HYPERLINK("#",""), HYPERLINK(CONCATENATE("#Metadata!", ADDRESS(INDEX($Q$2:$Q$1001,MATCH(ROWS($O$2:O881),$O$2:$O$1001,0),0), INDEX($V$1004:$AE$1004,1,MATCH(COLUMNS($V$1006:Z1006),$V$1006:$AE$1006,0)))),"Fix")))</f>
        <v>0</v>
      </c>
      <c r="G881" s="4">
        <f>IF(OR(INDEX($P$2:$P$1001,MATCH(ROWS($O$2:O881),$O$2:$O$1001,0),1)&gt;=100000,INDEX($V$1005:$AE$1005,1,MATCH(COLUMNS($V$1006:AA1006),$V$1006:$AE$1006,0))&gt;=100000), " ",IF(INDEX($V$2:$AE$1001,MATCH(ROWS($O$2:O881),$O$2:$O$1001,0),MATCH(COLUMNS($V$1006:AA1006),$V$1006:$AE$1006,0)), HYPERLINK("#",""), HYPERLINK(CONCATENATE("#Metadata!", ADDRESS(INDEX($Q$2:$Q$1001,MATCH(ROWS($O$2:O881),$O$2:$O$1001,0),0), INDEX($V$1004:$AE$1004,1,MATCH(COLUMNS($V$1006:AA1006),$V$1006:$AE$1006,0)))),"Fix")))</f>
        <v>0</v>
      </c>
      <c r="H881" s="4">
        <f>IF(OR(INDEX($P$2:$P$1001,MATCH(ROWS($O$2:O881),$O$2:$O$1001,0),1)&gt;=100000,INDEX($V$1005:$AE$1005,1,MATCH(COLUMNS($V$1006:AB1006),$V$1006:$AE$1006,0))&gt;=100000), " ",IF(INDEX($V$2:$AE$1001,MATCH(ROWS($O$2:O881),$O$2:$O$1001,0),MATCH(COLUMNS($V$1006:AB1006),$V$1006:$AE$1006,0)), HYPERLINK("#",""), HYPERLINK(CONCATENATE("#Metadata!", ADDRESS(INDEX($Q$2:$Q$1001,MATCH(ROWS($O$2:O881),$O$2:$O$1001,0),0), INDEX($V$1004:$AE$1004,1,MATCH(COLUMNS($V$1006:AB1006),$V$1006:$AE$1006,0)))),"Fix")))</f>
        <v>0</v>
      </c>
      <c r="I881" s="4">
        <f>IF(OR(INDEX($P$2:$P$1001,MATCH(ROWS($O$2:O881),$O$2:$O$1001,0),1)&gt;=100000,INDEX($V$1005:$AE$1005,1,MATCH(COLUMNS($V$1006:AC1006),$V$1006:$AE$1006,0))&gt;=100000), " ",IF(INDEX($V$2:$AE$1001,MATCH(ROWS($O$2:O881),$O$2:$O$1001,0),MATCH(COLUMNS($V$1006:AC1006),$V$1006:$AE$1006,0)), HYPERLINK("#",""), HYPERLINK(CONCATENATE("#Metadata!", ADDRESS(INDEX($Q$2:$Q$1001,MATCH(ROWS($O$2:O881),$O$2:$O$1001,0),0), INDEX($V$1004:$AE$1004,1,MATCH(COLUMNS($V$1006:AC1006),$V$1006:$AE$1006,0)))),"Fix")))</f>
        <v>0</v>
      </c>
      <c r="J881" s="4">
        <f>IF(OR(INDEX($P$2:$P$1001,MATCH(ROWS($O$2:O881),$O$2:$O$1001,0),1)&gt;=100000,INDEX($V$1005:$AE$1005,1,MATCH(COLUMNS($V$1006:AD1006),$V$1006:$AE$1006,0))&gt;=100000), " ",IF(INDEX($V$2:$AE$1001,MATCH(ROWS($O$2:O881),$O$2:$O$1001,0),MATCH(COLUMNS($V$1006:AD1006),$V$1006:$AE$1006,0)), HYPERLINK("#",""), HYPERLINK(CONCATENATE("#Metadata!", ADDRESS(INDEX($Q$2:$Q$1001,MATCH(ROWS($O$2:O881),$O$2:$O$1001,0),0), INDEX($V$1004:$AE$1004,1,MATCH(COLUMNS($V$1006:AD1006),$V$1006:$AE$1006,0)))),"Fix")))</f>
        <v>0</v>
      </c>
      <c r="K881" s="4">
        <f>IF(OR(INDEX($P$2:$P$1001,MATCH(ROWS($O$2:O881),$O$2:$O$1001,0),1)&gt;=100000,INDEX($V$1005:$AE$1005,1,MATCH(COLUMNS($V$1006:AE1006),$V$1006:$AE$1006,0))&gt;=100000), " ",IF(INDEX($V$2:$AE$1001,MATCH(ROWS($O$2:O881),$O$2:$O$1001,0),MATCH(COLUMNS($V$1006:AE1006),$V$1006:$AE$1006,0)), HYPERLINK("#",""), HYPERLINK(CONCATENATE("#Metadata!", ADDRESS(INDEX($Q$2:$Q$1001,MATCH(ROWS($O$2:O881),$O$2:$O$1001,0),0), INDEX($V$1004:$AE$1004,1,MATCH(COLUMNS($V$1006:AE1006),$V$1006:$AE$1006,0)))),"Fix")))</f>
        <v>0</v>
      </c>
      <c r="O881">
        <v>0</v>
      </c>
      <c r="P881">
        <v>0</v>
      </c>
      <c r="Q881">
        <v>0</v>
      </c>
      <c r="R881">
        <f>IF(S881,TRUE,AND(V881:AE881))</f>
        <v>0</v>
      </c>
      <c r="S881">
        <f>COUNTBLANK(Metadata!B881:K881)=COLUMNS(Metadata!B881:K881)</f>
        <v>0</v>
      </c>
      <c r="T881">
        <v>0</v>
      </c>
      <c r="V881">
        <f>AND(IF(Metadata!B881="",FALSE,TRUE),COUNTIF(Metadata!B:B, Metadata!B881) = 1,NOT(ISERROR(SUMPRODUCT(SEARCH(MID(Metadata!B881,ROW(INDIRECT("1:"&amp;LEN(Metadata!B881))), 1),"0123456789abcdefghijklmnopqrstuvwxyzABCDEFGHIJKLMNOPQRSTUVWXYZ.")))))</f>
        <v>0</v>
      </c>
      <c r="W881">
        <f>AND(IF(Metadata!C881="",FALSE,TRUE),exact(Metadata!C881,"urban biome"))</f>
        <v>0</v>
      </c>
      <c r="X881">
        <f>AND(IF(Metadata!D881="",FALSE,TRUE),exact(Metadata!D881,"animal-associated habitat"))</f>
        <v>0</v>
      </c>
      <c r="Y881">
        <f>OR(AND(IF(Metadata!E881="",FALSE,TRUE),OR(exact(Metadata!E881,"not applicable"),exact(Metadata!E881,"missing: not collected"),exact(Metadata!E881,"missing: not provided"),exact(Metadata!E881,"missing: restricted access"))),AND(IF(Metadata!E881="",FALSE,ISNUMBER(VALUE(Metadata!E881))),Metadata!E881&gt;0))</f>
        <v>0</v>
      </c>
      <c r="Z881">
        <f>AND(IF(Metadata!F881="",FALSE,TRUE),exact(Metadata!F881,"weeks"))</f>
        <v>0</v>
      </c>
      <c r="AA881">
        <f>AND(IF(Metadata!G881="",FALSE,TRUE),exact(Metadata!G881,"mouse"))</f>
        <v>0</v>
      </c>
      <c r="AB881">
        <f>AND(IF(Metadata!H881="",FALSE,TRUE),exact(Metadata!H881,"Mus musculus"))</f>
        <v>0</v>
      </c>
      <c r="AC881">
        <f>AND(IF(Metadata!I881="",FALSE,TRUE),exact(Metadata!I881,"10090"))</f>
        <v>0</v>
      </c>
      <c r="AD881">
        <f>OR(AND(IF(Metadata!J881="",FALSE,TRUE),OR(exact(Metadata!J881,"not applicable"),exact(Metadata!J881,"missing: not collected"),exact(Metadata!J881,"missing: not provided"),exact(Metadata!J881,"missing: restricted access"))),AND(IF(Metadata!J881="",FALSE,ISNUMBER(VALUE(Metadata!J881))),Metadata!J881&gt;0))</f>
        <v>0</v>
      </c>
      <c r="AE881">
        <f>AND(IF(Metadata!K881="",FALSE,TRUE),exact(Metadata!K881,"g"))</f>
        <v>0</v>
      </c>
    </row>
    <row r="882" spans="1:31">
      <c r="A882" s="5">
        <f>IF(B882=" "," ",HYPERLINK(CONCATENATE("#metadata!",ADDRESS(INDEX($Q$2:$Q$1001,MATCH(ROWS($O$2:O882),$O$2:$O$1001,0),0),1)),INDEX($T$2:$T$1001,MATCH(ROWS($O$2:O882),$O$2:$O$1001,0),0)))</f>
        <v>0</v>
      </c>
      <c r="B882" s="4">
        <f>IF(OR(INDEX($P$2:$P$1001,MATCH(ROWS($O$2:O882),$O$2:$O$1001,0),1)&gt;=100000,INDEX($V$1005:$AE$1005,1,MATCH(COLUMNS($V$1006:V1006),$V$1006:$AE$1006,0))&gt;=100000), " ",IF(INDEX($V$2:$AE$1001,MATCH(ROWS($O$2:O882),$O$2:$O$1001,0),MATCH(COLUMNS($V$1006:V1006),$V$1006:$AE$1006,0)), HYPERLINK("#",""), HYPERLINK(CONCATENATE("#Metadata!", ADDRESS(INDEX($Q$2:$Q$1001,MATCH(ROWS($O$2:O882),$O$2:$O$1001,0),0), INDEX($V$1004:$AE$1004,1,MATCH(COLUMNS($V$1006:V1006),$V$1006:$AE$1006,0)))),"Fix")))</f>
        <v>0</v>
      </c>
      <c r="C882" s="4">
        <f>IF(OR(INDEX($P$2:$P$1001,MATCH(ROWS($O$2:O882),$O$2:$O$1001,0),1)&gt;=100000,INDEX($V$1005:$AE$1005,1,MATCH(COLUMNS($V$1006:W1006),$V$1006:$AE$1006,0))&gt;=100000), " ",IF(INDEX($V$2:$AE$1001,MATCH(ROWS($O$2:O882),$O$2:$O$1001,0),MATCH(COLUMNS($V$1006:W1006),$V$1006:$AE$1006,0)), HYPERLINK("#",""), HYPERLINK(CONCATENATE("#Metadata!", ADDRESS(INDEX($Q$2:$Q$1001,MATCH(ROWS($O$2:O882),$O$2:$O$1001,0),0), INDEX($V$1004:$AE$1004,1,MATCH(COLUMNS($V$1006:W1006),$V$1006:$AE$1006,0)))),"Fix")))</f>
        <v>0</v>
      </c>
      <c r="D882" s="4">
        <f>IF(OR(INDEX($P$2:$P$1001,MATCH(ROWS($O$2:O882),$O$2:$O$1001,0),1)&gt;=100000,INDEX($V$1005:$AE$1005,1,MATCH(COLUMNS($V$1006:X1006),$V$1006:$AE$1006,0))&gt;=100000), " ",IF(INDEX($V$2:$AE$1001,MATCH(ROWS($O$2:O882),$O$2:$O$1001,0),MATCH(COLUMNS($V$1006:X1006),$V$1006:$AE$1006,0)), HYPERLINK("#",""), HYPERLINK(CONCATENATE("#Metadata!", ADDRESS(INDEX($Q$2:$Q$1001,MATCH(ROWS($O$2:O882),$O$2:$O$1001,0),0), INDEX($V$1004:$AE$1004,1,MATCH(COLUMNS($V$1006:X1006),$V$1006:$AE$1006,0)))),"Fix")))</f>
        <v>0</v>
      </c>
      <c r="E882" s="4">
        <f>IF(OR(INDEX($P$2:$P$1001,MATCH(ROWS($O$2:O882),$O$2:$O$1001,0),1)&gt;=100000,INDEX($V$1005:$AE$1005,1,MATCH(COLUMNS($V$1006:Y1006),$V$1006:$AE$1006,0))&gt;=100000), " ",IF(INDEX($V$2:$AE$1001,MATCH(ROWS($O$2:O882),$O$2:$O$1001,0),MATCH(COLUMNS($V$1006:Y1006),$V$1006:$AE$1006,0)), HYPERLINK("#",""), HYPERLINK(CONCATENATE("#Metadata!", ADDRESS(INDEX($Q$2:$Q$1001,MATCH(ROWS($O$2:O882),$O$2:$O$1001,0),0), INDEX($V$1004:$AE$1004,1,MATCH(COLUMNS($V$1006:Y1006),$V$1006:$AE$1006,0)))),"Fix")))</f>
        <v>0</v>
      </c>
      <c r="F882" s="4">
        <f>IF(OR(INDEX($P$2:$P$1001,MATCH(ROWS($O$2:O882),$O$2:$O$1001,0),1)&gt;=100000,INDEX($V$1005:$AE$1005,1,MATCH(COLUMNS($V$1006:Z1006),$V$1006:$AE$1006,0))&gt;=100000), " ",IF(INDEX($V$2:$AE$1001,MATCH(ROWS($O$2:O882),$O$2:$O$1001,0),MATCH(COLUMNS($V$1006:Z1006),$V$1006:$AE$1006,0)), HYPERLINK("#",""), HYPERLINK(CONCATENATE("#Metadata!", ADDRESS(INDEX($Q$2:$Q$1001,MATCH(ROWS($O$2:O882),$O$2:$O$1001,0),0), INDEX($V$1004:$AE$1004,1,MATCH(COLUMNS($V$1006:Z1006),$V$1006:$AE$1006,0)))),"Fix")))</f>
        <v>0</v>
      </c>
      <c r="G882" s="4">
        <f>IF(OR(INDEX($P$2:$P$1001,MATCH(ROWS($O$2:O882),$O$2:$O$1001,0),1)&gt;=100000,INDEX($V$1005:$AE$1005,1,MATCH(COLUMNS($V$1006:AA1006),$V$1006:$AE$1006,0))&gt;=100000), " ",IF(INDEX($V$2:$AE$1001,MATCH(ROWS($O$2:O882),$O$2:$O$1001,0),MATCH(COLUMNS($V$1006:AA1006),$V$1006:$AE$1006,0)), HYPERLINK("#",""), HYPERLINK(CONCATENATE("#Metadata!", ADDRESS(INDEX($Q$2:$Q$1001,MATCH(ROWS($O$2:O882),$O$2:$O$1001,0),0), INDEX($V$1004:$AE$1004,1,MATCH(COLUMNS($V$1006:AA1006),$V$1006:$AE$1006,0)))),"Fix")))</f>
        <v>0</v>
      </c>
      <c r="H882" s="4">
        <f>IF(OR(INDEX($P$2:$P$1001,MATCH(ROWS($O$2:O882),$O$2:$O$1001,0),1)&gt;=100000,INDEX($V$1005:$AE$1005,1,MATCH(COLUMNS($V$1006:AB1006),$V$1006:$AE$1006,0))&gt;=100000), " ",IF(INDEX($V$2:$AE$1001,MATCH(ROWS($O$2:O882),$O$2:$O$1001,0),MATCH(COLUMNS($V$1006:AB1006),$V$1006:$AE$1006,0)), HYPERLINK("#",""), HYPERLINK(CONCATENATE("#Metadata!", ADDRESS(INDEX($Q$2:$Q$1001,MATCH(ROWS($O$2:O882),$O$2:$O$1001,0),0), INDEX($V$1004:$AE$1004,1,MATCH(COLUMNS($V$1006:AB1006),$V$1006:$AE$1006,0)))),"Fix")))</f>
        <v>0</v>
      </c>
      <c r="I882" s="4">
        <f>IF(OR(INDEX($P$2:$P$1001,MATCH(ROWS($O$2:O882),$O$2:$O$1001,0),1)&gt;=100000,INDEX($V$1005:$AE$1005,1,MATCH(COLUMNS($V$1006:AC1006),$V$1006:$AE$1006,0))&gt;=100000), " ",IF(INDEX($V$2:$AE$1001,MATCH(ROWS($O$2:O882),$O$2:$O$1001,0),MATCH(COLUMNS($V$1006:AC1006),$V$1006:$AE$1006,0)), HYPERLINK("#",""), HYPERLINK(CONCATENATE("#Metadata!", ADDRESS(INDEX($Q$2:$Q$1001,MATCH(ROWS($O$2:O882),$O$2:$O$1001,0),0), INDEX($V$1004:$AE$1004,1,MATCH(COLUMNS($V$1006:AC1006),$V$1006:$AE$1006,0)))),"Fix")))</f>
        <v>0</v>
      </c>
      <c r="J882" s="4">
        <f>IF(OR(INDEX($P$2:$P$1001,MATCH(ROWS($O$2:O882),$O$2:$O$1001,0),1)&gt;=100000,INDEX($V$1005:$AE$1005,1,MATCH(COLUMNS($V$1006:AD1006),$V$1006:$AE$1006,0))&gt;=100000), " ",IF(INDEX($V$2:$AE$1001,MATCH(ROWS($O$2:O882),$O$2:$O$1001,0),MATCH(COLUMNS($V$1006:AD1006),$V$1006:$AE$1006,0)), HYPERLINK("#",""), HYPERLINK(CONCATENATE("#Metadata!", ADDRESS(INDEX($Q$2:$Q$1001,MATCH(ROWS($O$2:O882),$O$2:$O$1001,0),0), INDEX($V$1004:$AE$1004,1,MATCH(COLUMNS($V$1006:AD1006),$V$1006:$AE$1006,0)))),"Fix")))</f>
        <v>0</v>
      </c>
      <c r="K882" s="4">
        <f>IF(OR(INDEX($P$2:$P$1001,MATCH(ROWS($O$2:O882),$O$2:$O$1001,0),1)&gt;=100000,INDEX($V$1005:$AE$1005,1,MATCH(COLUMNS($V$1006:AE1006),$V$1006:$AE$1006,0))&gt;=100000), " ",IF(INDEX($V$2:$AE$1001,MATCH(ROWS($O$2:O882),$O$2:$O$1001,0),MATCH(COLUMNS($V$1006:AE1006),$V$1006:$AE$1006,0)), HYPERLINK("#",""), HYPERLINK(CONCATENATE("#Metadata!", ADDRESS(INDEX($Q$2:$Q$1001,MATCH(ROWS($O$2:O882),$O$2:$O$1001,0),0), INDEX($V$1004:$AE$1004,1,MATCH(COLUMNS($V$1006:AE1006),$V$1006:$AE$1006,0)))),"Fix")))</f>
        <v>0</v>
      </c>
      <c r="O882">
        <v>0</v>
      </c>
      <c r="P882">
        <v>0</v>
      </c>
      <c r="Q882">
        <v>0</v>
      </c>
      <c r="R882">
        <f>IF(S882,TRUE,AND(V882:AE882))</f>
        <v>0</v>
      </c>
      <c r="S882">
        <f>COUNTBLANK(Metadata!B882:K882)=COLUMNS(Metadata!B882:K882)</f>
        <v>0</v>
      </c>
      <c r="T882">
        <v>0</v>
      </c>
      <c r="V882">
        <f>AND(IF(Metadata!B882="",FALSE,TRUE),COUNTIF(Metadata!B:B, Metadata!B882) = 1,NOT(ISERROR(SUMPRODUCT(SEARCH(MID(Metadata!B882,ROW(INDIRECT("1:"&amp;LEN(Metadata!B882))), 1),"0123456789abcdefghijklmnopqrstuvwxyzABCDEFGHIJKLMNOPQRSTUVWXYZ.")))))</f>
        <v>0</v>
      </c>
      <c r="W882">
        <f>AND(IF(Metadata!C882="",FALSE,TRUE),exact(Metadata!C882,"urban biome"))</f>
        <v>0</v>
      </c>
      <c r="X882">
        <f>AND(IF(Metadata!D882="",FALSE,TRUE),exact(Metadata!D882,"animal-associated habitat"))</f>
        <v>0</v>
      </c>
      <c r="Y882">
        <f>OR(AND(IF(Metadata!E882="",FALSE,TRUE),OR(exact(Metadata!E882,"not applicable"),exact(Metadata!E882,"missing: not collected"),exact(Metadata!E882,"missing: not provided"),exact(Metadata!E882,"missing: restricted access"))),AND(IF(Metadata!E882="",FALSE,ISNUMBER(VALUE(Metadata!E882))),Metadata!E882&gt;0))</f>
        <v>0</v>
      </c>
      <c r="Z882">
        <f>AND(IF(Metadata!F882="",FALSE,TRUE),exact(Metadata!F882,"weeks"))</f>
        <v>0</v>
      </c>
      <c r="AA882">
        <f>AND(IF(Metadata!G882="",FALSE,TRUE),exact(Metadata!G882,"mouse"))</f>
        <v>0</v>
      </c>
      <c r="AB882">
        <f>AND(IF(Metadata!H882="",FALSE,TRUE),exact(Metadata!H882,"Mus musculus"))</f>
        <v>0</v>
      </c>
      <c r="AC882">
        <f>AND(IF(Metadata!I882="",FALSE,TRUE),exact(Metadata!I882,"10090"))</f>
        <v>0</v>
      </c>
      <c r="AD882">
        <f>OR(AND(IF(Metadata!J882="",FALSE,TRUE),OR(exact(Metadata!J882,"not applicable"),exact(Metadata!J882,"missing: not collected"),exact(Metadata!J882,"missing: not provided"),exact(Metadata!J882,"missing: restricted access"))),AND(IF(Metadata!J882="",FALSE,ISNUMBER(VALUE(Metadata!J882))),Metadata!J882&gt;0))</f>
        <v>0</v>
      </c>
      <c r="AE882">
        <f>AND(IF(Metadata!K882="",FALSE,TRUE),exact(Metadata!K882,"g"))</f>
        <v>0</v>
      </c>
    </row>
    <row r="883" spans="1:31">
      <c r="A883" s="5">
        <f>IF(B883=" "," ",HYPERLINK(CONCATENATE("#metadata!",ADDRESS(INDEX($Q$2:$Q$1001,MATCH(ROWS($O$2:O883),$O$2:$O$1001,0),0),1)),INDEX($T$2:$T$1001,MATCH(ROWS($O$2:O883),$O$2:$O$1001,0),0)))</f>
        <v>0</v>
      </c>
      <c r="B883" s="4">
        <f>IF(OR(INDEX($P$2:$P$1001,MATCH(ROWS($O$2:O883),$O$2:$O$1001,0),1)&gt;=100000,INDEX($V$1005:$AE$1005,1,MATCH(COLUMNS($V$1006:V1006),$V$1006:$AE$1006,0))&gt;=100000), " ",IF(INDEX($V$2:$AE$1001,MATCH(ROWS($O$2:O883),$O$2:$O$1001,0),MATCH(COLUMNS($V$1006:V1006),$V$1006:$AE$1006,0)), HYPERLINK("#",""), HYPERLINK(CONCATENATE("#Metadata!", ADDRESS(INDEX($Q$2:$Q$1001,MATCH(ROWS($O$2:O883),$O$2:$O$1001,0),0), INDEX($V$1004:$AE$1004,1,MATCH(COLUMNS($V$1006:V1006),$V$1006:$AE$1006,0)))),"Fix")))</f>
        <v>0</v>
      </c>
      <c r="C883" s="4">
        <f>IF(OR(INDEX($P$2:$P$1001,MATCH(ROWS($O$2:O883),$O$2:$O$1001,0),1)&gt;=100000,INDEX($V$1005:$AE$1005,1,MATCH(COLUMNS($V$1006:W1006),$V$1006:$AE$1006,0))&gt;=100000), " ",IF(INDEX($V$2:$AE$1001,MATCH(ROWS($O$2:O883),$O$2:$O$1001,0),MATCH(COLUMNS($V$1006:W1006),$V$1006:$AE$1006,0)), HYPERLINK("#",""), HYPERLINK(CONCATENATE("#Metadata!", ADDRESS(INDEX($Q$2:$Q$1001,MATCH(ROWS($O$2:O883),$O$2:$O$1001,0),0), INDEX($V$1004:$AE$1004,1,MATCH(COLUMNS($V$1006:W1006),$V$1006:$AE$1006,0)))),"Fix")))</f>
        <v>0</v>
      </c>
      <c r="D883" s="4">
        <f>IF(OR(INDEX($P$2:$P$1001,MATCH(ROWS($O$2:O883),$O$2:$O$1001,0),1)&gt;=100000,INDEX($V$1005:$AE$1005,1,MATCH(COLUMNS($V$1006:X1006),$V$1006:$AE$1006,0))&gt;=100000), " ",IF(INDEX($V$2:$AE$1001,MATCH(ROWS($O$2:O883),$O$2:$O$1001,0),MATCH(COLUMNS($V$1006:X1006),$V$1006:$AE$1006,0)), HYPERLINK("#",""), HYPERLINK(CONCATENATE("#Metadata!", ADDRESS(INDEX($Q$2:$Q$1001,MATCH(ROWS($O$2:O883),$O$2:$O$1001,0),0), INDEX($V$1004:$AE$1004,1,MATCH(COLUMNS($V$1006:X1006),$V$1006:$AE$1006,0)))),"Fix")))</f>
        <v>0</v>
      </c>
      <c r="E883" s="4">
        <f>IF(OR(INDEX($P$2:$P$1001,MATCH(ROWS($O$2:O883),$O$2:$O$1001,0),1)&gt;=100000,INDEX($V$1005:$AE$1005,1,MATCH(COLUMNS($V$1006:Y1006),$V$1006:$AE$1006,0))&gt;=100000), " ",IF(INDEX($V$2:$AE$1001,MATCH(ROWS($O$2:O883),$O$2:$O$1001,0),MATCH(COLUMNS($V$1006:Y1006),$V$1006:$AE$1006,0)), HYPERLINK("#",""), HYPERLINK(CONCATENATE("#Metadata!", ADDRESS(INDEX($Q$2:$Q$1001,MATCH(ROWS($O$2:O883),$O$2:$O$1001,0),0), INDEX($V$1004:$AE$1004,1,MATCH(COLUMNS($V$1006:Y1006),$V$1006:$AE$1006,0)))),"Fix")))</f>
        <v>0</v>
      </c>
      <c r="F883" s="4">
        <f>IF(OR(INDEX($P$2:$P$1001,MATCH(ROWS($O$2:O883),$O$2:$O$1001,0),1)&gt;=100000,INDEX($V$1005:$AE$1005,1,MATCH(COLUMNS($V$1006:Z1006),$V$1006:$AE$1006,0))&gt;=100000), " ",IF(INDEX($V$2:$AE$1001,MATCH(ROWS($O$2:O883),$O$2:$O$1001,0),MATCH(COLUMNS($V$1006:Z1006),$V$1006:$AE$1006,0)), HYPERLINK("#",""), HYPERLINK(CONCATENATE("#Metadata!", ADDRESS(INDEX($Q$2:$Q$1001,MATCH(ROWS($O$2:O883),$O$2:$O$1001,0),0), INDEX($V$1004:$AE$1004,1,MATCH(COLUMNS($V$1006:Z1006),$V$1006:$AE$1006,0)))),"Fix")))</f>
        <v>0</v>
      </c>
      <c r="G883" s="4">
        <f>IF(OR(INDEX($P$2:$P$1001,MATCH(ROWS($O$2:O883),$O$2:$O$1001,0),1)&gt;=100000,INDEX($V$1005:$AE$1005,1,MATCH(COLUMNS($V$1006:AA1006),$V$1006:$AE$1006,0))&gt;=100000), " ",IF(INDEX($V$2:$AE$1001,MATCH(ROWS($O$2:O883),$O$2:$O$1001,0),MATCH(COLUMNS($V$1006:AA1006),$V$1006:$AE$1006,0)), HYPERLINK("#",""), HYPERLINK(CONCATENATE("#Metadata!", ADDRESS(INDEX($Q$2:$Q$1001,MATCH(ROWS($O$2:O883),$O$2:$O$1001,0),0), INDEX($V$1004:$AE$1004,1,MATCH(COLUMNS($V$1006:AA1006),$V$1006:$AE$1006,0)))),"Fix")))</f>
        <v>0</v>
      </c>
      <c r="H883" s="4">
        <f>IF(OR(INDEX($P$2:$P$1001,MATCH(ROWS($O$2:O883),$O$2:$O$1001,0),1)&gt;=100000,INDEX($V$1005:$AE$1005,1,MATCH(COLUMNS($V$1006:AB1006),$V$1006:$AE$1006,0))&gt;=100000), " ",IF(INDEX($V$2:$AE$1001,MATCH(ROWS($O$2:O883),$O$2:$O$1001,0),MATCH(COLUMNS($V$1006:AB1006),$V$1006:$AE$1006,0)), HYPERLINK("#",""), HYPERLINK(CONCATENATE("#Metadata!", ADDRESS(INDEX($Q$2:$Q$1001,MATCH(ROWS($O$2:O883),$O$2:$O$1001,0),0), INDEX($V$1004:$AE$1004,1,MATCH(COLUMNS($V$1006:AB1006),$V$1006:$AE$1006,0)))),"Fix")))</f>
        <v>0</v>
      </c>
      <c r="I883" s="4">
        <f>IF(OR(INDEX($P$2:$P$1001,MATCH(ROWS($O$2:O883),$O$2:$O$1001,0),1)&gt;=100000,INDEX($V$1005:$AE$1005,1,MATCH(COLUMNS($V$1006:AC1006),$V$1006:$AE$1006,0))&gt;=100000), " ",IF(INDEX($V$2:$AE$1001,MATCH(ROWS($O$2:O883),$O$2:$O$1001,0),MATCH(COLUMNS($V$1006:AC1006),$V$1006:$AE$1006,0)), HYPERLINK("#",""), HYPERLINK(CONCATENATE("#Metadata!", ADDRESS(INDEX($Q$2:$Q$1001,MATCH(ROWS($O$2:O883),$O$2:$O$1001,0),0), INDEX($V$1004:$AE$1004,1,MATCH(COLUMNS($V$1006:AC1006),$V$1006:$AE$1006,0)))),"Fix")))</f>
        <v>0</v>
      </c>
      <c r="J883" s="4">
        <f>IF(OR(INDEX($P$2:$P$1001,MATCH(ROWS($O$2:O883),$O$2:$O$1001,0),1)&gt;=100000,INDEX($V$1005:$AE$1005,1,MATCH(COLUMNS($V$1006:AD1006),$V$1006:$AE$1006,0))&gt;=100000), " ",IF(INDEX($V$2:$AE$1001,MATCH(ROWS($O$2:O883),$O$2:$O$1001,0),MATCH(COLUMNS($V$1006:AD1006),$V$1006:$AE$1006,0)), HYPERLINK("#",""), HYPERLINK(CONCATENATE("#Metadata!", ADDRESS(INDEX($Q$2:$Q$1001,MATCH(ROWS($O$2:O883),$O$2:$O$1001,0),0), INDEX($V$1004:$AE$1004,1,MATCH(COLUMNS($V$1006:AD1006),$V$1006:$AE$1006,0)))),"Fix")))</f>
        <v>0</v>
      </c>
      <c r="K883" s="4">
        <f>IF(OR(INDEX($P$2:$P$1001,MATCH(ROWS($O$2:O883),$O$2:$O$1001,0),1)&gt;=100000,INDEX($V$1005:$AE$1005,1,MATCH(COLUMNS($V$1006:AE1006),$V$1006:$AE$1006,0))&gt;=100000), " ",IF(INDEX($V$2:$AE$1001,MATCH(ROWS($O$2:O883),$O$2:$O$1001,0),MATCH(COLUMNS($V$1006:AE1006),$V$1006:$AE$1006,0)), HYPERLINK("#",""), HYPERLINK(CONCATENATE("#Metadata!", ADDRESS(INDEX($Q$2:$Q$1001,MATCH(ROWS($O$2:O883),$O$2:$O$1001,0),0), INDEX($V$1004:$AE$1004,1,MATCH(COLUMNS($V$1006:AE1006),$V$1006:$AE$1006,0)))),"Fix")))</f>
        <v>0</v>
      </c>
      <c r="O883">
        <v>0</v>
      </c>
      <c r="P883">
        <v>0</v>
      </c>
      <c r="Q883">
        <v>0</v>
      </c>
      <c r="R883">
        <f>IF(S883,TRUE,AND(V883:AE883))</f>
        <v>0</v>
      </c>
      <c r="S883">
        <f>COUNTBLANK(Metadata!B883:K883)=COLUMNS(Metadata!B883:K883)</f>
        <v>0</v>
      </c>
      <c r="T883">
        <v>0</v>
      </c>
      <c r="V883">
        <f>AND(IF(Metadata!B883="",FALSE,TRUE),COUNTIF(Metadata!B:B, Metadata!B883) = 1,NOT(ISERROR(SUMPRODUCT(SEARCH(MID(Metadata!B883,ROW(INDIRECT("1:"&amp;LEN(Metadata!B883))), 1),"0123456789abcdefghijklmnopqrstuvwxyzABCDEFGHIJKLMNOPQRSTUVWXYZ.")))))</f>
        <v>0</v>
      </c>
      <c r="W883">
        <f>AND(IF(Metadata!C883="",FALSE,TRUE),exact(Metadata!C883,"urban biome"))</f>
        <v>0</v>
      </c>
      <c r="X883">
        <f>AND(IF(Metadata!D883="",FALSE,TRUE),exact(Metadata!D883,"animal-associated habitat"))</f>
        <v>0</v>
      </c>
      <c r="Y883">
        <f>OR(AND(IF(Metadata!E883="",FALSE,TRUE),OR(exact(Metadata!E883,"not applicable"),exact(Metadata!E883,"missing: not collected"),exact(Metadata!E883,"missing: not provided"),exact(Metadata!E883,"missing: restricted access"))),AND(IF(Metadata!E883="",FALSE,ISNUMBER(VALUE(Metadata!E883))),Metadata!E883&gt;0))</f>
        <v>0</v>
      </c>
      <c r="Z883">
        <f>AND(IF(Metadata!F883="",FALSE,TRUE),exact(Metadata!F883,"weeks"))</f>
        <v>0</v>
      </c>
      <c r="AA883">
        <f>AND(IF(Metadata!G883="",FALSE,TRUE),exact(Metadata!G883,"mouse"))</f>
        <v>0</v>
      </c>
      <c r="AB883">
        <f>AND(IF(Metadata!H883="",FALSE,TRUE),exact(Metadata!H883,"Mus musculus"))</f>
        <v>0</v>
      </c>
      <c r="AC883">
        <f>AND(IF(Metadata!I883="",FALSE,TRUE),exact(Metadata!I883,"10090"))</f>
        <v>0</v>
      </c>
      <c r="AD883">
        <f>OR(AND(IF(Metadata!J883="",FALSE,TRUE),OR(exact(Metadata!J883,"not applicable"),exact(Metadata!J883,"missing: not collected"),exact(Metadata!J883,"missing: not provided"),exact(Metadata!J883,"missing: restricted access"))),AND(IF(Metadata!J883="",FALSE,ISNUMBER(VALUE(Metadata!J883))),Metadata!J883&gt;0))</f>
        <v>0</v>
      </c>
      <c r="AE883">
        <f>AND(IF(Metadata!K883="",FALSE,TRUE),exact(Metadata!K883,"g"))</f>
        <v>0</v>
      </c>
    </row>
    <row r="884" spans="1:31">
      <c r="A884" s="5">
        <f>IF(B884=" "," ",HYPERLINK(CONCATENATE("#metadata!",ADDRESS(INDEX($Q$2:$Q$1001,MATCH(ROWS($O$2:O884),$O$2:$O$1001,0),0),1)),INDEX($T$2:$T$1001,MATCH(ROWS($O$2:O884),$O$2:$O$1001,0),0)))</f>
        <v>0</v>
      </c>
      <c r="B884" s="4">
        <f>IF(OR(INDEX($P$2:$P$1001,MATCH(ROWS($O$2:O884),$O$2:$O$1001,0),1)&gt;=100000,INDEX($V$1005:$AE$1005,1,MATCH(COLUMNS($V$1006:V1006),$V$1006:$AE$1006,0))&gt;=100000), " ",IF(INDEX($V$2:$AE$1001,MATCH(ROWS($O$2:O884),$O$2:$O$1001,0),MATCH(COLUMNS($V$1006:V1006),$V$1006:$AE$1006,0)), HYPERLINK("#",""), HYPERLINK(CONCATENATE("#Metadata!", ADDRESS(INDEX($Q$2:$Q$1001,MATCH(ROWS($O$2:O884),$O$2:$O$1001,0),0), INDEX($V$1004:$AE$1004,1,MATCH(COLUMNS($V$1006:V1006),$V$1006:$AE$1006,0)))),"Fix")))</f>
        <v>0</v>
      </c>
      <c r="C884" s="4">
        <f>IF(OR(INDEX($P$2:$P$1001,MATCH(ROWS($O$2:O884),$O$2:$O$1001,0),1)&gt;=100000,INDEX($V$1005:$AE$1005,1,MATCH(COLUMNS($V$1006:W1006),$V$1006:$AE$1006,0))&gt;=100000), " ",IF(INDEX($V$2:$AE$1001,MATCH(ROWS($O$2:O884),$O$2:$O$1001,0),MATCH(COLUMNS($V$1006:W1006),$V$1006:$AE$1006,0)), HYPERLINK("#",""), HYPERLINK(CONCATENATE("#Metadata!", ADDRESS(INDEX($Q$2:$Q$1001,MATCH(ROWS($O$2:O884),$O$2:$O$1001,0),0), INDEX($V$1004:$AE$1004,1,MATCH(COLUMNS($V$1006:W1006),$V$1006:$AE$1006,0)))),"Fix")))</f>
        <v>0</v>
      </c>
      <c r="D884" s="4">
        <f>IF(OR(INDEX($P$2:$P$1001,MATCH(ROWS($O$2:O884),$O$2:$O$1001,0),1)&gt;=100000,INDEX($V$1005:$AE$1005,1,MATCH(COLUMNS($V$1006:X1006),$V$1006:$AE$1006,0))&gt;=100000), " ",IF(INDEX($V$2:$AE$1001,MATCH(ROWS($O$2:O884),$O$2:$O$1001,0),MATCH(COLUMNS($V$1006:X1006),$V$1006:$AE$1006,0)), HYPERLINK("#",""), HYPERLINK(CONCATENATE("#Metadata!", ADDRESS(INDEX($Q$2:$Q$1001,MATCH(ROWS($O$2:O884),$O$2:$O$1001,0),0), INDEX($V$1004:$AE$1004,1,MATCH(COLUMNS($V$1006:X1006),$V$1006:$AE$1006,0)))),"Fix")))</f>
        <v>0</v>
      </c>
      <c r="E884" s="4">
        <f>IF(OR(INDEX($P$2:$P$1001,MATCH(ROWS($O$2:O884),$O$2:$O$1001,0),1)&gt;=100000,INDEX($V$1005:$AE$1005,1,MATCH(COLUMNS($V$1006:Y1006),$V$1006:$AE$1006,0))&gt;=100000), " ",IF(INDEX($V$2:$AE$1001,MATCH(ROWS($O$2:O884),$O$2:$O$1001,0),MATCH(COLUMNS($V$1006:Y1006),$V$1006:$AE$1006,0)), HYPERLINK("#",""), HYPERLINK(CONCATENATE("#Metadata!", ADDRESS(INDEX($Q$2:$Q$1001,MATCH(ROWS($O$2:O884),$O$2:$O$1001,0),0), INDEX($V$1004:$AE$1004,1,MATCH(COLUMNS($V$1006:Y1006),$V$1006:$AE$1006,0)))),"Fix")))</f>
        <v>0</v>
      </c>
      <c r="F884" s="4">
        <f>IF(OR(INDEX($P$2:$P$1001,MATCH(ROWS($O$2:O884),$O$2:$O$1001,0),1)&gt;=100000,INDEX($V$1005:$AE$1005,1,MATCH(COLUMNS($V$1006:Z1006),$V$1006:$AE$1006,0))&gt;=100000), " ",IF(INDEX($V$2:$AE$1001,MATCH(ROWS($O$2:O884),$O$2:$O$1001,0),MATCH(COLUMNS($V$1006:Z1006),$V$1006:$AE$1006,0)), HYPERLINK("#",""), HYPERLINK(CONCATENATE("#Metadata!", ADDRESS(INDEX($Q$2:$Q$1001,MATCH(ROWS($O$2:O884),$O$2:$O$1001,0),0), INDEX($V$1004:$AE$1004,1,MATCH(COLUMNS($V$1006:Z1006),$V$1006:$AE$1006,0)))),"Fix")))</f>
        <v>0</v>
      </c>
      <c r="G884" s="4">
        <f>IF(OR(INDEX($P$2:$P$1001,MATCH(ROWS($O$2:O884),$O$2:$O$1001,0),1)&gt;=100000,INDEX($V$1005:$AE$1005,1,MATCH(COLUMNS($V$1006:AA1006),$V$1006:$AE$1006,0))&gt;=100000), " ",IF(INDEX($V$2:$AE$1001,MATCH(ROWS($O$2:O884),$O$2:$O$1001,0),MATCH(COLUMNS($V$1006:AA1006),$V$1006:$AE$1006,0)), HYPERLINK("#",""), HYPERLINK(CONCATENATE("#Metadata!", ADDRESS(INDEX($Q$2:$Q$1001,MATCH(ROWS($O$2:O884),$O$2:$O$1001,0),0), INDEX($V$1004:$AE$1004,1,MATCH(COLUMNS($V$1006:AA1006),$V$1006:$AE$1006,0)))),"Fix")))</f>
        <v>0</v>
      </c>
      <c r="H884" s="4">
        <f>IF(OR(INDEX($P$2:$P$1001,MATCH(ROWS($O$2:O884),$O$2:$O$1001,0),1)&gt;=100000,INDEX($V$1005:$AE$1005,1,MATCH(COLUMNS($V$1006:AB1006),$V$1006:$AE$1006,0))&gt;=100000), " ",IF(INDEX($V$2:$AE$1001,MATCH(ROWS($O$2:O884),$O$2:$O$1001,0),MATCH(COLUMNS($V$1006:AB1006),$V$1006:$AE$1006,0)), HYPERLINK("#",""), HYPERLINK(CONCATENATE("#Metadata!", ADDRESS(INDEX($Q$2:$Q$1001,MATCH(ROWS($O$2:O884),$O$2:$O$1001,0),0), INDEX($V$1004:$AE$1004,1,MATCH(COLUMNS($V$1006:AB1006),$V$1006:$AE$1006,0)))),"Fix")))</f>
        <v>0</v>
      </c>
      <c r="I884" s="4">
        <f>IF(OR(INDEX($P$2:$P$1001,MATCH(ROWS($O$2:O884),$O$2:$O$1001,0),1)&gt;=100000,INDEX($V$1005:$AE$1005,1,MATCH(COLUMNS($V$1006:AC1006),$V$1006:$AE$1006,0))&gt;=100000), " ",IF(INDEX($V$2:$AE$1001,MATCH(ROWS($O$2:O884),$O$2:$O$1001,0),MATCH(COLUMNS($V$1006:AC1006),$V$1006:$AE$1006,0)), HYPERLINK("#",""), HYPERLINK(CONCATENATE("#Metadata!", ADDRESS(INDEX($Q$2:$Q$1001,MATCH(ROWS($O$2:O884),$O$2:$O$1001,0),0), INDEX($V$1004:$AE$1004,1,MATCH(COLUMNS($V$1006:AC1006),$V$1006:$AE$1006,0)))),"Fix")))</f>
        <v>0</v>
      </c>
      <c r="J884" s="4">
        <f>IF(OR(INDEX($P$2:$P$1001,MATCH(ROWS($O$2:O884),$O$2:$O$1001,0),1)&gt;=100000,INDEX($V$1005:$AE$1005,1,MATCH(COLUMNS($V$1006:AD1006),$V$1006:$AE$1006,0))&gt;=100000), " ",IF(INDEX($V$2:$AE$1001,MATCH(ROWS($O$2:O884),$O$2:$O$1001,0),MATCH(COLUMNS($V$1006:AD1006),$V$1006:$AE$1006,0)), HYPERLINK("#",""), HYPERLINK(CONCATENATE("#Metadata!", ADDRESS(INDEX($Q$2:$Q$1001,MATCH(ROWS($O$2:O884),$O$2:$O$1001,0),0), INDEX($V$1004:$AE$1004,1,MATCH(COLUMNS($V$1006:AD1006),$V$1006:$AE$1006,0)))),"Fix")))</f>
        <v>0</v>
      </c>
      <c r="K884" s="4">
        <f>IF(OR(INDEX($P$2:$P$1001,MATCH(ROWS($O$2:O884),$O$2:$O$1001,0),1)&gt;=100000,INDEX($V$1005:$AE$1005,1,MATCH(COLUMNS($V$1006:AE1006),$V$1006:$AE$1006,0))&gt;=100000), " ",IF(INDEX($V$2:$AE$1001,MATCH(ROWS($O$2:O884),$O$2:$O$1001,0),MATCH(COLUMNS($V$1006:AE1006),$V$1006:$AE$1006,0)), HYPERLINK("#",""), HYPERLINK(CONCATENATE("#Metadata!", ADDRESS(INDEX($Q$2:$Q$1001,MATCH(ROWS($O$2:O884),$O$2:$O$1001,0),0), INDEX($V$1004:$AE$1004,1,MATCH(COLUMNS($V$1006:AE1006),$V$1006:$AE$1006,0)))),"Fix")))</f>
        <v>0</v>
      </c>
      <c r="O884">
        <v>0</v>
      </c>
      <c r="P884">
        <v>0</v>
      </c>
      <c r="Q884">
        <v>0</v>
      </c>
      <c r="R884">
        <f>IF(S884,TRUE,AND(V884:AE884))</f>
        <v>0</v>
      </c>
      <c r="S884">
        <f>COUNTBLANK(Metadata!B884:K884)=COLUMNS(Metadata!B884:K884)</f>
        <v>0</v>
      </c>
      <c r="T884">
        <v>0</v>
      </c>
      <c r="V884">
        <f>AND(IF(Metadata!B884="",FALSE,TRUE),COUNTIF(Metadata!B:B, Metadata!B884) = 1,NOT(ISERROR(SUMPRODUCT(SEARCH(MID(Metadata!B884,ROW(INDIRECT("1:"&amp;LEN(Metadata!B884))), 1),"0123456789abcdefghijklmnopqrstuvwxyzABCDEFGHIJKLMNOPQRSTUVWXYZ.")))))</f>
        <v>0</v>
      </c>
      <c r="W884">
        <f>AND(IF(Metadata!C884="",FALSE,TRUE),exact(Metadata!C884,"urban biome"))</f>
        <v>0</v>
      </c>
      <c r="X884">
        <f>AND(IF(Metadata!D884="",FALSE,TRUE),exact(Metadata!D884,"animal-associated habitat"))</f>
        <v>0</v>
      </c>
      <c r="Y884">
        <f>OR(AND(IF(Metadata!E884="",FALSE,TRUE),OR(exact(Metadata!E884,"not applicable"),exact(Metadata!E884,"missing: not collected"),exact(Metadata!E884,"missing: not provided"),exact(Metadata!E884,"missing: restricted access"))),AND(IF(Metadata!E884="",FALSE,ISNUMBER(VALUE(Metadata!E884))),Metadata!E884&gt;0))</f>
        <v>0</v>
      </c>
      <c r="Z884">
        <f>AND(IF(Metadata!F884="",FALSE,TRUE),exact(Metadata!F884,"weeks"))</f>
        <v>0</v>
      </c>
      <c r="AA884">
        <f>AND(IF(Metadata!G884="",FALSE,TRUE),exact(Metadata!G884,"mouse"))</f>
        <v>0</v>
      </c>
      <c r="AB884">
        <f>AND(IF(Metadata!H884="",FALSE,TRUE),exact(Metadata!H884,"Mus musculus"))</f>
        <v>0</v>
      </c>
      <c r="AC884">
        <f>AND(IF(Metadata!I884="",FALSE,TRUE),exact(Metadata!I884,"10090"))</f>
        <v>0</v>
      </c>
      <c r="AD884">
        <f>OR(AND(IF(Metadata!J884="",FALSE,TRUE),OR(exact(Metadata!J884,"not applicable"),exact(Metadata!J884,"missing: not collected"),exact(Metadata!J884,"missing: not provided"),exact(Metadata!J884,"missing: restricted access"))),AND(IF(Metadata!J884="",FALSE,ISNUMBER(VALUE(Metadata!J884))),Metadata!J884&gt;0))</f>
        <v>0</v>
      </c>
      <c r="AE884">
        <f>AND(IF(Metadata!K884="",FALSE,TRUE),exact(Metadata!K884,"g"))</f>
        <v>0</v>
      </c>
    </row>
    <row r="885" spans="1:31">
      <c r="A885" s="5">
        <f>IF(B885=" "," ",HYPERLINK(CONCATENATE("#metadata!",ADDRESS(INDEX($Q$2:$Q$1001,MATCH(ROWS($O$2:O885),$O$2:$O$1001,0),0),1)),INDEX($T$2:$T$1001,MATCH(ROWS($O$2:O885),$O$2:$O$1001,0),0)))</f>
        <v>0</v>
      </c>
      <c r="B885" s="4">
        <f>IF(OR(INDEX($P$2:$P$1001,MATCH(ROWS($O$2:O885),$O$2:$O$1001,0),1)&gt;=100000,INDEX($V$1005:$AE$1005,1,MATCH(COLUMNS($V$1006:V1006),$V$1006:$AE$1006,0))&gt;=100000), " ",IF(INDEX($V$2:$AE$1001,MATCH(ROWS($O$2:O885),$O$2:$O$1001,0),MATCH(COLUMNS($V$1006:V1006),$V$1006:$AE$1006,0)), HYPERLINK("#",""), HYPERLINK(CONCATENATE("#Metadata!", ADDRESS(INDEX($Q$2:$Q$1001,MATCH(ROWS($O$2:O885),$O$2:$O$1001,0),0), INDEX($V$1004:$AE$1004,1,MATCH(COLUMNS($V$1006:V1006),$V$1006:$AE$1006,0)))),"Fix")))</f>
        <v>0</v>
      </c>
      <c r="C885" s="4">
        <f>IF(OR(INDEX($P$2:$P$1001,MATCH(ROWS($O$2:O885),$O$2:$O$1001,0),1)&gt;=100000,INDEX($V$1005:$AE$1005,1,MATCH(COLUMNS($V$1006:W1006),$V$1006:$AE$1006,0))&gt;=100000), " ",IF(INDEX($V$2:$AE$1001,MATCH(ROWS($O$2:O885),$O$2:$O$1001,0),MATCH(COLUMNS($V$1006:W1006),$V$1006:$AE$1006,0)), HYPERLINK("#",""), HYPERLINK(CONCATENATE("#Metadata!", ADDRESS(INDEX($Q$2:$Q$1001,MATCH(ROWS($O$2:O885),$O$2:$O$1001,0),0), INDEX($V$1004:$AE$1004,1,MATCH(COLUMNS($V$1006:W1006),$V$1006:$AE$1006,0)))),"Fix")))</f>
        <v>0</v>
      </c>
      <c r="D885" s="4">
        <f>IF(OR(INDEX($P$2:$P$1001,MATCH(ROWS($O$2:O885),$O$2:$O$1001,0),1)&gt;=100000,INDEX($V$1005:$AE$1005,1,MATCH(COLUMNS($V$1006:X1006),$V$1006:$AE$1006,0))&gt;=100000), " ",IF(INDEX($V$2:$AE$1001,MATCH(ROWS($O$2:O885),$O$2:$O$1001,0),MATCH(COLUMNS($V$1006:X1006),$V$1006:$AE$1006,0)), HYPERLINK("#",""), HYPERLINK(CONCATENATE("#Metadata!", ADDRESS(INDEX($Q$2:$Q$1001,MATCH(ROWS($O$2:O885),$O$2:$O$1001,0),0), INDEX($V$1004:$AE$1004,1,MATCH(COLUMNS($V$1006:X1006),$V$1006:$AE$1006,0)))),"Fix")))</f>
        <v>0</v>
      </c>
      <c r="E885" s="4">
        <f>IF(OR(INDEX($P$2:$P$1001,MATCH(ROWS($O$2:O885),$O$2:$O$1001,0),1)&gt;=100000,INDEX($V$1005:$AE$1005,1,MATCH(COLUMNS($V$1006:Y1006),$V$1006:$AE$1006,0))&gt;=100000), " ",IF(INDEX($V$2:$AE$1001,MATCH(ROWS($O$2:O885),$O$2:$O$1001,0),MATCH(COLUMNS($V$1006:Y1006),$V$1006:$AE$1006,0)), HYPERLINK("#",""), HYPERLINK(CONCATENATE("#Metadata!", ADDRESS(INDEX($Q$2:$Q$1001,MATCH(ROWS($O$2:O885),$O$2:$O$1001,0),0), INDEX($V$1004:$AE$1004,1,MATCH(COLUMNS($V$1006:Y1006),$V$1006:$AE$1006,0)))),"Fix")))</f>
        <v>0</v>
      </c>
      <c r="F885" s="4">
        <f>IF(OR(INDEX($P$2:$P$1001,MATCH(ROWS($O$2:O885),$O$2:$O$1001,0),1)&gt;=100000,INDEX($V$1005:$AE$1005,1,MATCH(COLUMNS($V$1006:Z1006),$V$1006:$AE$1006,0))&gt;=100000), " ",IF(INDEX($V$2:$AE$1001,MATCH(ROWS($O$2:O885),$O$2:$O$1001,0),MATCH(COLUMNS($V$1006:Z1006),$V$1006:$AE$1006,0)), HYPERLINK("#",""), HYPERLINK(CONCATENATE("#Metadata!", ADDRESS(INDEX($Q$2:$Q$1001,MATCH(ROWS($O$2:O885),$O$2:$O$1001,0),0), INDEX($V$1004:$AE$1004,1,MATCH(COLUMNS($V$1006:Z1006),$V$1006:$AE$1006,0)))),"Fix")))</f>
        <v>0</v>
      </c>
      <c r="G885" s="4">
        <f>IF(OR(INDEX($P$2:$P$1001,MATCH(ROWS($O$2:O885),$O$2:$O$1001,0),1)&gt;=100000,INDEX($V$1005:$AE$1005,1,MATCH(COLUMNS($V$1006:AA1006),$V$1006:$AE$1006,0))&gt;=100000), " ",IF(INDEX($V$2:$AE$1001,MATCH(ROWS($O$2:O885),$O$2:$O$1001,0),MATCH(COLUMNS($V$1006:AA1006),$V$1006:$AE$1006,0)), HYPERLINK("#",""), HYPERLINK(CONCATENATE("#Metadata!", ADDRESS(INDEX($Q$2:$Q$1001,MATCH(ROWS($O$2:O885),$O$2:$O$1001,0),0), INDEX($V$1004:$AE$1004,1,MATCH(COLUMNS($V$1006:AA1006),$V$1006:$AE$1006,0)))),"Fix")))</f>
        <v>0</v>
      </c>
      <c r="H885" s="4">
        <f>IF(OR(INDEX($P$2:$P$1001,MATCH(ROWS($O$2:O885),$O$2:$O$1001,0),1)&gt;=100000,INDEX($V$1005:$AE$1005,1,MATCH(COLUMNS($V$1006:AB1006),$V$1006:$AE$1006,0))&gt;=100000), " ",IF(INDEX($V$2:$AE$1001,MATCH(ROWS($O$2:O885),$O$2:$O$1001,0),MATCH(COLUMNS($V$1006:AB1006),$V$1006:$AE$1006,0)), HYPERLINK("#",""), HYPERLINK(CONCATENATE("#Metadata!", ADDRESS(INDEX($Q$2:$Q$1001,MATCH(ROWS($O$2:O885),$O$2:$O$1001,0),0), INDEX($V$1004:$AE$1004,1,MATCH(COLUMNS($V$1006:AB1006),$V$1006:$AE$1006,0)))),"Fix")))</f>
        <v>0</v>
      </c>
      <c r="I885" s="4">
        <f>IF(OR(INDEX($P$2:$P$1001,MATCH(ROWS($O$2:O885),$O$2:$O$1001,0),1)&gt;=100000,INDEX($V$1005:$AE$1005,1,MATCH(COLUMNS($V$1006:AC1006),$V$1006:$AE$1006,0))&gt;=100000), " ",IF(INDEX($V$2:$AE$1001,MATCH(ROWS($O$2:O885),$O$2:$O$1001,0),MATCH(COLUMNS($V$1006:AC1006),$V$1006:$AE$1006,0)), HYPERLINK("#",""), HYPERLINK(CONCATENATE("#Metadata!", ADDRESS(INDEX($Q$2:$Q$1001,MATCH(ROWS($O$2:O885),$O$2:$O$1001,0),0), INDEX($V$1004:$AE$1004,1,MATCH(COLUMNS($V$1006:AC1006),$V$1006:$AE$1006,0)))),"Fix")))</f>
        <v>0</v>
      </c>
      <c r="J885" s="4">
        <f>IF(OR(INDEX($P$2:$P$1001,MATCH(ROWS($O$2:O885),$O$2:$O$1001,0),1)&gt;=100000,INDEX($V$1005:$AE$1005,1,MATCH(COLUMNS($V$1006:AD1006),$V$1006:$AE$1006,0))&gt;=100000), " ",IF(INDEX($V$2:$AE$1001,MATCH(ROWS($O$2:O885),$O$2:$O$1001,0),MATCH(COLUMNS($V$1006:AD1006),$V$1006:$AE$1006,0)), HYPERLINK("#",""), HYPERLINK(CONCATENATE("#Metadata!", ADDRESS(INDEX($Q$2:$Q$1001,MATCH(ROWS($O$2:O885),$O$2:$O$1001,0),0), INDEX($V$1004:$AE$1004,1,MATCH(COLUMNS($V$1006:AD1006),$V$1006:$AE$1006,0)))),"Fix")))</f>
        <v>0</v>
      </c>
      <c r="K885" s="4">
        <f>IF(OR(INDEX($P$2:$P$1001,MATCH(ROWS($O$2:O885),$O$2:$O$1001,0),1)&gt;=100000,INDEX($V$1005:$AE$1005,1,MATCH(COLUMNS($V$1006:AE1006),$V$1006:$AE$1006,0))&gt;=100000), " ",IF(INDEX($V$2:$AE$1001,MATCH(ROWS($O$2:O885),$O$2:$O$1001,0),MATCH(COLUMNS($V$1006:AE1006),$V$1006:$AE$1006,0)), HYPERLINK("#",""), HYPERLINK(CONCATENATE("#Metadata!", ADDRESS(INDEX($Q$2:$Q$1001,MATCH(ROWS($O$2:O885),$O$2:$O$1001,0),0), INDEX($V$1004:$AE$1004,1,MATCH(COLUMNS($V$1006:AE1006),$V$1006:$AE$1006,0)))),"Fix")))</f>
        <v>0</v>
      </c>
      <c r="O885">
        <v>0</v>
      </c>
      <c r="P885">
        <v>0</v>
      </c>
      <c r="Q885">
        <v>0</v>
      </c>
      <c r="R885">
        <f>IF(S885,TRUE,AND(V885:AE885))</f>
        <v>0</v>
      </c>
      <c r="S885">
        <f>COUNTBLANK(Metadata!B885:K885)=COLUMNS(Metadata!B885:K885)</f>
        <v>0</v>
      </c>
      <c r="T885">
        <v>0</v>
      </c>
      <c r="V885">
        <f>AND(IF(Metadata!B885="",FALSE,TRUE),COUNTIF(Metadata!B:B, Metadata!B885) = 1,NOT(ISERROR(SUMPRODUCT(SEARCH(MID(Metadata!B885,ROW(INDIRECT("1:"&amp;LEN(Metadata!B885))), 1),"0123456789abcdefghijklmnopqrstuvwxyzABCDEFGHIJKLMNOPQRSTUVWXYZ.")))))</f>
        <v>0</v>
      </c>
      <c r="W885">
        <f>AND(IF(Metadata!C885="",FALSE,TRUE),exact(Metadata!C885,"urban biome"))</f>
        <v>0</v>
      </c>
      <c r="X885">
        <f>AND(IF(Metadata!D885="",FALSE,TRUE),exact(Metadata!D885,"animal-associated habitat"))</f>
        <v>0</v>
      </c>
      <c r="Y885">
        <f>OR(AND(IF(Metadata!E885="",FALSE,TRUE),OR(exact(Metadata!E885,"not applicable"),exact(Metadata!E885,"missing: not collected"),exact(Metadata!E885,"missing: not provided"),exact(Metadata!E885,"missing: restricted access"))),AND(IF(Metadata!E885="",FALSE,ISNUMBER(VALUE(Metadata!E885))),Metadata!E885&gt;0))</f>
        <v>0</v>
      </c>
      <c r="Z885">
        <f>AND(IF(Metadata!F885="",FALSE,TRUE),exact(Metadata!F885,"weeks"))</f>
        <v>0</v>
      </c>
      <c r="AA885">
        <f>AND(IF(Metadata!G885="",FALSE,TRUE),exact(Metadata!G885,"mouse"))</f>
        <v>0</v>
      </c>
      <c r="AB885">
        <f>AND(IF(Metadata!H885="",FALSE,TRUE),exact(Metadata!H885,"Mus musculus"))</f>
        <v>0</v>
      </c>
      <c r="AC885">
        <f>AND(IF(Metadata!I885="",FALSE,TRUE),exact(Metadata!I885,"10090"))</f>
        <v>0</v>
      </c>
      <c r="AD885">
        <f>OR(AND(IF(Metadata!J885="",FALSE,TRUE),OR(exact(Metadata!J885,"not applicable"),exact(Metadata!J885,"missing: not collected"),exact(Metadata!J885,"missing: not provided"),exact(Metadata!J885,"missing: restricted access"))),AND(IF(Metadata!J885="",FALSE,ISNUMBER(VALUE(Metadata!J885))),Metadata!J885&gt;0))</f>
        <v>0</v>
      </c>
      <c r="AE885">
        <f>AND(IF(Metadata!K885="",FALSE,TRUE),exact(Metadata!K885,"g"))</f>
        <v>0</v>
      </c>
    </row>
    <row r="886" spans="1:31">
      <c r="A886" s="5">
        <f>IF(B886=" "," ",HYPERLINK(CONCATENATE("#metadata!",ADDRESS(INDEX($Q$2:$Q$1001,MATCH(ROWS($O$2:O886),$O$2:$O$1001,0),0),1)),INDEX($T$2:$T$1001,MATCH(ROWS($O$2:O886),$O$2:$O$1001,0),0)))</f>
        <v>0</v>
      </c>
      <c r="B886" s="4">
        <f>IF(OR(INDEX($P$2:$P$1001,MATCH(ROWS($O$2:O886),$O$2:$O$1001,0),1)&gt;=100000,INDEX($V$1005:$AE$1005,1,MATCH(COLUMNS($V$1006:V1006),$V$1006:$AE$1006,0))&gt;=100000), " ",IF(INDEX($V$2:$AE$1001,MATCH(ROWS($O$2:O886),$O$2:$O$1001,0),MATCH(COLUMNS($V$1006:V1006),$V$1006:$AE$1006,0)), HYPERLINK("#",""), HYPERLINK(CONCATENATE("#Metadata!", ADDRESS(INDEX($Q$2:$Q$1001,MATCH(ROWS($O$2:O886),$O$2:$O$1001,0),0), INDEX($V$1004:$AE$1004,1,MATCH(COLUMNS($V$1006:V1006),$V$1006:$AE$1006,0)))),"Fix")))</f>
        <v>0</v>
      </c>
      <c r="C886" s="4">
        <f>IF(OR(INDEX($P$2:$P$1001,MATCH(ROWS($O$2:O886),$O$2:$O$1001,0),1)&gt;=100000,INDEX($V$1005:$AE$1005,1,MATCH(COLUMNS($V$1006:W1006),$V$1006:$AE$1006,0))&gt;=100000), " ",IF(INDEX($V$2:$AE$1001,MATCH(ROWS($O$2:O886),$O$2:$O$1001,0),MATCH(COLUMNS($V$1006:W1006),$V$1006:$AE$1006,0)), HYPERLINK("#",""), HYPERLINK(CONCATENATE("#Metadata!", ADDRESS(INDEX($Q$2:$Q$1001,MATCH(ROWS($O$2:O886),$O$2:$O$1001,0),0), INDEX($V$1004:$AE$1004,1,MATCH(COLUMNS($V$1006:W1006),$V$1006:$AE$1006,0)))),"Fix")))</f>
        <v>0</v>
      </c>
      <c r="D886" s="4">
        <f>IF(OR(INDEX($P$2:$P$1001,MATCH(ROWS($O$2:O886),$O$2:$O$1001,0),1)&gt;=100000,INDEX($V$1005:$AE$1005,1,MATCH(COLUMNS($V$1006:X1006),$V$1006:$AE$1006,0))&gt;=100000), " ",IF(INDEX($V$2:$AE$1001,MATCH(ROWS($O$2:O886),$O$2:$O$1001,0),MATCH(COLUMNS($V$1006:X1006),$V$1006:$AE$1006,0)), HYPERLINK("#",""), HYPERLINK(CONCATENATE("#Metadata!", ADDRESS(INDEX($Q$2:$Q$1001,MATCH(ROWS($O$2:O886),$O$2:$O$1001,0),0), INDEX($V$1004:$AE$1004,1,MATCH(COLUMNS($V$1006:X1006),$V$1006:$AE$1006,0)))),"Fix")))</f>
        <v>0</v>
      </c>
      <c r="E886" s="4">
        <f>IF(OR(INDEX($P$2:$P$1001,MATCH(ROWS($O$2:O886),$O$2:$O$1001,0),1)&gt;=100000,INDEX($V$1005:$AE$1005,1,MATCH(COLUMNS($V$1006:Y1006),$V$1006:$AE$1006,0))&gt;=100000), " ",IF(INDEX($V$2:$AE$1001,MATCH(ROWS($O$2:O886),$O$2:$O$1001,0),MATCH(COLUMNS($V$1006:Y1006),$V$1006:$AE$1006,0)), HYPERLINK("#",""), HYPERLINK(CONCATENATE("#Metadata!", ADDRESS(INDEX($Q$2:$Q$1001,MATCH(ROWS($O$2:O886),$O$2:$O$1001,0),0), INDEX($V$1004:$AE$1004,1,MATCH(COLUMNS($V$1006:Y1006),$V$1006:$AE$1006,0)))),"Fix")))</f>
        <v>0</v>
      </c>
      <c r="F886" s="4">
        <f>IF(OR(INDEX($P$2:$P$1001,MATCH(ROWS($O$2:O886),$O$2:$O$1001,0),1)&gt;=100000,INDEX($V$1005:$AE$1005,1,MATCH(COLUMNS($V$1006:Z1006),$V$1006:$AE$1006,0))&gt;=100000), " ",IF(INDEX($V$2:$AE$1001,MATCH(ROWS($O$2:O886),$O$2:$O$1001,0),MATCH(COLUMNS($V$1006:Z1006),$V$1006:$AE$1006,0)), HYPERLINK("#",""), HYPERLINK(CONCATENATE("#Metadata!", ADDRESS(INDEX($Q$2:$Q$1001,MATCH(ROWS($O$2:O886),$O$2:$O$1001,0),0), INDEX($V$1004:$AE$1004,1,MATCH(COLUMNS($V$1006:Z1006),$V$1006:$AE$1006,0)))),"Fix")))</f>
        <v>0</v>
      </c>
      <c r="G886" s="4">
        <f>IF(OR(INDEX($P$2:$P$1001,MATCH(ROWS($O$2:O886),$O$2:$O$1001,0),1)&gt;=100000,INDEX($V$1005:$AE$1005,1,MATCH(COLUMNS($V$1006:AA1006),$V$1006:$AE$1006,0))&gt;=100000), " ",IF(INDEX($V$2:$AE$1001,MATCH(ROWS($O$2:O886),$O$2:$O$1001,0),MATCH(COLUMNS($V$1006:AA1006),$V$1006:$AE$1006,0)), HYPERLINK("#",""), HYPERLINK(CONCATENATE("#Metadata!", ADDRESS(INDEX($Q$2:$Q$1001,MATCH(ROWS($O$2:O886),$O$2:$O$1001,0),0), INDEX($V$1004:$AE$1004,1,MATCH(COLUMNS($V$1006:AA1006),$V$1006:$AE$1006,0)))),"Fix")))</f>
        <v>0</v>
      </c>
      <c r="H886" s="4">
        <f>IF(OR(INDEX($P$2:$P$1001,MATCH(ROWS($O$2:O886),$O$2:$O$1001,0),1)&gt;=100000,INDEX($V$1005:$AE$1005,1,MATCH(COLUMNS($V$1006:AB1006),$V$1006:$AE$1006,0))&gt;=100000), " ",IF(INDEX($V$2:$AE$1001,MATCH(ROWS($O$2:O886),$O$2:$O$1001,0),MATCH(COLUMNS($V$1006:AB1006),$V$1006:$AE$1006,0)), HYPERLINK("#",""), HYPERLINK(CONCATENATE("#Metadata!", ADDRESS(INDEX($Q$2:$Q$1001,MATCH(ROWS($O$2:O886),$O$2:$O$1001,0),0), INDEX($V$1004:$AE$1004,1,MATCH(COLUMNS($V$1006:AB1006),$V$1006:$AE$1006,0)))),"Fix")))</f>
        <v>0</v>
      </c>
      <c r="I886" s="4">
        <f>IF(OR(INDEX($P$2:$P$1001,MATCH(ROWS($O$2:O886),$O$2:$O$1001,0),1)&gt;=100000,INDEX($V$1005:$AE$1005,1,MATCH(COLUMNS($V$1006:AC1006),$V$1006:$AE$1006,0))&gt;=100000), " ",IF(INDEX($V$2:$AE$1001,MATCH(ROWS($O$2:O886),$O$2:$O$1001,0),MATCH(COLUMNS($V$1006:AC1006),$V$1006:$AE$1006,0)), HYPERLINK("#",""), HYPERLINK(CONCATENATE("#Metadata!", ADDRESS(INDEX($Q$2:$Q$1001,MATCH(ROWS($O$2:O886),$O$2:$O$1001,0),0), INDEX($V$1004:$AE$1004,1,MATCH(COLUMNS($V$1006:AC1006),$V$1006:$AE$1006,0)))),"Fix")))</f>
        <v>0</v>
      </c>
      <c r="J886" s="4">
        <f>IF(OR(INDEX($P$2:$P$1001,MATCH(ROWS($O$2:O886),$O$2:$O$1001,0),1)&gt;=100000,INDEX($V$1005:$AE$1005,1,MATCH(COLUMNS($V$1006:AD1006),$V$1006:$AE$1006,0))&gt;=100000), " ",IF(INDEX($V$2:$AE$1001,MATCH(ROWS($O$2:O886),$O$2:$O$1001,0),MATCH(COLUMNS($V$1006:AD1006),$V$1006:$AE$1006,0)), HYPERLINK("#",""), HYPERLINK(CONCATENATE("#Metadata!", ADDRESS(INDEX($Q$2:$Q$1001,MATCH(ROWS($O$2:O886),$O$2:$O$1001,0),0), INDEX($V$1004:$AE$1004,1,MATCH(COLUMNS($V$1006:AD1006),$V$1006:$AE$1006,0)))),"Fix")))</f>
        <v>0</v>
      </c>
      <c r="K886" s="4">
        <f>IF(OR(INDEX($P$2:$P$1001,MATCH(ROWS($O$2:O886),$O$2:$O$1001,0),1)&gt;=100000,INDEX($V$1005:$AE$1005,1,MATCH(COLUMNS($V$1006:AE1006),$V$1006:$AE$1006,0))&gt;=100000), " ",IF(INDEX($V$2:$AE$1001,MATCH(ROWS($O$2:O886),$O$2:$O$1001,0),MATCH(COLUMNS($V$1006:AE1006),$V$1006:$AE$1006,0)), HYPERLINK("#",""), HYPERLINK(CONCATENATE("#Metadata!", ADDRESS(INDEX($Q$2:$Q$1001,MATCH(ROWS($O$2:O886),$O$2:$O$1001,0),0), INDEX($V$1004:$AE$1004,1,MATCH(COLUMNS($V$1006:AE1006),$V$1006:$AE$1006,0)))),"Fix")))</f>
        <v>0</v>
      </c>
      <c r="O886">
        <v>0</v>
      </c>
      <c r="P886">
        <v>0</v>
      </c>
      <c r="Q886">
        <v>0</v>
      </c>
      <c r="R886">
        <f>IF(S886,TRUE,AND(V886:AE886))</f>
        <v>0</v>
      </c>
      <c r="S886">
        <f>COUNTBLANK(Metadata!B886:K886)=COLUMNS(Metadata!B886:K886)</f>
        <v>0</v>
      </c>
      <c r="T886">
        <v>0</v>
      </c>
      <c r="V886">
        <f>AND(IF(Metadata!B886="",FALSE,TRUE),COUNTIF(Metadata!B:B, Metadata!B886) = 1,NOT(ISERROR(SUMPRODUCT(SEARCH(MID(Metadata!B886,ROW(INDIRECT("1:"&amp;LEN(Metadata!B886))), 1),"0123456789abcdefghijklmnopqrstuvwxyzABCDEFGHIJKLMNOPQRSTUVWXYZ.")))))</f>
        <v>0</v>
      </c>
      <c r="W886">
        <f>AND(IF(Metadata!C886="",FALSE,TRUE),exact(Metadata!C886,"urban biome"))</f>
        <v>0</v>
      </c>
      <c r="X886">
        <f>AND(IF(Metadata!D886="",FALSE,TRUE),exact(Metadata!D886,"animal-associated habitat"))</f>
        <v>0</v>
      </c>
      <c r="Y886">
        <f>OR(AND(IF(Metadata!E886="",FALSE,TRUE),OR(exact(Metadata!E886,"not applicable"),exact(Metadata!E886,"missing: not collected"),exact(Metadata!E886,"missing: not provided"),exact(Metadata!E886,"missing: restricted access"))),AND(IF(Metadata!E886="",FALSE,ISNUMBER(VALUE(Metadata!E886))),Metadata!E886&gt;0))</f>
        <v>0</v>
      </c>
      <c r="Z886">
        <f>AND(IF(Metadata!F886="",FALSE,TRUE),exact(Metadata!F886,"weeks"))</f>
        <v>0</v>
      </c>
      <c r="AA886">
        <f>AND(IF(Metadata!G886="",FALSE,TRUE),exact(Metadata!G886,"mouse"))</f>
        <v>0</v>
      </c>
      <c r="AB886">
        <f>AND(IF(Metadata!H886="",FALSE,TRUE),exact(Metadata!H886,"Mus musculus"))</f>
        <v>0</v>
      </c>
      <c r="AC886">
        <f>AND(IF(Metadata!I886="",FALSE,TRUE),exact(Metadata!I886,"10090"))</f>
        <v>0</v>
      </c>
      <c r="AD886">
        <f>OR(AND(IF(Metadata!J886="",FALSE,TRUE),OR(exact(Metadata!J886,"not applicable"),exact(Metadata!J886,"missing: not collected"),exact(Metadata!J886,"missing: not provided"),exact(Metadata!J886,"missing: restricted access"))),AND(IF(Metadata!J886="",FALSE,ISNUMBER(VALUE(Metadata!J886))),Metadata!J886&gt;0))</f>
        <v>0</v>
      </c>
      <c r="AE886">
        <f>AND(IF(Metadata!K886="",FALSE,TRUE),exact(Metadata!K886,"g"))</f>
        <v>0</v>
      </c>
    </row>
    <row r="887" spans="1:31">
      <c r="A887" s="5">
        <f>IF(B887=" "," ",HYPERLINK(CONCATENATE("#metadata!",ADDRESS(INDEX($Q$2:$Q$1001,MATCH(ROWS($O$2:O887),$O$2:$O$1001,0),0),1)),INDEX($T$2:$T$1001,MATCH(ROWS($O$2:O887),$O$2:$O$1001,0),0)))</f>
        <v>0</v>
      </c>
      <c r="B887" s="4">
        <f>IF(OR(INDEX($P$2:$P$1001,MATCH(ROWS($O$2:O887),$O$2:$O$1001,0),1)&gt;=100000,INDEX($V$1005:$AE$1005,1,MATCH(COLUMNS($V$1006:V1006),$V$1006:$AE$1006,0))&gt;=100000), " ",IF(INDEX($V$2:$AE$1001,MATCH(ROWS($O$2:O887),$O$2:$O$1001,0),MATCH(COLUMNS($V$1006:V1006),$V$1006:$AE$1006,0)), HYPERLINK("#",""), HYPERLINK(CONCATENATE("#Metadata!", ADDRESS(INDEX($Q$2:$Q$1001,MATCH(ROWS($O$2:O887),$O$2:$O$1001,0),0), INDEX($V$1004:$AE$1004,1,MATCH(COLUMNS($V$1006:V1006),$V$1006:$AE$1006,0)))),"Fix")))</f>
        <v>0</v>
      </c>
      <c r="C887" s="4">
        <f>IF(OR(INDEX($P$2:$P$1001,MATCH(ROWS($O$2:O887),$O$2:$O$1001,0),1)&gt;=100000,INDEX($V$1005:$AE$1005,1,MATCH(COLUMNS($V$1006:W1006),$V$1006:$AE$1006,0))&gt;=100000), " ",IF(INDEX($V$2:$AE$1001,MATCH(ROWS($O$2:O887),$O$2:$O$1001,0),MATCH(COLUMNS($V$1006:W1006),$V$1006:$AE$1006,0)), HYPERLINK("#",""), HYPERLINK(CONCATENATE("#Metadata!", ADDRESS(INDEX($Q$2:$Q$1001,MATCH(ROWS($O$2:O887),$O$2:$O$1001,0),0), INDEX($V$1004:$AE$1004,1,MATCH(COLUMNS($V$1006:W1006),$V$1006:$AE$1006,0)))),"Fix")))</f>
        <v>0</v>
      </c>
      <c r="D887" s="4">
        <f>IF(OR(INDEX($P$2:$P$1001,MATCH(ROWS($O$2:O887),$O$2:$O$1001,0),1)&gt;=100000,INDEX($V$1005:$AE$1005,1,MATCH(COLUMNS($V$1006:X1006),$V$1006:$AE$1006,0))&gt;=100000), " ",IF(INDEX($V$2:$AE$1001,MATCH(ROWS($O$2:O887),$O$2:$O$1001,0),MATCH(COLUMNS($V$1006:X1006),$V$1006:$AE$1006,0)), HYPERLINK("#",""), HYPERLINK(CONCATENATE("#Metadata!", ADDRESS(INDEX($Q$2:$Q$1001,MATCH(ROWS($O$2:O887),$O$2:$O$1001,0),0), INDEX($V$1004:$AE$1004,1,MATCH(COLUMNS($V$1006:X1006),$V$1006:$AE$1006,0)))),"Fix")))</f>
        <v>0</v>
      </c>
      <c r="E887" s="4">
        <f>IF(OR(INDEX($P$2:$P$1001,MATCH(ROWS($O$2:O887),$O$2:$O$1001,0),1)&gt;=100000,INDEX($V$1005:$AE$1005,1,MATCH(COLUMNS($V$1006:Y1006),$V$1006:$AE$1006,0))&gt;=100000), " ",IF(INDEX($V$2:$AE$1001,MATCH(ROWS($O$2:O887),$O$2:$O$1001,0),MATCH(COLUMNS($V$1006:Y1006),$V$1006:$AE$1006,0)), HYPERLINK("#",""), HYPERLINK(CONCATENATE("#Metadata!", ADDRESS(INDEX($Q$2:$Q$1001,MATCH(ROWS($O$2:O887),$O$2:$O$1001,0),0), INDEX($V$1004:$AE$1004,1,MATCH(COLUMNS($V$1006:Y1006),$V$1006:$AE$1006,0)))),"Fix")))</f>
        <v>0</v>
      </c>
      <c r="F887" s="4">
        <f>IF(OR(INDEX($P$2:$P$1001,MATCH(ROWS($O$2:O887),$O$2:$O$1001,0),1)&gt;=100000,INDEX($V$1005:$AE$1005,1,MATCH(COLUMNS($V$1006:Z1006),$V$1006:$AE$1006,0))&gt;=100000), " ",IF(INDEX($V$2:$AE$1001,MATCH(ROWS($O$2:O887),$O$2:$O$1001,0),MATCH(COLUMNS($V$1006:Z1006),$V$1006:$AE$1006,0)), HYPERLINK("#",""), HYPERLINK(CONCATENATE("#Metadata!", ADDRESS(INDEX($Q$2:$Q$1001,MATCH(ROWS($O$2:O887),$O$2:$O$1001,0),0), INDEX($V$1004:$AE$1004,1,MATCH(COLUMNS($V$1006:Z1006),$V$1006:$AE$1006,0)))),"Fix")))</f>
        <v>0</v>
      </c>
      <c r="G887" s="4">
        <f>IF(OR(INDEX($P$2:$P$1001,MATCH(ROWS($O$2:O887),$O$2:$O$1001,0),1)&gt;=100000,INDEX($V$1005:$AE$1005,1,MATCH(COLUMNS($V$1006:AA1006),$V$1006:$AE$1006,0))&gt;=100000), " ",IF(INDEX($V$2:$AE$1001,MATCH(ROWS($O$2:O887),$O$2:$O$1001,0),MATCH(COLUMNS($V$1006:AA1006),$V$1006:$AE$1006,0)), HYPERLINK("#",""), HYPERLINK(CONCATENATE("#Metadata!", ADDRESS(INDEX($Q$2:$Q$1001,MATCH(ROWS($O$2:O887),$O$2:$O$1001,0),0), INDEX($V$1004:$AE$1004,1,MATCH(COLUMNS($V$1006:AA1006),$V$1006:$AE$1006,0)))),"Fix")))</f>
        <v>0</v>
      </c>
      <c r="H887" s="4">
        <f>IF(OR(INDEX($P$2:$P$1001,MATCH(ROWS($O$2:O887),$O$2:$O$1001,0),1)&gt;=100000,INDEX($V$1005:$AE$1005,1,MATCH(COLUMNS($V$1006:AB1006),$V$1006:$AE$1006,0))&gt;=100000), " ",IF(INDEX($V$2:$AE$1001,MATCH(ROWS($O$2:O887),$O$2:$O$1001,0),MATCH(COLUMNS($V$1006:AB1006),$V$1006:$AE$1006,0)), HYPERLINK("#",""), HYPERLINK(CONCATENATE("#Metadata!", ADDRESS(INDEX($Q$2:$Q$1001,MATCH(ROWS($O$2:O887),$O$2:$O$1001,0),0), INDEX($V$1004:$AE$1004,1,MATCH(COLUMNS($V$1006:AB1006),$V$1006:$AE$1006,0)))),"Fix")))</f>
        <v>0</v>
      </c>
      <c r="I887" s="4">
        <f>IF(OR(INDEX($P$2:$P$1001,MATCH(ROWS($O$2:O887),$O$2:$O$1001,0),1)&gt;=100000,INDEX($V$1005:$AE$1005,1,MATCH(COLUMNS($V$1006:AC1006),$V$1006:$AE$1006,0))&gt;=100000), " ",IF(INDEX($V$2:$AE$1001,MATCH(ROWS($O$2:O887),$O$2:$O$1001,0),MATCH(COLUMNS($V$1006:AC1006),$V$1006:$AE$1006,0)), HYPERLINK("#",""), HYPERLINK(CONCATENATE("#Metadata!", ADDRESS(INDEX($Q$2:$Q$1001,MATCH(ROWS($O$2:O887),$O$2:$O$1001,0),0), INDEX($V$1004:$AE$1004,1,MATCH(COLUMNS($V$1006:AC1006),$V$1006:$AE$1006,0)))),"Fix")))</f>
        <v>0</v>
      </c>
      <c r="J887" s="4">
        <f>IF(OR(INDEX($P$2:$P$1001,MATCH(ROWS($O$2:O887),$O$2:$O$1001,0),1)&gt;=100000,INDEX($V$1005:$AE$1005,1,MATCH(COLUMNS($V$1006:AD1006),$V$1006:$AE$1006,0))&gt;=100000), " ",IF(INDEX($V$2:$AE$1001,MATCH(ROWS($O$2:O887),$O$2:$O$1001,0),MATCH(COLUMNS($V$1006:AD1006),$V$1006:$AE$1006,0)), HYPERLINK("#",""), HYPERLINK(CONCATENATE("#Metadata!", ADDRESS(INDEX($Q$2:$Q$1001,MATCH(ROWS($O$2:O887),$O$2:$O$1001,0),0), INDEX($V$1004:$AE$1004,1,MATCH(COLUMNS($V$1006:AD1006),$V$1006:$AE$1006,0)))),"Fix")))</f>
        <v>0</v>
      </c>
      <c r="K887" s="4">
        <f>IF(OR(INDEX($P$2:$P$1001,MATCH(ROWS($O$2:O887),$O$2:$O$1001,0),1)&gt;=100000,INDEX($V$1005:$AE$1005,1,MATCH(COLUMNS($V$1006:AE1006),$V$1006:$AE$1006,0))&gt;=100000), " ",IF(INDEX($V$2:$AE$1001,MATCH(ROWS($O$2:O887),$O$2:$O$1001,0),MATCH(COLUMNS($V$1006:AE1006),$V$1006:$AE$1006,0)), HYPERLINK("#",""), HYPERLINK(CONCATENATE("#Metadata!", ADDRESS(INDEX($Q$2:$Q$1001,MATCH(ROWS($O$2:O887),$O$2:$O$1001,0),0), INDEX($V$1004:$AE$1004,1,MATCH(COLUMNS($V$1006:AE1006),$V$1006:$AE$1006,0)))),"Fix")))</f>
        <v>0</v>
      </c>
      <c r="O887">
        <v>0</v>
      </c>
      <c r="P887">
        <v>0</v>
      </c>
      <c r="Q887">
        <v>0</v>
      </c>
      <c r="R887">
        <f>IF(S887,TRUE,AND(V887:AE887))</f>
        <v>0</v>
      </c>
      <c r="S887">
        <f>COUNTBLANK(Metadata!B887:K887)=COLUMNS(Metadata!B887:K887)</f>
        <v>0</v>
      </c>
      <c r="T887">
        <v>0</v>
      </c>
      <c r="V887">
        <f>AND(IF(Metadata!B887="",FALSE,TRUE),COUNTIF(Metadata!B:B, Metadata!B887) = 1,NOT(ISERROR(SUMPRODUCT(SEARCH(MID(Metadata!B887,ROW(INDIRECT("1:"&amp;LEN(Metadata!B887))), 1),"0123456789abcdefghijklmnopqrstuvwxyzABCDEFGHIJKLMNOPQRSTUVWXYZ.")))))</f>
        <v>0</v>
      </c>
      <c r="W887">
        <f>AND(IF(Metadata!C887="",FALSE,TRUE),exact(Metadata!C887,"urban biome"))</f>
        <v>0</v>
      </c>
      <c r="X887">
        <f>AND(IF(Metadata!D887="",FALSE,TRUE),exact(Metadata!D887,"animal-associated habitat"))</f>
        <v>0</v>
      </c>
      <c r="Y887">
        <f>OR(AND(IF(Metadata!E887="",FALSE,TRUE),OR(exact(Metadata!E887,"not applicable"),exact(Metadata!E887,"missing: not collected"),exact(Metadata!E887,"missing: not provided"),exact(Metadata!E887,"missing: restricted access"))),AND(IF(Metadata!E887="",FALSE,ISNUMBER(VALUE(Metadata!E887))),Metadata!E887&gt;0))</f>
        <v>0</v>
      </c>
      <c r="Z887">
        <f>AND(IF(Metadata!F887="",FALSE,TRUE),exact(Metadata!F887,"weeks"))</f>
        <v>0</v>
      </c>
      <c r="AA887">
        <f>AND(IF(Metadata!G887="",FALSE,TRUE),exact(Metadata!G887,"mouse"))</f>
        <v>0</v>
      </c>
      <c r="AB887">
        <f>AND(IF(Metadata!H887="",FALSE,TRUE),exact(Metadata!H887,"Mus musculus"))</f>
        <v>0</v>
      </c>
      <c r="AC887">
        <f>AND(IF(Metadata!I887="",FALSE,TRUE),exact(Metadata!I887,"10090"))</f>
        <v>0</v>
      </c>
      <c r="AD887">
        <f>OR(AND(IF(Metadata!J887="",FALSE,TRUE),OR(exact(Metadata!J887,"not applicable"),exact(Metadata!J887,"missing: not collected"),exact(Metadata!J887,"missing: not provided"),exact(Metadata!J887,"missing: restricted access"))),AND(IF(Metadata!J887="",FALSE,ISNUMBER(VALUE(Metadata!J887))),Metadata!J887&gt;0))</f>
        <v>0</v>
      </c>
      <c r="AE887">
        <f>AND(IF(Metadata!K887="",FALSE,TRUE),exact(Metadata!K887,"g"))</f>
        <v>0</v>
      </c>
    </row>
    <row r="888" spans="1:31">
      <c r="A888" s="5">
        <f>IF(B888=" "," ",HYPERLINK(CONCATENATE("#metadata!",ADDRESS(INDEX($Q$2:$Q$1001,MATCH(ROWS($O$2:O888),$O$2:$O$1001,0),0),1)),INDEX($T$2:$T$1001,MATCH(ROWS($O$2:O888),$O$2:$O$1001,0),0)))</f>
        <v>0</v>
      </c>
      <c r="B888" s="4">
        <f>IF(OR(INDEX($P$2:$P$1001,MATCH(ROWS($O$2:O888),$O$2:$O$1001,0),1)&gt;=100000,INDEX($V$1005:$AE$1005,1,MATCH(COLUMNS($V$1006:V1006),$V$1006:$AE$1006,0))&gt;=100000), " ",IF(INDEX($V$2:$AE$1001,MATCH(ROWS($O$2:O888),$O$2:$O$1001,0),MATCH(COLUMNS($V$1006:V1006),$V$1006:$AE$1006,0)), HYPERLINK("#",""), HYPERLINK(CONCATENATE("#Metadata!", ADDRESS(INDEX($Q$2:$Q$1001,MATCH(ROWS($O$2:O888),$O$2:$O$1001,0),0), INDEX($V$1004:$AE$1004,1,MATCH(COLUMNS($V$1006:V1006),$V$1006:$AE$1006,0)))),"Fix")))</f>
        <v>0</v>
      </c>
      <c r="C888" s="4">
        <f>IF(OR(INDEX($P$2:$P$1001,MATCH(ROWS($O$2:O888),$O$2:$O$1001,0),1)&gt;=100000,INDEX($V$1005:$AE$1005,1,MATCH(COLUMNS($V$1006:W1006),$V$1006:$AE$1006,0))&gt;=100000), " ",IF(INDEX($V$2:$AE$1001,MATCH(ROWS($O$2:O888),$O$2:$O$1001,0),MATCH(COLUMNS($V$1006:W1006),$V$1006:$AE$1006,0)), HYPERLINK("#",""), HYPERLINK(CONCATENATE("#Metadata!", ADDRESS(INDEX($Q$2:$Q$1001,MATCH(ROWS($O$2:O888),$O$2:$O$1001,0),0), INDEX($V$1004:$AE$1004,1,MATCH(COLUMNS($V$1006:W1006),$V$1006:$AE$1006,0)))),"Fix")))</f>
        <v>0</v>
      </c>
      <c r="D888" s="4">
        <f>IF(OR(INDEX($P$2:$P$1001,MATCH(ROWS($O$2:O888),$O$2:$O$1001,0),1)&gt;=100000,INDEX($V$1005:$AE$1005,1,MATCH(COLUMNS($V$1006:X1006),$V$1006:$AE$1006,0))&gt;=100000), " ",IF(INDEX($V$2:$AE$1001,MATCH(ROWS($O$2:O888),$O$2:$O$1001,0),MATCH(COLUMNS($V$1006:X1006),$V$1006:$AE$1006,0)), HYPERLINK("#",""), HYPERLINK(CONCATENATE("#Metadata!", ADDRESS(INDEX($Q$2:$Q$1001,MATCH(ROWS($O$2:O888),$O$2:$O$1001,0),0), INDEX($V$1004:$AE$1004,1,MATCH(COLUMNS($V$1006:X1006),$V$1006:$AE$1006,0)))),"Fix")))</f>
        <v>0</v>
      </c>
      <c r="E888" s="4">
        <f>IF(OR(INDEX($P$2:$P$1001,MATCH(ROWS($O$2:O888),$O$2:$O$1001,0),1)&gt;=100000,INDEX($V$1005:$AE$1005,1,MATCH(COLUMNS($V$1006:Y1006),$V$1006:$AE$1006,0))&gt;=100000), " ",IF(INDEX($V$2:$AE$1001,MATCH(ROWS($O$2:O888),$O$2:$O$1001,0),MATCH(COLUMNS($V$1006:Y1006),$V$1006:$AE$1006,0)), HYPERLINK("#",""), HYPERLINK(CONCATENATE("#Metadata!", ADDRESS(INDEX($Q$2:$Q$1001,MATCH(ROWS($O$2:O888),$O$2:$O$1001,0),0), INDEX($V$1004:$AE$1004,1,MATCH(COLUMNS($V$1006:Y1006),$V$1006:$AE$1006,0)))),"Fix")))</f>
        <v>0</v>
      </c>
      <c r="F888" s="4">
        <f>IF(OR(INDEX($P$2:$P$1001,MATCH(ROWS($O$2:O888),$O$2:$O$1001,0),1)&gt;=100000,INDEX($V$1005:$AE$1005,1,MATCH(COLUMNS($V$1006:Z1006),$V$1006:$AE$1006,0))&gt;=100000), " ",IF(INDEX($V$2:$AE$1001,MATCH(ROWS($O$2:O888),$O$2:$O$1001,0),MATCH(COLUMNS($V$1006:Z1006),$V$1006:$AE$1006,0)), HYPERLINK("#",""), HYPERLINK(CONCATENATE("#Metadata!", ADDRESS(INDEX($Q$2:$Q$1001,MATCH(ROWS($O$2:O888),$O$2:$O$1001,0),0), INDEX($V$1004:$AE$1004,1,MATCH(COLUMNS($V$1006:Z1006),$V$1006:$AE$1006,0)))),"Fix")))</f>
        <v>0</v>
      </c>
      <c r="G888" s="4">
        <f>IF(OR(INDEX($P$2:$P$1001,MATCH(ROWS($O$2:O888),$O$2:$O$1001,0),1)&gt;=100000,INDEX($V$1005:$AE$1005,1,MATCH(COLUMNS($V$1006:AA1006),$V$1006:$AE$1006,0))&gt;=100000), " ",IF(INDEX($V$2:$AE$1001,MATCH(ROWS($O$2:O888),$O$2:$O$1001,0),MATCH(COLUMNS($V$1006:AA1006),$V$1006:$AE$1006,0)), HYPERLINK("#",""), HYPERLINK(CONCATENATE("#Metadata!", ADDRESS(INDEX($Q$2:$Q$1001,MATCH(ROWS($O$2:O888),$O$2:$O$1001,0),0), INDEX($V$1004:$AE$1004,1,MATCH(COLUMNS($V$1006:AA1006),$V$1006:$AE$1006,0)))),"Fix")))</f>
        <v>0</v>
      </c>
      <c r="H888" s="4">
        <f>IF(OR(INDEX($P$2:$P$1001,MATCH(ROWS($O$2:O888),$O$2:$O$1001,0),1)&gt;=100000,INDEX($V$1005:$AE$1005,1,MATCH(COLUMNS($V$1006:AB1006),$V$1006:$AE$1006,0))&gt;=100000), " ",IF(INDEX($V$2:$AE$1001,MATCH(ROWS($O$2:O888),$O$2:$O$1001,0),MATCH(COLUMNS($V$1006:AB1006),$V$1006:$AE$1006,0)), HYPERLINK("#",""), HYPERLINK(CONCATENATE("#Metadata!", ADDRESS(INDEX($Q$2:$Q$1001,MATCH(ROWS($O$2:O888),$O$2:$O$1001,0),0), INDEX($V$1004:$AE$1004,1,MATCH(COLUMNS($V$1006:AB1006),$V$1006:$AE$1006,0)))),"Fix")))</f>
        <v>0</v>
      </c>
      <c r="I888" s="4">
        <f>IF(OR(INDEX($P$2:$P$1001,MATCH(ROWS($O$2:O888),$O$2:$O$1001,0),1)&gt;=100000,INDEX($V$1005:$AE$1005,1,MATCH(COLUMNS($V$1006:AC1006),$V$1006:$AE$1006,0))&gt;=100000), " ",IF(INDEX($V$2:$AE$1001,MATCH(ROWS($O$2:O888),$O$2:$O$1001,0),MATCH(COLUMNS($V$1006:AC1006),$V$1006:$AE$1006,0)), HYPERLINK("#",""), HYPERLINK(CONCATENATE("#Metadata!", ADDRESS(INDEX($Q$2:$Q$1001,MATCH(ROWS($O$2:O888),$O$2:$O$1001,0),0), INDEX($V$1004:$AE$1004,1,MATCH(COLUMNS($V$1006:AC1006),$V$1006:$AE$1006,0)))),"Fix")))</f>
        <v>0</v>
      </c>
      <c r="J888" s="4">
        <f>IF(OR(INDEX($P$2:$P$1001,MATCH(ROWS($O$2:O888),$O$2:$O$1001,0),1)&gt;=100000,INDEX($V$1005:$AE$1005,1,MATCH(COLUMNS($V$1006:AD1006),$V$1006:$AE$1006,0))&gt;=100000), " ",IF(INDEX($V$2:$AE$1001,MATCH(ROWS($O$2:O888),$O$2:$O$1001,0),MATCH(COLUMNS($V$1006:AD1006),$V$1006:$AE$1006,0)), HYPERLINK("#",""), HYPERLINK(CONCATENATE("#Metadata!", ADDRESS(INDEX($Q$2:$Q$1001,MATCH(ROWS($O$2:O888),$O$2:$O$1001,0),0), INDEX($V$1004:$AE$1004,1,MATCH(COLUMNS($V$1006:AD1006),$V$1006:$AE$1006,0)))),"Fix")))</f>
        <v>0</v>
      </c>
      <c r="K888" s="4">
        <f>IF(OR(INDEX($P$2:$P$1001,MATCH(ROWS($O$2:O888),$O$2:$O$1001,0),1)&gt;=100000,INDEX($V$1005:$AE$1005,1,MATCH(COLUMNS($V$1006:AE1006),$V$1006:$AE$1006,0))&gt;=100000), " ",IF(INDEX($V$2:$AE$1001,MATCH(ROWS($O$2:O888),$O$2:$O$1001,0),MATCH(COLUMNS($V$1006:AE1006),$V$1006:$AE$1006,0)), HYPERLINK("#",""), HYPERLINK(CONCATENATE("#Metadata!", ADDRESS(INDEX($Q$2:$Q$1001,MATCH(ROWS($O$2:O888),$O$2:$O$1001,0),0), INDEX($V$1004:$AE$1004,1,MATCH(COLUMNS($V$1006:AE1006),$V$1006:$AE$1006,0)))),"Fix")))</f>
        <v>0</v>
      </c>
      <c r="O888">
        <v>0</v>
      </c>
      <c r="P888">
        <v>0</v>
      </c>
      <c r="Q888">
        <v>0</v>
      </c>
      <c r="R888">
        <f>IF(S888,TRUE,AND(V888:AE888))</f>
        <v>0</v>
      </c>
      <c r="S888">
        <f>COUNTBLANK(Metadata!B888:K888)=COLUMNS(Metadata!B888:K888)</f>
        <v>0</v>
      </c>
      <c r="T888">
        <v>0</v>
      </c>
      <c r="V888">
        <f>AND(IF(Metadata!B888="",FALSE,TRUE),COUNTIF(Metadata!B:B, Metadata!B888) = 1,NOT(ISERROR(SUMPRODUCT(SEARCH(MID(Metadata!B888,ROW(INDIRECT("1:"&amp;LEN(Metadata!B888))), 1),"0123456789abcdefghijklmnopqrstuvwxyzABCDEFGHIJKLMNOPQRSTUVWXYZ.")))))</f>
        <v>0</v>
      </c>
      <c r="W888">
        <f>AND(IF(Metadata!C888="",FALSE,TRUE),exact(Metadata!C888,"urban biome"))</f>
        <v>0</v>
      </c>
      <c r="X888">
        <f>AND(IF(Metadata!D888="",FALSE,TRUE),exact(Metadata!D888,"animal-associated habitat"))</f>
        <v>0</v>
      </c>
      <c r="Y888">
        <f>OR(AND(IF(Metadata!E888="",FALSE,TRUE),OR(exact(Metadata!E888,"not applicable"),exact(Metadata!E888,"missing: not collected"),exact(Metadata!E888,"missing: not provided"),exact(Metadata!E888,"missing: restricted access"))),AND(IF(Metadata!E888="",FALSE,ISNUMBER(VALUE(Metadata!E888))),Metadata!E888&gt;0))</f>
        <v>0</v>
      </c>
      <c r="Z888">
        <f>AND(IF(Metadata!F888="",FALSE,TRUE),exact(Metadata!F888,"weeks"))</f>
        <v>0</v>
      </c>
      <c r="AA888">
        <f>AND(IF(Metadata!G888="",FALSE,TRUE),exact(Metadata!G888,"mouse"))</f>
        <v>0</v>
      </c>
      <c r="AB888">
        <f>AND(IF(Metadata!H888="",FALSE,TRUE),exact(Metadata!H888,"Mus musculus"))</f>
        <v>0</v>
      </c>
      <c r="AC888">
        <f>AND(IF(Metadata!I888="",FALSE,TRUE),exact(Metadata!I888,"10090"))</f>
        <v>0</v>
      </c>
      <c r="AD888">
        <f>OR(AND(IF(Metadata!J888="",FALSE,TRUE),OR(exact(Metadata!J888,"not applicable"),exact(Metadata!J888,"missing: not collected"),exact(Metadata!J888,"missing: not provided"),exact(Metadata!J888,"missing: restricted access"))),AND(IF(Metadata!J888="",FALSE,ISNUMBER(VALUE(Metadata!J888))),Metadata!J888&gt;0))</f>
        <v>0</v>
      </c>
      <c r="AE888">
        <f>AND(IF(Metadata!K888="",FALSE,TRUE),exact(Metadata!K888,"g"))</f>
        <v>0</v>
      </c>
    </row>
    <row r="889" spans="1:31">
      <c r="A889" s="5">
        <f>IF(B889=" "," ",HYPERLINK(CONCATENATE("#metadata!",ADDRESS(INDEX($Q$2:$Q$1001,MATCH(ROWS($O$2:O889),$O$2:$O$1001,0),0),1)),INDEX($T$2:$T$1001,MATCH(ROWS($O$2:O889),$O$2:$O$1001,0),0)))</f>
        <v>0</v>
      </c>
      <c r="B889" s="4">
        <f>IF(OR(INDEX($P$2:$P$1001,MATCH(ROWS($O$2:O889),$O$2:$O$1001,0),1)&gt;=100000,INDEX($V$1005:$AE$1005,1,MATCH(COLUMNS($V$1006:V1006),$V$1006:$AE$1006,0))&gt;=100000), " ",IF(INDEX($V$2:$AE$1001,MATCH(ROWS($O$2:O889),$O$2:$O$1001,0),MATCH(COLUMNS($V$1006:V1006),$V$1006:$AE$1006,0)), HYPERLINK("#",""), HYPERLINK(CONCATENATE("#Metadata!", ADDRESS(INDEX($Q$2:$Q$1001,MATCH(ROWS($O$2:O889),$O$2:$O$1001,0),0), INDEX($V$1004:$AE$1004,1,MATCH(COLUMNS($V$1006:V1006),$V$1006:$AE$1006,0)))),"Fix")))</f>
        <v>0</v>
      </c>
      <c r="C889" s="4">
        <f>IF(OR(INDEX($P$2:$P$1001,MATCH(ROWS($O$2:O889),$O$2:$O$1001,0),1)&gt;=100000,INDEX($V$1005:$AE$1005,1,MATCH(COLUMNS($V$1006:W1006),$V$1006:$AE$1006,0))&gt;=100000), " ",IF(INDEX($V$2:$AE$1001,MATCH(ROWS($O$2:O889),$O$2:$O$1001,0),MATCH(COLUMNS($V$1006:W1006),$V$1006:$AE$1006,0)), HYPERLINK("#",""), HYPERLINK(CONCATENATE("#Metadata!", ADDRESS(INDEX($Q$2:$Q$1001,MATCH(ROWS($O$2:O889),$O$2:$O$1001,0),0), INDEX($V$1004:$AE$1004,1,MATCH(COLUMNS($V$1006:W1006),$V$1006:$AE$1006,0)))),"Fix")))</f>
        <v>0</v>
      </c>
      <c r="D889" s="4">
        <f>IF(OR(INDEX($P$2:$P$1001,MATCH(ROWS($O$2:O889),$O$2:$O$1001,0),1)&gt;=100000,INDEX($V$1005:$AE$1005,1,MATCH(COLUMNS($V$1006:X1006),$V$1006:$AE$1006,0))&gt;=100000), " ",IF(INDEX($V$2:$AE$1001,MATCH(ROWS($O$2:O889),$O$2:$O$1001,0),MATCH(COLUMNS($V$1006:X1006),$V$1006:$AE$1006,0)), HYPERLINK("#",""), HYPERLINK(CONCATENATE("#Metadata!", ADDRESS(INDEX($Q$2:$Q$1001,MATCH(ROWS($O$2:O889),$O$2:$O$1001,0),0), INDEX($V$1004:$AE$1004,1,MATCH(COLUMNS($V$1006:X1006),$V$1006:$AE$1006,0)))),"Fix")))</f>
        <v>0</v>
      </c>
      <c r="E889" s="4">
        <f>IF(OR(INDEX($P$2:$P$1001,MATCH(ROWS($O$2:O889),$O$2:$O$1001,0),1)&gt;=100000,INDEX($V$1005:$AE$1005,1,MATCH(COLUMNS($V$1006:Y1006),$V$1006:$AE$1006,0))&gt;=100000), " ",IF(INDEX($V$2:$AE$1001,MATCH(ROWS($O$2:O889),$O$2:$O$1001,0),MATCH(COLUMNS($V$1006:Y1006),$V$1006:$AE$1006,0)), HYPERLINK("#",""), HYPERLINK(CONCATENATE("#Metadata!", ADDRESS(INDEX($Q$2:$Q$1001,MATCH(ROWS($O$2:O889),$O$2:$O$1001,0),0), INDEX($V$1004:$AE$1004,1,MATCH(COLUMNS($V$1006:Y1006),$V$1006:$AE$1006,0)))),"Fix")))</f>
        <v>0</v>
      </c>
      <c r="F889" s="4">
        <f>IF(OR(INDEX($P$2:$P$1001,MATCH(ROWS($O$2:O889),$O$2:$O$1001,0),1)&gt;=100000,INDEX($V$1005:$AE$1005,1,MATCH(COLUMNS($V$1006:Z1006),$V$1006:$AE$1006,0))&gt;=100000), " ",IF(INDEX($V$2:$AE$1001,MATCH(ROWS($O$2:O889),$O$2:$O$1001,0),MATCH(COLUMNS($V$1006:Z1006),$V$1006:$AE$1006,0)), HYPERLINK("#",""), HYPERLINK(CONCATENATE("#Metadata!", ADDRESS(INDEX($Q$2:$Q$1001,MATCH(ROWS($O$2:O889),$O$2:$O$1001,0),0), INDEX($V$1004:$AE$1004,1,MATCH(COLUMNS($V$1006:Z1006),$V$1006:$AE$1006,0)))),"Fix")))</f>
        <v>0</v>
      </c>
      <c r="G889" s="4">
        <f>IF(OR(INDEX($P$2:$P$1001,MATCH(ROWS($O$2:O889),$O$2:$O$1001,0),1)&gt;=100000,INDEX($V$1005:$AE$1005,1,MATCH(COLUMNS($V$1006:AA1006),$V$1006:$AE$1006,0))&gt;=100000), " ",IF(INDEX($V$2:$AE$1001,MATCH(ROWS($O$2:O889),$O$2:$O$1001,0),MATCH(COLUMNS($V$1006:AA1006),$V$1006:$AE$1006,0)), HYPERLINK("#",""), HYPERLINK(CONCATENATE("#Metadata!", ADDRESS(INDEX($Q$2:$Q$1001,MATCH(ROWS($O$2:O889),$O$2:$O$1001,0),0), INDEX($V$1004:$AE$1004,1,MATCH(COLUMNS($V$1006:AA1006),$V$1006:$AE$1006,0)))),"Fix")))</f>
        <v>0</v>
      </c>
      <c r="H889" s="4">
        <f>IF(OR(INDEX($P$2:$P$1001,MATCH(ROWS($O$2:O889),$O$2:$O$1001,0),1)&gt;=100000,INDEX($V$1005:$AE$1005,1,MATCH(COLUMNS($V$1006:AB1006),$V$1006:$AE$1006,0))&gt;=100000), " ",IF(INDEX($V$2:$AE$1001,MATCH(ROWS($O$2:O889),$O$2:$O$1001,0),MATCH(COLUMNS($V$1006:AB1006),$V$1006:$AE$1006,0)), HYPERLINK("#",""), HYPERLINK(CONCATENATE("#Metadata!", ADDRESS(INDEX($Q$2:$Q$1001,MATCH(ROWS($O$2:O889),$O$2:$O$1001,0),0), INDEX($V$1004:$AE$1004,1,MATCH(COLUMNS($V$1006:AB1006),$V$1006:$AE$1006,0)))),"Fix")))</f>
        <v>0</v>
      </c>
      <c r="I889" s="4">
        <f>IF(OR(INDEX($P$2:$P$1001,MATCH(ROWS($O$2:O889),$O$2:$O$1001,0),1)&gt;=100000,INDEX($V$1005:$AE$1005,1,MATCH(COLUMNS($V$1006:AC1006),$V$1006:$AE$1006,0))&gt;=100000), " ",IF(INDEX($V$2:$AE$1001,MATCH(ROWS($O$2:O889),$O$2:$O$1001,0),MATCH(COLUMNS($V$1006:AC1006),$V$1006:$AE$1006,0)), HYPERLINK("#",""), HYPERLINK(CONCATENATE("#Metadata!", ADDRESS(INDEX($Q$2:$Q$1001,MATCH(ROWS($O$2:O889),$O$2:$O$1001,0),0), INDEX($V$1004:$AE$1004,1,MATCH(COLUMNS($V$1006:AC1006),$V$1006:$AE$1006,0)))),"Fix")))</f>
        <v>0</v>
      </c>
      <c r="J889" s="4">
        <f>IF(OR(INDEX($P$2:$P$1001,MATCH(ROWS($O$2:O889),$O$2:$O$1001,0),1)&gt;=100000,INDEX($V$1005:$AE$1005,1,MATCH(COLUMNS($V$1006:AD1006),$V$1006:$AE$1006,0))&gt;=100000), " ",IF(INDEX($V$2:$AE$1001,MATCH(ROWS($O$2:O889),$O$2:$O$1001,0),MATCH(COLUMNS($V$1006:AD1006),$V$1006:$AE$1006,0)), HYPERLINK("#",""), HYPERLINK(CONCATENATE("#Metadata!", ADDRESS(INDEX($Q$2:$Q$1001,MATCH(ROWS($O$2:O889),$O$2:$O$1001,0),0), INDEX($V$1004:$AE$1004,1,MATCH(COLUMNS($V$1006:AD1006),$V$1006:$AE$1006,0)))),"Fix")))</f>
        <v>0</v>
      </c>
      <c r="K889" s="4">
        <f>IF(OR(INDEX($P$2:$P$1001,MATCH(ROWS($O$2:O889),$O$2:$O$1001,0),1)&gt;=100000,INDEX($V$1005:$AE$1005,1,MATCH(COLUMNS($V$1006:AE1006),$V$1006:$AE$1006,0))&gt;=100000), " ",IF(INDEX($V$2:$AE$1001,MATCH(ROWS($O$2:O889),$O$2:$O$1001,0),MATCH(COLUMNS($V$1006:AE1006),$V$1006:$AE$1006,0)), HYPERLINK("#",""), HYPERLINK(CONCATENATE("#Metadata!", ADDRESS(INDEX($Q$2:$Q$1001,MATCH(ROWS($O$2:O889),$O$2:$O$1001,0),0), INDEX($V$1004:$AE$1004,1,MATCH(COLUMNS($V$1006:AE1006),$V$1006:$AE$1006,0)))),"Fix")))</f>
        <v>0</v>
      </c>
      <c r="O889">
        <v>0</v>
      </c>
      <c r="P889">
        <v>0</v>
      </c>
      <c r="Q889">
        <v>0</v>
      </c>
      <c r="R889">
        <f>IF(S889,TRUE,AND(V889:AE889))</f>
        <v>0</v>
      </c>
      <c r="S889">
        <f>COUNTBLANK(Metadata!B889:K889)=COLUMNS(Metadata!B889:K889)</f>
        <v>0</v>
      </c>
      <c r="T889">
        <v>0</v>
      </c>
      <c r="V889">
        <f>AND(IF(Metadata!B889="",FALSE,TRUE),COUNTIF(Metadata!B:B, Metadata!B889) = 1,NOT(ISERROR(SUMPRODUCT(SEARCH(MID(Metadata!B889,ROW(INDIRECT("1:"&amp;LEN(Metadata!B889))), 1),"0123456789abcdefghijklmnopqrstuvwxyzABCDEFGHIJKLMNOPQRSTUVWXYZ.")))))</f>
        <v>0</v>
      </c>
      <c r="W889">
        <f>AND(IF(Metadata!C889="",FALSE,TRUE),exact(Metadata!C889,"urban biome"))</f>
        <v>0</v>
      </c>
      <c r="X889">
        <f>AND(IF(Metadata!D889="",FALSE,TRUE),exact(Metadata!D889,"animal-associated habitat"))</f>
        <v>0</v>
      </c>
      <c r="Y889">
        <f>OR(AND(IF(Metadata!E889="",FALSE,TRUE),OR(exact(Metadata!E889,"not applicable"),exact(Metadata!E889,"missing: not collected"),exact(Metadata!E889,"missing: not provided"),exact(Metadata!E889,"missing: restricted access"))),AND(IF(Metadata!E889="",FALSE,ISNUMBER(VALUE(Metadata!E889))),Metadata!E889&gt;0))</f>
        <v>0</v>
      </c>
      <c r="Z889">
        <f>AND(IF(Metadata!F889="",FALSE,TRUE),exact(Metadata!F889,"weeks"))</f>
        <v>0</v>
      </c>
      <c r="AA889">
        <f>AND(IF(Metadata!G889="",FALSE,TRUE),exact(Metadata!G889,"mouse"))</f>
        <v>0</v>
      </c>
      <c r="AB889">
        <f>AND(IF(Metadata!H889="",FALSE,TRUE),exact(Metadata!H889,"Mus musculus"))</f>
        <v>0</v>
      </c>
      <c r="AC889">
        <f>AND(IF(Metadata!I889="",FALSE,TRUE),exact(Metadata!I889,"10090"))</f>
        <v>0</v>
      </c>
      <c r="AD889">
        <f>OR(AND(IF(Metadata!J889="",FALSE,TRUE),OR(exact(Metadata!J889,"not applicable"),exact(Metadata!J889,"missing: not collected"),exact(Metadata!J889,"missing: not provided"),exact(Metadata!J889,"missing: restricted access"))),AND(IF(Metadata!J889="",FALSE,ISNUMBER(VALUE(Metadata!J889))),Metadata!J889&gt;0))</f>
        <v>0</v>
      </c>
      <c r="AE889">
        <f>AND(IF(Metadata!K889="",FALSE,TRUE),exact(Metadata!K889,"g"))</f>
        <v>0</v>
      </c>
    </row>
    <row r="890" spans="1:31">
      <c r="A890" s="5">
        <f>IF(B890=" "," ",HYPERLINK(CONCATENATE("#metadata!",ADDRESS(INDEX($Q$2:$Q$1001,MATCH(ROWS($O$2:O890),$O$2:$O$1001,0),0),1)),INDEX($T$2:$T$1001,MATCH(ROWS($O$2:O890),$O$2:$O$1001,0),0)))</f>
        <v>0</v>
      </c>
      <c r="B890" s="4">
        <f>IF(OR(INDEX($P$2:$P$1001,MATCH(ROWS($O$2:O890),$O$2:$O$1001,0),1)&gt;=100000,INDEX($V$1005:$AE$1005,1,MATCH(COLUMNS($V$1006:V1006),$V$1006:$AE$1006,0))&gt;=100000), " ",IF(INDEX($V$2:$AE$1001,MATCH(ROWS($O$2:O890),$O$2:$O$1001,0),MATCH(COLUMNS($V$1006:V1006),$V$1006:$AE$1006,0)), HYPERLINK("#",""), HYPERLINK(CONCATENATE("#Metadata!", ADDRESS(INDEX($Q$2:$Q$1001,MATCH(ROWS($O$2:O890),$O$2:$O$1001,0),0), INDEX($V$1004:$AE$1004,1,MATCH(COLUMNS($V$1006:V1006),$V$1006:$AE$1006,0)))),"Fix")))</f>
        <v>0</v>
      </c>
      <c r="C890" s="4">
        <f>IF(OR(INDEX($P$2:$P$1001,MATCH(ROWS($O$2:O890),$O$2:$O$1001,0),1)&gt;=100000,INDEX($V$1005:$AE$1005,1,MATCH(COLUMNS($V$1006:W1006),$V$1006:$AE$1006,0))&gt;=100000), " ",IF(INDEX($V$2:$AE$1001,MATCH(ROWS($O$2:O890),$O$2:$O$1001,0),MATCH(COLUMNS($V$1006:W1006),$V$1006:$AE$1006,0)), HYPERLINK("#",""), HYPERLINK(CONCATENATE("#Metadata!", ADDRESS(INDEX($Q$2:$Q$1001,MATCH(ROWS($O$2:O890),$O$2:$O$1001,0),0), INDEX($V$1004:$AE$1004,1,MATCH(COLUMNS($V$1006:W1006),$V$1006:$AE$1006,0)))),"Fix")))</f>
        <v>0</v>
      </c>
      <c r="D890" s="4">
        <f>IF(OR(INDEX($P$2:$P$1001,MATCH(ROWS($O$2:O890),$O$2:$O$1001,0),1)&gt;=100000,INDEX($V$1005:$AE$1005,1,MATCH(COLUMNS($V$1006:X1006),$V$1006:$AE$1006,0))&gt;=100000), " ",IF(INDEX($V$2:$AE$1001,MATCH(ROWS($O$2:O890),$O$2:$O$1001,0),MATCH(COLUMNS($V$1006:X1006),$V$1006:$AE$1006,0)), HYPERLINK("#",""), HYPERLINK(CONCATENATE("#Metadata!", ADDRESS(INDEX($Q$2:$Q$1001,MATCH(ROWS($O$2:O890),$O$2:$O$1001,0),0), INDEX($V$1004:$AE$1004,1,MATCH(COLUMNS($V$1006:X1006),$V$1006:$AE$1006,0)))),"Fix")))</f>
        <v>0</v>
      </c>
      <c r="E890" s="4">
        <f>IF(OR(INDEX($P$2:$P$1001,MATCH(ROWS($O$2:O890),$O$2:$O$1001,0),1)&gt;=100000,INDEX($V$1005:$AE$1005,1,MATCH(COLUMNS($V$1006:Y1006),$V$1006:$AE$1006,0))&gt;=100000), " ",IF(INDEX($V$2:$AE$1001,MATCH(ROWS($O$2:O890),$O$2:$O$1001,0),MATCH(COLUMNS($V$1006:Y1006),$V$1006:$AE$1006,0)), HYPERLINK("#",""), HYPERLINK(CONCATENATE("#Metadata!", ADDRESS(INDEX($Q$2:$Q$1001,MATCH(ROWS($O$2:O890),$O$2:$O$1001,0),0), INDEX($V$1004:$AE$1004,1,MATCH(COLUMNS($V$1006:Y1006),$V$1006:$AE$1006,0)))),"Fix")))</f>
        <v>0</v>
      </c>
      <c r="F890" s="4">
        <f>IF(OR(INDEX($P$2:$P$1001,MATCH(ROWS($O$2:O890),$O$2:$O$1001,0),1)&gt;=100000,INDEX($V$1005:$AE$1005,1,MATCH(COLUMNS($V$1006:Z1006),$V$1006:$AE$1006,0))&gt;=100000), " ",IF(INDEX($V$2:$AE$1001,MATCH(ROWS($O$2:O890),$O$2:$O$1001,0),MATCH(COLUMNS($V$1006:Z1006),$V$1006:$AE$1006,0)), HYPERLINK("#",""), HYPERLINK(CONCATENATE("#Metadata!", ADDRESS(INDEX($Q$2:$Q$1001,MATCH(ROWS($O$2:O890),$O$2:$O$1001,0),0), INDEX($V$1004:$AE$1004,1,MATCH(COLUMNS($V$1006:Z1006),$V$1006:$AE$1006,0)))),"Fix")))</f>
        <v>0</v>
      </c>
      <c r="G890" s="4">
        <f>IF(OR(INDEX($P$2:$P$1001,MATCH(ROWS($O$2:O890),$O$2:$O$1001,0),1)&gt;=100000,INDEX($V$1005:$AE$1005,1,MATCH(COLUMNS($V$1006:AA1006),$V$1006:$AE$1006,0))&gt;=100000), " ",IF(INDEX($V$2:$AE$1001,MATCH(ROWS($O$2:O890),$O$2:$O$1001,0),MATCH(COLUMNS($V$1006:AA1006),$V$1006:$AE$1006,0)), HYPERLINK("#",""), HYPERLINK(CONCATENATE("#Metadata!", ADDRESS(INDEX($Q$2:$Q$1001,MATCH(ROWS($O$2:O890),$O$2:$O$1001,0),0), INDEX($V$1004:$AE$1004,1,MATCH(COLUMNS($V$1006:AA1006),$V$1006:$AE$1006,0)))),"Fix")))</f>
        <v>0</v>
      </c>
      <c r="H890" s="4">
        <f>IF(OR(INDEX($P$2:$P$1001,MATCH(ROWS($O$2:O890),$O$2:$O$1001,0),1)&gt;=100000,INDEX($V$1005:$AE$1005,1,MATCH(COLUMNS($V$1006:AB1006),$V$1006:$AE$1006,0))&gt;=100000), " ",IF(INDEX($V$2:$AE$1001,MATCH(ROWS($O$2:O890),$O$2:$O$1001,0),MATCH(COLUMNS($V$1006:AB1006),$V$1006:$AE$1006,0)), HYPERLINK("#",""), HYPERLINK(CONCATENATE("#Metadata!", ADDRESS(INDEX($Q$2:$Q$1001,MATCH(ROWS($O$2:O890),$O$2:$O$1001,0),0), INDEX($V$1004:$AE$1004,1,MATCH(COLUMNS($V$1006:AB1006),$V$1006:$AE$1006,0)))),"Fix")))</f>
        <v>0</v>
      </c>
      <c r="I890" s="4">
        <f>IF(OR(INDEX($P$2:$P$1001,MATCH(ROWS($O$2:O890),$O$2:$O$1001,0),1)&gt;=100000,INDEX($V$1005:$AE$1005,1,MATCH(COLUMNS($V$1006:AC1006),$V$1006:$AE$1006,0))&gt;=100000), " ",IF(INDEX($V$2:$AE$1001,MATCH(ROWS($O$2:O890),$O$2:$O$1001,0),MATCH(COLUMNS($V$1006:AC1006),$V$1006:$AE$1006,0)), HYPERLINK("#",""), HYPERLINK(CONCATENATE("#Metadata!", ADDRESS(INDEX($Q$2:$Q$1001,MATCH(ROWS($O$2:O890),$O$2:$O$1001,0),0), INDEX($V$1004:$AE$1004,1,MATCH(COLUMNS($V$1006:AC1006),$V$1006:$AE$1006,0)))),"Fix")))</f>
        <v>0</v>
      </c>
      <c r="J890" s="4">
        <f>IF(OR(INDEX($P$2:$P$1001,MATCH(ROWS($O$2:O890),$O$2:$O$1001,0),1)&gt;=100000,INDEX($V$1005:$AE$1005,1,MATCH(COLUMNS($V$1006:AD1006),$V$1006:$AE$1006,0))&gt;=100000), " ",IF(INDEX($V$2:$AE$1001,MATCH(ROWS($O$2:O890),$O$2:$O$1001,0),MATCH(COLUMNS($V$1006:AD1006),$V$1006:$AE$1006,0)), HYPERLINK("#",""), HYPERLINK(CONCATENATE("#Metadata!", ADDRESS(INDEX($Q$2:$Q$1001,MATCH(ROWS($O$2:O890),$O$2:$O$1001,0),0), INDEX($V$1004:$AE$1004,1,MATCH(COLUMNS($V$1006:AD1006),$V$1006:$AE$1006,0)))),"Fix")))</f>
        <v>0</v>
      </c>
      <c r="K890" s="4">
        <f>IF(OR(INDEX($P$2:$P$1001,MATCH(ROWS($O$2:O890),$O$2:$O$1001,0),1)&gt;=100000,INDEX($V$1005:$AE$1005,1,MATCH(COLUMNS($V$1006:AE1006),$V$1006:$AE$1006,0))&gt;=100000), " ",IF(INDEX($V$2:$AE$1001,MATCH(ROWS($O$2:O890),$O$2:$O$1001,0),MATCH(COLUMNS($V$1006:AE1006),$V$1006:$AE$1006,0)), HYPERLINK("#",""), HYPERLINK(CONCATENATE("#Metadata!", ADDRESS(INDEX($Q$2:$Q$1001,MATCH(ROWS($O$2:O890),$O$2:$O$1001,0),0), INDEX($V$1004:$AE$1004,1,MATCH(COLUMNS($V$1006:AE1006),$V$1006:$AE$1006,0)))),"Fix")))</f>
        <v>0</v>
      </c>
      <c r="O890">
        <v>0</v>
      </c>
      <c r="P890">
        <v>0</v>
      </c>
      <c r="Q890">
        <v>0</v>
      </c>
      <c r="R890">
        <f>IF(S890,TRUE,AND(V890:AE890))</f>
        <v>0</v>
      </c>
      <c r="S890">
        <f>COUNTBLANK(Metadata!B890:K890)=COLUMNS(Metadata!B890:K890)</f>
        <v>0</v>
      </c>
      <c r="T890">
        <v>0</v>
      </c>
      <c r="V890">
        <f>AND(IF(Metadata!B890="",FALSE,TRUE),COUNTIF(Metadata!B:B, Metadata!B890) = 1,NOT(ISERROR(SUMPRODUCT(SEARCH(MID(Metadata!B890,ROW(INDIRECT("1:"&amp;LEN(Metadata!B890))), 1),"0123456789abcdefghijklmnopqrstuvwxyzABCDEFGHIJKLMNOPQRSTUVWXYZ.")))))</f>
        <v>0</v>
      </c>
      <c r="W890">
        <f>AND(IF(Metadata!C890="",FALSE,TRUE),exact(Metadata!C890,"urban biome"))</f>
        <v>0</v>
      </c>
      <c r="X890">
        <f>AND(IF(Metadata!D890="",FALSE,TRUE),exact(Metadata!D890,"animal-associated habitat"))</f>
        <v>0</v>
      </c>
      <c r="Y890">
        <f>OR(AND(IF(Metadata!E890="",FALSE,TRUE),OR(exact(Metadata!E890,"not applicable"),exact(Metadata!E890,"missing: not collected"),exact(Metadata!E890,"missing: not provided"),exact(Metadata!E890,"missing: restricted access"))),AND(IF(Metadata!E890="",FALSE,ISNUMBER(VALUE(Metadata!E890))),Metadata!E890&gt;0))</f>
        <v>0</v>
      </c>
      <c r="Z890">
        <f>AND(IF(Metadata!F890="",FALSE,TRUE),exact(Metadata!F890,"weeks"))</f>
        <v>0</v>
      </c>
      <c r="AA890">
        <f>AND(IF(Metadata!G890="",FALSE,TRUE),exact(Metadata!G890,"mouse"))</f>
        <v>0</v>
      </c>
      <c r="AB890">
        <f>AND(IF(Metadata!H890="",FALSE,TRUE),exact(Metadata!H890,"Mus musculus"))</f>
        <v>0</v>
      </c>
      <c r="AC890">
        <f>AND(IF(Metadata!I890="",FALSE,TRUE),exact(Metadata!I890,"10090"))</f>
        <v>0</v>
      </c>
      <c r="AD890">
        <f>OR(AND(IF(Metadata!J890="",FALSE,TRUE),OR(exact(Metadata!J890,"not applicable"),exact(Metadata!J890,"missing: not collected"),exact(Metadata!J890,"missing: not provided"),exact(Metadata!J890,"missing: restricted access"))),AND(IF(Metadata!J890="",FALSE,ISNUMBER(VALUE(Metadata!J890))),Metadata!J890&gt;0))</f>
        <v>0</v>
      </c>
      <c r="AE890">
        <f>AND(IF(Metadata!K890="",FALSE,TRUE),exact(Metadata!K890,"g"))</f>
        <v>0</v>
      </c>
    </row>
    <row r="891" spans="1:31">
      <c r="A891" s="5">
        <f>IF(B891=" "," ",HYPERLINK(CONCATENATE("#metadata!",ADDRESS(INDEX($Q$2:$Q$1001,MATCH(ROWS($O$2:O891),$O$2:$O$1001,0),0),1)),INDEX($T$2:$T$1001,MATCH(ROWS($O$2:O891),$O$2:$O$1001,0),0)))</f>
        <v>0</v>
      </c>
      <c r="B891" s="4">
        <f>IF(OR(INDEX($P$2:$P$1001,MATCH(ROWS($O$2:O891),$O$2:$O$1001,0),1)&gt;=100000,INDEX($V$1005:$AE$1005,1,MATCH(COLUMNS($V$1006:V1006),$V$1006:$AE$1006,0))&gt;=100000), " ",IF(INDEX($V$2:$AE$1001,MATCH(ROWS($O$2:O891),$O$2:$O$1001,0),MATCH(COLUMNS($V$1006:V1006),$V$1006:$AE$1006,0)), HYPERLINK("#",""), HYPERLINK(CONCATENATE("#Metadata!", ADDRESS(INDEX($Q$2:$Q$1001,MATCH(ROWS($O$2:O891),$O$2:$O$1001,0),0), INDEX($V$1004:$AE$1004,1,MATCH(COLUMNS($V$1006:V1006),$V$1006:$AE$1006,0)))),"Fix")))</f>
        <v>0</v>
      </c>
      <c r="C891" s="4">
        <f>IF(OR(INDEX($P$2:$P$1001,MATCH(ROWS($O$2:O891),$O$2:$O$1001,0),1)&gt;=100000,INDEX($V$1005:$AE$1005,1,MATCH(COLUMNS($V$1006:W1006),$V$1006:$AE$1006,0))&gt;=100000), " ",IF(INDEX($V$2:$AE$1001,MATCH(ROWS($O$2:O891),$O$2:$O$1001,0),MATCH(COLUMNS($V$1006:W1006),$V$1006:$AE$1006,0)), HYPERLINK("#",""), HYPERLINK(CONCATENATE("#Metadata!", ADDRESS(INDEX($Q$2:$Q$1001,MATCH(ROWS($O$2:O891),$O$2:$O$1001,0),0), INDEX($V$1004:$AE$1004,1,MATCH(COLUMNS($V$1006:W1006),$V$1006:$AE$1006,0)))),"Fix")))</f>
        <v>0</v>
      </c>
      <c r="D891" s="4">
        <f>IF(OR(INDEX($P$2:$P$1001,MATCH(ROWS($O$2:O891),$O$2:$O$1001,0),1)&gt;=100000,INDEX($V$1005:$AE$1005,1,MATCH(COLUMNS($V$1006:X1006),$V$1006:$AE$1006,0))&gt;=100000), " ",IF(INDEX($V$2:$AE$1001,MATCH(ROWS($O$2:O891),$O$2:$O$1001,0),MATCH(COLUMNS($V$1006:X1006),$V$1006:$AE$1006,0)), HYPERLINK("#",""), HYPERLINK(CONCATENATE("#Metadata!", ADDRESS(INDEX($Q$2:$Q$1001,MATCH(ROWS($O$2:O891),$O$2:$O$1001,0),0), INDEX($V$1004:$AE$1004,1,MATCH(COLUMNS($V$1006:X1006),$V$1006:$AE$1006,0)))),"Fix")))</f>
        <v>0</v>
      </c>
      <c r="E891" s="4">
        <f>IF(OR(INDEX($P$2:$P$1001,MATCH(ROWS($O$2:O891),$O$2:$O$1001,0),1)&gt;=100000,INDEX($V$1005:$AE$1005,1,MATCH(COLUMNS($V$1006:Y1006),$V$1006:$AE$1006,0))&gt;=100000), " ",IF(INDEX($V$2:$AE$1001,MATCH(ROWS($O$2:O891),$O$2:$O$1001,0),MATCH(COLUMNS($V$1006:Y1006),$V$1006:$AE$1006,0)), HYPERLINK("#",""), HYPERLINK(CONCATENATE("#Metadata!", ADDRESS(INDEX($Q$2:$Q$1001,MATCH(ROWS($O$2:O891),$O$2:$O$1001,0),0), INDEX($V$1004:$AE$1004,1,MATCH(COLUMNS($V$1006:Y1006),$V$1006:$AE$1006,0)))),"Fix")))</f>
        <v>0</v>
      </c>
      <c r="F891" s="4">
        <f>IF(OR(INDEX($P$2:$P$1001,MATCH(ROWS($O$2:O891),$O$2:$O$1001,0),1)&gt;=100000,INDEX($V$1005:$AE$1005,1,MATCH(COLUMNS($V$1006:Z1006),$V$1006:$AE$1006,0))&gt;=100000), " ",IF(INDEX($V$2:$AE$1001,MATCH(ROWS($O$2:O891),$O$2:$O$1001,0),MATCH(COLUMNS($V$1006:Z1006),$V$1006:$AE$1006,0)), HYPERLINK("#",""), HYPERLINK(CONCATENATE("#Metadata!", ADDRESS(INDEX($Q$2:$Q$1001,MATCH(ROWS($O$2:O891),$O$2:$O$1001,0),0), INDEX($V$1004:$AE$1004,1,MATCH(COLUMNS($V$1006:Z1006),$V$1006:$AE$1006,0)))),"Fix")))</f>
        <v>0</v>
      </c>
      <c r="G891" s="4">
        <f>IF(OR(INDEX($P$2:$P$1001,MATCH(ROWS($O$2:O891),$O$2:$O$1001,0),1)&gt;=100000,INDEX($V$1005:$AE$1005,1,MATCH(COLUMNS($V$1006:AA1006),$V$1006:$AE$1006,0))&gt;=100000), " ",IF(INDEX($V$2:$AE$1001,MATCH(ROWS($O$2:O891),$O$2:$O$1001,0),MATCH(COLUMNS($V$1006:AA1006),$V$1006:$AE$1006,0)), HYPERLINK("#",""), HYPERLINK(CONCATENATE("#Metadata!", ADDRESS(INDEX($Q$2:$Q$1001,MATCH(ROWS($O$2:O891),$O$2:$O$1001,0),0), INDEX($V$1004:$AE$1004,1,MATCH(COLUMNS($V$1006:AA1006),$V$1006:$AE$1006,0)))),"Fix")))</f>
        <v>0</v>
      </c>
      <c r="H891" s="4">
        <f>IF(OR(INDEX($P$2:$P$1001,MATCH(ROWS($O$2:O891),$O$2:$O$1001,0),1)&gt;=100000,INDEX($V$1005:$AE$1005,1,MATCH(COLUMNS($V$1006:AB1006),$V$1006:$AE$1006,0))&gt;=100000), " ",IF(INDEX($V$2:$AE$1001,MATCH(ROWS($O$2:O891),$O$2:$O$1001,0),MATCH(COLUMNS($V$1006:AB1006),$V$1006:$AE$1006,0)), HYPERLINK("#",""), HYPERLINK(CONCATENATE("#Metadata!", ADDRESS(INDEX($Q$2:$Q$1001,MATCH(ROWS($O$2:O891),$O$2:$O$1001,0),0), INDEX($V$1004:$AE$1004,1,MATCH(COLUMNS($V$1006:AB1006),$V$1006:$AE$1006,0)))),"Fix")))</f>
        <v>0</v>
      </c>
      <c r="I891" s="4">
        <f>IF(OR(INDEX($P$2:$P$1001,MATCH(ROWS($O$2:O891),$O$2:$O$1001,0),1)&gt;=100000,INDEX($V$1005:$AE$1005,1,MATCH(COLUMNS($V$1006:AC1006),$V$1006:$AE$1006,0))&gt;=100000), " ",IF(INDEX($V$2:$AE$1001,MATCH(ROWS($O$2:O891),$O$2:$O$1001,0),MATCH(COLUMNS($V$1006:AC1006),$V$1006:$AE$1006,0)), HYPERLINK("#",""), HYPERLINK(CONCATENATE("#Metadata!", ADDRESS(INDEX($Q$2:$Q$1001,MATCH(ROWS($O$2:O891),$O$2:$O$1001,0),0), INDEX($V$1004:$AE$1004,1,MATCH(COLUMNS($V$1006:AC1006),$V$1006:$AE$1006,0)))),"Fix")))</f>
        <v>0</v>
      </c>
      <c r="J891" s="4">
        <f>IF(OR(INDEX($P$2:$P$1001,MATCH(ROWS($O$2:O891),$O$2:$O$1001,0),1)&gt;=100000,INDEX($V$1005:$AE$1005,1,MATCH(COLUMNS($V$1006:AD1006),$V$1006:$AE$1006,0))&gt;=100000), " ",IF(INDEX($V$2:$AE$1001,MATCH(ROWS($O$2:O891),$O$2:$O$1001,0),MATCH(COLUMNS($V$1006:AD1006),$V$1006:$AE$1006,0)), HYPERLINK("#",""), HYPERLINK(CONCATENATE("#Metadata!", ADDRESS(INDEX($Q$2:$Q$1001,MATCH(ROWS($O$2:O891),$O$2:$O$1001,0),0), INDEX($V$1004:$AE$1004,1,MATCH(COLUMNS($V$1006:AD1006),$V$1006:$AE$1006,0)))),"Fix")))</f>
        <v>0</v>
      </c>
      <c r="K891" s="4">
        <f>IF(OR(INDEX($P$2:$P$1001,MATCH(ROWS($O$2:O891),$O$2:$O$1001,0),1)&gt;=100000,INDEX($V$1005:$AE$1005,1,MATCH(COLUMNS($V$1006:AE1006),$V$1006:$AE$1006,0))&gt;=100000), " ",IF(INDEX($V$2:$AE$1001,MATCH(ROWS($O$2:O891),$O$2:$O$1001,0),MATCH(COLUMNS($V$1006:AE1006),$V$1006:$AE$1006,0)), HYPERLINK("#",""), HYPERLINK(CONCATENATE("#Metadata!", ADDRESS(INDEX($Q$2:$Q$1001,MATCH(ROWS($O$2:O891),$O$2:$O$1001,0),0), INDEX($V$1004:$AE$1004,1,MATCH(COLUMNS($V$1006:AE1006),$V$1006:$AE$1006,0)))),"Fix")))</f>
        <v>0</v>
      </c>
      <c r="O891">
        <v>0</v>
      </c>
      <c r="P891">
        <v>0</v>
      </c>
      <c r="Q891">
        <v>0</v>
      </c>
      <c r="R891">
        <f>IF(S891,TRUE,AND(V891:AE891))</f>
        <v>0</v>
      </c>
      <c r="S891">
        <f>COUNTBLANK(Metadata!B891:K891)=COLUMNS(Metadata!B891:K891)</f>
        <v>0</v>
      </c>
      <c r="T891">
        <v>0</v>
      </c>
      <c r="V891">
        <f>AND(IF(Metadata!B891="",FALSE,TRUE),COUNTIF(Metadata!B:B, Metadata!B891) = 1,NOT(ISERROR(SUMPRODUCT(SEARCH(MID(Metadata!B891,ROW(INDIRECT("1:"&amp;LEN(Metadata!B891))), 1),"0123456789abcdefghijklmnopqrstuvwxyzABCDEFGHIJKLMNOPQRSTUVWXYZ.")))))</f>
        <v>0</v>
      </c>
      <c r="W891">
        <f>AND(IF(Metadata!C891="",FALSE,TRUE),exact(Metadata!C891,"urban biome"))</f>
        <v>0</v>
      </c>
      <c r="X891">
        <f>AND(IF(Metadata!D891="",FALSE,TRUE),exact(Metadata!D891,"animal-associated habitat"))</f>
        <v>0</v>
      </c>
      <c r="Y891">
        <f>OR(AND(IF(Metadata!E891="",FALSE,TRUE),OR(exact(Metadata!E891,"not applicable"),exact(Metadata!E891,"missing: not collected"),exact(Metadata!E891,"missing: not provided"),exact(Metadata!E891,"missing: restricted access"))),AND(IF(Metadata!E891="",FALSE,ISNUMBER(VALUE(Metadata!E891))),Metadata!E891&gt;0))</f>
        <v>0</v>
      </c>
      <c r="Z891">
        <f>AND(IF(Metadata!F891="",FALSE,TRUE),exact(Metadata!F891,"weeks"))</f>
        <v>0</v>
      </c>
      <c r="AA891">
        <f>AND(IF(Metadata!G891="",FALSE,TRUE),exact(Metadata!G891,"mouse"))</f>
        <v>0</v>
      </c>
      <c r="AB891">
        <f>AND(IF(Metadata!H891="",FALSE,TRUE),exact(Metadata!H891,"Mus musculus"))</f>
        <v>0</v>
      </c>
      <c r="AC891">
        <f>AND(IF(Metadata!I891="",FALSE,TRUE),exact(Metadata!I891,"10090"))</f>
        <v>0</v>
      </c>
      <c r="AD891">
        <f>OR(AND(IF(Metadata!J891="",FALSE,TRUE),OR(exact(Metadata!J891,"not applicable"),exact(Metadata!J891,"missing: not collected"),exact(Metadata!J891,"missing: not provided"),exact(Metadata!J891,"missing: restricted access"))),AND(IF(Metadata!J891="",FALSE,ISNUMBER(VALUE(Metadata!J891))),Metadata!J891&gt;0))</f>
        <v>0</v>
      </c>
      <c r="AE891">
        <f>AND(IF(Metadata!K891="",FALSE,TRUE),exact(Metadata!K891,"g"))</f>
        <v>0</v>
      </c>
    </row>
    <row r="892" spans="1:31">
      <c r="A892" s="5">
        <f>IF(B892=" "," ",HYPERLINK(CONCATENATE("#metadata!",ADDRESS(INDEX($Q$2:$Q$1001,MATCH(ROWS($O$2:O892),$O$2:$O$1001,0),0),1)),INDEX($T$2:$T$1001,MATCH(ROWS($O$2:O892),$O$2:$O$1001,0),0)))</f>
        <v>0</v>
      </c>
      <c r="B892" s="4">
        <f>IF(OR(INDEX($P$2:$P$1001,MATCH(ROWS($O$2:O892),$O$2:$O$1001,0),1)&gt;=100000,INDEX($V$1005:$AE$1005,1,MATCH(COLUMNS($V$1006:V1006),$V$1006:$AE$1006,0))&gt;=100000), " ",IF(INDEX($V$2:$AE$1001,MATCH(ROWS($O$2:O892),$O$2:$O$1001,0),MATCH(COLUMNS($V$1006:V1006),$V$1006:$AE$1006,0)), HYPERLINK("#",""), HYPERLINK(CONCATENATE("#Metadata!", ADDRESS(INDEX($Q$2:$Q$1001,MATCH(ROWS($O$2:O892),$O$2:$O$1001,0),0), INDEX($V$1004:$AE$1004,1,MATCH(COLUMNS($V$1006:V1006),$V$1006:$AE$1006,0)))),"Fix")))</f>
        <v>0</v>
      </c>
      <c r="C892" s="4">
        <f>IF(OR(INDEX($P$2:$P$1001,MATCH(ROWS($O$2:O892),$O$2:$O$1001,0),1)&gt;=100000,INDEX($V$1005:$AE$1005,1,MATCH(COLUMNS($V$1006:W1006),$V$1006:$AE$1006,0))&gt;=100000), " ",IF(INDEX($V$2:$AE$1001,MATCH(ROWS($O$2:O892),$O$2:$O$1001,0),MATCH(COLUMNS($V$1006:W1006),$V$1006:$AE$1006,0)), HYPERLINK("#",""), HYPERLINK(CONCATENATE("#Metadata!", ADDRESS(INDEX($Q$2:$Q$1001,MATCH(ROWS($O$2:O892),$O$2:$O$1001,0),0), INDEX($V$1004:$AE$1004,1,MATCH(COLUMNS($V$1006:W1006),$V$1006:$AE$1006,0)))),"Fix")))</f>
        <v>0</v>
      </c>
      <c r="D892" s="4">
        <f>IF(OR(INDEX($P$2:$P$1001,MATCH(ROWS($O$2:O892),$O$2:$O$1001,0),1)&gt;=100000,INDEX($V$1005:$AE$1005,1,MATCH(COLUMNS($V$1006:X1006),$V$1006:$AE$1006,0))&gt;=100000), " ",IF(INDEX($V$2:$AE$1001,MATCH(ROWS($O$2:O892),$O$2:$O$1001,0),MATCH(COLUMNS($V$1006:X1006),$V$1006:$AE$1006,0)), HYPERLINK("#",""), HYPERLINK(CONCATENATE("#Metadata!", ADDRESS(INDEX($Q$2:$Q$1001,MATCH(ROWS($O$2:O892),$O$2:$O$1001,0),0), INDEX($V$1004:$AE$1004,1,MATCH(COLUMNS($V$1006:X1006),$V$1006:$AE$1006,0)))),"Fix")))</f>
        <v>0</v>
      </c>
      <c r="E892" s="4">
        <f>IF(OR(INDEX($P$2:$P$1001,MATCH(ROWS($O$2:O892),$O$2:$O$1001,0),1)&gt;=100000,INDEX($V$1005:$AE$1005,1,MATCH(COLUMNS($V$1006:Y1006),$V$1006:$AE$1006,0))&gt;=100000), " ",IF(INDEX($V$2:$AE$1001,MATCH(ROWS($O$2:O892),$O$2:$O$1001,0),MATCH(COLUMNS($V$1006:Y1006),$V$1006:$AE$1006,0)), HYPERLINK("#",""), HYPERLINK(CONCATENATE("#Metadata!", ADDRESS(INDEX($Q$2:$Q$1001,MATCH(ROWS($O$2:O892),$O$2:$O$1001,0),0), INDEX($V$1004:$AE$1004,1,MATCH(COLUMNS($V$1006:Y1006),$V$1006:$AE$1006,0)))),"Fix")))</f>
        <v>0</v>
      </c>
      <c r="F892" s="4">
        <f>IF(OR(INDEX($P$2:$P$1001,MATCH(ROWS($O$2:O892),$O$2:$O$1001,0),1)&gt;=100000,INDEX($V$1005:$AE$1005,1,MATCH(COLUMNS($V$1006:Z1006),$V$1006:$AE$1006,0))&gt;=100000), " ",IF(INDEX($V$2:$AE$1001,MATCH(ROWS($O$2:O892),$O$2:$O$1001,0),MATCH(COLUMNS($V$1006:Z1006),$V$1006:$AE$1006,0)), HYPERLINK("#",""), HYPERLINK(CONCATENATE("#Metadata!", ADDRESS(INDEX($Q$2:$Q$1001,MATCH(ROWS($O$2:O892),$O$2:$O$1001,0),0), INDEX($V$1004:$AE$1004,1,MATCH(COLUMNS($V$1006:Z1006),$V$1006:$AE$1006,0)))),"Fix")))</f>
        <v>0</v>
      </c>
      <c r="G892" s="4">
        <f>IF(OR(INDEX($P$2:$P$1001,MATCH(ROWS($O$2:O892),$O$2:$O$1001,0),1)&gt;=100000,INDEX($V$1005:$AE$1005,1,MATCH(COLUMNS($V$1006:AA1006),$V$1006:$AE$1006,0))&gt;=100000), " ",IF(INDEX($V$2:$AE$1001,MATCH(ROWS($O$2:O892),$O$2:$O$1001,0),MATCH(COLUMNS($V$1006:AA1006),$V$1006:$AE$1006,0)), HYPERLINK("#",""), HYPERLINK(CONCATENATE("#Metadata!", ADDRESS(INDEX($Q$2:$Q$1001,MATCH(ROWS($O$2:O892),$O$2:$O$1001,0),0), INDEX($V$1004:$AE$1004,1,MATCH(COLUMNS($V$1006:AA1006),$V$1006:$AE$1006,0)))),"Fix")))</f>
        <v>0</v>
      </c>
      <c r="H892" s="4">
        <f>IF(OR(INDEX($P$2:$P$1001,MATCH(ROWS($O$2:O892),$O$2:$O$1001,0),1)&gt;=100000,INDEX($V$1005:$AE$1005,1,MATCH(COLUMNS($V$1006:AB1006),$V$1006:$AE$1006,0))&gt;=100000), " ",IF(INDEX($V$2:$AE$1001,MATCH(ROWS($O$2:O892),$O$2:$O$1001,0),MATCH(COLUMNS($V$1006:AB1006),$V$1006:$AE$1006,0)), HYPERLINK("#",""), HYPERLINK(CONCATENATE("#Metadata!", ADDRESS(INDEX($Q$2:$Q$1001,MATCH(ROWS($O$2:O892),$O$2:$O$1001,0),0), INDEX($V$1004:$AE$1004,1,MATCH(COLUMNS($V$1006:AB1006),$V$1006:$AE$1006,0)))),"Fix")))</f>
        <v>0</v>
      </c>
      <c r="I892" s="4">
        <f>IF(OR(INDEX($P$2:$P$1001,MATCH(ROWS($O$2:O892),$O$2:$O$1001,0),1)&gt;=100000,INDEX($V$1005:$AE$1005,1,MATCH(COLUMNS($V$1006:AC1006),$V$1006:$AE$1006,0))&gt;=100000), " ",IF(INDEX($V$2:$AE$1001,MATCH(ROWS($O$2:O892),$O$2:$O$1001,0),MATCH(COLUMNS($V$1006:AC1006),$V$1006:$AE$1006,0)), HYPERLINK("#",""), HYPERLINK(CONCATENATE("#Metadata!", ADDRESS(INDEX($Q$2:$Q$1001,MATCH(ROWS($O$2:O892),$O$2:$O$1001,0),0), INDEX($V$1004:$AE$1004,1,MATCH(COLUMNS($V$1006:AC1006),$V$1006:$AE$1006,0)))),"Fix")))</f>
        <v>0</v>
      </c>
      <c r="J892" s="4">
        <f>IF(OR(INDEX($P$2:$P$1001,MATCH(ROWS($O$2:O892),$O$2:$O$1001,0),1)&gt;=100000,INDEX($V$1005:$AE$1005,1,MATCH(COLUMNS($V$1006:AD1006),$V$1006:$AE$1006,0))&gt;=100000), " ",IF(INDEX($V$2:$AE$1001,MATCH(ROWS($O$2:O892),$O$2:$O$1001,0),MATCH(COLUMNS($V$1006:AD1006),$V$1006:$AE$1006,0)), HYPERLINK("#",""), HYPERLINK(CONCATENATE("#Metadata!", ADDRESS(INDEX($Q$2:$Q$1001,MATCH(ROWS($O$2:O892),$O$2:$O$1001,0),0), INDEX($V$1004:$AE$1004,1,MATCH(COLUMNS($V$1006:AD1006),$V$1006:$AE$1006,0)))),"Fix")))</f>
        <v>0</v>
      </c>
      <c r="K892" s="4">
        <f>IF(OR(INDEX($P$2:$P$1001,MATCH(ROWS($O$2:O892),$O$2:$O$1001,0),1)&gt;=100000,INDEX($V$1005:$AE$1005,1,MATCH(COLUMNS($V$1006:AE1006),$V$1006:$AE$1006,0))&gt;=100000), " ",IF(INDEX($V$2:$AE$1001,MATCH(ROWS($O$2:O892),$O$2:$O$1001,0),MATCH(COLUMNS($V$1006:AE1006),$V$1006:$AE$1006,0)), HYPERLINK("#",""), HYPERLINK(CONCATENATE("#Metadata!", ADDRESS(INDEX($Q$2:$Q$1001,MATCH(ROWS($O$2:O892),$O$2:$O$1001,0),0), INDEX($V$1004:$AE$1004,1,MATCH(COLUMNS($V$1006:AE1006),$V$1006:$AE$1006,0)))),"Fix")))</f>
        <v>0</v>
      </c>
      <c r="O892">
        <v>0</v>
      </c>
      <c r="P892">
        <v>0</v>
      </c>
      <c r="Q892">
        <v>0</v>
      </c>
      <c r="R892">
        <f>IF(S892,TRUE,AND(V892:AE892))</f>
        <v>0</v>
      </c>
      <c r="S892">
        <f>COUNTBLANK(Metadata!B892:K892)=COLUMNS(Metadata!B892:K892)</f>
        <v>0</v>
      </c>
      <c r="T892">
        <v>0</v>
      </c>
      <c r="V892">
        <f>AND(IF(Metadata!B892="",FALSE,TRUE),COUNTIF(Metadata!B:B, Metadata!B892) = 1,NOT(ISERROR(SUMPRODUCT(SEARCH(MID(Metadata!B892,ROW(INDIRECT("1:"&amp;LEN(Metadata!B892))), 1),"0123456789abcdefghijklmnopqrstuvwxyzABCDEFGHIJKLMNOPQRSTUVWXYZ.")))))</f>
        <v>0</v>
      </c>
      <c r="W892">
        <f>AND(IF(Metadata!C892="",FALSE,TRUE),exact(Metadata!C892,"urban biome"))</f>
        <v>0</v>
      </c>
      <c r="X892">
        <f>AND(IF(Metadata!D892="",FALSE,TRUE),exact(Metadata!D892,"animal-associated habitat"))</f>
        <v>0</v>
      </c>
      <c r="Y892">
        <f>OR(AND(IF(Metadata!E892="",FALSE,TRUE),OR(exact(Metadata!E892,"not applicable"),exact(Metadata!E892,"missing: not collected"),exact(Metadata!E892,"missing: not provided"),exact(Metadata!E892,"missing: restricted access"))),AND(IF(Metadata!E892="",FALSE,ISNUMBER(VALUE(Metadata!E892))),Metadata!E892&gt;0))</f>
        <v>0</v>
      </c>
      <c r="Z892">
        <f>AND(IF(Metadata!F892="",FALSE,TRUE),exact(Metadata!F892,"weeks"))</f>
        <v>0</v>
      </c>
      <c r="AA892">
        <f>AND(IF(Metadata!G892="",FALSE,TRUE),exact(Metadata!G892,"mouse"))</f>
        <v>0</v>
      </c>
      <c r="AB892">
        <f>AND(IF(Metadata!H892="",FALSE,TRUE),exact(Metadata!H892,"Mus musculus"))</f>
        <v>0</v>
      </c>
      <c r="AC892">
        <f>AND(IF(Metadata!I892="",FALSE,TRUE),exact(Metadata!I892,"10090"))</f>
        <v>0</v>
      </c>
      <c r="AD892">
        <f>OR(AND(IF(Metadata!J892="",FALSE,TRUE),OR(exact(Metadata!J892,"not applicable"),exact(Metadata!J892,"missing: not collected"),exact(Metadata!J892,"missing: not provided"),exact(Metadata!J892,"missing: restricted access"))),AND(IF(Metadata!J892="",FALSE,ISNUMBER(VALUE(Metadata!J892))),Metadata!J892&gt;0))</f>
        <v>0</v>
      </c>
      <c r="AE892">
        <f>AND(IF(Metadata!K892="",FALSE,TRUE),exact(Metadata!K892,"g"))</f>
        <v>0</v>
      </c>
    </row>
    <row r="893" spans="1:31">
      <c r="A893" s="5">
        <f>IF(B893=" "," ",HYPERLINK(CONCATENATE("#metadata!",ADDRESS(INDEX($Q$2:$Q$1001,MATCH(ROWS($O$2:O893),$O$2:$O$1001,0),0),1)),INDEX($T$2:$T$1001,MATCH(ROWS($O$2:O893),$O$2:$O$1001,0),0)))</f>
        <v>0</v>
      </c>
      <c r="B893" s="4">
        <f>IF(OR(INDEX($P$2:$P$1001,MATCH(ROWS($O$2:O893),$O$2:$O$1001,0),1)&gt;=100000,INDEX($V$1005:$AE$1005,1,MATCH(COLUMNS($V$1006:V1006),$V$1006:$AE$1006,0))&gt;=100000), " ",IF(INDEX($V$2:$AE$1001,MATCH(ROWS($O$2:O893),$O$2:$O$1001,0),MATCH(COLUMNS($V$1006:V1006),$V$1006:$AE$1006,0)), HYPERLINK("#",""), HYPERLINK(CONCATENATE("#Metadata!", ADDRESS(INDEX($Q$2:$Q$1001,MATCH(ROWS($O$2:O893),$O$2:$O$1001,0),0), INDEX($V$1004:$AE$1004,1,MATCH(COLUMNS($V$1006:V1006),$V$1006:$AE$1006,0)))),"Fix")))</f>
        <v>0</v>
      </c>
      <c r="C893" s="4">
        <f>IF(OR(INDEX($P$2:$P$1001,MATCH(ROWS($O$2:O893),$O$2:$O$1001,0),1)&gt;=100000,INDEX($V$1005:$AE$1005,1,MATCH(COLUMNS($V$1006:W1006),$V$1006:$AE$1006,0))&gt;=100000), " ",IF(INDEX($V$2:$AE$1001,MATCH(ROWS($O$2:O893),$O$2:$O$1001,0),MATCH(COLUMNS($V$1006:W1006),$V$1006:$AE$1006,0)), HYPERLINK("#",""), HYPERLINK(CONCATENATE("#Metadata!", ADDRESS(INDEX($Q$2:$Q$1001,MATCH(ROWS($O$2:O893),$O$2:$O$1001,0),0), INDEX($V$1004:$AE$1004,1,MATCH(COLUMNS($V$1006:W1006),$V$1006:$AE$1006,0)))),"Fix")))</f>
        <v>0</v>
      </c>
      <c r="D893" s="4">
        <f>IF(OR(INDEX($P$2:$P$1001,MATCH(ROWS($O$2:O893),$O$2:$O$1001,0),1)&gt;=100000,INDEX($V$1005:$AE$1005,1,MATCH(COLUMNS($V$1006:X1006),$V$1006:$AE$1006,0))&gt;=100000), " ",IF(INDEX($V$2:$AE$1001,MATCH(ROWS($O$2:O893),$O$2:$O$1001,0),MATCH(COLUMNS($V$1006:X1006),$V$1006:$AE$1006,0)), HYPERLINK("#",""), HYPERLINK(CONCATENATE("#Metadata!", ADDRESS(INDEX($Q$2:$Q$1001,MATCH(ROWS($O$2:O893),$O$2:$O$1001,0),0), INDEX($V$1004:$AE$1004,1,MATCH(COLUMNS($V$1006:X1006),$V$1006:$AE$1006,0)))),"Fix")))</f>
        <v>0</v>
      </c>
      <c r="E893" s="4">
        <f>IF(OR(INDEX($P$2:$P$1001,MATCH(ROWS($O$2:O893),$O$2:$O$1001,0),1)&gt;=100000,INDEX($V$1005:$AE$1005,1,MATCH(COLUMNS($V$1006:Y1006),$V$1006:$AE$1006,0))&gt;=100000), " ",IF(INDEX($V$2:$AE$1001,MATCH(ROWS($O$2:O893),$O$2:$O$1001,0),MATCH(COLUMNS($V$1006:Y1006),$V$1006:$AE$1006,0)), HYPERLINK("#",""), HYPERLINK(CONCATENATE("#Metadata!", ADDRESS(INDEX($Q$2:$Q$1001,MATCH(ROWS($O$2:O893),$O$2:$O$1001,0),0), INDEX($V$1004:$AE$1004,1,MATCH(COLUMNS($V$1006:Y1006),$V$1006:$AE$1006,0)))),"Fix")))</f>
        <v>0</v>
      </c>
      <c r="F893" s="4">
        <f>IF(OR(INDEX($P$2:$P$1001,MATCH(ROWS($O$2:O893),$O$2:$O$1001,0),1)&gt;=100000,INDEX($V$1005:$AE$1005,1,MATCH(COLUMNS($V$1006:Z1006),$V$1006:$AE$1006,0))&gt;=100000), " ",IF(INDEX($V$2:$AE$1001,MATCH(ROWS($O$2:O893),$O$2:$O$1001,0),MATCH(COLUMNS($V$1006:Z1006),$V$1006:$AE$1006,0)), HYPERLINK("#",""), HYPERLINK(CONCATENATE("#Metadata!", ADDRESS(INDEX($Q$2:$Q$1001,MATCH(ROWS($O$2:O893),$O$2:$O$1001,0),0), INDEX($V$1004:$AE$1004,1,MATCH(COLUMNS($V$1006:Z1006),$V$1006:$AE$1006,0)))),"Fix")))</f>
        <v>0</v>
      </c>
      <c r="G893" s="4">
        <f>IF(OR(INDEX($P$2:$P$1001,MATCH(ROWS($O$2:O893),$O$2:$O$1001,0),1)&gt;=100000,INDEX($V$1005:$AE$1005,1,MATCH(COLUMNS($V$1006:AA1006),$V$1006:$AE$1006,0))&gt;=100000), " ",IF(INDEX($V$2:$AE$1001,MATCH(ROWS($O$2:O893),$O$2:$O$1001,0),MATCH(COLUMNS($V$1006:AA1006),$V$1006:$AE$1006,0)), HYPERLINK("#",""), HYPERLINK(CONCATENATE("#Metadata!", ADDRESS(INDEX($Q$2:$Q$1001,MATCH(ROWS($O$2:O893),$O$2:$O$1001,0),0), INDEX($V$1004:$AE$1004,1,MATCH(COLUMNS($V$1006:AA1006),$V$1006:$AE$1006,0)))),"Fix")))</f>
        <v>0</v>
      </c>
      <c r="H893" s="4">
        <f>IF(OR(INDEX($P$2:$P$1001,MATCH(ROWS($O$2:O893),$O$2:$O$1001,0),1)&gt;=100000,INDEX($V$1005:$AE$1005,1,MATCH(COLUMNS($V$1006:AB1006),$V$1006:$AE$1006,0))&gt;=100000), " ",IF(INDEX($V$2:$AE$1001,MATCH(ROWS($O$2:O893),$O$2:$O$1001,0),MATCH(COLUMNS($V$1006:AB1006),$V$1006:$AE$1006,0)), HYPERLINK("#",""), HYPERLINK(CONCATENATE("#Metadata!", ADDRESS(INDEX($Q$2:$Q$1001,MATCH(ROWS($O$2:O893),$O$2:$O$1001,0),0), INDEX($V$1004:$AE$1004,1,MATCH(COLUMNS($V$1006:AB1006),$V$1006:$AE$1006,0)))),"Fix")))</f>
        <v>0</v>
      </c>
      <c r="I893" s="4">
        <f>IF(OR(INDEX($P$2:$P$1001,MATCH(ROWS($O$2:O893),$O$2:$O$1001,0),1)&gt;=100000,INDEX($V$1005:$AE$1005,1,MATCH(COLUMNS($V$1006:AC1006),$V$1006:$AE$1006,0))&gt;=100000), " ",IF(INDEX($V$2:$AE$1001,MATCH(ROWS($O$2:O893),$O$2:$O$1001,0),MATCH(COLUMNS($V$1006:AC1006),$V$1006:$AE$1006,0)), HYPERLINK("#",""), HYPERLINK(CONCATENATE("#Metadata!", ADDRESS(INDEX($Q$2:$Q$1001,MATCH(ROWS($O$2:O893),$O$2:$O$1001,0),0), INDEX($V$1004:$AE$1004,1,MATCH(COLUMNS($V$1006:AC1006),$V$1006:$AE$1006,0)))),"Fix")))</f>
        <v>0</v>
      </c>
      <c r="J893" s="4">
        <f>IF(OR(INDEX($P$2:$P$1001,MATCH(ROWS($O$2:O893),$O$2:$O$1001,0),1)&gt;=100000,INDEX($V$1005:$AE$1005,1,MATCH(COLUMNS($V$1006:AD1006),$V$1006:$AE$1006,0))&gt;=100000), " ",IF(INDEX($V$2:$AE$1001,MATCH(ROWS($O$2:O893),$O$2:$O$1001,0),MATCH(COLUMNS($V$1006:AD1006),$V$1006:$AE$1006,0)), HYPERLINK("#",""), HYPERLINK(CONCATENATE("#Metadata!", ADDRESS(INDEX($Q$2:$Q$1001,MATCH(ROWS($O$2:O893),$O$2:$O$1001,0),0), INDEX($V$1004:$AE$1004,1,MATCH(COLUMNS($V$1006:AD1006),$V$1006:$AE$1006,0)))),"Fix")))</f>
        <v>0</v>
      </c>
      <c r="K893" s="4">
        <f>IF(OR(INDEX($P$2:$P$1001,MATCH(ROWS($O$2:O893),$O$2:$O$1001,0),1)&gt;=100000,INDEX($V$1005:$AE$1005,1,MATCH(COLUMNS($V$1006:AE1006),$V$1006:$AE$1006,0))&gt;=100000), " ",IF(INDEX($V$2:$AE$1001,MATCH(ROWS($O$2:O893),$O$2:$O$1001,0),MATCH(COLUMNS($V$1006:AE1006),$V$1006:$AE$1006,0)), HYPERLINK("#",""), HYPERLINK(CONCATENATE("#Metadata!", ADDRESS(INDEX($Q$2:$Q$1001,MATCH(ROWS($O$2:O893),$O$2:$O$1001,0),0), INDEX($V$1004:$AE$1004,1,MATCH(COLUMNS($V$1006:AE1006),$V$1006:$AE$1006,0)))),"Fix")))</f>
        <v>0</v>
      </c>
      <c r="O893">
        <v>0</v>
      </c>
      <c r="P893">
        <v>0</v>
      </c>
      <c r="Q893">
        <v>0</v>
      </c>
      <c r="R893">
        <f>IF(S893,TRUE,AND(V893:AE893))</f>
        <v>0</v>
      </c>
      <c r="S893">
        <f>COUNTBLANK(Metadata!B893:K893)=COLUMNS(Metadata!B893:K893)</f>
        <v>0</v>
      </c>
      <c r="T893">
        <v>0</v>
      </c>
      <c r="V893">
        <f>AND(IF(Metadata!B893="",FALSE,TRUE),COUNTIF(Metadata!B:B, Metadata!B893) = 1,NOT(ISERROR(SUMPRODUCT(SEARCH(MID(Metadata!B893,ROW(INDIRECT("1:"&amp;LEN(Metadata!B893))), 1),"0123456789abcdefghijklmnopqrstuvwxyzABCDEFGHIJKLMNOPQRSTUVWXYZ.")))))</f>
        <v>0</v>
      </c>
      <c r="W893">
        <f>AND(IF(Metadata!C893="",FALSE,TRUE),exact(Metadata!C893,"urban biome"))</f>
        <v>0</v>
      </c>
      <c r="X893">
        <f>AND(IF(Metadata!D893="",FALSE,TRUE),exact(Metadata!D893,"animal-associated habitat"))</f>
        <v>0</v>
      </c>
      <c r="Y893">
        <f>OR(AND(IF(Metadata!E893="",FALSE,TRUE),OR(exact(Metadata!E893,"not applicable"),exact(Metadata!E893,"missing: not collected"),exact(Metadata!E893,"missing: not provided"),exact(Metadata!E893,"missing: restricted access"))),AND(IF(Metadata!E893="",FALSE,ISNUMBER(VALUE(Metadata!E893))),Metadata!E893&gt;0))</f>
        <v>0</v>
      </c>
      <c r="Z893">
        <f>AND(IF(Metadata!F893="",FALSE,TRUE),exact(Metadata!F893,"weeks"))</f>
        <v>0</v>
      </c>
      <c r="AA893">
        <f>AND(IF(Metadata!G893="",FALSE,TRUE),exact(Metadata!G893,"mouse"))</f>
        <v>0</v>
      </c>
      <c r="AB893">
        <f>AND(IF(Metadata!H893="",FALSE,TRUE),exact(Metadata!H893,"Mus musculus"))</f>
        <v>0</v>
      </c>
      <c r="AC893">
        <f>AND(IF(Metadata!I893="",FALSE,TRUE),exact(Metadata!I893,"10090"))</f>
        <v>0</v>
      </c>
      <c r="AD893">
        <f>OR(AND(IF(Metadata!J893="",FALSE,TRUE),OR(exact(Metadata!J893,"not applicable"),exact(Metadata!J893,"missing: not collected"),exact(Metadata!J893,"missing: not provided"),exact(Metadata!J893,"missing: restricted access"))),AND(IF(Metadata!J893="",FALSE,ISNUMBER(VALUE(Metadata!J893))),Metadata!J893&gt;0))</f>
        <v>0</v>
      </c>
      <c r="AE893">
        <f>AND(IF(Metadata!K893="",FALSE,TRUE),exact(Metadata!K893,"g"))</f>
        <v>0</v>
      </c>
    </row>
    <row r="894" spans="1:31">
      <c r="A894" s="5">
        <f>IF(B894=" "," ",HYPERLINK(CONCATENATE("#metadata!",ADDRESS(INDEX($Q$2:$Q$1001,MATCH(ROWS($O$2:O894),$O$2:$O$1001,0),0),1)),INDEX($T$2:$T$1001,MATCH(ROWS($O$2:O894),$O$2:$O$1001,0),0)))</f>
        <v>0</v>
      </c>
      <c r="B894" s="4">
        <f>IF(OR(INDEX($P$2:$P$1001,MATCH(ROWS($O$2:O894),$O$2:$O$1001,0),1)&gt;=100000,INDEX($V$1005:$AE$1005,1,MATCH(COLUMNS($V$1006:V1006),$V$1006:$AE$1006,0))&gt;=100000), " ",IF(INDEX($V$2:$AE$1001,MATCH(ROWS($O$2:O894),$O$2:$O$1001,0),MATCH(COLUMNS($V$1006:V1006),$V$1006:$AE$1006,0)), HYPERLINK("#",""), HYPERLINK(CONCATENATE("#Metadata!", ADDRESS(INDEX($Q$2:$Q$1001,MATCH(ROWS($O$2:O894),$O$2:$O$1001,0),0), INDEX($V$1004:$AE$1004,1,MATCH(COLUMNS($V$1006:V1006),$V$1006:$AE$1006,0)))),"Fix")))</f>
        <v>0</v>
      </c>
      <c r="C894" s="4">
        <f>IF(OR(INDEX($P$2:$P$1001,MATCH(ROWS($O$2:O894),$O$2:$O$1001,0),1)&gt;=100000,INDEX($V$1005:$AE$1005,1,MATCH(COLUMNS($V$1006:W1006),$V$1006:$AE$1006,0))&gt;=100000), " ",IF(INDEX($V$2:$AE$1001,MATCH(ROWS($O$2:O894),$O$2:$O$1001,0),MATCH(COLUMNS($V$1006:W1006),$V$1006:$AE$1006,0)), HYPERLINK("#",""), HYPERLINK(CONCATENATE("#Metadata!", ADDRESS(INDEX($Q$2:$Q$1001,MATCH(ROWS($O$2:O894),$O$2:$O$1001,0),0), INDEX($V$1004:$AE$1004,1,MATCH(COLUMNS($V$1006:W1006),$V$1006:$AE$1006,0)))),"Fix")))</f>
        <v>0</v>
      </c>
      <c r="D894" s="4">
        <f>IF(OR(INDEX($P$2:$P$1001,MATCH(ROWS($O$2:O894),$O$2:$O$1001,0),1)&gt;=100000,INDEX($V$1005:$AE$1005,1,MATCH(COLUMNS($V$1006:X1006),$V$1006:$AE$1006,0))&gt;=100000), " ",IF(INDEX($V$2:$AE$1001,MATCH(ROWS($O$2:O894),$O$2:$O$1001,0),MATCH(COLUMNS($V$1006:X1006),$V$1006:$AE$1006,0)), HYPERLINK("#",""), HYPERLINK(CONCATENATE("#Metadata!", ADDRESS(INDEX($Q$2:$Q$1001,MATCH(ROWS($O$2:O894),$O$2:$O$1001,0),0), INDEX($V$1004:$AE$1004,1,MATCH(COLUMNS($V$1006:X1006),$V$1006:$AE$1006,0)))),"Fix")))</f>
        <v>0</v>
      </c>
      <c r="E894" s="4">
        <f>IF(OR(INDEX($P$2:$P$1001,MATCH(ROWS($O$2:O894),$O$2:$O$1001,0),1)&gt;=100000,INDEX($V$1005:$AE$1005,1,MATCH(COLUMNS($V$1006:Y1006),$V$1006:$AE$1006,0))&gt;=100000), " ",IF(INDEX($V$2:$AE$1001,MATCH(ROWS($O$2:O894),$O$2:$O$1001,0),MATCH(COLUMNS($V$1006:Y1006),$V$1006:$AE$1006,0)), HYPERLINK("#",""), HYPERLINK(CONCATENATE("#Metadata!", ADDRESS(INDEX($Q$2:$Q$1001,MATCH(ROWS($O$2:O894),$O$2:$O$1001,0),0), INDEX($V$1004:$AE$1004,1,MATCH(COLUMNS($V$1006:Y1006),$V$1006:$AE$1006,0)))),"Fix")))</f>
        <v>0</v>
      </c>
      <c r="F894" s="4">
        <f>IF(OR(INDEX($P$2:$P$1001,MATCH(ROWS($O$2:O894),$O$2:$O$1001,0),1)&gt;=100000,INDEX($V$1005:$AE$1005,1,MATCH(COLUMNS($V$1006:Z1006),$V$1006:$AE$1006,0))&gt;=100000), " ",IF(INDEX($V$2:$AE$1001,MATCH(ROWS($O$2:O894),$O$2:$O$1001,0),MATCH(COLUMNS($V$1006:Z1006),$V$1006:$AE$1006,0)), HYPERLINK("#",""), HYPERLINK(CONCATENATE("#Metadata!", ADDRESS(INDEX($Q$2:$Q$1001,MATCH(ROWS($O$2:O894),$O$2:$O$1001,0),0), INDEX($V$1004:$AE$1004,1,MATCH(COLUMNS($V$1006:Z1006),$V$1006:$AE$1006,0)))),"Fix")))</f>
        <v>0</v>
      </c>
      <c r="G894" s="4">
        <f>IF(OR(INDEX($P$2:$P$1001,MATCH(ROWS($O$2:O894),$O$2:$O$1001,0),1)&gt;=100000,INDEX($V$1005:$AE$1005,1,MATCH(COLUMNS($V$1006:AA1006),$V$1006:$AE$1006,0))&gt;=100000), " ",IF(INDEX($V$2:$AE$1001,MATCH(ROWS($O$2:O894),$O$2:$O$1001,0),MATCH(COLUMNS($V$1006:AA1006),$V$1006:$AE$1006,0)), HYPERLINK("#",""), HYPERLINK(CONCATENATE("#Metadata!", ADDRESS(INDEX($Q$2:$Q$1001,MATCH(ROWS($O$2:O894),$O$2:$O$1001,0),0), INDEX($V$1004:$AE$1004,1,MATCH(COLUMNS($V$1006:AA1006),$V$1006:$AE$1006,0)))),"Fix")))</f>
        <v>0</v>
      </c>
      <c r="H894" s="4">
        <f>IF(OR(INDEX($P$2:$P$1001,MATCH(ROWS($O$2:O894),$O$2:$O$1001,0),1)&gt;=100000,INDEX($V$1005:$AE$1005,1,MATCH(COLUMNS($V$1006:AB1006),$V$1006:$AE$1006,0))&gt;=100000), " ",IF(INDEX($V$2:$AE$1001,MATCH(ROWS($O$2:O894),$O$2:$O$1001,0),MATCH(COLUMNS($V$1006:AB1006),$V$1006:$AE$1006,0)), HYPERLINK("#",""), HYPERLINK(CONCATENATE("#Metadata!", ADDRESS(INDEX($Q$2:$Q$1001,MATCH(ROWS($O$2:O894),$O$2:$O$1001,0),0), INDEX($V$1004:$AE$1004,1,MATCH(COLUMNS($V$1006:AB1006),$V$1006:$AE$1006,0)))),"Fix")))</f>
        <v>0</v>
      </c>
      <c r="I894" s="4">
        <f>IF(OR(INDEX($P$2:$P$1001,MATCH(ROWS($O$2:O894),$O$2:$O$1001,0),1)&gt;=100000,INDEX($V$1005:$AE$1005,1,MATCH(COLUMNS($V$1006:AC1006),$V$1006:$AE$1006,0))&gt;=100000), " ",IF(INDEX($V$2:$AE$1001,MATCH(ROWS($O$2:O894),$O$2:$O$1001,0),MATCH(COLUMNS($V$1006:AC1006),$V$1006:$AE$1006,0)), HYPERLINK("#",""), HYPERLINK(CONCATENATE("#Metadata!", ADDRESS(INDEX($Q$2:$Q$1001,MATCH(ROWS($O$2:O894),$O$2:$O$1001,0),0), INDEX($V$1004:$AE$1004,1,MATCH(COLUMNS($V$1006:AC1006),$V$1006:$AE$1006,0)))),"Fix")))</f>
        <v>0</v>
      </c>
      <c r="J894" s="4">
        <f>IF(OR(INDEX($P$2:$P$1001,MATCH(ROWS($O$2:O894),$O$2:$O$1001,0),1)&gt;=100000,INDEX($V$1005:$AE$1005,1,MATCH(COLUMNS($V$1006:AD1006),$V$1006:$AE$1006,0))&gt;=100000), " ",IF(INDEX($V$2:$AE$1001,MATCH(ROWS($O$2:O894),$O$2:$O$1001,0),MATCH(COLUMNS($V$1006:AD1006),$V$1006:$AE$1006,0)), HYPERLINK("#",""), HYPERLINK(CONCATENATE("#Metadata!", ADDRESS(INDEX($Q$2:$Q$1001,MATCH(ROWS($O$2:O894),$O$2:$O$1001,0),0), INDEX($V$1004:$AE$1004,1,MATCH(COLUMNS($V$1006:AD1006),$V$1006:$AE$1006,0)))),"Fix")))</f>
        <v>0</v>
      </c>
      <c r="K894" s="4">
        <f>IF(OR(INDEX($P$2:$P$1001,MATCH(ROWS($O$2:O894),$O$2:$O$1001,0),1)&gt;=100000,INDEX($V$1005:$AE$1005,1,MATCH(COLUMNS($V$1006:AE1006),$V$1006:$AE$1006,0))&gt;=100000), " ",IF(INDEX($V$2:$AE$1001,MATCH(ROWS($O$2:O894),$O$2:$O$1001,0),MATCH(COLUMNS($V$1006:AE1006),$V$1006:$AE$1006,0)), HYPERLINK("#",""), HYPERLINK(CONCATENATE("#Metadata!", ADDRESS(INDEX($Q$2:$Q$1001,MATCH(ROWS($O$2:O894),$O$2:$O$1001,0),0), INDEX($V$1004:$AE$1004,1,MATCH(COLUMNS($V$1006:AE1006),$V$1006:$AE$1006,0)))),"Fix")))</f>
        <v>0</v>
      </c>
      <c r="O894">
        <v>0</v>
      </c>
      <c r="P894">
        <v>0</v>
      </c>
      <c r="Q894">
        <v>0</v>
      </c>
      <c r="R894">
        <f>IF(S894,TRUE,AND(V894:AE894))</f>
        <v>0</v>
      </c>
      <c r="S894">
        <f>COUNTBLANK(Metadata!B894:K894)=COLUMNS(Metadata!B894:K894)</f>
        <v>0</v>
      </c>
      <c r="T894">
        <v>0</v>
      </c>
      <c r="V894">
        <f>AND(IF(Metadata!B894="",FALSE,TRUE),COUNTIF(Metadata!B:B, Metadata!B894) = 1,NOT(ISERROR(SUMPRODUCT(SEARCH(MID(Metadata!B894,ROW(INDIRECT("1:"&amp;LEN(Metadata!B894))), 1),"0123456789abcdefghijklmnopqrstuvwxyzABCDEFGHIJKLMNOPQRSTUVWXYZ.")))))</f>
        <v>0</v>
      </c>
      <c r="W894">
        <f>AND(IF(Metadata!C894="",FALSE,TRUE),exact(Metadata!C894,"urban biome"))</f>
        <v>0</v>
      </c>
      <c r="X894">
        <f>AND(IF(Metadata!D894="",FALSE,TRUE),exact(Metadata!D894,"animal-associated habitat"))</f>
        <v>0</v>
      </c>
      <c r="Y894">
        <f>OR(AND(IF(Metadata!E894="",FALSE,TRUE),OR(exact(Metadata!E894,"not applicable"),exact(Metadata!E894,"missing: not collected"),exact(Metadata!E894,"missing: not provided"),exact(Metadata!E894,"missing: restricted access"))),AND(IF(Metadata!E894="",FALSE,ISNUMBER(VALUE(Metadata!E894))),Metadata!E894&gt;0))</f>
        <v>0</v>
      </c>
      <c r="Z894">
        <f>AND(IF(Metadata!F894="",FALSE,TRUE),exact(Metadata!F894,"weeks"))</f>
        <v>0</v>
      </c>
      <c r="AA894">
        <f>AND(IF(Metadata!G894="",FALSE,TRUE),exact(Metadata!G894,"mouse"))</f>
        <v>0</v>
      </c>
      <c r="AB894">
        <f>AND(IF(Metadata!H894="",FALSE,TRUE),exact(Metadata!H894,"Mus musculus"))</f>
        <v>0</v>
      </c>
      <c r="AC894">
        <f>AND(IF(Metadata!I894="",FALSE,TRUE),exact(Metadata!I894,"10090"))</f>
        <v>0</v>
      </c>
      <c r="AD894">
        <f>OR(AND(IF(Metadata!J894="",FALSE,TRUE),OR(exact(Metadata!J894,"not applicable"),exact(Metadata!J894,"missing: not collected"),exact(Metadata!J894,"missing: not provided"),exact(Metadata!J894,"missing: restricted access"))),AND(IF(Metadata!J894="",FALSE,ISNUMBER(VALUE(Metadata!J894))),Metadata!J894&gt;0))</f>
        <v>0</v>
      </c>
      <c r="AE894">
        <f>AND(IF(Metadata!K894="",FALSE,TRUE),exact(Metadata!K894,"g"))</f>
        <v>0</v>
      </c>
    </row>
    <row r="895" spans="1:31">
      <c r="A895" s="5">
        <f>IF(B895=" "," ",HYPERLINK(CONCATENATE("#metadata!",ADDRESS(INDEX($Q$2:$Q$1001,MATCH(ROWS($O$2:O895),$O$2:$O$1001,0),0),1)),INDEX($T$2:$T$1001,MATCH(ROWS($O$2:O895),$O$2:$O$1001,0),0)))</f>
        <v>0</v>
      </c>
      <c r="B895" s="4">
        <f>IF(OR(INDEX($P$2:$P$1001,MATCH(ROWS($O$2:O895),$O$2:$O$1001,0),1)&gt;=100000,INDEX($V$1005:$AE$1005,1,MATCH(COLUMNS($V$1006:V1006),$V$1006:$AE$1006,0))&gt;=100000), " ",IF(INDEX($V$2:$AE$1001,MATCH(ROWS($O$2:O895),$O$2:$O$1001,0),MATCH(COLUMNS($V$1006:V1006),$V$1006:$AE$1006,0)), HYPERLINK("#",""), HYPERLINK(CONCATENATE("#Metadata!", ADDRESS(INDEX($Q$2:$Q$1001,MATCH(ROWS($O$2:O895),$O$2:$O$1001,0),0), INDEX($V$1004:$AE$1004,1,MATCH(COLUMNS($V$1006:V1006),$V$1006:$AE$1006,0)))),"Fix")))</f>
        <v>0</v>
      </c>
      <c r="C895" s="4">
        <f>IF(OR(INDEX($P$2:$P$1001,MATCH(ROWS($O$2:O895),$O$2:$O$1001,0),1)&gt;=100000,INDEX($V$1005:$AE$1005,1,MATCH(COLUMNS($V$1006:W1006),$V$1006:$AE$1006,0))&gt;=100000), " ",IF(INDEX($V$2:$AE$1001,MATCH(ROWS($O$2:O895),$O$2:$O$1001,0),MATCH(COLUMNS($V$1006:W1006),$V$1006:$AE$1006,0)), HYPERLINK("#",""), HYPERLINK(CONCATENATE("#Metadata!", ADDRESS(INDEX($Q$2:$Q$1001,MATCH(ROWS($O$2:O895),$O$2:$O$1001,0),0), INDEX($V$1004:$AE$1004,1,MATCH(COLUMNS($V$1006:W1006),$V$1006:$AE$1006,0)))),"Fix")))</f>
        <v>0</v>
      </c>
      <c r="D895" s="4">
        <f>IF(OR(INDEX($P$2:$P$1001,MATCH(ROWS($O$2:O895),$O$2:$O$1001,0),1)&gt;=100000,INDEX($V$1005:$AE$1005,1,MATCH(COLUMNS($V$1006:X1006),$V$1006:$AE$1006,0))&gt;=100000), " ",IF(INDEX($V$2:$AE$1001,MATCH(ROWS($O$2:O895),$O$2:$O$1001,0),MATCH(COLUMNS($V$1006:X1006),$V$1006:$AE$1006,0)), HYPERLINK("#",""), HYPERLINK(CONCATENATE("#Metadata!", ADDRESS(INDEX($Q$2:$Q$1001,MATCH(ROWS($O$2:O895),$O$2:$O$1001,0),0), INDEX($V$1004:$AE$1004,1,MATCH(COLUMNS($V$1006:X1006),$V$1006:$AE$1006,0)))),"Fix")))</f>
        <v>0</v>
      </c>
      <c r="E895" s="4">
        <f>IF(OR(INDEX($P$2:$P$1001,MATCH(ROWS($O$2:O895),$O$2:$O$1001,0),1)&gt;=100000,INDEX($V$1005:$AE$1005,1,MATCH(COLUMNS($V$1006:Y1006),$V$1006:$AE$1006,0))&gt;=100000), " ",IF(INDEX($V$2:$AE$1001,MATCH(ROWS($O$2:O895),$O$2:$O$1001,0),MATCH(COLUMNS($V$1006:Y1006),$V$1006:$AE$1006,0)), HYPERLINK("#",""), HYPERLINK(CONCATENATE("#Metadata!", ADDRESS(INDEX($Q$2:$Q$1001,MATCH(ROWS($O$2:O895),$O$2:$O$1001,0),0), INDEX($V$1004:$AE$1004,1,MATCH(COLUMNS($V$1006:Y1006),$V$1006:$AE$1006,0)))),"Fix")))</f>
        <v>0</v>
      </c>
      <c r="F895" s="4">
        <f>IF(OR(INDEX($P$2:$P$1001,MATCH(ROWS($O$2:O895),$O$2:$O$1001,0),1)&gt;=100000,INDEX($V$1005:$AE$1005,1,MATCH(COLUMNS($V$1006:Z1006),$V$1006:$AE$1006,0))&gt;=100000), " ",IF(INDEX($V$2:$AE$1001,MATCH(ROWS($O$2:O895),$O$2:$O$1001,0),MATCH(COLUMNS($V$1006:Z1006),$V$1006:$AE$1006,0)), HYPERLINK("#",""), HYPERLINK(CONCATENATE("#Metadata!", ADDRESS(INDEX($Q$2:$Q$1001,MATCH(ROWS($O$2:O895),$O$2:$O$1001,0),0), INDEX($V$1004:$AE$1004,1,MATCH(COLUMNS($V$1006:Z1006),$V$1006:$AE$1006,0)))),"Fix")))</f>
        <v>0</v>
      </c>
      <c r="G895" s="4">
        <f>IF(OR(INDEX($P$2:$P$1001,MATCH(ROWS($O$2:O895),$O$2:$O$1001,0),1)&gt;=100000,INDEX($V$1005:$AE$1005,1,MATCH(COLUMNS($V$1006:AA1006),$V$1006:$AE$1006,0))&gt;=100000), " ",IF(INDEX($V$2:$AE$1001,MATCH(ROWS($O$2:O895),$O$2:$O$1001,0),MATCH(COLUMNS($V$1006:AA1006),$V$1006:$AE$1006,0)), HYPERLINK("#",""), HYPERLINK(CONCATENATE("#Metadata!", ADDRESS(INDEX($Q$2:$Q$1001,MATCH(ROWS($O$2:O895),$O$2:$O$1001,0),0), INDEX($V$1004:$AE$1004,1,MATCH(COLUMNS($V$1006:AA1006),$V$1006:$AE$1006,0)))),"Fix")))</f>
        <v>0</v>
      </c>
      <c r="H895" s="4">
        <f>IF(OR(INDEX($P$2:$P$1001,MATCH(ROWS($O$2:O895),$O$2:$O$1001,0),1)&gt;=100000,INDEX($V$1005:$AE$1005,1,MATCH(COLUMNS($V$1006:AB1006),$V$1006:$AE$1006,0))&gt;=100000), " ",IF(INDEX($V$2:$AE$1001,MATCH(ROWS($O$2:O895),$O$2:$O$1001,0),MATCH(COLUMNS($V$1006:AB1006),$V$1006:$AE$1006,0)), HYPERLINK("#",""), HYPERLINK(CONCATENATE("#Metadata!", ADDRESS(INDEX($Q$2:$Q$1001,MATCH(ROWS($O$2:O895),$O$2:$O$1001,0),0), INDEX($V$1004:$AE$1004,1,MATCH(COLUMNS($V$1006:AB1006),$V$1006:$AE$1006,0)))),"Fix")))</f>
        <v>0</v>
      </c>
      <c r="I895" s="4">
        <f>IF(OR(INDEX($P$2:$P$1001,MATCH(ROWS($O$2:O895),$O$2:$O$1001,0),1)&gt;=100000,INDEX($V$1005:$AE$1005,1,MATCH(COLUMNS($V$1006:AC1006),$V$1006:$AE$1006,0))&gt;=100000), " ",IF(INDEX($V$2:$AE$1001,MATCH(ROWS($O$2:O895),$O$2:$O$1001,0),MATCH(COLUMNS($V$1006:AC1006),$V$1006:$AE$1006,0)), HYPERLINK("#",""), HYPERLINK(CONCATENATE("#Metadata!", ADDRESS(INDEX($Q$2:$Q$1001,MATCH(ROWS($O$2:O895),$O$2:$O$1001,0),0), INDEX($V$1004:$AE$1004,1,MATCH(COLUMNS($V$1006:AC1006),$V$1006:$AE$1006,0)))),"Fix")))</f>
        <v>0</v>
      </c>
      <c r="J895" s="4">
        <f>IF(OR(INDEX($P$2:$P$1001,MATCH(ROWS($O$2:O895),$O$2:$O$1001,0),1)&gt;=100000,INDEX($V$1005:$AE$1005,1,MATCH(COLUMNS($V$1006:AD1006),$V$1006:$AE$1006,0))&gt;=100000), " ",IF(INDEX($V$2:$AE$1001,MATCH(ROWS($O$2:O895),$O$2:$O$1001,0),MATCH(COLUMNS($V$1006:AD1006),$V$1006:$AE$1006,0)), HYPERLINK("#",""), HYPERLINK(CONCATENATE("#Metadata!", ADDRESS(INDEX($Q$2:$Q$1001,MATCH(ROWS($O$2:O895),$O$2:$O$1001,0),0), INDEX($V$1004:$AE$1004,1,MATCH(COLUMNS($V$1006:AD1006),$V$1006:$AE$1006,0)))),"Fix")))</f>
        <v>0</v>
      </c>
      <c r="K895" s="4">
        <f>IF(OR(INDEX($P$2:$P$1001,MATCH(ROWS($O$2:O895),$O$2:$O$1001,0),1)&gt;=100000,INDEX($V$1005:$AE$1005,1,MATCH(COLUMNS($V$1006:AE1006),$V$1006:$AE$1006,0))&gt;=100000), " ",IF(INDEX($V$2:$AE$1001,MATCH(ROWS($O$2:O895),$O$2:$O$1001,0),MATCH(COLUMNS($V$1006:AE1006),$V$1006:$AE$1006,0)), HYPERLINK("#",""), HYPERLINK(CONCATENATE("#Metadata!", ADDRESS(INDEX($Q$2:$Q$1001,MATCH(ROWS($O$2:O895),$O$2:$O$1001,0),0), INDEX($V$1004:$AE$1004,1,MATCH(COLUMNS($V$1006:AE1006),$V$1006:$AE$1006,0)))),"Fix")))</f>
        <v>0</v>
      </c>
      <c r="O895">
        <v>0</v>
      </c>
      <c r="P895">
        <v>0</v>
      </c>
      <c r="Q895">
        <v>0</v>
      </c>
      <c r="R895">
        <f>IF(S895,TRUE,AND(V895:AE895))</f>
        <v>0</v>
      </c>
      <c r="S895">
        <f>COUNTBLANK(Metadata!B895:K895)=COLUMNS(Metadata!B895:K895)</f>
        <v>0</v>
      </c>
      <c r="T895">
        <v>0</v>
      </c>
      <c r="V895">
        <f>AND(IF(Metadata!B895="",FALSE,TRUE),COUNTIF(Metadata!B:B, Metadata!B895) = 1,NOT(ISERROR(SUMPRODUCT(SEARCH(MID(Metadata!B895,ROW(INDIRECT("1:"&amp;LEN(Metadata!B895))), 1),"0123456789abcdefghijklmnopqrstuvwxyzABCDEFGHIJKLMNOPQRSTUVWXYZ.")))))</f>
        <v>0</v>
      </c>
      <c r="W895">
        <f>AND(IF(Metadata!C895="",FALSE,TRUE),exact(Metadata!C895,"urban biome"))</f>
        <v>0</v>
      </c>
      <c r="X895">
        <f>AND(IF(Metadata!D895="",FALSE,TRUE),exact(Metadata!D895,"animal-associated habitat"))</f>
        <v>0</v>
      </c>
      <c r="Y895">
        <f>OR(AND(IF(Metadata!E895="",FALSE,TRUE),OR(exact(Metadata!E895,"not applicable"),exact(Metadata!E895,"missing: not collected"),exact(Metadata!E895,"missing: not provided"),exact(Metadata!E895,"missing: restricted access"))),AND(IF(Metadata!E895="",FALSE,ISNUMBER(VALUE(Metadata!E895))),Metadata!E895&gt;0))</f>
        <v>0</v>
      </c>
      <c r="Z895">
        <f>AND(IF(Metadata!F895="",FALSE,TRUE),exact(Metadata!F895,"weeks"))</f>
        <v>0</v>
      </c>
      <c r="AA895">
        <f>AND(IF(Metadata!G895="",FALSE,TRUE),exact(Metadata!G895,"mouse"))</f>
        <v>0</v>
      </c>
      <c r="AB895">
        <f>AND(IF(Metadata!H895="",FALSE,TRUE),exact(Metadata!H895,"Mus musculus"))</f>
        <v>0</v>
      </c>
      <c r="AC895">
        <f>AND(IF(Metadata!I895="",FALSE,TRUE),exact(Metadata!I895,"10090"))</f>
        <v>0</v>
      </c>
      <c r="AD895">
        <f>OR(AND(IF(Metadata!J895="",FALSE,TRUE),OR(exact(Metadata!J895,"not applicable"),exact(Metadata!J895,"missing: not collected"),exact(Metadata!J895,"missing: not provided"),exact(Metadata!J895,"missing: restricted access"))),AND(IF(Metadata!J895="",FALSE,ISNUMBER(VALUE(Metadata!J895))),Metadata!J895&gt;0))</f>
        <v>0</v>
      </c>
      <c r="AE895">
        <f>AND(IF(Metadata!K895="",FALSE,TRUE),exact(Metadata!K895,"g"))</f>
        <v>0</v>
      </c>
    </row>
    <row r="896" spans="1:31">
      <c r="A896" s="5">
        <f>IF(B896=" "," ",HYPERLINK(CONCATENATE("#metadata!",ADDRESS(INDEX($Q$2:$Q$1001,MATCH(ROWS($O$2:O896),$O$2:$O$1001,0),0),1)),INDEX($T$2:$T$1001,MATCH(ROWS($O$2:O896),$O$2:$O$1001,0),0)))</f>
        <v>0</v>
      </c>
      <c r="B896" s="4">
        <f>IF(OR(INDEX($P$2:$P$1001,MATCH(ROWS($O$2:O896),$O$2:$O$1001,0),1)&gt;=100000,INDEX($V$1005:$AE$1005,1,MATCH(COLUMNS($V$1006:V1006),$V$1006:$AE$1006,0))&gt;=100000), " ",IF(INDEX($V$2:$AE$1001,MATCH(ROWS($O$2:O896),$O$2:$O$1001,0),MATCH(COLUMNS($V$1006:V1006),$V$1006:$AE$1006,0)), HYPERLINK("#",""), HYPERLINK(CONCATENATE("#Metadata!", ADDRESS(INDEX($Q$2:$Q$1001,MATCH(ROWS($O$2:O896),$O$2:$O$1001,0),0), INDEX($V$1004:$AE$1004,1,MATCH(COLUMNS($V$1006:V1006),$V$1006:$AE$1006,0)))),"Fix")))</f>
        <v>0</v>
      </c>
      <c r="C896" s="4">
        <f>IF(OR(INDEX($P$2:$P$1001,MATCH(ROWS($O$2:O896),$O$2:$O$1001,0),1)&gt;=100000,INDEX($V$1005:$AE$1005,1,MATCH(COLUMNS($V$1006:W1006),$V$1006:$AE$1006,0))&gt;=100000), " ",IF(INDEX($V$2:$AE$1001,MATCH(ROWS($O$2:O896),$O$2:$O$1001,0),MATCH(COLUMNS($V$1006:W1006),$V$1006:$AE$1006,0)), HYPERLINK("#",""), HYPERLINK(CONCATENATE("#Metadata!", ADDRESS(INDEX($Q$2:$Q$1001,MATCH(ROWS($O$2:O896),$O$2:$O$1001,0),0), INDEX($V$1004:$AE$1004,1,MATCH(COLUMNS($V$1006:W1006),$V$1006:$AE$1006,0)))),"Fix")))</f>
        <v>0</v>
      </c>
      <c r="D896" s="4">
        <f>IF(OR(INDEX($P$2:$P$1001,MATCH(ROWS($O$2:O896),$O$2:$O$1001,0),1)&gt;=100000,INDEX($V$1005:$AE$1005,1,MATCH(COLUMNS($V$1006:X1006),$V$1006:$AE$1006,0))&gt;=100000), " ",IF(INDEX($V$2:$AE$1001,MATCH(ROWS($O$2:O896),$O$2:$O$1001,0),MATCH(COLUMNS($V$1006:X1006),$V$1006:$AE$1006,0)), HYPERLINK("#",""), HYPERLINK(CONCATENATE("#Metadata!", ADDRESS(INDEX($Q$2:$Q$1001,MATCH(ROWS($O$2:O896),$O$2:$O$1001,0),0), INDEX($V$1004:$AE$1004,1,MATCH(COLUMNS($V$1006:X1006),$V$1006:$AE$1006,0)))),"Fix")))</f>
        <v>0</v>
      </c>
      <c r="E896" s="4">
        <f>IF(OR(INDEX($P$2:$P$1001,MATCH(ROWS($O$2:O896),$O$2:$O$1001,0),1)&gt;=100000,INDEX($V$1005:$AE$1005,1,MATCH(COLUMNS($V$1006:Y1006),$V$1006:$AE$1006,0))&gt;=100000), " ",IF(INDEX($V$2:$AE$1001,MATCH(ROWS($O$2:O896),$O$2:$O$1001,0),MATCH(COLUMNS($V$1006:Y1006),$V$1006:$AE$1006,0)), HYPERLINK("#",""), HYPERLINK(CONCATENATE("#Metadata!", ADDRESS(INDEX($Q$2:$Q$1001,MATCH(ROWS($O$2:O896),$O$2:$O$1001,0),0), INDEX($V$1004:$AE$1004,1,MATCH(COLUMNS($V$1006:Y1006),$V$1006:$AE$1006,0)))),"Fix")))</f>
        <v>0</v>
      </c>
      <c r="F896" s="4">
        <f>IF(OR(INDEX($P$2:$P$1001,MATCH(ROWS($O$2:O896),$O$2:$O$1001,0),1)&gt;=100000,INDEX($V$1005:$AE$1005,1,MATCH(COLUMNS($V$1006:Z1006),$V$1006:$AE$1006,0))&gt;=100000), " ",IF(INDEX($V$2:$AE$1001,MATCH(ROWS($O$2:O896),$O$2:$O$1001,0),MATCH(COLUMNS($V$1006:Z1006),$V$1006:$AE$1006,0)), HYPERLINK("#",""), HYPERLINK(CONCATENATE("#Metadata!", ADDRESS(INDEX($Q$2:$Q$1001,MATCH(ROWS($O$2:O896),$O$2:$O$1001,0),0), INDEX($V$1004:$AE$1004,1,MATCH(COLUMNS($V$1006:Z1006),$V$1006:$AE$1006,0)))),"Fix")))</f>
        <v>0</v>
      </c>
      <c r="G896" s="4">
        <f>IF(OR(INDEX($P$2:$P$1001,MATCH(ROWS($O$2:O896),$O$2:$O$1001,0),1)&gt;=100000,INDEX($V$1005:$AE$1005,1,MATCH(COLUMNS($V$1006:AA1006),$V$1006:$AE$1006,0))&gt;=100000), " ",IF(INDEX($V$2:$AE$1001,MATCH(ROWS($O$2:O896),$O$2:$O$1001,0),MATCH(COLUMNS($V$1006:AA1006),$V$1006:$AE$1006,0)), HYPERLINK("#",""), HYPERLINK(CONCATENATE("#Metadata!", ADDRESS(INDEX($Q$2:$Q$1001,MATCH(ROWS($O$2:O896),$O$2:$O$1001,0),0), INDEX($V$1004:$AE$1004,1,MATCH(COLUMNS($V$1006:AA1006),$V$1006:$AE$1006,0)))),"Fix")))</f>
        <v>0</v>
      </c>
      <c r="H896" s="4">
        <f>IF(OR(INDEX($P$2:$P$1001,MATCH(ROWS($O$2:O896),$O$2:$O$1001,0),1)&gt;=100000,INDEX($V$1005:$AE$1005,1,MATCH(COLUMNS($V$1006:AB1006),$V$1006:$AE$1006,0))&gt;=100000), " ",IF(INDEX($V$2:$AE$1001,MATCH(ROWS($O$2:O896),$O$2:$O$1001,0),MATCH(COLUMNS($V$1006:AB1006),$V$1006:$AE$1006,0)), HYPERLINK("#",""), HYPERLINK(CONCATENATE("#Metadata!", ADDRESS(INDEX($Q$2:$Q$1001,MATCH(ROWS($O$2:O896),$O$2:$O$1001,0),0), INDEX($V$1004:$AE$1004,1,MATCH(COLUMNS($V$1006:AB1006),$V$1006:$AE$1006,0)))),"Fix")))</f>
        <v>0</v>
      </c>
      <c r="I896" s="4">
        <f>IF(OR(INDEX($P$2:$P$1001,MATCH(ROWS($O$2:O896),$O$2:$O$1001,0),1)&gt;=100000,INDEX($V$1005:$AE$1005,1,MATCH(COLUMNS($V$1006:AC1006),$V$1006:$AE$1006,0))&gt;=100000), " ",IF(INDEX($V$2:$AE$1001,MATCH(ROWS($O$2:O896),$O$2:$O$1001,0),MATCH(COLUMNS($V$1006:AC1006),$V$1006:$AE$1006,0)), HYPERLINK("#",""), HYPERLINK(CONCATENATE("#Metadata!", ADDRESS(INDEX($Q$2:$Q$1001,MATCH(ROWS($O$2:O896),$O$2:$O$1001,0),0), INDEX($V$1004:$AE$1004,1,MATCH(COLUMNS($V$1006:AC1006),$V$1006:$AE$1006,0)))),"Fix")))</f>
        <v>0</v>
      </c>
      <c r="J896" s="4">
        <f>IF(OR(INDEX($P$2:$P$1001,MATCH(ROWS($O$2:O896),$O$2:$O$1001,0),1)&gt;=100000,INDEX($V$1005:$AE$1005,1,MATCH(COLUMNS($V$1006:AD1006),$V$1006:$AE$1006,0))&gt;=100000), " ",IF(INDEX($V$2:$AE$1001,MATCH(ROWS($O$2:O896),$O$2:$O$1001,0),MATCH(COLUMNS($V$1006:AD1006),$V$1006:$AE$1006,0)), HYPERLINK("#",""), HYPERLINK(CONCATENATE("#Metadata!", ADDRESS(INDEX($Q$2:$Q$1001,MATCH(ROWS($O$2:O896),$O$2:$O$1001,0),0), INDEX($V$1004:$AE$1004,1,MATCH(COLUMNS($V$1006:AD1006),$V$1006:$AE$1006,0)))),"Fix")))</f>
        <v>0</v>
      </c>
      <c r="K896" s="4">
        <f>IF(OR(INDEX($P$2:$P$1001,MATCH(ROWS($O$2:O896),$O$2:$O$1001,0),1)&gt;=100000,INDEX($V$1005:$AE$1005,1,MATCH(COLUMNS($V$1006:AE1006),$V$1006:$AE$1006,0))&gt;=100000), " ",IF(INDEX($V$2:$AE$1001,MATCH(ROWS($O$2:O896),$O$2:$O$1001,0),MATCH(COLUMNS($V$1006:AE1006),$V$1006:$AE$1006,0)), HYPERLINK("#",""), HYPERLINK(CONCATENATE("#Metadata!", ADDRESS(INDEX($Q$2:$Q$1001,MATCH(ROWS($O$2:O896),$O$2:$O$1001,0),0), INDEX($V$1004:$AE$1004,1,MATCH(COLUMNS($V$1006:AE1006),$V$1006:$AE$1006,0)))),"Fix")))</f>
        <v>0</v>
      </c>
      <c r="O896">
        <v>0</v>
      </c>
      <c r="P896">
        <v>0</v>
      </c>
      <c r="Q896">
        <v>0</v>
      </c>
      <c r="R896">
        <f>IF(S896,TRUE,AND(V896:AE896))</f>
        <v>0</v>
      </c>
      <c r="S896">
        <f>COUNTBLANK(Metadata!B896:K896)=COLUMNS(Metadata!B896:K896)</f>
        <v>0</v>
      </c>
      <c r="T896">
        <v>0</v>
      </c>
      <c r="V896">
        <f>AND(IF(Metadata!B896="",FALSE,TRUE),COUNTIF(Metadata!B:B, Metadata!B896) = 1,NOT(ISERROR(SUMPRODUCT(SEARCH(MID(Metadata!B896,ROW(INDIRECT("1:"&amp;LEN(Metadata!B896))), 1),"0123456789abcdefghijklmnopqrstuvwxyzABCDEFGHIJKLMNOPQRSTUVWXYZ.")))))</f>
        <v>0</v>
      </c>
      <c r="W896">
        <f>AND(IF(Metadata!C896="",FALSE,TRUE),exact(Metadata!C896,"urban biome"))</f>
        <v>0</v>
      </c>
      <c r="X896">
        <f>AND(IF(Metadata!D896="",FALSE,TRUE),exact(Metadata!D896,"animal-associated habitat"))</f>
        <v>0</v>
      </c>
      <c r="Y896">
        <f>OR(AND(IF(Metadata!E896="",FALSE,TRUE),OR(exact(Metadata!E896,"not applicable"),exact(Metadata!E896,"missing: not collected"),exact(Metadata!E896,"missing: not provided"),exact(Metadata!E896,"missing: restricted access"))),AND(IF(Metadata!E896="",FALSE,ISNUMBER(VALUE(Metadata!E896))),Metadata!E896&gt;0))</f>
        <v>0</v>
      </c>
      <c r="Z896">
        <f>AND(IF(Metadata!F896="",FALSE,TRUE),exact(Metadata!F896,"weeks"))</f>
        <v>0</v>
      </c>
      <c r="AA896">
        <f>AND(IF(Metadata!G896="",FALSE,TRUE),exact(Metadata!G896,"mouse"))</f>
        <v>0</v>
      </c>
      <c r="AB896">
        <f>AND(IF(Metadata!H896="",FALSE,TRUE),exact(Metadata!H896,"Mus musculus"))</f>
        <v>0</v>
      </c>
      <c r="AC896">
        <f>AND(IF(Metadata!I896="",FALSE,TRUE),exact(Metadata!I896,"10090"))</f>
        <v>0</v>
      </c>
      <c r="AD896">
        <f>OR(AND(IF(Metadata!J896="",FALSE,TRUE),OR(exact(Metadata!J896,"not applicable"),exact(Metadata!J896,"missing: not collected"),exact(Metadata!J896,"missing: not provided"),exact(Metadata!J896,"missing: restricted access"))),AND(IF(Metadata!J896="",FALSE,ISNUMBER(VALUE(Metadata!J896))),Metadata!J896&gt;0))</f>
        <v>0</v>
      </c>
      <c r="AE896">
        <f>AND(IF(Metadata!K896="",FALSE,TRUE),exact(Metadata!K896,"g"))</f>
        <v>0</v>
      </c>
    </row>
    <row r="897" spans="1:31">
      <c r="A897" s="5">
        <f>IF(B897=" "," ",HYPERLINK(CONCATENATE("#metadata!",ADDRESS(INDEX($Q$2:$Q$1001,MATCH(ROWS($O$2:O897),$O$2:$O$1001,0),0),1)),INDEX($T$2:$T$1001,MATCH(ROWS($O$2:O897),$O$2:$O$1001,0),0)))</f>
        <v>0</v>
      </c>
      <c r="B897" s="4">
        <f>IF(OR(INDEX($P$2:$P$1001,MATCH(ROWS($O$2:O897),$O$2:$O$1001,0),1)&gt;=100000,INDEX($V$1005:$AE$1005,1,MATCH(COLUMNS($V$1006:V1006),$V$1006:$AE$1006,0))&gt;=100000), " ",IF(INDEX($V$2:$AE$1001,MATCH(ROWS($O$2:O897),$O$2:$O$1001,0),MATCH(COLUMNS($V$1006:V1006),$V$1006:$AE$1006,0)), HYPERLINK("#",""), HYPERLINK(CONCATENATE("#Metadata!", ADDRESS(INDEX($Q$2:$Q$1001,MATCH(ROWS($O$2:O897),$O$2:$O$1001,0),0), INDEX($V$1004:$AE$1004,1,MATCH(COLUMNS($V$1006:V1006),$V$1006:$AE$1006,0)))),"Fix")))</f>
        <v>0</v>
      </c>
      <c r="C897" s="4">
        <f>IF(OR(INDEX($P$2:$P$1001,MATCH(ROWS($O$2:O897),$O$2:$O$1001,0),1)&gt;=100000,INDEX($V$1005:$AE$1005,1,MATCH(COLUMNS($V$1006:W1006),$V$1006:$AE$1006,0))&gt;=100000), " ",IF(INDEX($V$2:$AE$1001,MATCH(ROWS($O$2:O897),$O$2:$O$1001,0),MATCH(COLUMNS($V$1006:W1006),$V$1006:$AE$1006,0)), HYPERLINK("#",""), HYPERLINK(CONCATENATE("#Metadata!", ADDRESS(INDEX($Q$2:$Q$1001,MATCH(ROWS($O$2:O897),$O$2:$O$1001,0),0), INDEX($V$1004:$AE$1004,1,MATCH(COLUMNS($V$1006:W1006),$V$1006:$AE$1006,0)))),"Fix")))</f>
        <v>0</v>
      </c>
      <c r="D897" s="4">
        <f>IF(OR(INDEX($P$2:$P$1001,MATCH(ROWS($O$2:O897),$O$2:$O$1001,0),1)&gt;=100000,INDEX($V$1005:$AE$1005,1,MATCH(COLUMNS($V$1006:X1006),$V$1006:$AE$1006,0))&gt;=100000), " ",IF(INDEX($V$2:$AE$1001,MATCH(ROWS($O$2:O897),$O$2:$O$1001,0),MATCH(COLUMNS($V$1006:X1006),$V$1006:$AE$1006,0)), HYPERLINK("#",""), HYPERLINK(CONCATENATE("#Metadata!", ADDRESS(INDEX($Q$2:$Q$1001,MATCH(ROWS($O$2:O897),$O$2:$O$1001,0),0), INDEX($V$1004:$AE$1004,1,MATCH(COLUMNS($V$1006:X1006),$V$1006:$AE$1006,0)))),"Fix")))</f>
        <v>0</v>
      </c>
      <c r="E897" s="4">
        <f>IF(OR(INDEX($P$2:$P$1001,MATCH(ROWS($O$2:O897),$O$2:$O$1001,0),1)&gt;=100000,INDEX($V$1005:$AE$1005,1,MATCH(COLUMNS($V$1006:Y1006),$V$1006:$AE$1006,0))&gt;=100000), " ",IF(INDEX($V$2:$AE$1001,MATCH(ROWS($O$2:O897),$O$2:$O$1001,0),MATCH(COLUMNS($V$1006:Y1006),$V$1006:$AE$1006,0)), HYPERLINK("#",""), HYPERLINK(CONCATENATE("#Metadata!", ADDRESS(INDEX($Q$2:$Q$1001,MATCH(ROWS($O$2:O897),$O$2:$O$1001,0),0), INDEX($V$1004:$AE$1004,1,MATCH(COLUMNS($V$1006:Y1006),$V$1006:$AE$1006,0)))),"Fix")))</f>
        <v>0</v>
      </c>
      <c r="F897" s="4">
        <f>IF(OR(INDEX($P$2:$P$1001,MATCH(ROWS($O$2:O897),$O$2:$O$1001,0),1)&gt;=100000,INDEX($V$1005:$AE$1005,1,MATCH(COLUMNS($V$1006:Z1006),$V$1006:$AE$1006,0))&gt;=100000), " ",IF(INDEX($V$2:$AE$1001,MATCH(ROWS($O$2:O897),$O$2:$O$1001,0),MATCH(COLUMNS($V$1006:Z1006),$V$1006:$AE$1006,0)), HYPERLINK("#",""), HYPERLINK(CONCATENATE("#Metadata!", ADDRESS(INDEX($Q$2:$Q$1001,MATCH(ROWS($O$2:O897),$O$2:$O$1001,0),0), INDEX($V$1004:$AE$1004,1,MATCH(COLUMNS($V$1006:Z1006),$V$1006:$AE$1006,0)))),"Fix")))</f>
        <v>0</v>
      </c>
      <c r="G897" s="4">
        <f>IF(OR(INDEX($P$2:$P$1001,MATCH(ROWS($O$2:O897),$O$2:$O$1001,0),1)&gt;=100000,INDEX($V$1005:$AE$1005,1,MATCH(COLUMNS($V$1006:AA1006),$V$1006:$AE$1006,0))&gt;=100000), " ",IF(INDEX($V$2:$AE$1001,MATCH(ROWS($O$2:O897),$O$2:$O$1001,0),MATCH(COLUMNS($V$1006:AA1006),$V$1006:$AE$1006,0)), HYPERLINK("#",""), HYPERLINK(CONCATENATE("#Metadata!", ADDRESS(INDEX($Q$2:$Q$1001,MATCH(ROWS($O$2:O897),$O$2:$O$1001,0),0), INDEX($V$1004:$AE$1004,1,MATCH(COLUMNS($V$1006:AA1006),$V$1006:$AE$1006,0)))),"Fix")))</f>
        <v>0</v>
      </c>
      <c r="H897" s="4">
        <f>IF(OR(INDEX($P$2:$P$1001,MATCH(ROWS($O$2:O897),$O$2:$O$1001,0),1)&gt;=100000,INDEX($V$1005:$AE$1005,1,MATCH(COLUMNS($V$1006:AB1006),$V$1006:$AE$1006,0))&gt;=100000), " ",IF(INDEX($V$2:$AE$1001,MATCH(ROWS($O$2:O897),$O$2:$O$1001,0),MATCH(COLUMNS($V$1006:AB1006),$V$1006:$AE$1006,0)), HYPERLINK("#",""), HYPERLINK(CONCATENATE("#Metadata!", ADDRESS(INDEX($Q$2:$Q$1001,MATCH(ROWS($O$2:O897),$O$2:$O$1001,0),0), INDEX($V$1004:$AE$1004,1,MATCH(COLUMNS($V$1006:AB1006),$V$1006:$AE$1006,0)))),"Fix")))</f>
        <v>0</v>
      </c>
      <c r="I897" s="4">
        <f>IF(OR(INDEX($P$2:$P$1001,MATCH(ROWS($O$2:O897),$O$2:$O$1001,0),1)&gt;=100000,INDEX($V$1005:$AE$1005,1,MATCH(COLUMNS($V$1006:AC1006),$V$1006:$AE$1006,0))&gt;=100000), " ",IF(INDEX($V$2:$AE$1001,MATCH(ROWS($O$2:O897),$O$2:$O$1001,0),MATCH(COLUMNS($V$1006:AC1006),$V$1006:$AE$1006,0)), HYPERLINK("#",""), HYPERLINK(CONCATENATE("#Metadata!", ADDRESS(INDEX($Q$2:$Q$1001,MATCH(ROWS($O$2:O897),$O$2:$O$1001,0),0), INDEX($V$1004:$AE$1004,1,MATCH(COLUMNS($V$1006:AC1006),$V$1006:$AE$1006,0)))),"Fix")))</f>
        <v>0</v>
      </c>
      <c r="J897" s="4">
        <f>IF(OR(INDEX($P$2:$P$1001,MATCH(ROWS($O$2:O897),$O$2:$O$1001,0),1)&gt;=100000,INDEX($V$1005:$AE$1005,1,MATCH(COLUMNS($V$1006:AD1006),$V$1006:$AE$1006,0))&gt;=100000), " ",IF(INDEX($V$2:$AE$1001,MATCH(ROWS($O$2:O897),$O$2:$O$1001,0),MATCH(COLUMNS($V$1006:AD1006),$V$1006:$AE$1006,0)), HYPERLINK("#",""), HYPERLINK(CONCATENATE("#Metadata!", ADDRESS(INDEX($Q$2:$Q$1001,MATCH(ROWS($O$2:O897),$O$2:$O$1001,0),0), INDEX($V$1004:$AE$1004,1,MATCH(COLUMNS($V$1006:AD1006),$V$1006:$AE$1006,0)))),"Fix")))</f>
        <v>0</v>
      </c>
      <c r="K897" s="4">
        <f>IF(OR(INDEX($P$2:$P$1001,MATCH(ROWS($O$2:O897),$O$2:$O$1001,0),1)&gt;=100000,INDEX($V$1005:$AE$1005,1,MATCH(COLUMNS($V$1006:AE1006),$V$1006:$AE$1006,0))&gt;=100000), " ",IF(INDEX($V$2:$AE$1001,MATCH(ROWS($O$2:O897),$O$2:$O$1001,0),MATCH(COLUMNS($V$1006:AE1006),$V$1006:$AE$1006,0)), HYPERLINK("#",""), HYPERLINK(CONCATENATE("#Metadata!", ADDRESS(INDEX($Q$2:$Q$1001,MATCH(ROWS($O$2:O897),$O$2:$O$1001,0),0), INDEX($V$1004:$AE$1004,1,MATCH(COLUMNS($V$1006:AE1006),$V$1006:$AE$1006,0)))),"Fix")))</f>
        <v>0</v>
      </c>
      <c r="O897">
        <v>0</v>
      </c>
      <c r="P897">
        <v>0</v>
      </c>
      <c r="Q897">
        <v>0</v>
      </c>
      <c r="R897">
        <f>IF(S897,TRUE,AND(V897:AE897))</f>
        <v>0</v>
      </c>
      <c r="S897">
        <f>COUNTBLANK(Metadata!B897:K897)=COLUMNS(Metadata!B897:K897)</f>
        <v>0</v>
      </c>
      <c r="T897">
        <v>0</v>
      </c>
      <c r="V897">
        <f>AND(IF(Metadata!B897="",FALSE,TRUE),COUNTIF(Metadata!B:B, Metadata!B897) = 1,NOT(ISERROR(SUMPRODUCT(SEARCH(MID(Metadata!B897,ROW(INDIRECT("1:"&amp;LEN(Metadata!B897))), 1),"0123456789abcdefghijklmnopqrstuvwxyzABCDEFGHIJKLMNOPQRSTUVWXYZ.")))))</f>
        <v>0</v>
      </c>
      <c r="W897">
        <f>AND(IF(Metadata!C897="",FALSE,TRUE),exact(Metadata!C897,"urban biome"))</f>
        <v>0</v>
      </c>
      <c r="X897">
        <f>AND(IF(Metadata!D897="",FALSE,TRUE),exact(Metadata!D897,"animal-associated habitat"))</f>
        <v>0</v>
      </c>
      <c r="Y897">
        <f>OR(AND(IF(Metadata!E897="",FALSE,TRUE),OR(exact(Metadata!E897,"not applicable"),exact(Metadata!E897,"missing: not collected"),exact(Metadata!E897,"missing: not provided"),exact(Metadata!E897,"missing: restricted access"))),AND(IF(Metadata!E897="",FALSE,ISNUMBER(VALUE(Metadata!E897))),Metadata!E897&gt;0))</f>
        <v>0</v>
      </c>
      <c r="Z897">
        <f>AND(IF(Metadata!F897="",FALSE,TRUE),exact(Metadata!F897,"weeks"))</f>
        <v>0</v>
      </c>
      <c r="AA897">
        <f>AND(IF(Metadata!G897="",FALSE,TRUE),exact(Metadata!G897,"mouse"))</f>
        <v>0</v>
      </c>
      <c r="AB897">
        <f>AND(IF(Metadata!H897="",FALSE,TRUE),exact(Metadata!H897,"Mus musculus"))</f>
        <v>0</v>
      </c>
      <c r="AC897">
        <f>AND(IF(Metadata!I897="",FALSE,TRUE),exact(Metadata!I897,"10090"))</f>
        <v>0</v>
      </c>
      <c r="AD897">
        <f>OR(AND(IF(Metadata!J897="",FALSE,TRUE),OR(exact(Metadata!J897,"not applicable"),exact(Metadata!J897,"missing: not collected"),exact(Metadata!J897,"missing: not provided"),exact(Metadata!J897,"missing: restricted access"))),AND(IF(Metadata!J897="",FALSE,ISNUMBER(VALUE(Metadata!J897))),Metadata!J897&gt;0))</f>
        <v>0</v>
      </c>
      <c r="AE897">
        <f>AND(IF(Metadata!K897="",FALSE,TRUE),exact(Metadata!K897,"g"))</f>
        <v>0</v>
      </c>
    </row>
    <row r="898" spans="1:31">
      <c r="A898" s="5">
        <f>IF(B898=" "," ",HYPERLINK(CONCATENATE("#metadata!",ADDRESS(INDEX($Q$2:$Q$1001,MATCH(ROWS($O$2:O898),$O$2:$O$1001,0),0),1)),INDEX($T$2:$T$1001,MATCH(ROWS($O$2:O898),$O$2:$O$1001,0),0)))</f>
        <v>0</v>
      </c>
      <c r="B898" s="4">
        <f>IF(OR(INDEX($P$2:$P$1001,MATCH(ROWS($O$2:O898),$O$2:$O$1001,0),1)&gt;=100000,INDEX($V$1005:$AE$1005,1,MATCH(COLUMNS($V$1006:V1006),$V$1006:$AE$1006,0))&gt;=100000), " ",IF(INDEX($V$2:$AE$1001,MATCH(ROWS($O$2:O898),$O$2:$O$1001,0),MATCH(COLUMNS($V$1006:V1006),$V$1006:$AE$1006,0)), HYPERLINK("#",""), HYPERLINK(CONCATENATE("#Metadata!", ADDRESS(INDEX($Q$2:$Q$1001,MATCH(ROWS($O$2:O898),$O$2:$O$1001,0),0), INDEX($V$1004:$AE$1004,1,MATCH(COLUMNS($V$1006:V1006),$V$1006:$AE$1006,0)))),"Fix")))</f>
        <v>0</v>
      </c>
      <c r="C898" s="4">
        <f>IF(OR(INDEX($P$2:$P$1001,MATCH(ROWS($O$2:O898),$O$2:$O$1001,0),1)&gt;=100000,INDEX($V$1005:$AE$1005,1,MATCH(COLUMNS($V$1006:W1006),$V$1006:$AE$1006,0))&gt;=100000), " ",IF(INDEX($V$2:$AE$1001,MATCH(ROWS($O$2:O898),$O$2:$O$1001,0),MATCH(COLUMNS($V$1006:W1006),$V$1006:$AE$1006,0)), HYPERLINK("#",""), HYPERLINK(CONCATENATE("#Metadata!", ADDRESS(INDEX($Q$2:$Q$1001,MATCH(ROWS($O$2:O898),$O$2:$O$1001,0),0), INDEX($V$1004:$AE$1004,1,MATCH(COLUMNS($V$1006:W1006),$V$1006:$AE$1006,0)))),"Fix")))</f>
        <v>0</v>
      </c>
      <c r="D898" s="4">
        <f>IF(OR(INDEX($P$2:$P$1001,MATCH(ROWS($O$2:O898),$O$2:$O$1001,0),1)&gt;=100000,INDEX($V$1005:$AE$1005,1,MATCH(COLUMNS($V$1006:X1006),$V$1006:$AE$1006,0))&gt;=100000), " ",IF(INDEX($V$2:$AE$1001,MATCH(ROWS($O$2:O898),$O$2:$O$1001,0),MATCH(COLUMNS($V$1006:X1006),$V$1006:$AE$1006,0)), HYPERLINK("#",""), HYPERLINK(CONCATENATE("#Metadata!", ADDRESS(INDEX($Q$2:$Q$1001,MATCH(ROWS($O$2:O898),$O$2:$O$1001,0),0), INDEX($V$1004:$AE$1004,1,MATCH(COLUMNS($V$1006:X1006),$V$1006:$AE$1006,0)))),"Fix")))</f>
        <v>0</v>
      </c>
      <c r="E898" s="4">
        <f>IF(OR(INDEX($P$2:$P$1001,MATCH(ROWS($O$2:O898),$O$2:$O$1001,0),1)&gt;=100000,INDEX($V$1005:$AE$1005,1,MATCH(COLUMNS($V$1006:Y1006),$V$1006:$AE$1006,0))&gt;=100000), " ",IF(INDEX($V$2:$AE$1001,MATCH(ROWS($O$2:O898),$O$2:$O$1001,0),MATCH(COLUMNS($V$1006:Y1006),$V$1006:$AE$1006,0)), HYPERLINK("#",""), HYPERLINK(CONCATENATE("#Metadata!", ADDRESS(INDEX($Q$2:$Q$1001,MATCH(ROWS($O$2:O898),$O$2:$O$1001,0),0), INDEX($V$1004:$AE$1004,1,MATCH(COLUMNS($V$1006:Y1006),$V$1006:$AE$1006,0)))),"Fix")))</f>
        <v>0</v>
      </c>
      <c r="F898" s="4">
        <f>IF(OR(INDEX($P$2:$P$1001,MATCH(ROWS($O$2:O898),$O$2:$O$1001,0),1)&gt;=100000,INDEX($V$1005:$AE$1005,1,MATCH(COLUMNS($V$1006:Z1006),$V$1006:$AE$1006,0))&gt;=100000), " ",IF(INDEX($V$2:$AE$1001,MATCH(ROWS($O$2:O898),$O$2:$O$1001,0),MATCH(COLUMNS($V$1006:Z1006),$V$1006:$AE$1006,0)), HYPERLINK("#",""), HYPERLINK(CONCATENATE("#Metadata!", ADDRESS(INDEX($Q$2:$Q$1001,MATCH(ROWS($O$2:O898),$O$2:$O$1001,0),0), INDEX($V$1004:$AE$1004,1,MATCH(COLUMNS($V$1006:Z1006),$V$1006:$AE$1006,0)))),"Fix")))</f>
        <v>0</v>
      </c>
      <c r="G898" s="4">
        <f>IF(OR(INDEX($P$2:$P$1001,MATCH(ROWS($O$2:O898),$O$2:$O$1001,0),1)&gt;=100000,INDEX($V$1005:$AE$1005,1,MATCH(COLUMNS($V$1006:AA1006),$V$1006:$AE$1006,0))&gt;=100000), " ",IF(INDEX($V$2:$AE$1001,MATCH(ROWS($O$2:O898),$O$2:$O$1001,0),MATCH(COLUMNS($V$1006:AA1006),$V$1006:$AE$1006,0)), HYPERLINK("#",""), HYPERLINK(CONCATENATE("#Metadata!", ADDRESS(INDEX($Q$2:$Q$1001,MATCH(ROWS($O$2:O898),$O$2:$O$1001,0),0), INDEX($V$1004:$AE$1004,1,MATCH(COLUMNS($V$1006:AA1006),$V$1006:$AE$1006,0)))),"Fix")))</f>
        <v>0</v>
      </c>
      <c r="H898" s="4">
        <f>IF(OR(INDEX($P$2:$P$1001,MATCH(ROWS($O$2:O898),$O$2:$O$1001,0),1)&gt;=100000,INDEX($V$1005:$AE$1005,1,MATCH(COLUMNS($V$1006:AB1006),$V$1006:$AE$1006,0))&gt;=100000), " ",IF(INDEX($V$2:$AE$1001,MATCH(ROWS($O$2:O898),$O$2:$O$1001,0),MATCH(COLUMNS($V$1006:AB1006),$V$1006:$AE$1006,0)), HYPERLINK("#",""), HYPERLINK(CONCATENATE("#Metadata!", ADDRESS(INDEX($Q$2:$Q$1001,MATCH(ROWS($O$2:O898),$O$2:$O$1001,0),0), INDEX($V$1004:$AE$1004,1,MATCH(COLUMNS($V$1006:AB1006),$V$1006:$AE$1006,0)))),"Fix")))</f>
        <v>0</v>
      </c>
      <c r="I898" s="4">
        <f>IF(OR(INDEX($P$2:$P$1001,MATCH(ROWS($O$2:O898),$O$2:$O$1001,0),1)&gt;=100000,INDEX($V$1005:$AE$1005,1,MATCH(COLUMNS($V$1006:AC1006),$V$1006:$AE$1006,0))&gt;=100000), " ",IF(INDEX($V$2:$AE$1001,MATCH(ROWS($O$2:O898),$O$2:$O$1001,0),MATCH(COLUMNS($V$1006:AC1006),$V$1006:$AE$1006,0)), HYPERLINK("#",""), HYPERLINK(CONCATENATE("#Metadata!", ADDRESS(INDEX($Q$2:$Q$1001,MATCH(ROWS($O$2:O898),$O$2:$O$1001,0),0), INDEX($V$1004:$AE$1004,1,MATCH(COLUMNS($V$1006:AC1006),$V$1006:$AE$1006,0)))),"Fix")))</f>
        <v>0</v>
      </c>
      <c r="J898" s="4">
        <f>IF(OR(INDEX($P$2:$P$1001,MATCH(ROWS($O$2:O898),$O$2:$O$1001,0),1)&gt;=100000,INDEX($V$1005:$AE$1005,1,MATCH(COLUMNS($V$1006:AD1006),$V$1006:$AE$1006,0))&gt;=100000), " ",IF(INDEX($V$2:$AE$1001,MATCH(ROWS($O$2:O898),$O$2:$O$1001,0),MATCH(COLUMNS($V$1006:AD1006),$V$1006:$AE$1006,0)), HYPERLINK("#",""), HYPERLINK(CONCATENATE("#Metadata!", ADDRESS(INDEX($Q$2:$Q$1001,MATCH(ROWS($O$2:O898),$O$2:$O$1001,0),0), INDEX($V$1004:$AE$1004,1,MATCH(COLUMNS($V$1006:AD1006),$V$1006:$AE$1006,0)))),"Fix")))</f>
        <v>0</v>
      </c>
      <c r="K898" s="4">
        <f>IF(OR(INDEX($P$2:$P$1001,MATCH(ROWS($O$2:O898),$O$2:$O$1001,0),1)&gt;=100000,INDEX($V$1005:$AE$1005,1,MATCH(COLUMNS($V$1006:AE1006),$V$1006:$AE$1006,0))&gt;=100000), " ",IF(INDEX($V$2:$AE$1001,MATCH(ROWS($O$2:O898),$O$2:$O$1001,0),MATCH(COLUMNS($V$1006:AE1006),$V$1006:$AE$1006,0)), HYPERLINK("#",""), HYPERLINK(CONCATENATE("#Metadata!", ADDRESS(INDEX($Q$2:$Q$1001,MATCH(ROWS($O$2:O898),$O$2:$O$1001,0),0), INDEX($V$1004:$AE$1004,1,MATCH(COLUMNS($V$1006:AE1006),$V$1006:$AE$1006,0)))),"Fix")))</f>
        <v>0</v>
      </c>
      <c r="O898">
        <v>0</v>
      </c>
      <c r="P898">
        <v>0</v>
      </c>
      <c r="Q898">
        <v>0</v>
      </c>
      <c r="R898">
        <f>IF(S898,TRUE,AND(V898:AE898))</f>
        <v>0</v>
      </c>
      <c r="S898">
        <f>COUNTBLANK(Metadata!B898:K898)=COLUMNS(Metadata!B898:K898)</f>
        <v>0</v>
      </c>
      <c r="T898">
        <v>0</v>
      </c>
      <c r="V898">
        <f>AND(IF(Metadata!B898="",FALSE,TRUE),COUNTIF(Metadata!B:B, Metadata!B898) = 1,NOT(ISERROR(SUMPRODUCT(SEARCH(MID(Metadata!B898,ROW(INDIRECT("1:"&amp;LEN(Metadata!B898))), 1),"0123456789abcdefghijklmnopqrstuvwxyzABCDEFGHIJKLMNOPQRSTUVWXYZ.")))))</f>
        <v>0</v>
      </c>
      <c r="W898">
        <f>AND(IF(Metadata!C898="",FALSE,TRUE),exact(Metadata!C898,"urban biome"))</f>
        <v>0</v>
      </c>
      <c r="X898">
        <f>AND(IF(Metadata!D898="",FALSE,TRUE),exact(Metadata!D898,"animal-associated habitat"))</f>
        <v>0</v>
      </c>
      <c r="Y898">
        <f>OR(AND(IF(Metadata!E898="",FALSE,TRUE),OR(exact(Metadata!E898,"not applicable"),exact(Metadata!E898,"missing: not collected"),exact(Metadata!E898,"missing: not provided"),exact(Metadata!E898,"missing: restricted access"))),AND(IF(Metadata!E898="",FALSE,ISNUMBER(VALUE(Metadata!E898))),Metadata!E898&gt;0))</f>
        <v>0</v>
      </c>
      <c r="Z898">
        <f>AND(IF(Metadata!F898="",FALSE,TRUE),exact(Metadata!F898,"weeks"))</f>
        <v>0</v>
      </c>
      <c r="AA898">
        <f>AND(IF(Metadata!G898="",FALSE,TRUE),exact(Metadata!G898,"mouse"))</f>
        <v>0</v>
      </c>
      <c r="AB898">
        <f>AND(IF(Metadata!H898="",FALSE,TRUE),exact(Metadata!H898,"Mus musculus"))</f>
        <v>0</v>
      </c>
      <c r="AC898">
        <f>AND(IF(Metadata!I898="",FALSE,TRUE),exact(Metadata!I898,"10090"))</f>
        <v>0</v>
      </c>
      <c r="AD898">
        <f>OR(AND(IF(Metadata!J898="",FALSE,TRUE),OR(exact(Metadata!J898,"not applicable"),exact(Metadata!J898,"missing: not collected"),exact(Metadata!J898,"missing: not provided"),exact(Metadata!J898,"missing: restricted access"))),AND(IF(Metadata!J898="",FALSE,ISNUMBER(VALUE(Metadata!J898))),Metadata!J898&gt;0))</f>
        <v>0</v>
      </c>
      <c r="AE898">
        <f>AND(IF(Metadata!K898="",FALSE,TRUE),exact(Metadata!K898,"g"))</f>
        <v>0</v>
      </c>
    </row>
    <row r="899" spans="1:31">
      <c r="A899" s="5">
        <f>IF(B899=" "," ",HYPERLINK(CONCATENATE("#metadata!",ADDRESS(INDEX($Q$2:$Q$1001,MATCH(ROWS($O$2:O899),$O$2:$O$1001,0),0),1)),INDEX($T$2:$T$1001,MATCH(ROWS($O$2:O899),$O$2:$O$1001,0),0)))</f>
        <v>0</v>
      </c>
      <c r="B899" s="4">
        <f>IF(OR(INDEX($P$2:$P$1001,MATCH(ROWS($O$2:O899),$O$2:$O$1001,0),1)&gt;=100000,INDEX($V$1005:$AE$1005,1,MATCH(COLUMNS($V$1006:V1006),$V$1006:$AE$1006,0))&gt;=100000), " ",IF(INDEX($V$2:$AE$1001,MATCH(ROWS($O$2:O899),$O$2:$O$1001,0),MATCH(COLUMNS($V$1006:V1006),$V$1006:$AE$1006,0)), HYPERLINK("#",""), HYPERLINK(CONCATENATE("#Metadata!", ADDRESS(INDEX($Q$2:$Q$1001,MATCH(ROWS($O$2:O899),$O$2:$O$1001,0),0), INDEX($V$1004:$AE$1004,1,MATCH(COLUMNS($V$1006:V1006),$V$1006:$AE$1006,0)))),"Fix")))</f>
        <v>0</v>
      </c>
      <c r="C899" s="4">
        <f>IF(OR(INDEX($P$2:$P$1001,MATCH(ROWS($O$2:O899),$O$2:$O$1001,0),1)&gt;=100000,INDEX($V$1005:$AE$1005,1,MATCH(COLUMNS($V$1006:W1006),$V$1006:$AE$1006,0))&gt;=100000), " ",IF(INDEX($V$2:$AE$1001,MATCH(ROWS($O$2:O899),$O$2:$O$1001,0),MATCH(COLUMNS($V$1006:W1006),$V$1006:$AE$1006,0)), HYPERLINK("#",""), HYPERLINK(CONCATENATE("#Metadata!", ADDRESS(INDEX($Q$2:$Q$1001,MATCH(ROWS($O$2:O899),$O$2:$O$1001,0),0), INDEX($V$1004:$AE$1004,1,MATCH(COLUMNS($V$1006:W1006),$V$1006:$AE$1006,0)))),"Fix")))</f>
        <v>0</v>
      </c>
      <c r="D899" s="4">
        <f>IF(OR(INDEX($P$2:$P$1001,MATCH(ROWS($O$2:O899),$O$2:$O$1001,0),1)&gt;=100000,INDEX($V$1005:$AE$1005,1,MATCH(COLUMNS($V$1006:X1006),$V$1006:$AE$1006,0))&gt;=100000), " ",IF(INDEX($V$2:$AE$1001,MATCH(ROWS($O$2:O899),$O$2:$O$1001,0),MATCH(COLUMNS($V$1006:X1006),$V$1006:$AE$1006,0)), HYPERLINK("#",""), HYPERLINK(CONCATENATE("#Metadata!", ADDRESS(INDEX($Q$2:$Q$1001,MATCH(ROWS($O$2:O899),$O$2:$O$1001,0),0), INDEX($V$1004:$AE$1004,1,MATCH(COLUMNS($V$1006:X1006),$V$1006:$AE$1006,0)))),"Fix")))</f>
        <v>0</v>
      </c>
      <c r="E899" s="4">
        <f>IF(OR(INDEX($P$2:$P$1001,MATCH(ROWS($O$2:O899),$O$2:$O$1001,0),1)&gt;=100000,INDEX($V$1005:$AE$1005,1,MATCH(COLUMNS($V$1006:Y1006),$V$1006:$AE$1006,0))&gt;=100000), " ",IF(INDEX($V$2:$AE$1001,MATCH(ROWS($O$2:O899),$O$2:$O$1001,0),MATCH(COLUMNS($V$1006:Y1006),$V$1006:$AE$1006,0)), HYPERLINK("#",""), HYPERLINK(CONCATENATE("#Metadata!", ADDRESS(INDEX($Q$2:$Q$1001,MATCH(ROWS($O$2:O899),$O$2:$O$1001,0),0), INDEX($V$1004:$AE$1004,1,MATCH(COLUMNS($V$1006:Y1006),$V$1006:$AE$1006,0)))),"Fix")))</f>
        <v>0</v>
      </c>
      <c r="F899" s="4">
        <f>IF(OR(INDEX($P$2:$P$1001,MATCH(ROWS($O$2:O899),$O$2:$O$1001,0),1)&gt;=100000,INDEX($V$1005:$AE$1005,1,MATCH(COLUMNS($V$1006:Z1006),$V$1006:$AE$1006,0))&gt;=100000), " ",IF(INDEX($V$2:$AE$1001,MATCH(ROWS($O$2:O899),$O$2:$O$1001,0),MATCH(COLUMNS($V$1006:Z1006),$V$1006:$AE$1006,0)), HYPERLINK("#",""), HYPERLINK(CONCATENATE("#Metadata!", ADDRESS(INDEX($Q$2:$Q$1001,MATCH(ROWS($O$2:O899),$O$2:$O$1001,0),0), INDEX($V$1004:$AE$1004,1,MATCH(COLUMNS($V$1006:Z1006),$V$1006:$AE$1006,0)))),"Fix")))</f>
        <v>0</v>
      </c>
      <c r="G899" s="4">
        <f>IF(OR(INDEX($P$2:$P$1001,MATCH(ROWS($O$2:O899),$O$2:$O$1001,0),1)&gt;=100000,INDEX($V$1005:$AE$1005,1,MATCH(COLUMNS($V$1006:AA1006),$V$1006:$AE$1006,0))&gt;=100000), " ",IF(INDEX($V$2:$AE$1001,MATCH(ROWS($O$2:O899),$O$2:$O$1001,0),MATCH(COLUMNS($V$1006:AA1006),$V$1006:$AE$1006,0)), HYPERLINK("#",""), HYPERLINK(CONCATENATE("#Metadata!", ADDRESS(INDEX($Q$2:$Q$1001,MATCH(ROWS($O$2:O899),$O$2:$O$1001,0),0), INDEX($V$1004:$AE$1004,1,MATCH(COLUMNS($V$1006:AA1006),$V$1006:$AE$1006,0)))),"Fix")))</f>
        <v>0</v>
      </c>
      <c r="H899" s="4">
        <f>IF(OR(INDEX($P$2:$P$1001,MATCH(ROWS($O$2:O899),$O$2:$O$1001,0),1)&gt;=100000,INDEX($V$1005:$AE$1005,1,MATCH(COLUMNS($V$1006:AB1006),$V$1006:$AE$1006,0))&gt;=100000), " ",IF(INDEX($V$2:$AE$1001,MATCH(ROWS($O$2:O899),$O$2:$O$1001,0),MATCH(COLUMNS($V$1006:AB1006),$V$1006:$AE$1006,0)), HYPERLINK("#",""), HYPERLINK(CONCATENATE("#Metadata!", ADDRESS(INDEX($Q$2:$Q$1001,MATCH(ROWS($O$2:O899),$O$2:$O$1001,0),0), INDEX($V$1004:$AE$1004,1,MATCH(COLUMNS($V$1006:AB1006),$V$1006:$AE$1006,0)))),"Fix")))</f>
        <v>0</v>
      </c>
      <c r="I899" s="4">
        <f>IF(OR(INDEX($P$2:$P$1001,MATCH(ROWS($O$2:O899),$O$2:$O$1001,0),1)&gt;=100000,INDEX($V$1005:$AE$1005,1,MATCH(COLUMNS($V$1006:AC1006),$V$1006:$AE$1006,0))&gt;=100000), " ",IF(INDEX($V$2:$AE$1001,MATCH(ROWS($O$2:O899),$O$2:$O$1001,0),MATCH(COLUMNS($V$1006:AC1006),$V$1006:$AE$1006,0)), HYPERLINK("#",""), HYPERLINK(CONCATENATE("#Metadata!", ADDRESS(INDEX($Q$2:$Q$1001,MATCH(ROWS($O$2:O899),$O$2:$O$1001,0),0), INDEX($V$1004:$AE$1004,1,MATCH(COLUMNS($V$1006:AC1006),$V$1006:$AE$1006,0)))),"Fix")))</f>
        <v>0</v>
      </c>
      <c r="J899" s="4">
        <f>IF(OR(INDEX($P$2:$P$1001,MATCH(ROWS($O$2:O899),$O$2:$O$1001,0),1)&gt;=100000,INDEX($V$1005:$AE$1005,1,MATCH(COLUMNS($V$1006:AD1006),$V$1006:$AE$1006,0))&gt;=100000), " ",IF(INDEX($V$2:$AE$1001,MATCH(ROWS($O$2:O899),$O$2:$O$1001,0),MATCH(COLUMNS($V$1006:AD1006),$V$1006:$AE$1006,0)), HYPERLINK("#",""), HYPERLINK(CONCATENATE("#Metadata!", ADDRESS(INDEX($Q$2:$Q$1001,MATCH(ROWS($O$2:O899),$O$2:$O$1001,0),0), INDEX($V$1004:$AE$1004,1,MATCH(COLUMNS($V$1006:AD1006),$V$1006:$AE$1006,0)))),"Fix")))</f>
        <v>0</v>
      </c>
      <c r="K899" s="4">
        <f>IF(OR(INDEX($P$2:$P$1001,MATCH(ROWS($O$2:O899),$O$2:$O$1001,0),1)&gt;=100000,INDEX($V$1005:$AE$1005,1,MATCH(COLUMNS($V$1006:AE1006),$V$1006:$AE$1006,0))&gt;=100000), " ",IF(INDEX($V$2:$AE$1001,MATCH(ROWS($O$2:O899),$O$2:$O$1001,0),MATCH(COLUMNS($V$1006:AE1006),$V$1006:$AE$1006,0)), HYPERLINK("#",""), HYPERLINK(CONCATENATE("#Metadata!", ADDRESS(INDEX($Q$2:$Q$1001,MATCH(ROWS($O$2:O899),$O$2:$O$1001,0),0), INDEX($V$1004:$AE$1004,1,MATCH(COLUMNS($V$1006:AE1006),$V$1006:$AE$1006,0)))),"Fix")))</f>
        <v>0</v>
      </c>
      <c r="O899">
        <v>0</v>
      </c>
      <c r="P899">
        <v>0</v>
      </c>
      <c r="Q899">
        <v>0</v>
      </c>
      <c r="R899">
        <f>IF(S899,TRUE,AND(V899:AE899))</f>
        <v>0</v>
      </c>
      <c r="S899">
        <f>COUNTBLANK(Metadata!B899:K899)=COLUMNS(Metadata!B899:K899)</f>
        <v>0</v>
      </c>
      <c r="T899">
        <v>0</v>
      </c>
      <c r="V899">
        <f>AND(IF(Metadata!B899="",FALSE,TRUE),COUNTIF(Metadata!B:B, Metadata!B899) = 1,NOT(ISERROR(SUMPRODUCT(SEARCH(MID(Metadata!B899,ROW(INDIRECT("1:"&amp;LEN(Metadata!B899))), 1),"0123456789abcdefghijklmnopqrstuvwxyzABCDEFGHIJKLMNOPQRSTUVWXYZ.")))))</f>
        <v>0</v>
      </c>
      <c r="W899">
        <f>AND(IF(Metadata!C899="",FALSE,TRUE),exact(Metadata!C899,"urban biome"))</f>
        <v>0</v>
      </c>
      <c r="X899">
        <f>AND(IF(Metadata!D899="",FALSE,TRUE),exact(Metadata!D899,"animal-associated habitat"))</f>
        <v>0</v>
      </c>
      <c r="Y899">
        <f>OR(AND(IF(Metadata!E899="",FALSE,TRUE),OR(exact(Metadata!E899,"not applicable"),exact(Metadata!E899,"missing: not collected"),exact(Metadata!E899,"missing: not provided"),exact(Metadata!E899,"missing: restricted access"))),AND(IF(Metadata!E899="",FALSE,ISNUMBER(VALUE(Metadata!E899))),Metadata!E899&gt;0))</f>
        <v>0</v>
      </c>
      <c r="Z899">
        <f>AND(IF(Metadata!F899="",FALSE,TRUE),exact(Metadata!F899,"weeks"))</f>
        <v>0</v>
      </c>
      <c r="AA899">
        <f>AND(IF(Metadata!G899="",FALSE,TRUE),exact(Metadata!G899,"mouse"))</f>
        <v>0</v>
      </c>
      <c r="AB899">
        <f>AND(IF(Metadata!H899="",FALSE,TRUE),exact(Metadata!H899,"Mus musculus"))</f>
        <v>0</v>
      </c>
      <c r="AC899">
        <f>AND(IF(Metadata!I899="",FALSE,TRUE),exact(Metadata!I899,"10090"))</f>
        <v>0</v>
      </c>
      <c r="AD899">
        <f>OR(AND(IF(Metadata!J899="",FALSE,TRUE),OR(exact(Metadata!J899,"not applicable"),exact(Metadata!J899,"missing: not collected"),exact(Metadata!J899,"missing: not provided"),exact(Metadata!J899,"missing: restricted access"))),AND(IF(Metadata!J899="",FALSE,ISNUMBER(VALUE(Metadata!J899))),Metadata!J899&gt;0))</f>
        <v>0</v>
      </c>
      <c r="AE899">
        <f>AND(IF(Metadata!K899="",FALSE,TRUE),exact(Metadata!K899,"g"))</f>
        <v>0</v>
      </c>
    </row>
    <row r="900" spans="1:31">
      <c r="A900" s="5">
        <f>IF(B900=" "," ",HYPERLINK(CONCATENATE("#metadata!",ADDRESS(INDEX($Q$2:$Q$1001,MATCH(ROWS($O$2:O900),$O$2:$O$1001,0),0),1)),INDEX($T$2:$T$1001,MATCH(ROWS($O$2:O900),$O$2:$O$1001,0),0)))</f>
        <v>0</v>
      </c>
      <c r="B900" s="4">
        <f>IF(OR(INDEX($P$2:$P$1001,MATCH(ROWS($O$2:O900),$O$2:$O$1001,0),1)&gt;=100000,INDEX($V$1005:$AE$1005,1,MATCH(COLUMNS($V$1006:V1006),$V$1006:$AE$1006,0))&gt;=100000), " ",IF(INDEX($V$2:$AE$1001,MATCH(ROWS($O$2:O900),$O$2:$O$1001,0),MATCH(COLUMNS($V$1006:V1006),$V$1006:$AE$1006,0)), HYPERLINK("#",""), HYPERLINK(CONCATENATE("#Metadata!", ADDRESS(INDEX($Q$2:$Q$1001,MATCH(ROWS($O$2:O900),$O$2:$O$1001,0),0), INDEX($V$1004:$AE$1004,1,MATCH(COLUMNS($V$1006:V1006),$V$1006:$AE$1006,0)))),"Fix")))</f>
        <v>0</v>
      </c>
      <c r="C900" s="4">
        <f>IF(OR(INDEX($P$2:$P$1001,MATCH(ROWS($O$2:O900),$O$2:$O$1001,0),1)&gt;=100000,INDEX($V$1005:$AE$1005,1,MATCH(COLUMNS($V$1006:W1006),$V$1006:$AE$1006,0))&gt;=100000), " ",IF(INDEX($V$2:$AE$1001,MATCH(ROWS($O$2:O900),$O$2:$O$1001,0),MATCH(COLUMNS($V$1006:W1006),$V$1006:$AE$1006,0)), HYPERLINK("#",""), HYPERLINK(CONCATENATE("#Metadata!", ADDRESS(INDEX($Q$2:$Q$1001,MATCH(ROWS($O$2:O900),$O$2:$O$1001,0),0), INDEX($V$1004:$AE$1004,1,MATCH(COLUMNS($V$1006:W1006),$V$1006:$AE$1006,0)))),"Fix")))</f>
        <v>0</v>
      </c>
      <c r="D900" s="4">
        <f>IF(OR(INDEX($P$2:$P$1001,MATCH(ROWS($O$2:O900),$O$2:$O$1001,0),1)&gt;=100000,INDEX($V$1005:$AE$1005,1,MATCH(COLUMNS($V$1006:X1006),$V$1006:$AE$1006,0))&gt;=100000), " ",IF(INDEX($V$2:$AE$1001,MATCH(ROWS($O$2:O900),$O$2:$O$1001,0),MATCH(COLUMNS($V$1006:X1006),$V$1006:$AE$1006,0)), HYPERLINK("#",""), HYPERLINK(CONCATENATE("#Metadata!", ADDRESS(INDEX($Q$2:$Q$1001,MATCH(ROWS($O$2:O900),$O$2:$O$1001,0),0), INDEX($V$1004:$AE$1004,1,MATCH(COLUMNS($V$1006:X1006),$V$1006:$AE$1006,0)))),"Fix")))</f>
        <v>0</v>
      </c>
      <c r="E900" s="4">
        <f>IF(OR(INDEX($P$2:$P$1001,MATCH(ROWS($O$2:O900),$O$2:$O$1001,0),1)&gt;=100000,INDEX($V$1005:$AE$1005,1,MATCH(COLUMNS($V$1006:Y1006),$V$1006:$AE$1006,0))&gt;=100000), " ",IF(INDEX($V$2:$AE$1001,MATCH(ROWS($O$2:O900),$O$2:$O$1001,0),MATCH(COLUMNS($V$1006:Y1006),$V$1006:$AE$1006,0)), HYPERLINK("#",""), HYPERLINK(CONCATENATE("#Metadata!", ADDRESS(INDEX($Q$2:$Q$1001,MATCH(ROWS($O$2:O900),$O$2:$O$1001,0),0), INDEX($V$1004:$AE$1004,1,MATCH(COLUMNS($V$1006:Y1006),$V$1006:$AE$1006,0)))),"Fix")))</f>
        <v>0</v>
      </c>
      <c r="F900" s="4">
        <f>IF(OR(INDEX($P$2:$P$1001,MATCH(ROWS($O$2:O900),$O$2:$O$1001,0),1)&gt;=100000,INDEX($V$1005:$AE$1005,1,MATCH(COLUMNS($V$1006:Z1006),$V$1006:$AE$1006,0))&gt;=100000), " ",IF(INDEX($V$2:$AE$1001,MATCH(ROWS($O$2:O900),$O$2:$O$1001,0),MATCH(COLUMNS($V$1006:Z1006),$V$1006:$AE$1006,0)), HYPERLINK("#",""), HYPERLINK(CONCATENATE("#Metadata!", ADDRESS(INDEX($Q$2:$Q$1001,MATCH(ROWS($O$2:O900),$O$2:$O$1001,0),0), INDEX($V$1004:$AE$1004,1,MATCH(COLUMNS($V$1006:Z1006),$V$1006:$AE$1006,0)))),"Fix")))</f>
        <v>0</v>
      </c>
      <c r="G900" s="4">
        <f>IF(OR(INDEX($P$2:$P$1001,MATCH(ROWS($O$2:O900),$O$2:$O$1001,0),1)&gt;=100000,INDEX($V$1005:$AE$1005,1,MATCH(COLUMNS($V$1006:AA1006),$V$1006:$AE$1006,0))&gt;=100000), " ",IF(INDEX($V$2:$AE$1001,MATCH(ROWS($O$2:O900),$O$2:$O$1001,0),MATCH(COLUMNS($V$1006:AA1006),$V$1006:$AE$1006,0)), HYPERLINK("#",""), HYPERLINK(CONCATENATE("#Metadata!", ADDRESS(INDEX($Q$2:$Q$1001,MATCH(ROWS($O$2:O900),$O$2:$O$1001,0),0), INDEX($V$1004:$AE$1004,1,MATCH(COLUMNS($V$1006:AA1006),$V$1006:$AE$1006,0)))),"Fix")))</f>
        <v>0</v>
      </c>
      <c r="H900" s="4">
        <f>IF(OR(INDEX($P$2:$P$1001,MATCH(ROWS($O$2:O900),$O$2:$O$1001,0),1)&gt;=100000,INDEX($V$1005:$AE$1005,1,MATCH(COLUMNS($V$1006:AB1006),$V$1006:$AE$1006,0))&gt;=100000), " ",IF(INDEX($V$2:$AE$1001,MATCH(ROWS($O$2:O900),$O$2:$O$1001,0),MATCH(COLUMNS($V$1006:AB1006),$V$1006:$AE$1006,0)), HYPERLINK("#",""), HYPERLINK(CONCATENATE("#Metadata!", ADDRESS(INDEX($Q$2:$Q$1001,MATCH(ROWS($O$2:O900),$O$2:$O$1001,0),0), INDEX($V$1004:$AE$1004,1,MATCH(COLUMNS($V$1006:AB1006),$V$1006:$AE$1006,0)))),"Fix")))</f>
        <v>0</v>
      </c>
      <c r="I900" s="4">
        <f>IF(OR(INDEX($P$2:$P$1001,MATCH(ROWS($O$2:O900),$O$2:$O$1001,0),1)&gt;=100000,INDEX($V$1005:$AE$1005,1,MATCH(COLUMNS($V$1006:AC1006),$V$1006:$AE$1006,0))&gt;=100000), " ",IF(INDEX($V$2:$AE$1001,MATCH(ROWS($O$2:O900),$O$2:$O$1001,0),MATCH(COLUMNS($V$1006:AC1006),$V$1006:$AE$1006,0)), HYPERLINK("#",""), HYPERLINK(CONCATENATE("#Metadata!", ADDRESS(INDEX($Q$2:$Q$1001,MATCH(ROWS($O$2:O900),$O$2:$O$1001,0),0), INDEX($V$1004:$AE$1004,1,MATCH(COLUMNS($V$1006:AC1006),$V$1006:$AE$1006,0)))),"Fix")))</f>
        <v>0</v>
      </c>
      <c r="J900" s="4">
        <f>IF(OR(INDEX($P$2:$P$1001,MATCH(ROWS($O$2:O900),$O$2:$O$1001,0),1)&gt;=100000,INDEX($V$1005:$AE$1005,1,MATCH(COLUMNS($V$1006:AD1006),$V$1006:$AE$1006,0))&gt;=100000), " ",IF(INDEX($V$2:$AE$1001,MATCH(ROWS($O$2:O900),$O$2:$O$1001,0),MATCH(COLUMNS($V$1006:AD1006),$V$1006:$AE$1006,0)), HYPERLINK("#",""), HYPERLINK(CONCATENATE("#Metadata!", ADDRESS(INDEX($Q$2:$Q$1001,MATCH(ROWS($O$2:O900),$O$2:$O$1001,0),0), INDEX($V$1004:$AE$1004,1,MATCH(COLUMNS($V$1006:AD1006),$V$1006:$AE$1006,0)))),"Fix")))</f>
        <v>0</v>
      </c>
      <c r="K900" s="4">
        <f>IF(OR(INDEX($P$2:$P$1001,MATCH(ROWS($O$2:O900),$O$2:$O$1001,0),1)&gt;=100000,INDEX($V$1005:$AE$1005,1,MATCH(COLUMNS($V$1006:AE1006),$V$1006:$AE$1006,0))&gt;=100000), " ",IF(INDEX($V$2:$AE$1001,MATCH(ROWS($O$2:O900),$O$2:$O$1001,0),MATCH(COLUMNS($V$1006:AE1006),$V$1006:$AE$1006,0)), HYPERLINK("#",""), HYPERLINK(CONCATENATE("#Metadata!", ADDRESS(INDEX($Q$2:$Q$1001,MATCH(ROWS($O$2:O900),$O$2:$O$1001,0),0), INDEX($V$1004:$AE$1004,1,MATCH(COLUMNS($V$1006:AE1006),$V$1006:$AE$1006,0)))),"Fix")))</f>
        <v>0</v>
      </c>
      <c r="O900">
        <v>0</v>
      </c>
      <c r="P900">
        <v>0</v>
      </c>
      <c r="Q900">
        <v>0</v>
      </c>
      <c r="R900">
        <f>IF(S900,TRUE,AND(V900:AE900))</f>
        <v>0</v>
      </c>
      <c r="S900">
        <f>COUNTBLANK(Metadata!B900:K900)=COLUMNS(Metadata!B900:K900)</f>
        <v>0</v>
      </c>
      <c r="T900">
        <v>0</v>
      </c>
      <c r="V900">
        <f>AND(IF(Metadata!B900="",FALSE,TRUE),COUNTIF(Metadata!B:B, Metadata!B900) = 1,NOT(ISERROR(SUMPRODUCT(SEARCH(MID(Metadata!B900,ROW(INDIRECT("1:"&amp;LEN(Metadata!B900))), 1),"0123456789abcdefghijklmnopqrstuvwxyzABCDEFGHIJKLMNOPQRSTUVWXYZ.")))))</f>
        <v>0</v>
      </c>
      <c r="W900">
        <f>AND(IF(Metadata!C900="",FALSE,TRUE),exact(Metadata!C900,"urban biome"))</f>
        <v>0</v>
      </c>
      <c r="X900">
        <f>AND(IF(Metadata!D900="",FALSE,TRUE),exact(Metadata!D900,"animal-associated habitat"))</f>
        <v>0</v>
      </c>
      <c r="Y900">
        <f>OR(AND(IF(Metadata!E900="",FALSE,TRUE),OR(exact(Metadata!E900,"not applicable"),exact(Metadata!E900,"missing: not collected"),exact(Metadata!E900,"missing: not provided"),exact(Metadata!E900,"missing: restricted access"))),AND(IF(Metadata!E900="",FALSE,ISNUMBER(VALUE(Metadata!E900))),Metadata!E900&gt;0))</f>
        <v>0</v>
      </c>
      <c r="Z900">
        <f>AND(IF(Metadata!F900="",FALSE,TRUE),exact(Metadata!F900,"weeks"))</f>
        <v>0</v>
      </c>
      <c r="AA900">
        <f>AND(IF(Metadata!G900="",FALSE,TRUE),exact(Metadata!G900,"mouse"))</f>
        <v>0</v>
      </c>
      <c r="AB900">
        <f>AND(IF(Metadata!H900="",FALSE,TRUE),exact(Metadata!H900,"Mus musculus"))</f>
        <v>0</v>
      </c>
      <c r="AC900">
        <f>AND(IF(Metadata!I900="",FALSE,TRUE),exact(Metadata!I900,"10090"))</f>
        <v>0</v>
      </c>
      <c r="AD900">
        <f>OR(AND(IF(Metadata!J900="",FALSE,TRUE),OR(exact(Metadata!J900,"not applicable"),exact(Metadata!J900,"missing: not collected"),exact(Metadata!J900,"missing: not provided"),exact(Metadata!J900,"missing: restricted access"))),AND(IF(Metadata!J900="",FALSE,ISNUMBER(VALUE(Metadata!J900))),Metadata!J900&gt;0))</f>
        <v>0</v>
      </c>
      <c r="AE900">
        <f>AND(IF(Metadata!K900="",FALSE,TRUE),exact(Metadata!K900,"g"))</f>
        <v>0</v>
      </c>
    </row>
    <row r="901" spans="1:31">
      <c r="A901" s="5">
        <f>IF(B901=" "," ",HYPERLINK(CONCATENATE("#metadata!",ADDRESS(INDEX($Q$2:$Q$1001,MATCH(ROWS($O$2:O901),$O$2:$O$1001,0),0),1)),INDEX($T$2:$T$1001,MATCH(ROWS($O$2:O901),$O$2:$O$1001,0),0)))</f>
        <v>0</v>
      </c>
      <c r="B901" s="4">
        <f>IF(OR(INDEX($P$2:$P$1001,MATCH(ROWS($O$2:O901),$O$2:$O$1001,0),1)&gt;=100000,INDEX($V$1005:$AE$1005,1,MATCH(COLUMNS($V$1006:V1006),$V$1006:$AE$1006,0))&gt;=100000), " ",IF(INDEX($V$2:$AE$1001,MATCH(ROWS($O$2:O901),$O$2:$O$1001,0),MATCH(COLUMNS($V$1006:V1006),$V$1006:$AE$1006,0)), HYPERLINK("#",""), HYPERLINK(CONCATENATE("#Metadata!", ADDRESS(INDEX($Q$2:$Q$1001,MATCH(ROWS($O$2:O901),$O$2:$O$1001,0),0), INDEX($V$1004:$AE$1004,1,MATCH(COLUMNS($V$1006:V1006),$V$1006:$AE$1006,0)))),"Fix")))</f>
        <v>0</v>
      </c>
      <c r="C901" s="4">
        <f>IF(OR(INDEX($P$2:$P$1001,MATCH(ROWS($O$2:O901),$O$2:$O$1001,0),1)&gt;=100000,INDEX($V$1005:$AE$1005,1,MATCH(COLUMNS($V$1006:W1006),$V$1006:$AE$1006,0))&gt;=100000), " ",IF(INDEX($V$2:$AE$1001,MATCH(ROWS($O$2:O901),$O$2:$O$1001,0),MATCH(COLUMNS($V$1006:W1006),$V$1006:$AE$1006,0)), HYPERLINK("#",""), HYPERLINK(CONCATENATE("#Metadata!", ADDRESS(INDEX($Q$2:$Q$1001,MATCH(ROWS($O$2:O901),$O$2:$O$1001,0),0), INDEX($V$1004:$AE$1004,1,MATCH(COLUMNS($V$1006:W1006),$V$1006:$AE$1006,0)))),"Fix")))</f>
        <v>0</v>
      </c>
      <c r="D901" s="4">
        <f>IF(OR(INDEX($P$2:$P$1001,MATCH(ROWS($O$2:O901),$O$2:$O$1001,0),1)&gt;=100000,INDEX($V$1005:$AE$1005,1,MATCH(COLUMNS($V$1006:X1006),$V$1006:$AE$1006,0))&gt;=100000), " ",IF(INDEX($V$2:$AE$1001,MATCH(ROWS($O$2:O901),$O$2:$O$1001,0),MATCH(COLUMNS($V$1006:X1006),$V$1006:$AE$1006,0)), HYPERLINK("#",""), HYPERLINK(CONCATENATE("#Metadata!", ADDRESS(INDEX($Q$2:$Q$1001,MATCH(ROWS($O$2:O901),$O$2:$O$1001,0),0), INDEX($V$1004:$AE$1004,1,MATCH(COLUMNS($V$1006:X1006),$V$1006:$AE$1006,0)))),"Fix")))</f>
        <v>0</v>
      </c>
      <c r="E901" s="4">
        <f>IF(OR(INDEX($P$2:$P$1001,MATCH(ROWS($O$2:O901),$O$2:$O$1001,0),1)&gt;=100000,INDEX($V$1005:$AE$1005,1,MATCH(COLUMNS($V$1006:Y1006),$V$1006:$AE$1006,0))&gt;=100000), " ",IF(INDEX($V$2:$AE$1001,MATCH(ROWS($O$2:O901),$O$2:$O$1001,0),MATCH(COLUMNS($V$1006:Y1006),$V$1006:$AE$1006,0)), HYPERLINK("#",""), HYPERLINK(CONCATENATE("#Metadata!", ADDRESS(INDEX($Q$2:$Q$1001,MATCH(ROWS($O$2:O901),$O$2:$O$1001,0),0), INDEX($V$1004:$AE$1004,1,MATCH(COLUMNS($V$1006:Y1006),$V$1006:$AE$1006,0)))),"Fix")))</f>
        <v>0</v>
      </c>
      <c r="F901" s="4">
        <f>IF(OR(INDEX($P$2:$P$1001,MATCH(ROWS($O$2:O901),$O$2:$O$1001,0),1)&gt;=100000,INDEX($V$1005:$AE$1005,1,MATCH(COLUMNS($V$1006:Z1006),$V$1006:$AE$1006,0))&gt;=100000), " ",IF(INDEX($V$2:$AE$1001,MATCH(ROWS($O$2:O901),$O$2:$O$1001,0),MATCH(COLUMNS($V$1006:Z1006),$V$1006:$AE$1006,0)), HYPERLINK("#",""), HYPERLINK(CONCATENATE("#Metadata!", ADDRESS(INDEX($Q$2:$Q$1001,MATCH(ROWS($O$2:O901),$O$2:$O$1001,0),0), INDEX($V$1004:$AE$1004,1,MATCH(COLUMNS($V$1006:Z1006),$V$1006:$AE$1006,0)))),"Fix")))</f>
        <v>0</v>
      </c>
      <c r="G901" s="4">
        <f>IF(OR(INDEX($P$2:$P$1001,MATCH(ROWS($O$2:O901),$O$2:$O$1001,0),1)&gt;=100000,INDEX($V$1005:$AE$1005,1,MATCH(COLUMNS($V$1006:AA1006),$V$1006:$AE$1006,0))&gt;=100000), " ",IF(INDEX($V$2:$AE$1001,MATCH(ROWS($O$2:O901),$O$2:$O$1001,0),MATCH(COLUMNS($V$1006:AA1006),$V$1006:$AE$1006,0)), HYPERLINK("#",""), HYPERLINK(CONCATENATE("#Metadata!", ADDRESS(INDEX($Q$2:$Q$1001,MATCH(ROWS($O$2:O901),$O$2:$O$1001,0),0), INDEX($V$1004:$AE$1004,1,MATCH(COLUMNS($V$1006:AA1006),$V$1006:$AE$1006,0)))),"Fix")))</f>
        <v>0</v>
      </c>
      <c r="H901" s="4">
        <f>IF(OR(INDEX($P$2:$P$1001,MATCH(ROWS($O$2:O901),$O$2:$O$1001,0),1)&gt;=100000,INDEX($V$1005:$AE$1005,1,MATCH(COLUMNS($V$1006:AB1006),$V$1006:$AE$1006,0))&gt;=100000), " ",IF(INDEX($V$2:$AE$1001,MATCH(ROWS($O$2:O901),$O$2:$O$1001,0),MATCH(COLUMNS($V$1006:AB1006),$V$1006:$AE$1006,0)), HYPERLINK("#",""), HYPERLINK(CONCATENATE("#Metadata!", ADDRESS(INDEX($Q$2:$Q$1001,MATCH(ROWS($O$2:O901),$O$2:$O$1001,0),0), INDEX($V$1004:$AE$1004,1,MATCH(COLUMNS($V$1006:AB1006),$V$1006:$AE$1006,0)))),"Fix")))</f>
        <v>0</v>
      </c>
      <c r="I901" s="4">
        <f>IF(OR(INDEX($P$2:$P$1001,MATCH(ROWS($O$2:O901),$O$2:$O$1001,0),1)&gt;=100000,INDEX($V$1005:$AE$1005,1,MATCH(COLUMNS($V$1006:AC1006),$V$1006:$AE$1006,0))&gt;=100000), " ",IF(INDEX($V$2:$AE$1001,MATCH(ROWS($O$2:O901),$O$2:$O$1001,0),MATCH(COLUMNS($V$1006:AC1006),$V$1006:$AE$1006,0)), HYPERLINK("#",""), HYPERLINK(CONCATENATE("#Metadata!", ADDRESS(INDEX($Q$2:$Q$1001,MATCH(ROWS($O$2:O901),$O$2:$O$1001,0),0), INDEX($V$1004:$AE$1004,1,MATCH(COLUMNS($V$1006:AC1006),$V$1006:$AE$1006,0)))),"Fix")))</f>
        <v>0</v>
      </c>
      <c r="J901" s="4">
        <f>IF(OR(INDEX($P$2:$P$1001,MATCH(ROWS($O$2:O901),$O$2:$O$1001,0),1)&gt;=100000,INDEX($V$1005:$AE$1005,1,MATCH(COLUMNS($V$1006:AD1006),$V$1006:$AE$1006,0))&gt;=100000), " ",IF(INDEX($V$2:$AE$1001,MATCH(ROWS($O$2:O901),$O$2:$O$1001,0),MATCH(COLUMNS($V$1006:AD1006),$V$1006:$AE$1006,0)), HYPERLINK("#",""), HYPERLINK(CONCATENATE("#Metadata!", ADDRESS(INDEX($Q$2:$Q$1001,MATCH(ROWS($O$2:O901),$O$2:$O$1001,0),0), INDEX($V$1004:$AE$1004,1,MATCH(COLUMNS($V$1006:AD1006),$V$1006:$AE$1006,0)))),"Fix")))</f>
        <v>0</v>
      </c>
      <c r="K901" s="4">
        <f>IF(OR(INDEX($P$2:$P$1001,MATCH(ROWS($O$2:O901),$O$2:$O$1001,0),1)&gt;=100000,INDEX($V$1005:$AE$1005,1,MATCH(COLUMNS($V$1006:AE1006),$V$1006:$AE$1006,0))&gt;=100000), " ",IF(INDEX($V$2:$AE$1001,MATCH(ROWS($O$2:O901),$O$2:$O$1001,0),MATCH(COLUMNS($V$1006:AE1006),$V$1006:$AE$1006,0)), HYPERLINK("#",""), HYPERLINK(CONCATENATE("#Metadata!", ADDRESS(INDEX($Q$2:$Q$1001,MATCH(ROWS($O$2:O901),$O$2:$O$1001,0),0), INDEX($V$1004:$AE$1004,1,MATCH(COLUMNS($V$1006:AE1006),$V$1006:$AE$1006,0)))),"Fix")))</f>
        <v>0</v>
      </c>
      <c r="O901">
        <v>0</v>
      </c>
      <c r="P901">
        <v>0</v>
      </c>
      <c r="Q901">
        <v>0</v>
      </c>
      <c r="R901">
        <f>IF(S901,TRUE,AND(V901:AE901))</f>
        <v>0</v>
      </c>
      <c r="S901">
        <f>COUNTBLANK(Metadata!B901:K901)=COLUMNS(Metadata!B901:K901)</f>
        <v>0</v>
      </c>
      <c r="T901">
        <v>0</v>
      </c>
      <c r="V901">
        <f>AND(IF(Metadata!B901="",FALSE,TRUE),COUNTIF(Metadata!B:B, Metadata!B901) = 1,NOT(ISERROR(SUMPRODUCT(SEARCH(MID(Metadata!B901,ROW(INDIRECT("1:"&amp;LEN(Metadata!B901))), 1),"0123456789abcdefghijklmnopqrstuvwxyzABCDEFGHIJKLMNOPQRSTUVWXYZ.")))))</f>
        <v>0</v>
      </c>
      <c r="W901">
        <f>AND(IF(Metadata!C901="",FALSE,TRUE),exact(Metadata!C901,"urban biome"))</f>
        <v>0</v>
      </c>
      <c r="X901">
        <f>AND(IF(Metadata!D901="",FALSE,TRUE),exact(Metadata!D901,"animal-associated habitat"))</f>
        <v>0</v>
      </c>
      <c r="Y901">
        <f>OR(AND(IF(Metadata!E901="",FALSE,TRUE),OR(exact(Metadata!E901,"not applicable"),exact(Metadata!E901,"missing: not collected"),exact(Metadata!E901,"missing: not provided"),exact(Metadata!E901,"missing: restricted access"))),AND(IF(Metadata!E901="",FALSE,ISNUMBER(VALUE(Metadata!E901))),Metadata!E901&gt;0))</f>
        <v>0</v>
      </c>
      <c r="Z901">
        <f>AND(IF(Metadata!F901="",FALSE,TRUE),exact(Metadata!F901,"weeks"))</f>
        <v>0</v>
      </c>
      <c r="AA901">
        <f>AND(IF(Metadata!G901="",FALSE,TRUE),exact(Metadata!G901,"mouse"))</f>
        <v>0</v>
      </c>
      <c r="AB901">
        <f>AND(IF(Metadata!H901="",FALSE,TRUE),exact(Metadata!H901,"Mus musculus"))</f>
        <v>0</v>
      </c>
      <c r="AC901">
        <f>AND(IF(Metadata!I901="",FALSE,TRUE),exact(Metadata!I901,"10090"))</f>
        <v>0</v>
      </c>
      <c r="AD901">
        <f>OR(AND(IF(Metadata!J901="",FALSE,TRUE),OR(exact(Metadata!J901,"not applicable"),exact(Metadata!J901,"missing: not collected"),exact(Metadata!J901,"missing: not provided"),exact(Metadata!J901,"missing: restricted access"))),AND(IF(Metadata!J901="",FALSE,ISNUMBER(VALUE(Metadata!J901))),Metadata!J901&gt;0))</f>
        <v>0</v>
      </c>
      <c r="AE901">
        <f>AND(IF(Metadata!K901="",FALSE,TRUE),exact(Metadata!K901,"g"))</f>
        <v>0</v>
      </c>
    </row>
    <row r="902" spans="1:31">
      <c r="A902" s="5">
        <f>IF(B902=" "," ",HYPERLINK(CONCATENATE("#metadata!",ADDRESS(INDEX($Q$2:$Q$1001,MATCH(ROWS($O$2:O902),$O$2:$O$1001,0),0),1)),INDEX($T$2:$T$1001,MATCH(ROWS($O$2:O902),$O$2:$O$1001,0),0)))</f>
        <v>0</v>
      </c>
      <c r="B902" s="4">
        <f>IF(OR(INDEX($P$2:$P$1001,MATCH(ROWS($O$2:O902),$O$2:$O$1001,0),1)&gt;=100000,INDEX($V$1005:$AE$1005,1,MATCH(COLUMNS($V$1006:V1006),$V$1006:$AE$1006,0))&gt;=100000), " ",IF(INDEX($V$2:$AE$1001,MATCH(ROWS($O$2:O902),$O$2:$O$1001,0),MATCH(COLUMNS($V$1006:V1006),$V$1006:$AE$1006,0)), HYPERLINK("#",""), HYPERLINK(CONCATENATE("#Metadata!", ADDRESS(INDEX($Q$2:$Q$1001,MATCH(ROWS($O$2:O902),$O$2:$O$1001,0),0), INDEX($V$1004:$AE$1004,1,MATCH(COLUMNS($V$1006:V1006),$V$1006:$AE$1006,0)))),"Fix")))</f>
        <v>0</v>
      </c>
      <c r="C902" s="4">
        <f>IF(OR(INDEX($P$2:$P$1001,MATCH(ROWS($O$2:O902),$O$2:$O$1001,0),1)&gt;=100000,INDEX($V$1005:$AE$1005,1,MATCH(COLUMNS($V$1006:W1006),$V$1006:$AE$1006,0))&gt;=100000), " ",IF(INDEX($V$2:$AE$1001,MATCH(ROWS($O$2:O902),$O$2:$O$1001,0),MATCH(COLUMNS($V$1006:W1006),$V$1006:$AE$1006,0)), HYPERLINK("#",""), HYPERLINK(CONCATENATE("#Metadata!", ADDRESS(INDEX($Q$2:$Q$1001,MATCH(ROWS($O$2:O902),$O$2:$O$1001,0),0), INDEX($V$1004:$AE$1004,1,MATCH(COLUMNS($V$1006:W1006),$V$1006:$AE$1006,0)))),"Fix")))</f>
        <v>0</v>
      </c>
      <c r="D902" s="4">
        <f>IF(OR(INDEX($P$2:$P$1001,MATCH(ROWS($O$2:O902),$O$2:$O$1001,0),1)&gt;=100000,INDEX($V$1005:$AE$1005,1,MATCH(COLUMNS($V$1006:X1006),$V$1006:$AE$1006,0))&gt;=100000), " ",IF(INDEX($V$2:$AE$1001,MATCH(ROWS($O$2:O902),$O$2:$O$1001,0),MATCH(COLUMNS($V$1006:X1006),$V$1006:$AE$1006,0)), HYPERLINK("#",""), HYPERLINK(CONCATENATE("#Metadata!", ADDRESS(INDEX($Q$2:$Q$1001,MATCH(ROWS($O$2:O902),$O$2:$O$1001,0),0), INDEX($V$1004:$AE$1004,1,MATCH(COLUMNS($V$1006:X1006),$V$1006:$AE$1006,0)))),"Fix")))</f>
        <v>0</v>
      </c>
      <c r="E902" s="4">
        <f>IF(OR(INDEX($P$2:$P$1001,MATCH(ROWS($O$2:O902),$O$2:$O$1001,0),1)&gt;=100000,INDEX($V$1005:$AE$1005,1,MATCH(COLUMNS($V$1006:Y1006),$V$1006:$AE$1006,0))&gt;=100000), " ",IF(INDEX($V$2:$AE$1001,MATCH(ROWS($O$2:O902),$O$2:$O$1001,0),MATCH(COLUMNS($V$1006:Y1006),$V$1006:$AE$1006,0)), HYPERLINK("#",""), HYPERLINK(CONCATENATE("#Metadata!", ADDRESS(INDEX($Q$2:$Q$1001,MATCH(ROWS($O$2:O902),$O$2:$O$1001,0),0), INDEX($V$1004:$AE$1004,1,MATCH(COLUMNS($V$1006:Y1006),$V$1006:$AE$1006,0)))),"Fix")))</f>
        <v>0</v>
      </c>
      <c r="F902" s="4">
        <f>IF(OR(INDEX($P$2:$P$1001,MATCH(ROWS($O$2:O902),$O$2:$O$1001,0),1)&gt;=100000,INDEX($V$1005:$AE$1005,1,MATCH(COLUMNS($V$1006:Z1006),$V$1006:$AE$1006,0))&gt;=100000), " ",IF(INDEX($V$2:$AE$1001,MATCH(ROWS($O$2:O902),$O$2:$O$1001,0),MATCH(COLUMNS($V$1006:Z1006),$V$1006:$AE$1006,0)), HYPERLINK("#",""), HYPERLINK(CONCATENATE("#Metadata!", ADDRESS(INDEX($Q$2:$Q$1001,MATCH(ROWS($O$2:O902),$O$2:$O$1001,0),0), INDEX($V$1004:$AE$1004,1,MATCH(COLUMNS($V$1006:Z1006),$V$1006:$AE$1006,0)))),"Fix")))</f>
        <v>0</v>
      </c>
      <c r="G902" s="4">
        <f>IF(OR(INDEX($P$2:$P$1001,MATCH(ROWS($O$2:O902),$O$2:$O$1001,0),1)&gt;=100000,INDEX($V$1005:$AE$1005,1,MATCH(COLUMNS($V$1006:AA1006),$V$1006:$AE$1006,0))&gt;=100000), " ",IF(INDEX($V$2:$AE$1001,MATCH(ROWS($O$2:O902),$O$2:$O$1001,0),MATCH(COLUMNS($V$1006:AA1006),$V$1006:$AE$1006,0)), HYPERLINK("#",""), HYPERLINK(CONCATENATE("#Metadata!", ADDRESS(INDEX($Q$2:$Q$1001,MATCH(ROWS($O$2:O902),$O$2:$O$1001,0),0), INDEX($V$1004:$AE$1004,1,MATCH(COLUMNS($V$1006:AA1006),$V$1006:$AE$1006,0)))),"Fix")))</f>
        <v>0</v>
      </c>
      <c r="H902" s="4">
        <f>IF(OR(INDEX($P$2:$P$1001,MATCH(ROWS($O$2:O902),$O$2:$O$1001,0),1)&gt;=100000,INDEX($V$1005:$AE$1005,1,MATCH(COLUMNS($V$1006:AB1006),$V$1006:$AE$1006,0))&gt;=100000), " ",IF(INDEX($V$2:$AE$1001,MATCH(ROWS($O$2:O902),$O$2:$O$1001,0),MATCH(COLUMNS($V$1006:AB1006),$V$1006:$AE$1006,0)), HYPERLINK("#",""), HYPERLINK(CONCATENATE("#Metadata!", ADDRESS(INDEX($Q$2:$Q$1001,MATCH(ROWS($O$2:O902),$O$2:$O$1001,0),0), INDEX($V$1004:$AE$1004,1,MATCH(COLUMNS($V$1006:AB1006),$V$1006:$AE$1006,0)))),"Fix")))</f>
        <v>0</v>
      </c>
      <c r="I902" s="4">
        <f>IF(OR(INDEX($P$2:$P$1001,MATCH(ROWS($O$2:O902),$O$2:$O$1001,0),1)&gt;=100000,INDEX($V$1005:$AE$1005,1,MATCH(COLUMNS($V$1006:AC1006),$V$1006:$AE$1006,0))&gt;=100000), " ",IF(INDEX($V$2:$AE$1001,MATCH(ROWS($O$2:O902),$O$2:$O$1001,0),MATCH(COLUMNS($V$1006:AC1006),$V$1006:$AE$1006,0)), HYPERLINK("#",""), HYPERLINK(CONCATENATE("#Metadata!", ADDRESS(INDEX($Q$2:$Q$1001,MATCH(ROWS($O$2:O902),$O$2:$O$1001,0),0), INDEX($V$1004:$AE$1004,1,MATCH(COLUMNS($V$1006:AC1006),$V$1006:$AE$1006,0)))),"Fix")))</f>
        <v>0</v>
      </c>
      <c r="J902" s="4">
        <f>IF(OR(INDEX($P$2:$P$1001,MATCH(ROWS($O$2:O902),$O$2:$O$1001,0),1)&gt;=100000,INDEX($V$1005:$AE$1005,1,MATCH(COLUMNS($V$1006:AD1006),$V$1006:$AE$1006,0))&gt;=100000), " ",IF(INDEX($V$2:$AE$1001,MATCH(ROWS($O$2:O902),$O$2:$O$1001,0),MATCH(COLUMNS($V$1006:AD1006),$V$1006:$AE$1006,0)), HYPERLINK("#",""), HYPERLINK(CONCATENATE("#Metadata!", ADDRESS(INDEX($Q$2:$Q$1001,MATCH(ROWS($O$2:O902),$O$2:$O$1001,0),0), INDEX($V$1004:$AE$1004,1,MATCH(COLUMNS($V$1006:AD1006),$V$1006:$AE$1006,0)))),"Fix")))</f>
        <v>0</v>
      </c>
      <c r="K902" s="4">
        <f>IF(OR(INDEX($P$2:$P$1001,MATCH(ROWS($O$2:O902),$O$2:$O$1001,0),1)&gt;=100000,INDEX($V$1005:$AE$1005,1,MATCH(COLUMNS($V$1006:AE1006),$V$1006:$AE$1006,0))&gt;=100000), " ",IF(INDEX($V$2:$AE$1001,MATCH(ROWS($O$2:O902),$O$2:$O$1001,0),MATCH(COLUMNS($V$1006:AE1006),$V$1006:$AE$1006,0)), HYPERLINK("#",""), HYPERLINK(CONCATENATE("#Metadata!", ADDRESS(INDEX($Q$2:$Q$1001,MATCH(ROWS($O$2:O902),$O$2:$O$1001,0),0), INDEX($V$1004:$AE$1004,1,MATCH(COLUMNS($V$1006:AE1006),$V$1006:$AE$1006,0)))),"Fix")))</f>
        <v>0</v>
      </c>
      <c r="O902">
        <v>0</v>
      </c>
      <c r="P902">
        <v>0</v>
      </c>
      <c r="Q902">
        <v>0</v>
      </c>
      <c r="R902">
        <f>IF(S902,TRUE,AND(V902:AE902))</f>
        <v>0</v>
      </c>
      <c r="S902">
        <f>COUNTBLANK(Metadata!B902:K902)=COLUMNS(Metadata!B902:K902)</f>
        <v>0</v>
      </c>
      <c r="T902">
        <v>0</v>
      </c>
      <c r="V902">
        <f>AND(IF(Metadata!B902="",FALSE,TRUE),COUNTIF(Metadata!B:B, Metadata!B902) = 1,NOT(ISERROR(SUMPRODUCT(SEARCH(MID(Metadata!B902,ROW(INDIRECT("1:"&amp;LEN(Metadata!B902))), 1),"0123456789abcdefghijklmnopqrstuvwxyzABCDEFGHIJKLMNOPQRSTUVWXYZ.")))))</f>
        <v>0</v>
      </c>
      <c r="W902">
        <f>AND(IF(Metadata!C902="",FALSE,TRUE),exact(Metadata!C902,"urban biome"))</f>
        <v>0</v>
      </c>
      <c r="X902">
        <f>AND(IF(Metadata!D902="",FALSE,TRUE),exact(Metadata!D902,"animal-associated habitat"))</f>
        <v>0</v>
      </c>
      <c r="Y902">
        <f>OR(AND(IF(Metadata!E902="",FALSE,TRUE),OR(exact(Metadata!E902,"not applicable"),exact(Metadata!E902,"missing: not collected"),exact(Metadata!E902,"missing: not provided"),exact(Metadata!E902,"missing: restricted access"))),AND(IF(Metadata!E902="",FALSE,ISNUMBER(VALUE(Metadata!E902))),Metadata!E902&gt;0))</f>
        <v>0</v>
      </c>
      <c r="Z902">
        <f>AND(IF(Metadata!F902="",FALSE,TRUE),exact(Metadata!F902,"weeks"))</f>
        <v>0</v>
      </c>
      <c r="AA902">
        <f>AND(IF(Metadata!G902="",FALSE,TRUE),exact(Metadata!G902,"mouse"))</f>
        <v>0</v>
      </c>
      <c r="AB902">
        <f>AND(IF(Metadata!H902="",FALSE,TRUE),exact(Metadata!H902,"Mus musculus"))</f>
        <v>0</v>
      </c>
      <c r="AC902">
        <f>AND(IF(Metadata!I902="",FALSE,TRUE),exact(Metadata!I902,"10090"))</f>
        <v>0</v>
      </c>
      <c r="AD902">
        <f>OR(AND(IF(Metadata!J902="",FALSE,TRUE),OR(exact(Metadata!J902,"not applicable"),exact(Metadata!J902,"missing: not collected"),exact(Metadata!J902,"missing: not provided"),exact(Metadata!J902,"missing: restricted access"))),AND(IF(Metadata!J902="",FALSE,ISNUMBER(VALUE(Metadata!J902))),Metadata!J902&gt;0))</f>
        <v>0</v>
      </c>
      <c r="AE902">
        <f>AND(IF(Metadata!K902="",FALSE,TRUE),exact(Metadata!K902,"g"))</f>
        <v>0</v>
      </c>
    </row>
    <row r="903" spans="1:31">
      <c r="A903" s="5">
        <f>IF(B903=" "," ",HYPERLINK(CONCATENATE("#metadata!",ADDRESS(INDEX($Q$2:$Q$1001,MATCH(ROWS($O$2:O903),$O$2:$O$1001,0),0),1)),INDEX($T$2:$T$1001,MATCH(ROWS($O$2:O903),$O$2:$O$1001,0),0)))</f>
        <v>0</v>
      </c>
      <c r="B903" s="4">
        <f>IF(OR(INDEX($P$2:$P$1001,MATCH(ROWS($O$2:O903),$O$2:$O$1001,0),1)&gt;=100000,INDEX($V$1005:$AE$1005,1,MATCH(COLUMNS($V$1006:V1006),$V$1006:$AE$1006,0))&gt;=100000), " ",IF(INDEX($V$2:$AE$1001,MATCH(ROWS($O$2:O903),$O$2:$O$1001,0),MATCH(COLUMNS($V$1006:V1006),$V$1006:$AE$1006,0)), HYPERLINK("#",""), HYPERLINK(CONCATENATE("#Metadata!", ADDRESS(INDEX($Q$2:$Q$1001,MATCH(ROWS($O$2:O903),$O$2:$O$1001,0),0), INDEX($V$1004:$AE$1004,1,MATCH(COLUMNS($V$1006:V1006),$V$1006:$AE$1006,0)))),"Fix")))</f>
        <v>0</v>
      </c>
      <c r="C903" s="4">
        <f>IF(OR(INDEX($P$2:$P$1001,MATCH(ROWS($O$2:O903),$O$2:$O$1001,0),1)&gt;=100000,INDEX($V$1005:$AE$1005,1,MATCH(COLUMNS($V$1006:W1006),$V$1006:$AE$1006,0))&gt;=100000), " ",IF(INDEX($V$2:$AE$1001,MATCH(ROWS($O$2:O903),$O$2:$O$1001,0),MATCH(COLUMNS($V$1006:W1006),$V$1006:$AE$1006,0)), HYPERLINK("#",""), HYPERLINK(CONCATENATE("#Metadata!", ADDRESS(INDEX($Q$2:$Q$1001,MATCH(ROWS($O$2:O903),$O$2:$O$1001,0),0), INDEX($V$1004:$AE$1004,1,MATCH(COLUMNS($V$1006:W1006),$V$1006:$AE$1006,0)))),"Fix")))</f>
        <v>0</v>
      </c>
      <c r="D903" s="4">
        <f>IF(OR(INDEX($P$2:$P$1001,MATCH(ROWS($O$2:O903),$O$2:$O$1001,0),1)&gt;=100000,INDEX($V$1005:$AE$1005,1,MATCH(COLUMNS($V$1006:X1006),$V$1006:$AE$1006,0))&gt;=100000), " ",IF(INDEX($V$2:$AE$1001,MATCH(ROWS($O$2:O903),$O$2:$O$1001,0),MATCH(COLUMNS($V$1006:X1006),$V$1006:$AE$1006,0)), HYPERLINK("#",""), HYPERLINK(CONCATENATE("#Metadata!", ADDRESS(INDEX($Q$2:$Q$1001,MATCH(ROWS($O$2:O903),$O$2:$O$1001,0),0), INDEX($V$1004:$AE$1004,1,MATCH(COLUMNS($V$1006:X1006),$V$1006:$AE$1006,0)))),"Fix")))</f>
        <v>0</v>
      </c>
      <c r="E903" s="4">
        <f>IF(OR(INDEX($P$2:$P$1001,MATCH(ROWS($O$2:O903),$O$2:$O$1001,0),1)&gt;=100000,INDEX($V$1005:$AE$1005,1,MATCH(COLUMNS($V$1006:Y1006),$V$1006:$AE$1006,0))&gt;=100000), " ",IF(INDEX($V$2:$AE$1001,MATCH(ROWS($O$2:O903),$O$2:$O$1001,0),MATCH(COLUMNS($V$1006:Y1006),$V$1006:$AE$1006,0)), HYPERLINK("#",""), HYPERLINK(CONCATENATE("#Metadata!", ADDRESS(INDEX($Q$2:$Q$1001,MATCH(ROWS($O$2:O903),$O$2:$O$1001,0),0), INDEX($V$1004:$AE$1004,1,MATCH(COLUMNS($V$1006:Y1006),$V$1006:$AE$1006,0)))),"Fix")))</f>
        <v>0</v>
      </c>
      <c r="F903" s="4">
        <f>IF(OR(INDEX($P$2:$P$1001,MATCH(ROWS($O$2:O903),$O$2:$O$1001,0),1)&gt;=100000,INDEX($V$1005:$AE$1005,1,MATCH(COLUMNS($V$1006:Z1006),$V$1006:$AE$1006,0))&gt;=100000), " ",IF(INDEX($V$2:$AE$1001,MATCH(ROWS($O$2:O903),$O$2:$O$1001,0),MATCH(COLUMNS($V$1006:Z1006),$V$1006:$AE$1006,0)), HYPERLINK("#",""), HYPERLINK(CONCATENATE("#Metadata!", ADDRESS(INDEX($Q$2:$Q$1001,MATCH(ROWS($O$2:O903),$O$2:$O$1001,0),0), INDEX($V$1004:$AE$1004,1,MATCH(COLUMNS($V$1006:Z1006),$V$1006:$AE$1006,0)))),"Fix")))</f>
        <v>0</v>
      </c>
      <c r="G903" s="4">
        <f>IF(OR(INDEX($P$2:$P$1001,MATCH(ROWS($O$2:O903),$O$2:$O$1001,0),1)&gt;=100000,INDEX($V$1005:$AE$1005,1,MATCH(COLUMNS($V$1006:AA1006),$V$1006:$AE$1006,0))&gt;=100000), " ",IF(INDEX($V$2:$AE$1001,MATCH(ROWS($O$2:O903),$O$2:$O$1001,0),MATCH(COLUMNS($V$1006:AA1006),$V$1006:$AE$1006,0)), HYPERLINK("#",""), HYPERLINK(CONCATENATE("#Metadata!", ADDRESS(INDEX($Q$2:$Q$1001,MATCH(ROWS($O$2:O903),$O$2:$O$1001,0),0), INDEX($V$1004:$AE$1004,1,MATCH(COLUMNS($V$1006:AA1006),$V$1006:$AE$1006,0)))),"Fix")))</f>
        <v>0</v>
      </c>
      <c r="H903" s="4">
        <f>IF(OR(INDEX($P$2:$P$1001,MATCH(ROWS($O$2:O903),$O$2:$O$1001,0),1)&gt;=100000,INDEX($V$1005:$AE$1005,1,MATCH(COLUMNS($V$1006:AB1006),$V$1006:$AE$1006,0))&gt;=100000), " ",IF(INDEX($V$2:$AE$1001,MATCH(ROWS($O$2:O903),$O$2:$O$1001,0),MATCH(COLUMNS($V$1006:AB1006),$V$1006:$AE$1006,0)), HYPERLINK("#",""), HYPERLINK(CONCATENATE("#Metadata!", ADDRESS(INDEX($Q$2:$Q$1001,MATCH(ROWS($O$2:O903),$O$2:$O$1001,0),0), INDEX($V$1004:$AE$1004,1,MATCH(COLUMNS($V$1006:AB1006),$V$1006:$AE$1006,0)))),"Fix")))</f>
        <v>0</v>
      </c>
      <c r="I903" s="4">
        <f>IF(OR(INDEX($P$2:$P$1001,MATCH(ROWS($O$2:O903),$O$2:$O$1001,0),1)&gt;=100000,INDEX($V$1005:$AE$1005,1,MATCH(COLUMNS($V$1006:AC1006),$V$1006:$AE$1006,0))&gt;=100000), " ",IF(INDEX($V$2:$AE$1001,MATCH(ROWS($O$2:O903),$O$2:$O$1001,0),MATCH(COLUMNS($V$1006:AC1006),$V$1006:$AE$1006,0)), HYPERLINK("#",""), HYPERLINK(CONCATENATE("#Metadata!", ADDRESS(INDEX($Q$2:$Q$1001,MATCH(ROWS($O$2:O903),$O$2:$O$1001,0),0), INDEX($V$1004:$AE$1004,1,MATCH(COLUMNS($V$1006:AC1006),$V$1006:$AE$1006,0)))),"Fix")))</f>
        <v>0</v>
      </c>
      <c r="J903" s="4">
        <f>IF(OR(INDEX($P$2:$P$1001,MATCH(ROWS($O$2:O903),$O$2:$O$1001,0),1)&gt;=100000,INDEX($V$1005:$AE$1005,1,MATCH(COLUMNS($V$1006:AD1006),$V$1006:$AE$1006,0))&gt;=100000), " ",IF(INDEX($V$2:$AE$1001,MATCH(ROWS($O$2:O903),$O$2:$O$1001,0),MATCH(COLUMNS($V$1006:AD1006),$V$1006:$AE$1006,0)), HYPERLINK("#",""), HYPERLINK(CONCATENATE("#Metadata!", ADDRESS(INDEX($Q$2:$Q$1001,MATCH(ROWS($O$2:O903),$O$2:$O$1001,0),0), INDEX($V$1004:$AE$1004,1,MATCH(COLUMNS($V$1006:AD1006),$V$1006:$AE$1006,0)))),"Fix")))</f>
        <v>0</v>
      </c>
      <c r="K903" s="4">
        <f>IF(OR(INDEX($P$2:$P$1001,MATCH(ROWS($O$2:O903),$O$2:$O$1001,0),1)&gt;=100000,INDEX($V$1005:$AE$1005,1,MATCH(COLUMNS($V$1006:AE1006),$V$1006:$AE$1006,0))&gt;=100000), " ",IF(INDEX($V$2:$AE$1001,MATCH(ROWS($O$2:O903),$O$2:$O$1001,0),MATCH(COLUMNS($V$1006:AE1006),$V$1006:$AE$1006,0)), HYPERLINK("#",""), HYPERLINK(CONCATENATE("#Metadata!", ADDRESS(INDEX($Q$2:$Q$1001,MATCH(ROWS($O$2:O903),$O$2:$O$1001,0),0), INDEX($V$1004:$AE$1004,1,MATCH(COLUMNS($V$1006:AE1006),$V$1006:$AE$1006,0)))),"Fix")))</f>
        <v>0</v>
      </c>
      <c r="O903">
        <v>0</v>
      </c>
      <c r="P903">
        <v>0</v>
      </c>
      <c r="Q903">
        <v>0</v>
      </c>
      <c r="R903">
        <f>IF(S903,TRUE,AND(V903:AE903))</f>
        <v>0</v>
      </c>
      <c r="S903">
        <f>COUNTBLANK(Metadata!B903:K903)=COLUMNS(Metadata!B903:K903)</f>
        <v>0</v>
      </c>
      <c r="T903">
        <v>0</v>
      </c>
      <c r="V903">
        <f>AND(IF(Metadata!B903="",FALSE,TRUE),COUNTIF(Metadata!B:B, Metadata!B903) = 1,NOT(ISERROR(SUMPRODUCT(SEARCH(MID(Metadata!B903,ROW(INDIRECT("1:"&amp;LEN(Metadata!B903))), 1),"0123456789abcdefghijklmnopqrstuvwxyzABCDEFGHIJKLMNOPQRSTUVWXYZ.")))))</f>
        <v>0</v>
      </c>
      <c r="W903">
        <f>AND(IF(Metadata!C903="",FALSE,TRUE),exact(Metadata!C903,"urban biome"))</f>
        <v>0</v>
      </c>
      <c r="X903">
        <f>AND(IF(Metadata!D903="",FALSE,TRUE),exact(Metadata!D903,"animal-associated habitat"))</f>
        <v>0</v>
      </c>
      <c r="Y903">
        <f>OR(AND(IF(Metadata!E903="",FALSE,TRUE),OR(exact(Metadata!E903,"not applicable"),exact(Metadata!E903,"missing: not collected"),exact(Metadata!E903,"missing: not provided"),exact(Metadata!E903,"missing: restricted access"))),AND(IF(Metadata!E903="",FALSE,ISNUMBER(VALUE(Metadata!E903))),Metadata!E903&gt;0))</f>
        <v>0</v>
      </c>
      <c r="Z903">
        <f>AND(IF(Metadata!F903="",FALSE,TRUE),exact(Metadata!F903,"weeks"))</f>
        <v>0</v>
      </c>
      <c r="AA903">
        <f>AND(IF(Metadata!G903="",FALSE,TRUE),exact(Metadata!G903,"mouse"))</f>
        <v>0</v>
      </c>
      <c r="AB903">
        <f>AND(IF(Metadata!H903="",FALSE,TRUE),exact(Metadata!H903,"Mus musculus"))</f>
        <v>0</v>
      </c>
      <c r="AC903">
        <f>AND(IF(Metadata!I903="",FALSE,TRUE),exact(Metadata!I903,"10090"))</f>
        <v>0</v>
      </c>
      <c r="AD903">
        <f>OR(AND(IF(Metadata!J903="",FALSE,TRUE),OR(exact(Metadata!J903,"not applicable"),exact(Metadata!J903,"missing: not collected"),exact(Metadata!J903,"missing: not provided"),exact(Metadata!J903,"missing: restricted access"))),AND(IF(Metadata!J903="",FALSE,ISNUMBER(VALUE(Metadata!J903))),Metadata!J903&gt;0))</f>
        <v>0</v>
      </c>
      <c r="AE903">
        <f>AND(IF(Metadata!K903="",FALSE,TRUE),exact(Metadata!K903,"g"))</f>
        <v>0</v>
      </c>
    </row>
    <row r="904" spans="1:31">
      <c r="A904" s="5">
        <f>IF(B904=" "," ",HYPERLINK(CONCATENATE("#metadata!",ADDRESS(INDEX($Q$2:$Q$1001,MATCH(ROWS($O$2:O904),$O$2:$O$1001,0),0),1)),INDEX($T$2:$T$1001,MATCH(ROWS($O$2:O904),$O$2:$O$1001,0),0)))</f>
        <v>0</v>
      </c>
      <c r="B904" s="4">
        <f>IF(OR(INDEX($P$2:$P$1001,MATCH(ROWS($O$2:O904),$O$2:$O$1001,0),1)&gt;=100000,INDEX($V$1005:$AE$1005,1,MATCH(COLUMNS($V$1006:V1006),$V$1006:$AE$1006,0))&gt;=100000), " ",IF(INDEX($V$2:$AE$1001,MATCH(ROWS($O$2:O904),$O$2:$O$1001,0),MATCH(COLUMNS($V$1006:V1006),$V$1006:$AE$1006,0)), HYPERLINK("#",""), HYPERLINK(CONCATENATE("#Metadata!", ADDRESS(INDEX($Q$2:$Q$1001,MATCH(ROWS($O$2:O904),$O$2:$O$1001,0),0), INDEX($V$1004:$AE$1004,1,MATCH(COLUMNS($V$1006:V1006),$V$1006:$AE$1006,0)))),"Fix")))</f>
        <v>0</v>
      </c>
      <c r="C904" s="4">
        <f>IF(OR(INDEX($P$2:$P$1001,MATCH(ROWS($O$2:O904),$O$2:$O$1001,0),1)&gt;=100000,INDEX($V$1005:$AE$1005,1,MATCH(COLUMNS($V$1006:W1006),$V$1006:$AE$1006,0))&gt;=100000), " ",IF(INDEX($V$2:$AE$1001,MATCH(ROWS($O$2:O904),$O$2:$O$1001,0),MATCH(COLUMNS($V$1006:W1006),$V$1006:$AE$1006,0)), HYPERLINK("#",""), HYPERLINK(CONCATENATE("#Metadata!", ADDRESS(INDEX($Q$2:$Q$1001,MATCH(ROWS($O$2:O904),$O$2:$O$1001,0),0), INDEX($V$1004:$AE$1004,1,MATCH(COLUMNS($V$1006:W1006),$V$1006:$AE$1006,0)))),"Fix")))</f>
        <v>0</v>
      </c>
      <c r="D904" s="4">
        <f>IF(OR(INDEX($P$2:$P$1001,MATCH(ROWS($O$2:O904),$O$2:$O$1001,0),1)&gt;=100000,INDEX($V$1005:$AE$1005,1,MATCH(COLUMNS($V$1006:X1006),$V$1006:$AE$1006,0))&gt;=100000), " ",IF(INDEX($V$2:$AE$1001,MATCH(ROWS($O$2:O904),$O$2:$O$1001,0),MATCH(COLUMNS($V$1006:X1006),$V$1006:$AE$1006,0)), HYPERLINK("#",""), HYPERLINK(CONCATENATE("#Metadata!", ADDRESS(INDEX($Q$2:$Q$1001,MATCH(ROWS($O$2:O904),$O$2:$O$1001,0),0), INDEX($V$1004:$AE$1004,1,MATCH(COLUMNS($V$1006:X1006),$V$1006:$AE$1006,0)))),"Fix")))</f>
        <v>0</v>
      </c>
      <c r="E904" s="4">
        <f>IF(OR(INDEX($P$2:$P$1001,MATCH(ROWS($O$2:O904),$O$2:$O$1001,0),1)&gt;=100000,INDEX($V$1005:$AE$1005,1,MATCH(COLUMNS($V$1006:Y1006),$V$1006:$AE$1006,0))&gt;=100000), " ",IF(INDEX($V$2:$AE$1001,MATCH(ROWS($O$2:O904),$O$2:$O$1001,0),MATCH(COLUMNS($V$1006:Y1006),$V$1006:$AE$1006,0)), HYPERLINK("#",""), HYPERLINK(CONCATENATE("#Metadata!", ADDRESS(INDEX($Q$2:$Q$1001,MATCH(ROWS($O$2:O904),$O$2:$O$1001,0),0), INDEX($V$1004:$AE$1004,1,MATCH(COLUMNS($V$1006:Y1006),$V$1006:$AE$1006,0)))),"Fix")))</f>
        <v>0</v>
      </c>
      <c r="F904" s="4">
        <f>IF(OR(INDEX($P$2:$P$1001,MATCH(ROWS($O$2:O904),$O$2:$O$1001,0),1)&gt;=100000,INDEX($V$1005:$AE$1005,1,MATCH(COLUMNS($V$1006:Z1006),$V$1006:$AE$1006,0))&gt;=100000), " ",IF(INDEX($V$2:$AE$1001,MATCH(ROWS($O$2:O904),$O$2:$O$1001,0),MATCH(COLUMNS($V$1006:Z1006),$V$1006:$AE$1006,0)), HYPERLINK("#",""), HYPERLINK(CONCATENATE("#Metadata!", ADDRESS(INDEX($Q$2:$Q$1001,MATCH(ROWS($O$2:O904),$O$2:$O$1001,0),0), INDEX($V$1004:$AE$1004,1,MATCH(COLUMNS($V$1006:Z1006),$V$1006:$AE$1006,0)))),"Fix")))</f>
        <v>0</v>
      </c>
      <c r="G904" s="4">
        <f>IF(OR(INDEX($P$2:$P$1001,MATCH(ROWS($O$2:O904),$O$2:$O$1001,0),1)&gt;=100000,INDEX($V$1005:$AE$1005,1,MATCH(COLUMNS($V$1006:AA1006),$V$1006:$AE$1006,0))&gt;=100000), " ",IF(INDEX($V$2:$AE$1001,MATCH(ROWS($O$2:O904),$O$2:$O$1001,0),MATCH(COLUMNS($V$1006:AA1006),$V$1006:$AE$1006,0)), HYPERLINK("#",""), HYPERLINK(CONCATENATE("#Metadata!", ADDRESS(INDEX($Q$2:$Q$1001,MATCH(ROWS($O$2:O904),$O$2:$O$1001,0),0), INDEX($V$1004:$AE$1004,1,MATCH(COLUMNS($V$1006:AA1006),$V$1006:$AE$1006,0)))),"Fix")))</f>
        <v>0</v>
      </c>
      <c r="H904" s="4">
        <f>IF(OR(INDEX($P$2:$P$1001,MATCH(ROWS($O$2:O904),$O$2:$O$1001,0),1)&gt;=100000,INDEX($V$1005:$AE$1005,1,MATCH(COLUMNS($V$1006:AB1006),$V$1006:$AE$1006,0))&gt;=100000), " ",IF(INDEX($V$2:$AE$1001,MATCH(ROWS($O$2:O904),$O$2:$O$1001,0),MATCH(COLUMNS($V$1006:AB1006),$V$1006:$AE$1006,0)), HYPERLINK("#",""), HYPERLINK(CONCATENATE("#Metadata!", ADDRESS(INDEX($Q$2:$Q$1001,MATCH(ROWS($O$2:O904),$O$2:$O$1001,0),0), INDEX($V$1004:$AE$1004,1,MATCH(COLUMNS($V$1006:AB1006),$V$1006:$AE$1006,0)))),"Fix")))</f>
        <v>0</v>
      </c>
      <c r="I904" s="4">
        <f>IF(OR(INDEX($P$2:$P$1001,MATCH(ROWS($O$2:O904),$O$2:$O$1001,0),1)&gt;=100000,INDEX($V$1005:$AE$1005,1,MATCH(COLUMNS($V$1006:AC1006),$V$1006:$AE$1006,0))&gt;=100000), " ",IF(INDEX($V$2:$AE$1001,MATCH(ROWS($O$2:O904),$O$2:$O$1001,0),MATCH(COLUMNS($V$1006:AC1006),$V$1006:$AE$1006,0)), HYPERLINK("#",""), HYPERLINK(CONCATENATE("#Metadata!", ADDRESS(INDEX($Q$2:$Q$1001,MATCH(ROWS($O$2:O904),$O$2:$O$1001,0),0), INDEX($V$1004:$AE$1004,1,MATCH(COLUMNS($V$1006:AC1006),$V$1006:$AE$1006,0)))),"Fix")))</f>
        <v>0</v>
      </c>
      <c r="J904" s="4">
        <f>IF(OR(INDEX($P$2:$P$1001,MATCH(ROWS($O$2:O904),$O$2:$O$1001,0),1)&gt;=100000,INDEX($V$1005:$AE$1005,1,MATCH(COLUMNS($V$1006:AD1006),$V$1006:$AE$1006,0))&gt;=100000), " ",IF(INDEX($V$2:$AE$1001,MATCH(ROWS($O$2:O904),$O$2:$O$1001,0),MATCH(COLUMNS($V$1006:AD1006),$V$1006:$AE$1006,0)), HYPERLINK("#",""), HYPERLINK(CONCATENATE("#Metadata!", ADDRESS(INDEX($Q$2:$Q$1001,MATCH(ROWS($O$2:O904),$O$2:$O$1001,0),0), INDEX($V$1004:$AE$1004,1,MATCH(COLUMNS($V$1006:AD1006),$V$1006:$AE$1006,0)))),"Fix")))</f>
        <v>0</v>
      </c>
      <c r="K904" s="4">
        <f>IF(OR(INDEX($P$2:$P$1001,MATCH(ROWS($O$2:O904),$O$2:$O$1001,0),1)&gt;=100000,INDEX($V$1005:$AE$1005,1,MATCH(COLUMNS($V$1006:AE1006),$V$1006:$AE$1006,0))&gt;=100000), " ",IF(INDEX($V$2:$AE$1001,MATCH(ROWS($O$2:O904),$O$2:$O$1001,0),MATCH(COLUMNS($V$1006:AE1006),$V$1006:$AE$1006,0)), HYPERLINK("#",""), HYPERLINK(CONCATENATE("#Metadata!", ADDRESS(INDEX($Q$2:$Q$1001,MATCH(ROWS($O$2:O904),$O$2:$O$1001,0),0), INDEX($V$1004:$AE$1004,1,MATCH(COLUMNS($V$1006:AE1006),$V$1006:$AE$1006,0)))),"Fix")))</f>
        <v>0</v>
      </c>
      <c r="O904">
        <v>0</v>
      </c>
      <c r="P904">
        <v>0</v>
      </c>
      <c r="Q904">
        <v>0</v>
      </c>
      <c r="R904">
        <f>IF(S904,TRUE,AND(V904:AE904))</f>
        <v>0</v>
      </c>
      <c r="S904">
        <f>COUNTBLANK(Metadata!B904:K904)=COLUMNS(Metadata!B904:K904)</f>
        <v>0</v>
      </c>
      <c r="T904">
        <v>0</v>
      </c>
      <c r="V904">
        <f>AND(IF(Metadata!B904="",FALSE,TRUE),COUNTIF(Metadata!B:B, Metadata!B904) = 1,NOT(ISERROR(SUMPRODUCT(SEARCH(MID(Metadata!B904,ROW(INDIRECT("1:"&amp;LEN(Metadata!B904))), 1),"0123456789abcdefghijklmnopqrstuvwxyzABCDEFGHIJKLMNOPQRSTUVWXYZ.")))))</f>
        <v>0</v>
      </c>
      <c r="W904">
        <f>AND(IF(Metadata!C904="",FALSE,TRUE),exact(Metadata!C904,"urban biome"))</f>
        <v>0</v>
      </c>
      <c r="X904">
        <f>AND(IF(Metadata!D904="",FALSE,TRUE),exact(Metadata!D904,"animal-associated habitat"))</f>
        <v>0</v>
      </c>
      <c r="Y904">
        <f>OR(AND(IF(Metadata!E904="",FALSE,TRUE),OR(exact(Metadata!E904,"not applicable"),exact(Metadata!E904,"missing: not collected"),exact(Metadata!E904,"missing: not provided"),exact(Metadata!E904,"missing: restricted access"))),AND(IF(Metadata!E904="",FALSE,ISNUMBER(VALUE(Metadata!E904))),Metadata!E904&gt;0))</f>
        <v>0</v>
      </c>
      <c r="Z904">
        <f>AND(IF(Metadata!F904="",FALSE,TRUE),exact(Metadata!F904,"weeks"))</f>
        <v>0</v>
      </c>
      <c r="AA904">
        <f>AND(IF(Metadata!G904="",FALSE,TRUE),exact(Metadata!G904,"mouse"))</f>
        <v>0</v>
      </c>
      <c r="AB904">
        <f>AND(IF(Metadata!H904="",FALSE,TRUE),exact(Metadata!H904,"Mus musculus"))</f>
        <v>0</v>
      </c>
      <c r="AC904">
        <f>AND(IF(Metadata!I904="",FALSE,TRUE),exact(Metadata!I904,"10090"))</f>
        <v>0</v>
      </c>
      <c r="AD904">
        <f>OR(AND(IF(Metadata!J904="",FALSE,TRUE),OR(exact(Metadata!J904,"not applicable"),exact(Metadata!J904,"missing: not collected"),exact(Metadata!J904,"missing: not provided"),exact(Metadata!J904,"missing: restricted access"))),AND(IF(Metadata!J904="",FALSE,ISNUMBER(VALUE(Metadata!J904))),Metadata!J904&gt;0))</f>
        <v>0</v>
      </c>
      <c r="AE904">
        <f>AND(IF(Metadata!K904="",FALSE,TRUE),exact(Metadata!K904,"g"))</f>
        <v>0</v>
      </c>
    </row>
    <row r="905" spans="1:31">
      <c r="A905" s="5">
        <f>IF(B905=" "," ",HYPERLINK(CONCATENATE("#metadata!",ADDRESS(INDEX($Q$2:$Q$1001,MATCH(ROWS($O$2:O905),$O$2:$O$1001,0),0),1)),INDEX($T$2:$T$1001,MATCH(ROWS($O$2:O905),$O$2:$O$1001,0),0)))</f>
        <v>0</v>
      </c>
      <c r="B905" s="4">
        <f>IF(OR(INDEX($P$2:$P$1001,MATCH(ROWS($O$2:O905),$O$2:$O$1001,0),1)&gt;=100000,INDEX($V$1005:$AE$1005,1,MATCH(COLUMNS($V$1006:V1006),$V$1006:$AE$1006,0))&gt;=100000), " ",IF(INDEX($V$2:$AE$1001,MATCH(ROWS($O$2:O905),$O$2:$O$1001,0),MATCH(COLUMNS($V$1006:V1006),$V$1006:$AE$1006,0)), HYPERLINK("#",""), HYPERLINK(CONCATENATE("#Metadata!", ADDRESS(INDEX($Q$2:$Q$1001,MATCH(ROWS($O$2:O905),$O$2:$O$1001,0),0), INDEX($V$1004:$AE$1004,1,MATCH(COLUMNS($V$1006:V1006),$V$1006:$AE$1006,0)))),"Fix")))</f>
        <v>0</v>
      </c>
      <c r="C905" s="4">
        <f>IF(OR(INDEX($P$2:$P$1001,MATCH(ROWS($O$2:O905),$O$2:$O$1001,0),1)&gt;=100000,INDEX($V$1005:$AE$1005,1,MATCH(COLUMNS($V$1006:W1006),$V$1006:$AE$1006,0))&gt;=100000), " ",IF(INDEX($V$2:$AE$1001,MATCH(ROWS($O$2:O905),$O$2:$O$1001,0),MATCH(COLUMNS($V$1006:W1006),$V$1006:$AE$1006,0)), HYPERLINK("#",""), HYPERLINK(CONCATENATE("#Metadata!", ADDRESS(INDEX($Q$2:$Q$1001,MATCH(ROWS($O$2:O905),$O$2:$O$1001,0),0), INDEX($V$1004:$AE$1004,1,MATCH(COLUMNS($V$1006:W1006),$V$1006:$AE$1006,0)))),"Fix")))</f>
        <v>0</v>
      </c>
      <c r="D905" s="4">
        <f>IF(OR(INDEX($P$2:$P$1001,MATCH(ROWS($O$2:O905),$O$2:$O$1001,0),1)&gt;=100000,INDEX($V$1005:$AE$1005,1,MATCH(COLUMNS($V$1006:X1006),$V$1006:$AE$1006,0))&gt;=100000), " ",IF(INDEX($V$2:$AE$1001,MATCH(ROWS($O$2:O905),$O$2:$O$1001,0),MATCH(COLUMNS($V$1006:X1006),$V$1006:$AE$1006,0)), HYPERLINK("#",""), HYPERLINK(CONCATENATE("#Metadata!", ADDRESS(INDEX($Q$2:$Q$1001,MATCH(ROWS($O$2:O905),$O$2:$O$1001,0),0), INDEX($V$1004:$AE$1004,1,MATCH(COLUMNS($V$1006:X1006),$V$1006:$AE$1006,0)))),"Fix")))</f>
        <v>0</v>
      </c>
      <c r="E905" s="4">
        <f>IF(OR(INDEX($P$2:$P$1001,MATCH(ROWS($O$2:O905),$O$2:$O$1001,0),1)&gt;=100000,INDEX($V$1005:$AE$1005,1,MATCH(COLUMNS($V$1006:Y1006),$V$1006:$AE$1006,0))&gt;=100000), " ",IF(INDEX($V$2:$AE$1001,MATCH(ROWS($O$2:O905),$O$2:$O$1001,0),MATCH(COLUMNS($V$1006:Y1006),$V$1006:$AE$1006,0)), HYPERLINK("#",""), HYPERLINK(CONCATENATE("#Metadata!", ADDRESS(INDEX($Q$2:$Q$1001,MATCH(ROWS($O$2:O905),$O$2:$O$1001,0),0), INDEX($V$1004:$AE$1004,1,MATCH(COLUMNS($V$1006:Y1006),$V$1006:$AE$1006,0)))),"Fix")))</f>
        <v>0</v>
      </c>
      <c r="F905" s="4">
        <f>IF(OR(INDEX($P$2:$P$1001,MATCH(ROWS($O$2:O905),$O$2:$O$1001,0),1)&gt;=100000,INDEX($V$1005:$AE$1005,1,MATCH(COLUMNS($V$1006:Z1006),$V$1006:$AE$1006,0))&gt;=100000), " ",IF(INDEX($V$2:$AE$1001,MATCH(ROWS($O$2:O905),$O$2:$O$1001,0),MATCH(COLUMNS($V$1006:Z1006),$V$1006:$AE$1006,0)), HYPERLINK("#",""), HYPERLINK(CONCATENATE("#Metadata!", ADDRESS(INDEX($Q$2:$Q$1001,MATCH(ROWS($O$2:O905),$O$2:$O$1001,0),0), INDEX($V$1004:$AE$1004,1,MATCH(COLUMNS($V$1006:Z1006),$V$1006:$AE$1006,0)))),"Fix")))</f>
        <v>0</v>
      </c>
      <c r="G905" s="4">
        <f>IF(OR(INDEX($P$2:$P$1001,MATCH(ROWS($O$2:O905),$O$2:$O$1001,0),1)&gt;=100000,INDEX($V$1005:$AE$1005,1,MATCH(COLUMNS($V$1006:AA1006),$V$1006:$AE$1006,0))&gt;=100000), " ",IF(INDEX($V$2:$AE$1001,MATCH(ROWS($O$2:O905),$O$2:$O$1001,0),MATCH(COLUMNS($V$1006:AA1006),$V$1006:$AE$1006,0)), HYPERLINK("#",""), HYPERLINK(CONCATENATE("#Metadata!", ADDRESS(INDEX($Q$2:$Q$1001,MATCH(ROWS($O$2:O905),$O$2:$O$1001,0),0), INDEX($V$1004:$AE$1004,1,MATCH(COLUMNS($V$1006:AA1006),$V$1006:$AE$1006,0)))),"Fix")))</f>
        <v>0</v>
      </c>
      <c r="H905" s="4">
        <f>IF(OR(INDEX($P$2:$P$1001,MATCH(ROWS($O$2:O905),$O$2:$O$1001,0),1)&gt;=100000,INDEX($V$1005:$AE$1005,1,MATCH(COLUMNS($V$1006:AB1006),$V$1006:$AE$1006,0))&gt;=100000), " ",IF(INDEX($V$2:$AE$1001,MATCH(ROWS($O$2:O905),$O$2:$O$1001,0),MATCH(COLUMNS($V$1006:AB1006),$V$1006:$AE$1006,0)), HYPERLINK("#",""), HYPERLINK(CONCATENATE("#Metadata!", ADDRESS(INDEX($Q$2:$Q$1001,MATCH(ROWS($O$2:O905),$O$2:$O$1001,0),0), INDEX($V$1004:$AE$1004,1,MATCH(COLUMNS($V$1006:AB1006),$V$1006:$AE$1006,0)))),"Fix")))</f>
        <v>0</v>
      </c>
      <c r="I905" s="4">
        <f>IF(OR(INDEX($P$2:$P$1001,MATCH(ROWS($O$2:O905),$O$2:$O$1001,0),1)&gt;=100000,INDEX($V$1005:$AE$1005,1,MATCH(COLUMNS($V$1006:AC1006),$V$1006:$AE$1006,0))&gt;=100000), " ",IF(INDEX($V$2:$AE$1001,MATCH(ROWS($O$2:O905),$O$2:$O$1001,0),MATCH(COLUMNS($V$1006:AC1006),$V$1006:$AE$1006,0)), HYPERLINK("#",""), HYPERLINK(CONCATENATE("#Metadata!", ADDRESS(INDEX($Q$2:$Q$1001,MATCH(ROWS($O$2:O905),$O$2:$O$1001,0),0), INDEX($V$1004:$AE$1004,1,MATCH(COLUMNS($V$1006:AC1006),$V$1006:$AE$1006,0)))),"Fix")))</f>
        <v>0</v>
      </c>
      <c r="J905" s="4">
        <f>IF(OR(INDEX($P$2:$P$1001,MATCH(ROWS($O$2:O905),$O$2:$O$1001,0),1)&gt;=100000,INDEX($V$1005:$AE$1005,1,MATCH(COLUMNS($V$1006:AD1006),$V$1006:$AE$1006,0))&gt;=100000), " ",IF(INDEX($V$2:$AE$1001,MATCH(ROWS($O$2:O905),$O$2:$O$1001,0),MATCH(COLUMNS($V$1006:AD1006),$V$1006:$AE$1006,0)), HYPERLINK("#",""), HYPERLINK(CONCATENATE("#Metadata!", ADDRESS(INDEX($Q$2:$Q$1001,MATCH(ROWS($O$2:O905),$O$2:$O$1001,0),0), INDEX($V$1004:$AE$1004,1,MATCH(COLUMNS($V$1006:AD1006),$V$1006:$AE$1006,0)))),"Fix")))</f>
        <v>0</v>
      </c>
      <c r="K905" s="4">
        <f>IF(OR(INDEX($P$2:$P$1001,MATCH(ROWS($O$2:O905),$O$2:$O$1001,0),1)&gt;=100000,INDEX($V$1005:$AE$1005,1,MATCH(COLUMNS($V$1006:AE1006),$V$1006:$AE$1006,0))&gt;=100000), " ",IF(INDEX($V$2:$AE$1001,MATCH(ROWS($O$2:O905),$O$2:$O$1001,0),MATCH(COLUMNS($V$1006:AE1006),$V$1006:$AE$1006,0)), HYPERLINK("#",""), HYPERLINK(CONCATENATE("#Metadata!", ADDRESS(INDEX($Q$2:$Q$1001,MATCH(ROWS($O$2:O905),$O$2:$O$1001,0),0), INDEX($V$1004:$AE$1004,1,MATCH(COLUMNS($V$1006:AE1006),$V$1006:$AE$1006,0)))),"Fix")))</f>
        <v>0</v>
      </c>
      <c r="O905">
        <v>0</v>
      </c>
      <c r="P905">
        <v>0</v>
      </c>
      <c r="Q905">
        <v>0</v>
      </c>
      <c r="R905">
        <f>IF(S905,TRUE,AND(V905:AE905))</f>
        <v>0</v>
      </c>
      <c r="S905">
        <f>COUNTBLANK(Metadata!B905:K905)=COLUMNS(Metadata!B905:K905)</f>
        <v>0</v>
      </c>
      <c r="T905">
        <v>0</v>
      </c>
      <c r="V905">
        <f>AND(IF(Metadata!B905="",FALSE,TRUE),COUNTIF(Metadata!B:B, Metadata!B905) = 1,NOT(ISERROR(SUMPRODUCT(SEARCH(MID(Metadata!B905,ROW(INDIRECT("1:"&amp;LEN(Metadata!B905))), 1),"0123456789abcdefghijklmnopqrstuvwxyzABCDEFGHIJKLMNOPQRSTUVWXYZ.")))))</f>
        <v>0</v>
      </c>
      <c r="W905">
        <f>AND(IF(Metadata!C905="",FALSE,TRUE),exact(Metadata!C905,"urban biome"))</f>
        <v>0</v>
      </c>
      <c r="X905">
        <f>AND(IF(Metadata!D905="",FALSE,TRUE),exact(Metadata!D905,"animal-associated habitat"))</f>
        <v>0</v>
      </c>
      <c r="Y905">
        <f>OR(AND(IF(Metadata!E905="",FALSE,TRUE),OR(exact(Metadata!E905,"not applicable"),exact(Metadata!E905,"missing: not collected"),exact(Metadata!E905,"missing: not provided"),exact(Metadata!E905,"missing: restricted access"))),AND(IF(Metadata!E905="",FALSE,ISNUMBER(VALUE(Metadata!E905))),Metadata!E905&gt;0))</f>
        <v>0</v>
      </c>
      <c r="Z905">
        <f>AND(IF(Metadata!F905="",FALSE,TRUE),exact(Metadata!F905,"weeks"))</f>
        <v>0</v>
      </c>
      <c r="AA905">
        <f>AND(IF(Metadata!G905="",FALSE,TRUE),exact(Metadata!G905,"mouse"))</f>
        <v>0</v>
      </c>
      <c r="AB905">
        <f>AND(IF(Metadata!H905="",FALSE,TRUE),exact(Metadata!H905,"Mus musculus"))</f>
        <v>0</v>
      </c>
      <c r="AC905">
        <f>AND(IF(Metadata!I905="",FALSE,TRUE),exact(Metadata!I905,"10090"))</f>
        <v>0</v>
      </c>
      <c r="AD905">
        <f>OR(AND(IF(Metadata!J905="",FALSE,TRUE),OR(exact(Metadata!J905,"not applicable"),exact(Metadata!J905,"missing: not collected"),exact(Metadata!J905,"missing: not provided"),exact(Metadata!J905,"missing: restricted access"))),AND(IF(Metadata!J905="",FALSE,ISNUMBER(VALUE(Metadata!J905))),Metadata!J905&gt;0))</f>
        <v>0</v>
      </c>
      <c r="AE905">
        <f>AND(IF(Metadata!K905="",FALSE,TRUE),exact(Metadata!K905,"g"))</f>
        <v>0</v>
      </c>
    </row>
    <row r="906" spans="1:31">
      <c r="A906" s="5">
        <f>IF(B906=" "," ",HYPERLINK(CONCATENATE("#metadata!",ADDRESS(INDEX($Q$2:$Q$1001,MATCH(ROWS($O$2:O906),$O$2:$O$1001,0),0),1)),INDEX($T$2:$T$1001,MATCH(ROWS($O$2:O906),$O$2:$O$1001,0),0)))</f>
        <v>0</v>
      </c>
      <c r="B906" s="4">
        <f>IF(OR(INDEX($P$2:$P$1001,MATCH(ROWS($O$2:O906),$O$2:$O$1001,0),1)&gt;=100000,INDEX($V$1005:$AE$1005,1,MATCH(COLUMNS($V$1006:V1006),$V$1006:$AE$1006,0))&gt;=100000), " ",IF(INDEX($V$2:$AE$1001,MATCH(ROWS($O$2:O906),$O$2:$O$1001,0),MATCH(COLUMNS($V$1006:V1006),$V$1006:$AE$1006,0)), HYPERLINK("#",""), HYPERLINK(CONCATENATE("#Metadata!", ADDRESS(INDEX($Q$2:$Q$1001,MATCH(ROWS($O$2:O906),$O$2:$O$1001,0),0), INDEX($V$1004:$AE$1004,1,MATCH(COLUMNS($V$1006:V1006),$V$1006:$AE$1006,0)))),"Fix")))</f>
        <v>0</v>
      </c>
      <c r="C906" s="4">
        <f>IF(OR(INDEX($P$2:$P$1001,MATCH(ROWS($O$2:O906),$O$2:$O$1001,0),1)&gt;=100000,INDEX($V$1005:$AE$1005,1,MATCH(COLUMNS($V$1006:W1006),$V$1006:$AE$1006,0))&gt;=100000), " ",IF(INDEX($V$2:$AE$1001,MATCH(ROWS($O$2:O906),$O$2:$O$1001,0),MATCH(COLUMNS($V$1006:W1006),$V$1006:$AE$1006,0)), HYPERLINK("#",""), HYPERLINK(CONCATENATE("#Metadata!", ADDRESS(INDEX($Q$2:$Q$1001,MATCH(ROWS($O$2:O906),$O$2:$O$1001,0),0), INDEX($V$1004:$AE$1004,1,MATCH(COLUMNS($V$1006:W1006),$V$1006:$AE$1006,0)))),"Fix")))</f>
        <v>0</v>
      </c>
      <c r="D906" s="4">
        <f>IF(OR(INDEX($P$2:$P$1001,MATCH(ROWS($O$2:O906),$O$2:$O$1001,0),1)&gt;=100000,INDEX($V$1005:$AE$1005,1,MATCH(COLUMNS($V$1006:X1006),$V$1006:$AE$1006,0))&gt;=100000), " ",IF(INDEX($V$2:$AE$1001,MATCH(ROWS($O$2:O906),$O$2:$O$1001,0),MATCH(COLUMNS($V$1006:X1006),$V$1006:$AE$1006,0)), HYPERLINK("#",""), HYPERLINK(CONCATENATE("#Metadata!", ADDRESS(INDEX($Q$2:$Q$1001,MATCH(ROWS($O$2:O906),$O$2:$O$1001,0),0), INDEX($V$1004:$AE$1004,1,MATCH(COLUMNS($V$1006:X1006),$V$1006:$AE$1006,0)))),"Fix")))</f>
        <v>0</v>
      </c>
      <c r="E906" s="4">
        <f>IF(OR(INDEX($P$2:$P$1001,MATCH(ROWS($O$2:O906),$O$2:$O$1001,0),1)&gt;=100000,INDEX($V$1005:$AE$1005,1,MATCH(COLUMNS($V$1006:Y1006),$V$1006:$AE$1006,0))&gt;=100000), " ",IF(INDEX($V$2:$AE$1001,MATCH(ROWS($O$2:O906),$O$2:$O$1001,0),MATCH(COLUMNS($V$1006:Y1006),$V$1006:$AE$1006,0)), HYPERLINK("#",""), HYPERLINK(CONCATENATE("#Metadata!", ADDRESS(INDEX($Q$2:$Q$1001,MATCH(ROWS($O$2:O906),$O$2:$O$1001,0),0), INDEX($V$1004:$AE$1004,1,MATCH(COLUMNS($V$1006:Y1006),$V$1006:$AE$1006,0)))),"Fix")))</f>
        <v>0</v>
      </c>
      <c r="F906" s="4">
        <f>IF(OR(INDEX($P$2:$P$1001,MATCH(ROWS($O$2:O906),$O$2:$O$1001,0),1)&gt;=100000,INDEX($V$1005:$AE$1005,1,MATCH(COLUMNS($V$1006:Z1006),$V$1006:$AE$1006,0))&gt;=100000), " ",IF(INDEX($V$2:$AE$1001,MATCH(ROWS($O$2:O906),$O$2:$O$1001,0),MATCH(COLUMNS($V$1006:Z1006),$V$1006:$AE$1006,0)), HYPERLINK("#",""), HYPERLINK(CONCATENATE("#Metadata!", ADDRESS(INDEX($Q$2:$Q$1001,MATCH(ROWS($O$2:O906),$O$2:$O$1001,0),0), INDEX($V$1004:$AE$1004,1,MATCH(COLUMNS($V$1006:Z1006),$V$1006:$AE$1006,0)))),"Fix")))</f>
        <v>0</v>
      </c>
      <c r="G906" s="4">
        <f>IF(OR(INDEX($P$2:$P$1001,MATCH(ROWS($O$2:O906),$O$2:$O$1001,0),1)&gt;=100000,INDEX($V$1005:$AE$1005,1,MATCH(COLUMNS($V$1006:AA1006),$V$1006:$AE$1006,0))&gt;=100000), " ",IF(INDEX($V$2:$AE$1001,MATCH(ROWS($O$2:O906),$O$2:$O$1001,0),MATCH(COLUMNS($V$1006:AA1006),$V$1006:$AE$1006,0)), HYPERLINK("#",""), HYPERLINK(CONCATENATE("#Metadata!", ADDRESS(INDEX($Q$2:$Q$1001,MATCH(ROWS($O$2:O906),$O$2:$O$1001,0),0), INDEX($V$1004:$AE$1004,1,MATCH(COLUMNS($V$1006:AA1006),$V$1006:$AE$1006,0)))),"Fix")))</f>
        <v>0</v>
      </c>
      <c r="H906" s="4">
        <f>IF(OR(INDEX($P$2:$P$1001,MATCH(ROWS($O$2:O906),$O$2:$O$1001,0),1)&gt;=100000,INDEX($V$1005:$AE$1005,1,MATCH(COLUMNS($V$1006:AB1006),$V$1006:$AE$1006,0))&gt;=100000), " ",IF(INDEX($V$2:$AE$1001,MATCH(ROWS($O$2:O906),$O$2:$O$1001,0),MATCH(COLUMNS($V$1006:AB1006),$V$1006:$AE$1006,0)), HYPERLINK("#",""), HYPERLINK(CONCATENATE("#Metadata!", ADDRESS(INDEX($Q$2:$Q$1001,MATCH(ROWS($O$2:O906),$O$2:$O$1001,0),0), INDEX($V$1004:$AE$1004,1,MATCH(COLUMNS($V$1006:AB1006),$V$1006:$AE$1006,0)))),"Fix")))</f>
        <v>0</v>
      </c>
      <c r="I906" s="4">
        <f>IF(OR(INDEX($P$2:$P$1001,MATCH(ROWS($O$2:O906),$O$2:$O$1001,0),1)&gt;=100000,INDEX($V$1005:$AE$1005,1,MATCH(COLUMNS($V$1006:AC1006),$V$1006:$AE$1006,0))&gt;=100000), " ",IF(INDEX($V$2:$AE$1001,MATCH(ROWS($O$2:O906),$O$2:$O$1001,0),MATCH(COLUMNS($V$1006:AC1006),$V$1006:$AE$1006,0)), HYPERLINK("#",""), HYPERLINK(CONCATENATE("#Metadata!", ADDRESS(INDEX($Q$2:$Q$1001,MATCH(ROWS($O$2:O906),$O$2:$O$1001,0),0), INDEX($V$1004:$AE$1004,1,MATCH(COLUMNS($V$1006:AC1006),$V$1006:$AE$1006,0)))),"Fix")))</f>
        <v>0</v>
      </c>
      <c r="J906" s="4">
        <f>IF(OR(INDEX($P$2:$P$1001,MATCH(ROWS($O$2:O906),$O$2:$O$1001,0),1)&gt;=100000,INDEX($V$1005:$AE$1005,1,MATCH(COLUMNS($V$1006:AD1006),$V$1006:$AE$1006,0))&gt;=100000), " ",IF(INDEX($V$2:$AE$1001,MATCH(ROWS($O$2:O906),$O$2:$O$1001,0),MATCH(COLUMNS($V$1006:AD1006),$V$1006:$AE$1006,0)), HYPERLINK("#",""), HYPERLINK(CONCATENATE("#Metadata!", ADDRESS(INDEX($Q$2:$Q$1001,MATCH(ROWS($O$2:O906),$O$2:$O$1001,0),0), INDEX($V$1004:$AE$1004,1,MATCH(COLUMNS($V$1006:AD1006),$V$1006:$AE$1006,0)))),"Fix")))</f>
        <v>0</v>
      </c>
      <c r="K906" s="4">
        <f>IF(OR(INDEX($P$2:$P$1001,MATCH(ROWS($O$2:O906),$O$2:$O$1001,0),1)&gt;=100000,INDEX($V$1005:$AE$1005,1,MATCH(COLUMNS($V$1006:AE1006),$V$1006:$AE$1006,0))&gt;=100000), " ",IF(INDEX($V$2:$AE$1001,MATCH(ROWS($O$2:O906),$O$2:$O$1001,0),MATCH(COLUMNS($V$1006:AE1006),$V$1006:$AE$1006,0)), HYPERLINK("#",""), HYPERLINK(CONCATENATE("#Metadata!", ADDRESS(INDEX($Q$2:$Q$1001,MATCH(ROWS($O$2:O906),$O$2:$O$1001,0),0), INDEX($V$1004:$AE$1004,1,MATCH(COLUMNS($V$1006:AE1006),$V$1006:$AE$1006,0)))),"Fix")))</f>
        <v>0</v>
      </c>
      <c r="O906">
        <v>0</v>
      </c>
      <c r="P906">
        <v>0</v>
      </c>
      <c r="Q906">
        <v>0</v>
      </c>
      <c r="R906">
        <f>IF(S906,TRUE,AND(V906:AE906))</f>
        <v>0</v>
      </c>
      <c r="S906">
        <f>COUNTBLANK(Metadata!B906:K906)=COLUMNS(Metadata!B906:K906)</f>
        <v>0</v>
      </c>
      <c r="T906">
        <v>0</v>
      </c>
      <c r="V906">
        <f>AND(IF(Metadata!B906="",FALSE,TRUE),COUNTIF(Metadata!B:B, Metadata!B906) = 1,NOT(ISERROR(SUMPRODUCT(SEARCH(MID(Metadata!B906,ROW(INDIRECT("1:"&amp;LEN(Metadata!B906))), 1),"0123456789abcdefghijklmnopqrstuvwxyzABCDEFGHIJKLMNOPQRSTUVWXYZ.")))))</f>
        <v>0</v>
      </c>
      <c r="W906">
        <f>AND(IF(Metadata!C906="",FALSE,TRUE),exact(Metadata!C906,"urban biome"))</f>
        <v>0</v>
      </c>
      <c r="X906">
        <f>AND(IF(Metadata!D906="",FALSE,TRUE),exact(Metadata!D906,"animal-associated habitat"))</f>
        <v>0</v>
      </c>
      <c r="Y906">
        <f>OR(AND(IF(Metadata!E906="",FALSE,TRUE),OR(exact(Metadata!E906,"not applicable"),exact(Metadata!E906,"missing: not collected"),exact(Metadata!E906,"missing: not provided"),exact(Metadata!E906,"missing: restricted access"))),AND(IF(Metadata!E906="",FALSE,ISNUMBER(VALUE(Metadata!E906))),Metadata!E906&gt;0))</f>
        <v>0</v>
      </c>
      <c r="Z906">
        <f>AND(IF(Metadata!F906="",FALSE,TRUE),exact(Metadata!F906,"weeks"))</f>
        <v>0</v>
      </c>
      <c r="AA906">
        <f>AND(IF(Metadata!G906="",FALSE,TRUE),exact(Metadata!G906,"mouse"))</f>
        <v>0</v>
      </c>
      <c r="AB906">
        <f>AND(IF(Metadata!H906="",FALSE,TRUE),exact(Metadata!H906,"Mus musculus"))</f>
        <v>0</v>
      </c>
      <c r="AC906">
        <f>AND(IF(Metadata!I906="",FALSE,TRUE),exact(Metadata!I906,"10090"))</f>
        <v>0</v>
      </c>
      <c r="AD906">
        <f>OR(AND(IF(Metadata!J906="",FALSE,TRUE),OR(exact(Metadata!J906,"not applicable"),exact(Metadata!J906,"missing: not collected"),exact(Metadata!J906,"missing: not provided"),exact(Metadata!J906,"missing: restricted access"))),AND(IF(Metadata!J906="",FALSE,ISNUMBER(VALUE(Metadata!J906))),Metadata!J906&gt;0))</f>
        <v>0</v>
      </c>
      <c r="AE906">
        <f>AND(IF(Metadata!K906="",FALSE,TRUE),exact(Metadata!K906,"g"))</f>
        <v>0</v>
      </c>
    </row>
    <row r="907" spans="1:31">
      <c r="A907" s="5">
        <f>IF(B907=" "," ",HYPERLINK(CONCATENATE("#metadata!",ADDRESS(INDEX($Q$2:$Q$1001,MATCH(ROWS($O$2:O907),$O$2:$O$1001,0),0),1)),INDEX($T$2:$T$1001,MATCH(ROWS($O$2:O907),$O$2:$O$1001,0),0)))</f>
        <v>0</v>
      </c>
      <c r="B907" s="4">
        <f>IF(OR(INDEX($P$2:$P$1001,MATCH(ROWS($O$2:O907),$O$2:$O$1001,0),1)&gt;=100000,INDEX($V$1005:$AE$1005,1,MATCH(COLUMNS($V$1006:V1006),$V$1006:$AE$1006,0))&gt;=100000), " ",IF(INDEX($V$2:$AE$1001,MATCH(ROWS($O$2:O907),$O$2:$O$1001,0),MATCH(COLUMNS($V$1006:V1006),$V$1006:$AE$1006,0)), HYPERLINK("#",""), HYPERLINK(CONCATENATE("#Metadata!", ADDRESS(INDEX($Q$2:$Q$1001,MATCH(ROWS($O$2:O907),$O$2:$O$1001,0),0), INDEX($V$1004:$AE$1004,1,MATCH(COLUMNS($V$1006:V1006),$V$1006:$AE$1006,0)))),"Fix")))</f>
        <v>0</v>
      </c>
      <c r="C907" s="4">
        <f>IF(OR(INDEX($P$2:$P$1001,MATCH(ROWS($O$2:O907),$O$2:$O$1001,0),1)&gt;=100000,INDEX($V$1005:$AE$1005,1,MATCH(COLUMNS($V$1006:W1006),$V$1006:$AE$1006,0))&gt;=100000), " ",IF(INDEX($V$2:$AE$1001,MATCH(ROWS($O$2:O907),$O$2:$O$1001,0),MATCH(COLUMNS($V$1006:W1006),$V$1006:$AE$1006,0)), HYPERLINK("#",""), HYPERLINK(CONCATENATE("#Metadata!", ADDRESS(INDEX($Q$2:$Q$1001,MATCH(ROWS($O$2:O907),$O$2:$O$1001,0),0), INDEX($V$1004:$AE$1004,1,MATCH(COLUMNS($V$1006:W1006),$V$1006:$AE$1006,0)))),"Fix")))</f>
        <v>0</v>
      </c>
      <c r="D907" s="4">
        <f>IF(OR(INDEX($P$2:$P$1001,MATCH(ROWS($O$2:O907),$O$2:$O$1001,0),1)&gt;=100000,INDEX($V$1005:$AE$1005,1,MATCH(COLUMNS($V$1006:X1006),$V$1006:$AE$1006,0))&gt;=100000), " ",IF(INDEX($V$2:$AE$1001,MATCH(ROWS($O$2:O907),$O$2:$O$1001,0),MATCH(COLUMNS($V$1006:X1006),$V$1006:$AE$1006,0)), HYPERLINK("#",""), HYPERLINK(CONCATENATE("#Metadata!", ADDRESS(INDEX($Q$2:$Q$1001,MATCH(ROWS($O$2:O907),$O$2:$O$1001,0),0), INDEX($V$1004:$AE$1004,1,MATCH(COLUMNS($V$1006:X1006),$V$1006:$AE$1006,0)))),"Fix")))</f>
        <v>0</v>
      </c>
      <c r="E907" s="4">
        <f>IF(OR(INDEX($P$2:$P$1001,MATCH(ROWS($O$2:O907),$O$2:$O$1001,0),1)&gt;=100000,INDEX($V$1005:$AE$1005,1,MATCH(COLUMNS($V$1006:Y1006),$V$1006:$AE$1006,0))&gt;=100000), " ",IF(INDEX($V$2:$AE$1001,MATCH(ROWS($O$2:O907),$O$2:$O$1001,0),MATCH(COLUMNS($V$1006:Y1006),$V$1006:$AE$1006,0)), HYPERLINK("#",""), HYPERLINK(CONCATENATE("#Metadata!", ADDRESS(INDEX($Q$2:$Q$1001,MATCH(ROWS($O$2:O907),$O$2:$O$1001,0),0), INDEX($V$1004:$AE$1004,1,MATCH(COLUMNS($V$1006:Y1006),$V$1006:$AE$1006,0)))),"Fix")))</f>
        <v>0</v>
      </c>
      <c r="F907" s="4">
        <f>IF(OR(INDEX($P$2:$P$1001,MATCH(ROWS($O$2:O907),$O$2:$O$1001,0),1)&gt;=100000,INDEX($V$1005:$AE$1005,1,MATCH(COLUMNS($V$1006:Z1006),$V$1006:$AE$1006,0))&gt;=100000), " ",IF(INDEX($V$2:$AE$1001,MATCH(ROWS($O$2:O907),$O$2:$O$1001,0),MATCH(COLUMNS($V$1006:Z1006),$V$1006:$AE$1006,0)), HYPERLINK("#",""), HYPERLINK(CONCATENATE("#Metadata!", ADDRESS(INDEX($Q$2:$Q$1001,MATCH(ROWS($O$2:O907),$O$2:$O$1001,0),0), INDEX($V$1004:$AE$1004,1,MATCH(COLUMNS($V$1006:Z1006),$V$1006:$AE$1006,0)))),"Fix")))</f>
        <v>0</v>
      </c>
      <c r="G907" s="4">
        <f>IF(OR(INDEX($P$2:$P$1001,MATCH(ROWS($O$2:O907),$O$2:$O$1001,0),1)&gt;=100000,INDEX($V$1005:$AE$1005,1,MATCH(COLUMNS($V$1006:AA1006),$V$1006:$AE$1006,0))&gt;=100000), " ",IF(INDEX($V$2:$AE$1001,MATCH(ROWS($O$2:O907),$O$2:$O$1001,0),MATCH(COLUMNS($V$1006:AA1006),$V$1006:$AE$1006,0)), HYPERLINK("#",""), HYPERLINK(CONCATENATE("#Metadata!", ADDRESS(INDEX($Q$2:$Q$1001,MATCH(ROWS($O$2:O907),$O$2:$O$1001,0),0), INDEX($V$1004:$AE$1004,1,MATCH(COLUMNS($V$1006:AA1006),$V$1006:$AE$1006,0)))),"Fix")))</f>
        <v>0</v>
      </c>
      <c r="H907" s="4">
        <f>IF(OR(INDEX($P$2:$P$1001,MATCH(ROWS($O$2:O907),$O$2:$O$1001,0),1)&gt;=100000,INDEX($V$1005:$AE$1005,1,MATCH(COLUMNS($V$1006:AB1006),$V$1006:$AE$1006,0))&gt;=100000), " ",IF(INDEX($V$2:$AE$1001,MATCH(ROWS($O$2:O907),$O$2:$O$1001,0),MATCH(COLUMNS($V$1006:AB1006),$V$1006:$AE$1006,0)), HYPERLINK("#",""), HYPERLINK(CONCATENATE("#Metadata!", ADDRESS(INDEX($Q$2:$Q$1001,MATCH(ROWS($O$2:O907),$O$2:$O$1001,0),0), INDEX($V$1004:$AE$1004,1,MATCH(COLUMNS($V$1006:AB1006),$V$1006:$AE$1006,0)))),"Fix")))</f>
        <v>0</v>
      </c>
      <c r="I907" s="4">
        <f>IF(OR(INDEX($P$2:$P$1001,MATCH(ROWS($O$2:O907),$O$2:$O$1001,0),1)&gt;=100000,INDEX($V$1005:$AE$1005,1,MATCH(COLUMNS($V$1006:AC1006),$V$1006:$AE$1006,0))&gt;=100000), " ",IF(INDEX($V$2:$AE$1001,MATCH(ROWS($O$2:O907),$O$2:$O$1001,0),MATCH(COLUMNS($V$1006:AC1006),$V$1006:$AE$1006,0)), HYPERLINK("#",""), HYPERLINK(CONCATENATE("#Metadata!", ADDRESS(INDEX($Q$2:$Q$1001,MATCH(ROWS($O$2:O907),$O$2:$O$1001,0),0), INDEX($V$1004:$AE$1004,1,MATCH(COLUMNS($V$1006:AC1006),$V$1006:$AE$1006,0)))),"Fix")))</f>
        <v>0</v>
      </c>
      <c r="J907" s="4">
        <f>IF(OR(INDEX($P$2:$P$1001,MATCH(ROWS($O$2:O907),$O$2:$O$1001,0),1)&gt;=100000,INDEX($V$1005:$AE$1005,1,MATCH(COLUMNS($V$1006:AD1006),$V$1006:$AE$1006,0))&gt;=100000), " ",IF(INDEX($V$2:$AE$1001,MATCH(ROWS($O$2:O907),$O$2:$O$1001,0),MATCH(COLUMNS($V$1006:AD1006),$V$1006:$AE$1006,0)), HYPERLINK("#",""), HYPERLINK(CONCATENATE("#Metadata!", ADDRESS(INDEX($Q$2:$Q$1001,MATCH(ROWS($O$2:O907),$O$2:$O$1001,0),0), INDEX($V$1004:$AE$1004,1,MATCH(COLUMNS($V$1006:AD1006),$V$1006:$AE$1006,0)))),"Fix")))</f>
        <v>0</v>
      </c>
      <c r="K907" s="4">
        <f>IF(OR(INDEX($P$2:$P$1001,MATCH(ROWS($O$2:O907),$O$2:$O$1001,0),1)&gt;=100000,INDEX($V$1005:$AE$1005,1,MATCH(COLUMNS($V$1006:AE1006),$V$1006:$AE$1006,0))&gt;=100000), " ",IF(INDEX($V$2:$AE$1001,MATCH(ROWS($O$2:O907),$O$2:$O$1001,0),MATCH(COLUMNS($V$1006:AE1006),$V$1006:$AE$1006,0)), HYPERLINK("#",""), HYPERLINK(CONCATENATE("#Metadata!", ADDRESS(INDEX($Q$2:$Q$1001,MATCH(ROWS($O$2:O907),$O$2:$O$1001,0),0), INDEX($V$1004:$AE$1004,1,MATCH(COLUMNS($V$1006:AE1006),$V$1006:$AE$1006,0)))),"Fix")))</f>
        <v>0</v>
      </c>
      <c r="O907">
        <v>0</v>
      </c>
      <c r="P907">
        <v>0</v>
      </c>
      <c r="Q907">
        <v>0</v>
      </c>
      <c r="R907">
        <f>IF(S907,TRUE,AND(V907:AE907))</f>
        <v>0</v>
      </c>
      <c r="S907">
        <f>COUNTBLANK(Metadata!B907:K907)=COLUMNS(Metadata!B907:K907)</f>
        <v>0</v>
      </c>
      <c r="T907">
        <v>0</v>
      </c>
      <c r="V907">
        <f>AND(IF(Metadata!B907="",FALSE,TRUE),COUNTIF(Metadata!B:B, Metadata!B907) = 1,NOT(ISERROR(SUMPRODUCT(SEARCH(MID(Metadata!B907,ROW(INDIRECT("1:"&amp;LEN(Metadata!B907))), 1),"0123456789abcdefghijklmnopqrstuvwxyzABCDEFGHIJKLMNOPQRSTUVWXYZ.")))))</f>
        <v>0</v>
      </c>
      <c r="W907">
        <f>AND(IF(Metadata!C907="",FALSE,TRUE),exact(Metadata!C907,"urban biome"))</f>
        <v>0</v>
      </c>
      <c r="X907">
        <f>AND(IF(Metadata!D907="",FALSE,TRUE),exact(Metadata!D907,"animal-associated habitat"))</f>
        <v>0</v>
      </c>
      <c r="Y907">
        <f>OR(AND(IF(Metadata!E907="",FALSE,TRUE),OR(exact(Metadata!E907,"not applicable"),exact(Metadata!E907,"missing: not collected"),exact(Metadata!E907,"missing: not provided"),exact(Metadata!E907,"missing: restricted access"))),AND(IF(Metadata!E907="",FALSE,ISNUMBER(VALUE(Metadata!E907))),Metadata!E907&gt;0))</f>
        <v>0</v>
      </c>
      <c r="Z907">
        <f>AND(IF(Metadata!F907="",FALSE,TRUE),exact(Metadata!F907,"weeks"))</f>
        <v>0</v>
      </c>
      <c r="AA907">
        <f>AND(IF(Metadata!G907="",FALSE,TRUE),exact(Metadata!G907,"mouse"))</f>
        <v>0</v>
      </c>
      <c r="AB907">
        <f>AND(IF(Metadata!H907="",FALSE,TRUE),exact(Metadata!H907,"Mus musculus"))</f>
        <v>0</v>
      </c>
      <c r="AC907">
        <f>AND(IF(Metadata!I907="",FALSE,TRUE),exact(Metadata!I907,"10090"))</f>
        <v>0</v>
      </c>
      <c r="AD907">
        <f>OR(AND(IF(Metadata!J907="",FALSE,TRUE),OR(exact(Metadata!J907,"not applicable"),exact(Metadata!J907,"missing: not collected"),exact(Metadata!J907,"missing: not provided"),exact(Metadata!J907,"missing: restricted access"))),AND(IF(Metadata!J907="",FALSE,ISNUMBER(VALUE(Metadata!J907))),Metadata!J907&gt;0))</f>
        <v>0</v>
      </c>
      <c r="AE907">
        <f>AND(IF(Metadata!K907="",FALSE,TRUE),exact(Metadata!K907,"g"))</f>
        <v>0</v>
      </c>
    </row>
    <row r="908" spans="1:31">
      <c r="A908" s="5">
        <f>IF(B908=" "," ",HYPERLINK(CONCATENATE("#metadata!",ADDRESS(INDEX($Q$2:$Q$1001,MATCH(ROWS($O$2:O908),$O$2:$O$1001,0),0),1)),INDEX($T$2:$T$1001,MATCH(ROWS($O$2:O908),$O$2:$O$1001,0),0)))</f>
        <v>0</v>
      </c>
      <c r="B908" s="4">
        <f>IF(OR(INDEX($P$2:$P$1001,MATCH(ROWS($O$2:O908),$O$2:$O$1001,0),1)&gt;=100000,INDEX($V$1005:$AE$1005,1,MATCH(COLUMNS($V$1006:V1006),$V$1006:$AE$1006,0))&gt;=100000), " ",IF(INDEX($V$2:$AE$1001,MATCH(ROWS($O$2:O908),$O$2:$O$1001,0),MATCH(COLUMNS($V$1006:V1006),$V$1006:$AE$1006,0)), HYPERLINK("#",""), HYPERLINK(CONCATENATE("#Metadata!", ADDRESS(INDEX($Q$2:$Q$1001,MATCH(ROWS($O$2:O908),$O$2:$O$1001,0),0), INDEX($V$1004:$AE$1004,1,MATCH(COLUMNS($V$1006:V1006),$V$1006:$AE$1006,0)))),"Fix")))</f>
        <v>0</v>
      </c>
      <c r="C908" s="4">
        <f>IF(OR(INDEX($P$2:$P$1001,MATCH(ROWS($O$2:O908),$O$2:$O$1001,0),1)&gt;=100000,INDEX($V$1005:$AE$1005,1,MATCH(COLUMNS($V$1006:W1006),$V$1006:$AE$1006,0))&gt;=100000), " ",IF(INDEX($V$2:$AE$1001,MATCH(ROWS($O$2:O908),$O$2:$O$1001,0),MATCH(COLUMNS($V$1006:W1006),$V$1006:$AE$1006,0)), HYPERLINK("#",""), HYPERLINK(CONCATENATE("#Metadata!", ADDRESS(INDEX($Q$2:$Q$1001,MATCH(ROWS($O$2:O908),$O$2:$O$1001,0),0), INDEX($V$1004:$AE$1004,1,MATCH(COLUMNS($V$1006:W1006),$V$1006:$AE$1006,0)))),"Fix")))</f>
        <v>0</v>
      </c>
      <c r="D908" s="4">
        <f>IF(OR(INDEX($P$2:$P$1001,MATCH(ROWS($O$2:O908),$O$2:$O$1001,0),1)&gt;=100000,INDEX($V$1005:$AE$1005,1,MATCH(COLUMNS($V$1006:X1006),$V$1006:$AE$1006,0))&gt;=100000), " ",IF(INDEX($V$2:$AE$1001,MATCH(ROWS($O$2:O908),$O$2:$O$1001,0),MATCH(COLUMNS($V$1006:X1006),$V$1006:$AE$1006,0)), HYPERLINK("#",""), HYPERLINK(CONCATENATE("#Metadata!", ADDRESS(INDEX($Q$2:$Q$1001,MATCH(ROWS($O$2:O908),$O$2:$O$1001,0),0), INDEX($V$1004:$AE$1004,1,MATCH(COLUMNS($V$1006:X1006),$V$1006:$AE$1006,0)))),"Fix")))</f>
        <v>0</v>
      </c>
      <c r="E908" s="4">
        <f>IF(OR(INDEX($P$2:$P$1001,MATCH(ROWS($O$2:O908),$O$2:$O$1001,0),1)&gt;=100000,INDEX($V$1005:$AE$1005,1,MATCH(COLUMNS($V$1006:Y1006),$V$1006:$AE$1006,0))&gt;=100000), " ",IF(INDEX($V$2:$AE$1001,MATCH(ROWS($O$2:O908),$O$2:$O$1001,0),MATCH(COLUMNS($V$1006:Y1006),$V$1006:$AE$1006,0)), HYPERLINK("#",""), HYPERLINK(CONCATENATE("#Metadata!", ADDRESS(INDEX($Q$2:$Q$1001,MATCH(ROWS($O$2:O908),$O$2:$O$1001,0),0), INDEX($V$1004:$AE$1004,1,MATCH(COLUMNS($V$1006:Y1006),$V$1006:$AE$1006,0)))),"Fix")))</f>
        <v>0</v>
      </c>
      <c r="F908" s="4">
        <f>IF(OR(INDEX($P$2:$P$1001,MATCH(ROWS($O$2:O908),$O$2:$O$1001,0),1)&gt;=100000,INDEX($V$1005:$AE$1005,1,MATCH(COLUMNS($V$1006:Z1006),$V$1006:$AE$1006,0))&gt;=100000), " ",IF(INDEX($V$2:$AE$1001,MATCH(ROWS($O$2:O908),$O$2:$O$1001,0),MATCH(COLUMNS($V$1006:Z1006),$V$1006:$AE$1006,0)), HYPERLINK("#",""), HYPERLINK(CONCATENATE("#Metadata!", ADDRESS(INDEX($Q$2:$Q$1001,MATCH(ROWS($O$2:O908),$O$2:$O$1001,0),0), INDEX($V$1004:$AE$1004,1,MATCH(COLUMNS($V$1006:Z1006),$V$1006:$AE$1006,0)))),"Fix")))</f>
        <v>0</v>
      </c>
      <c r="G908" s="4">
        <f>IF(OR(INDEX($P$2:$P$1001,MATCH(ROWS($O$2:O908),$O$2:$O$1001,0),1)&gt;=100000,INDEX($V$1005:$AE$1005,1,MATCH(COLUMNS($V$1006:AA1006),$V$1006:$AE$1006,0))&gt;=100000), " ",IF(INDEX($V$2:$AE$1001,MATCH(ROWS($O$2:O908),$O$2:$O$1001,0),MATCH(COLUMNS($V$1006:AA1006),$V$1006:$AE$1006,0)), HYPERLINK("#",""), HYPERLINK(CONCATENATE("#Metadata!", ADDRESS(INDEX($Q$2:$Q$1001,MATCH(ROWS($O$2:O908),$O$2:$O$1001,0),0), INDEX($V$1004:$AE$1004,1,MATCH(COLUMNS($V$1006:AA1006),$V$1006:$AE$1006,0)))),"Fix")))</f>
        <v>0</v>
      </c>
      <c r="H908" s="4">
        <f>IF(OR(INDEX($P$2:$P$1001,MATCH(ROWS($O$2:O908),$O$2:$O$1001,0),1)&gt;=100000,INDEX($V$1005:$AE$1005,1,MATCH(COLUMNS($V$1006:AB1006),$V$1006:$AE$1006,0))&gt;=100000), " ",IF(INDEX($V$2:$AE$1001,MATCH(ROWS($O$2:O908),$O$2:$O$1001,0),MATCH(COLUMNS($V$1006:AB1006),$V$1006:$AE$1006,0)), HYPERLINK("#",""), HYPERLINK(CONCATENATE("#Metadata!", ADDRESS(INDEX($Q$2:$Q$1001,MATCH(ROWS($O$2:O908),$O$2:$O$1001,0),0), INDEX($V$1004:$AE$1004,1,MATCH(COLUMNS($V$1006:AB1006),$V$1006:$AE$1006,0)))),"Fix")))</f>
        <v>0</v>
      </c>
      <c r="I908" s="4">
        <f>IF(OR(INDEX($P$2:$P$1001,MATCH(ROWS($O$2:O908),$O$2:$O$1001,0),1)&gt;=100000,INDEX($V$1005:$AE$1005,1,MATCH(COLUMNS($V$1006:AC1006),$V$1006:$AE$1006,0))&gt;=100000), " ",IF(INDEX($V$2:$AE$1001,MATCH(ROWS($O$2:O908),$O$2:$O$1001,0),MATCH(COLUMNS($V$1006:AC1006),$V$1006:$AE$1006,0)), HYPERLINK("#",""), HYPERLINK(CONCATENATE("#Metadata!", ADDRESS(INDEX($Q$2:$Q$1001,MATCH(ROWS($O$2:O908),$O$2:$O$1001,0),0), INDEX($V$1004:$AE$1004,1,MATCH(COLUMNS($V$1006:AC1006),$V$1006:$AE$1006,0)))),"Fix")))</f>
        <v>0</v>
      </c>
      <c r="J908" s="4">
        <f>IF(OR(INDEX($P$2:$P$1001,MATCH(ROWS($O$2:O908),$O$2:$O$1001,0),1)&gt;=100000,INDEX($V$1005:$AE$1005,1,MATCH(COLUMNS($V$1006:AD1006),$V$1006:$AE$1006,0))&gt;=100000), " ",IF(INDEX($V$2:$AE$1001,MATCH(ROWS($O$2:O908),$O$2:$O$1001,0),MATCH(COLUMNS($V$1006:AD1006),$V$1006:$AE$1006,0)), HYPERLINK("#",""), HYPERLINK(CONCATENATE("#Metadata!", ADDRESS(INDEX($Q$2:$Q$1001,MATCH(ROWS($O$2:O908),$O$2:$O$1001,0),0), INDEX($V$1004:$AE$1004,1,MATCH(COLUMNS($V$1006:AD1006),$V$1006:$AE$1006,0)))),"Fix")))</f>
        <v>0</v>
      </c>
      <c r="K908" s="4">
        <f>IF(OR(INDEX($P$2:$P$1001,MATCH(ROWS($O$2:O908),$O$2:$O$1001,0),1)&gt;=100000,INDEX($V$1005:$AE$1005,1,MATCH(COLUMNS($V$1006:AE1006),$V$1006:$AE$1006,0))&gt;=100000), " ",IF(INDEX($V$2:$AE$1001,MATCH(ROWS($O$2:O908),$O$2:$O$1001,0),MATCH(COLUMNS($V$1006:AE1006),$V$1006:$AE$1006,0)), HYPERLINK("#",""), HYPERLINK(CONCATENATE("#Metadata!", ADDRESS(INDEX($Q$2:$Q$1001,MATCH(ROWS($O$2:O908),$O$2:$O$1001,0),0), INDEX($V$1004:$AE$1004,1,MATCH(COLUMNS($V$1006:AE1006),$V$1006:$AE$1006,0)))),"Fix")))</f>
        <v>0</v>
      </c>
      <c r="O908">
        <v>0</v>
      </c>
      <c r="P908">
        <v>0</v>
      </c>
      <c r="Q908">
        <v>0</v>
      </c>
      <c r="R908">
        <f>IF(S908,TRUE,AND(V908:AE908))</f>
        <v>0</v>
      </c>
      <c r="S908">
        <f>COUNTBLANK(Metadata!B908:K908)=COLUMNS(Metadata!B908:K908)</f>
        <v>0</v>
      </c>
      <c r="T908">
        <v>0</v>
      </c>
      <c r="V908">
        <f>AND(IF(Metadata!B908="",FALSE,TRUE),COUNTIF(Metadata!B:B, Metadata!B908) = 1,NOT(ISERROR(SUMPRODUCT(SEARCH(MID(Metadata!B908,ROW(INDIRECT("1:"&amp;LEN(Metadata!B908))), 1),"0123456789abcdefghijklmnopqrstuvwxyzABCDEFGHIJKLMNOPQRSTUVWXYZ.")))))</f>
        <v>0</v>
      </c>
      <c r="W908">
        <f>AND(IF(Metadata!C908="",FALSE,TRUE),exact(Metadata!C908,"urban biome"))</f>
        <v>0</v>
      </c>
      <c r="X908">
        <f>AND(IF(Metadata!D908="",FALSE,TRUE),exact(Metadata!D908,"animal-associated habitat"))</f>
        <v>0</v>
      </c>
      <c r="Y908">
        <f>OR(AND(IF(Metadata!E908="",FALSE,TRUE),OR(exact(Metadata!E908,"not applicable"),exact(Metadata!E908,"missing: not collected"),exact(Metadata!E908,"missing: not provided"),exact(Metadata!E908,"missing: restricted access"))),AND(IF(Metadata!E908="",FALSE,ISNUMBER(VALUE(Metadata!E908))),Metadata!E908&gt;0))</f>
        <v>0</v>
      </c>
      <c r="Z908">
        <f>AND(IF(Metadata!F908="",FALSE,TRUE),exact(Metadata!F908,"weeks"))</f>
        <v>0</v>
      </c>
      <c r="AA908">
        <f>AND(IF(Metadata!G908="",FALSE,TRUE),exact(Metadata!G908,"mouse"))</f>
        <v>0</v>
      </c>
      <c r="AB908">
        <f>AND(IF(Metadata!H908="",FALSE,TRUE),exact(Metadata!H908,"Mus musculus"))</f>
        <v>0</v>
      </c>
      <c r="AC908">
        <f>AND(IF(Metadata!I908="",FALSE,TRUE),exact(Metadata!I908,"10090"))</f>
        <v>0</v>
      </c>
      <c r="AD908">
        <f>OR(AND(IF(Metadata!J908="",FALSE,TRUE),OR(exact(Metadata!J908,"not applicable"),exact(Metadata!J908,"missing: not collected"),exact(Metadata!J908,"missing: not provided"),exact(Metadata!J908,"missing: restricted access"))),AND(IF(Metadata!J908="",FALSE,ISNUMBER(VALUE(Metadata!J908))),Metadata!J908&gt;0))</f>
        <v>0</v>
      </c>
      <c r="AE908">
        <f>AND(IF(Metadata!K908="",FALSE,TRUE),exact(Metadata!K908,"g"))</f>
        <v>0</v>
      </c>
    </row>
    <row r="909" spans="1:31">
      <c r="A909" s="5">
        <f>IF(B909=" "," ",HYPERLINK(CONCATENATE("#metadata!",ADDRESS(INDEX($Q$2:$Q$1001,MATCH(ROWS($O$2:O909),$O$2:$O$1001,0),0),1)),INDEX($T$2:$T$1001,MATCH(ROWS($O$2:O909),$O$2:$O$1001,0),0)))</f>
        <v>0</v>
      </c>
      <c r="B909" s="4">
        <f>IF(OR(INDEX($P$2:$P$1001,MATCH(ROWS($O$2:O909),$O$2:$O$1001,0),1)&gt;=100000,INDEX($V$1005:$AE$1005,1,MATCH(COLUMNS($V$1006:V1006),$V$1006:$AE$1006,0))&gt;=100000), " ",IF(INDEX($V$2:$AE$1001,MATCH(ROWS($O$2:O909),$O$2:$O$1001,0),MATCH(COLUMNS($V$1006:V1006),$V$1006:$AE$1006,0)), HYPERLINK("#",""), HYPERLINK(CONCATENATE("#Metadata!", ADDRESS(INDEX($Q$2:$Q$1001,MATCH(ROWS($O$2:O909),$O$2:$O$1001,0),0), INDEX($V$1004:$AE$1004,1,MATCH(COLUMNS($V$1006:V1006),$V$1006:$AE$1006,0)))),"Fix")))</f>
        <v>0</v>
      </c>
      <c r="C909" s="4">
        <f>IF(OR(INDEX($P$2:$P$1001,MATCH(ROWS($O$2:O909),$O$2:$O$1001,0),1)&gt;=100000,INDEX($V$1005:$AE$1005,1,MATCH(COLUMNS($V$1006:W1006),$V$1006:$AE$1006,0))&gt;=100000), " ",IF(INDEX($V$2:$AE$1001,MATCH(ROWS($O$2:O909),$O$2:$O$1001,0),MATCH(COLUMNS($V$1006:W1006),$V$1006:$AE$1006,0)), HYPERLINK("#",""), HYPERLINK(CONCATENATE("#Metadata!", ADDRESS(INDEX($Q$2:$Q$1001,MATCH(ROWS($O$2:O909),$O$2:$O$1001,0),0), INDEX($V$1004:$AE$1004,1,MATCH(COLUMNS($V$1006:W1006),$V$1006:$AE$1006,0)))),"Fix")))</f>
        <v>0</v>
      </c>
      <c r="D909" s="4">
        <f>IF(OR(INDEX($P$2:$P$1001,MATCH(ROWS($O$2:O909),$O$2:$O$1001,0),1)&gt;=100000,INDEX($V$1005:$AE$1005,1,MATCH(COLUMNS($V$1006:X1006),$V$1006:$AE$1006,0))&gt;=100000), " ",IF(INDEX($V$2:$AE$1001,MATCH(ROWS($O$2:O909),$O$2:$O$1001,0),MATCH(COLUMNS($V$1006:X1006),$V$1006:$AE$1006,0)), HYPERLINK("#",""), HYPERLINK(CONCATENATE("#Metadata!", ADDRESS(INDEX($Q$2:$Q$1001,MATCH(ROWS($O$2:O909),$O$2:$O$1001,0),0), INDEX($V$1004:$AE$1004,1,MATCH(COLUMNS($V$1006:X1006),$V$1006:$AE$1006,0)))),"Fix")))</f>
        <v>0</v>
      </c>
      <c r="E909" s="4">
        <f>IF(OR(INDEX($P$2:$P$1001,MATCH(ROWS($O$2:O909),$O$2:$O$1001,0),1)&gt;=100000,INDEX($V$1005:$AE$1005,1,MATCH(COLUMNS($V$1006:Y1006),$V$1006:$AE$1006,0))&gt;=100000), " ",IF(INDEX($V$2:$AE$1001,MATCH(ROWS($O$2:O909),$O$2:$O$1001,0),MATCH(COLUMNS($V$1006:Y1006),$V$1006:$AE$1006,0)), HYPERLINK("#",""), HYPERLINK(CONCATENATE("#Metadata!", ADDRESS(INDEX($Q$2:$Q$1001,MATCH(ROWS($O$2:O909),$O$2:$O$1001,0),0), INDEX($V$1004:$AE$1004,1,MATCH(COLUMNS($V$1006:Y1006),$V$1006:$AE$1006,0)))),"Fix")))</f>
        <v>0</v>
      </c>
      <c r="F909" s="4">
        <f>IF(OR(INDEX($P$2:$P$1001,MATCH(ROWS($O$2:O909),$O$2:$O$1001,0),1)&gt;=100000,INDEX($V$1005:$AE$1005,1,MATCH(COLUMNS($V$1006:Z1006),$V$1006:$AE$1006,0))&gt;=100000), " ",IF(INDEX($V$2:$AE$1001,MATCH(ROWS($O$2:O909),$O$2:$O$1001,0),MATCH(COLUMNS($V$1006:Z1006),$V$1006:$AE$1006,0)), HYPERLINK("#",""), HYPERLINK(CONCATENATE("#Metadata!", ADDRESS(INDEX($Q$2:$Q$1001,MATCH(ROWS($O$2:O909),$O$2:$O$1001,0),0), INDEX($V$1004:$AE$1004,1,MATCH(COLUMNS($V$1006:Z1006),$V$1006:$AE$1006,0)))),"Fix")))</f>
        <v>0</v>
      </c>
      <c r="G909" s="4">
        <f>IF(OR(INDEX($P$2:$P$1001,MATCH(ROWS($O$2:O909),$O$2:$O$1001,0),1)&gt;=100000,INDEX($V$1005:$AE$1005,1,MATCH(COLUMNS($V$1006:AA1006),$V$1006:$AE$1006,0))&gt;=100000), " ",IF(INDEX($V$2:$AE$1001,MATCH(ROWS($O$2:O909),$O$2:$O$1001,0),MATCH(COLUMNS($V$1006:AA1006),$V$1006:$AE$1006,0)), HYPERLINK("#",""), HYPERLINK(CONCATENATE("#Metadata!", ADDRESS(INDEX($Q$2:$Q$1001,MATCH(ROWS($O$2:O909),$O$2:$O$1001,0),0), INDEX($V$1004:$AE$1004,1,MATCH(COLUMNS($V$1006:AA1006),$V$1006:$AE$1006,0)))),"Fix")))</f>
        <v>0</v>
      </c>
      <c r="H909" s="4">
        <f>IF(OR(INDEX($P$2:$P$1001,MATCH(ROWS($O$2:O909),$O$2:$O$1001,0),1)&gt;=100000,INDEX($V$1005:$AE$1005,1,MATCH(COLUMNS($V$1006:AB1006),$V$1006:$AE$1006,0))&gt;=100000), " ",IF(INDEX($V$2:$AE$1001,MATCH(ROWS($O$2:O909),$O$2:$O$1001,0),MATCH(COLUMNS($V$1006:AB1006),$V$1006:$AE$1006,0)), HYPERLINK("#",""), HYPERLINK(CONCATENATE("#Metadata!", ADDRESS(INDEX($Q$2:$Q$1001,MATCH(ROWS($O$2:O909),$O$2:$O$1001,0),0), INDEX($V$1004:$AE$1004,1,MATCH(COLUMNS($V$1006:AB1006),$V$1006:$AE$1006,0)))),"Fix")))</f>
        <v>0</v>
      </c>
      <c r="I909" s="4">
        <f>IF(OR(INDEX($P$2:$P$1001,MATCH(ROWS($O$2:O909),$O$2:$O$1001,0),1)&gt;=100000,INDEX($V$1005:$AE$1005,1,MATCH(COLUMNS($V$1006:AC1006),$V$1006:$AE$1006,0))&gt;=100000), " ",IF(INDEX($V$2:$AE$1001,MATCH(ROWS($O$2:O909),$O$2:$O$1001,0),MATCH(COLUMNS($V$1006:AC1006),$V$1006:$AE$1006,0)), HYPERLINK("#",""), HYPERLINK(CONCATENATE("#Metadata!", ADDRESS(INDEX($Q$2:$Q$1001,MATCH(ROWS($O$2:O909),$O$2:$O$1001,0),0), INDEX($V$1004:$AE$1004,1,MATCH(COLUMNS($V$1006:AC1006),$V$1006:$AE$1006,0)))),"Fix")))</f>
        <v>0</v>
      </c>
      <c r="J909" s="4">
        <f>IF(OR(INDEX($P$2:$P$1001,MATCH(ROWS($O$2:O909),$O$2:$O$1001,0),1)&gt;=100000,INDEX($V$1005:$AE$1005,1,MATCH(COLUMNS($V$1006:AD1006),$V$1006:$AE$1006,0))&gt;=100000), " ",IF(INDEX($V$2:$AE$1001,MATCH(ROWS($O$2:O909),$O$2:$O$1001,0),MATCH(COLUMNS($V$1006:AD1006),$V$1006:$AE$1006,0)), HYPERLINK("#",""), HYPERLINK(CONCATENATE("#Metadata!", ADDRESS(INDEX($Q$2:$Q$1001,MATCH(ROWS($O$2:O909),$O$2:$O$1001,0),0), INDEX($V$1004:$AE$1004,1,MATCH(COLUMNS($V$1006:AD1006),$V$1006:$AE$1006,0)))),"Fix")))</f>
        <v>0</v>
      </c>
      <c r="K909" s="4">
        <f>IF(OR(INDEX($P$2:$P$1001,MATCH(ROWS($O$2:O909),$O$2:$O$1001,0),1)&gt;=100000,INDEX($V$1005:$AE$1005,1,MATCH(COLUMNS($V$1006:AE1006),$V$1006:$AE$1006,0))&gt;=100000), " ",IF(INDEX($V$2:$AE$1001,MATCH(ROWS($O$2:O909),$O$2:$O$1001,0),MATCH(COLUMNS($V$1006:AE1006),$V$1006:$AE$1006,0)), HYPERLINK("#",""), HYPERLINK(CONCATENATE("#Metadata!", ADDRESS(INDEX($Q$2:$Q$1001,MATCH(ROWS($O$2:O909),$O$2:$O$1001,0),0), INDEX($V$1004:$AE$1004,1,MATCH(COLUMNS($V$1006:AE1006),$V$1006:$AE$1006,0)))),"Fix")))</f>
        <v>0</v>
      </c>
      <c r="O909">
        <v>0</v>
      </c>
      <c r="P909">
        <v>0</v>
      </c>
      <c r="Q909">
        <v>0</v>
      </c>
      <c r="R909">
        <f>IF(S909,TRUE,AND(V909:AE909))</f>
        <v>0</v>
      </c>
      <c r="S909">
        <f>COUNTBLANK(Metadata!B909:K909)=COLUMNS(Metadata!B909:K909)</f>
        <v>0</v>
      </c>
      <c r="T909">
        <v>0</v>
      </c>
      <c r="V909">
        <f>AND(IF(Metadata!B909="",FALSE,TRUE),COUNTIF(Metadata!B:B, Metadata!B909) = 1,NOT(ISERROR(SUMPRODUCT(SEARCH(MID(Metadata!B909,ROW(INDIRECT("1:"&amp;LEN(Metadata!B909))), 1),"0123456789abcdefghijklmnopqrstuvwxyzABCDEFGHIJKLMNOPQRSTUVWXYZ.")))))</f>
        <v>0</v>
      </c>
      <c r="W909">
        <f>AND(IF(Metadata!C909="",FALSE,TRUE),exact(Metadata!C909,"urban biome"))</f>
        <v>0</v>
      </c>
      <c r="X909">
        <f>AND(IF(Metadata!D909="",FALSE,TRUE),exact(Metadata!D909,"animal-associated habitat"))</f>
        <v>0</v>
      </c>
      <c r="Y909">
        <f>OR(AND(IF(Metadata!E909="",FALSE,TRUE),OR(exact(Metadata!E909,"not applicable"),exact(Metadata!E909,"missing: not collected"),exact(Metadata!E909,"missing: not provided"),exact(Metadata!E909,"missing: restricted access"))),AND(IF(Metadata!E909="",FALSE,ISNUMBER(VALUE(Metadata!E909))),Metadata!E909&gt;0))</f>
        <v>0</v>
      </c>
      <c r="Z909">
        <f>AND(IF(Metadata!F909="",FALSE,TRUE),exact(Metadata!F909,"weeks"))</f>
        <v>0</v>
      </c>
      <c r="AA909">
        <f>AND(IF(Metadata!G909="",FALSE,TRUE),exact(Metadata!G909,"mouse"))</f>
        <v>0</v>
      </c>
      <c r="AB909">
        <f>AND(IF(Metadata!H909="",FALSE,TRUE),exact(Metadata!H909,"Mus musculus"))</f>
        <v>0</v>
      </c>
      <c r="AC909">
        <f>AND(IF(Metadata!I909="",FALSE,TRUE),exact(Metadata!I909,"10090"))</f>
        <v>0</v>
      </c>
      <c r="AD909">
        <f>OR(AND(IF(Metadata!J909="",FALSE,TRUE),OR(exact(Metadata!J909,"not applicable"),exact(Metadata!J909,"missing: not collected"),exact(Metadata!J909,"missing: not provided"),exact(Metadata!J909,"missing: restricted access"))),AND(IF(Metadata!J909="",FALSE,ISNUMBER(VALUE(Metadata!J909))),Metadata!J909&gt;0))</f>
        <v>0</v>
      </c>
      <c r="AE909">
        <f>AND(IF(Metadata!K909="",FALSE,TRUE),exact(Metadata!K909,"g"))</f>
        <v>0</v>
      </c>
    </row>
    <row r="910" spans="1:31">
      <c r="A910" s="5">
        <f>IF(B910=" "," ",HYPERLINK(CONCATENATE("#metadata!",ADDRESS(INDEX($Q$2:$Q$1001,MATCH(ROWS($O$2:O910),$O$2:$O$1001,0),0),1)),INDEX($T$2:$T$1001,MATCH(ROWS($O$2:O910),$O$2:$O$1001,0),0)))</f>
        <v>0</v>
      </c>
      <c r="B910" s="4">
        <f>IF(OR(INDEX($P$2:$P$1001,MATCH(ROWS($O$2:O910),$O$2:$O$1001,0),1)&gt;=100000,INDEX($V$1005:$AE$1005,1,MATCH(COLUMNS($V$1006:V1006),$V$1006:$AE$1006,0))&gt;=100000), " ",IF(INDEX($V$2:$AE$1001,MATCH(ROWS($O$2:O910),$O$2:$O$1001,0),MATCH(COLUMNS($V$1006:V1006),$V$1006:$AE$1006,0)), HYPERLINK("#",""), HYPERLINK(CONCATENATE("#Metadata!", ADDRESS(INDEX($Q$2:$Q$1001,MATCH(ROWS($O$2:O910),$O$2:$O$1001,0),0), INDEX($V$1004:$AE$1004,1,MATCH(COLUMNS($V$1006:V1006),$V$1006:$AE$1006,0)))),"Fix")))</f>
        <v>0</v>
      </c>
      <c r="C910" s="4">
        <f>IF(OR(INDEX($P$2:$P$1001,MATCH(ROWS($O$2:O910),$O$2:$O$1001,0),1)&gt;=100000,INDEX($V$1005:$AE$1005,1,MATCH(COLUMNS($V$1006:W1006),$V$1006:$AE$1006,0))&gt;=100000), " ",IF(INDEX($V$2:$AE$1001,MATCH(ROWS($O$2:O910),$O$2:$O$1001,0),MATCH(COLUMNS($V$1006:W1006),$V$1006:$AE$1006,0)), HYPERLINK("#",""), HYPERLINK(CONCATENATE("#Metadata!", ADDRESS(INDEX($Q$2:$Q$1001,MATCH(ROWS($O$2:O910),$O$2:$O$1001,0),0), INDEX($V$1004:$AE$1004,1,MATCH(COLUMNS($V$1006:W1006),$V$1006:$AE$1006,0)))),"Fix")))</f>
        <v>0</v>
      </c>
      <c r="D910" s="4">
        <f>IF(OR(INDEX($P$2:$P$1001,MATCH(ROWS($O$2:O910),$O$2:$O$1001,0),1)&gt;=100000,INDEX($V$1005:$AE$1005,1,MATCH(COLUMNS($V$1006:X1006),$V$1006:$AE$1006,0))&gt;=100000), " ",IF(INDEX($V$2:$AE$1001,MATCH(ROWS($O$2:O910),$O$2:$O$1001,0),MATCH(COLUMNS($V$1006:X1006),$V$1006:$AE$1006,0)), HYPERLINK("#",""), HYPERLINK(CONCATENATE("#Metadata!", ADDRESS(INDEX($Q$2:$Q$1001,MATCH(ROWS($O$2:O910),$O$2:$O$1001,0),0), INDEX($V$1004:$AE$1004,1,MATCH(COLUMNS($V$1006:X1006),$V$1006:$AE$1006,0)))),"Fix")))</f>
        <v>0</v>
      </c>
      <c r="E910" s="4">
        <f>IF(OR(INDEX($P$2:$P$1001,MATCH(ROWS($O$2:O910),$O$2:$O$1001,0),1)&gt;=100000,INDEX($V$1005:$AE$1005,1,MATCH(COLUMNS($V$1006:Y1006),$V$1006:$AE$1006,0))&gt;=100000), " ",IF(INDEX($V$2:$AE$1001,MATCH(ROWS($O$2:O910),$O$2:$O$1001,0),MATCH(COLUMNS($V$1006:Y1006),$V$1006:$AE$1006,0)), HYPERLINK("#",""), HYPERLINK(CONCATENATE("#Metadata!", ADDRESS(INDEX($Q$2:$Q$1001,MATCH(ROWS($O$2:O910),$O$2:$O$1001,0),0), INDEX($V$1004:$AE$1004,1,MATCH(COLUMNS($V$1006:Y1006),$V$1006:$AE$1006,0)))),"Fix")))</f>
        <v>0</v>
      </c>
      <c r="F910" s="4">
        <f>IF(OR(INDEX($P$2:$P$1001,MATCH(ROWS($O$2:O910),$O$2:$O$1001,0),1)&gt;=100000,INDEX($V$1005:$AE$1005,1,MATCH(COLUMNS($V$1006:Z1006),$V$1006:$AE$1006,0))&gt;=100000), " ",IF(INDEX($V$2:$AE$1001,MATCH(ROWS($O$2:O910),$O$2:$O$1001,0),MATCH(COLUMNS($V$1006:Z1006),$V$1006:$AE$1006,0)), HYPERLINK("#",""), HYPERLINK(CONCATENATE("#Metadata!", ADDRESS(INDEX($Q$2:$Q$1001,MATCH(ROWS($O$2:O910),$O$2:$O$1001,0),0), INDEX($V$1004:$AE$1004,1,MATCH(COLUMNS($V$1006:Z1006),$V$1006:$AE$1006,0)))),"Fix")))</f>
        <v>0</v>
      </c>
      <c r="G910" s="4">
        <f>IF(OR(INDEX($P$2:$P$1001,MATCH(ROWS($O$2:O910),$O$2:$O$1001,0),1)&gt;=100000,INDEX($V$1005:$AE$1005,1,MATCH(COLUMNS($V$1006:AA1006),$V$1006:$AE$1006,0))&gt;=100000), " ",IF(INDEX($V$2:$AE$1001,MATCH(ROWS($O$2:O910),$O$2:$O$1001,0),MATCH(COLUMNS($V$1006:AA1006),$V$1006:$AE$1006,0)), HYPERLINK("#",""), HYPERLINK(CONCATENATE("#Metadata!", ADDRESS(INDEX($Q$2:$Q$1001,MATCH(ROWS($O$2:O910),$O$2:$O$1001,0),0), INDEX($V$1004:$AE$1004,1,MATCH(COLUMNS($V$1006:AA1006),$V$1006:$AE$1006,0)))),"Fix")))</f>
        <v>0</v>
      </c>
      <c r="H910" s="4">
        <f>IF(OR(INDEX($P$2:$P$1001,MATCH(ROWS($O$2:O910),$O$2:$O$1001,0),1)&gt;=100000,INDEX($V$1005:$AE$1005,1,MATCH(COLUMNS($V$1006:AB1006),$V$1006:$AE$1006,0))&gt;=100000), " ",IF(INDEX($V$2:$AE$1001,MATCH(ROWS($O$2:O910),$O$2:$O$1001,0),MATCH(COLUMNS($V$1006:AB1006),$V$1006:$AE$1006,0)), HYPERLINK("#",""), HYPERLINK(CONCATENATE("#Metadata!", ADDRESS(INDEX($Q$2:$Q$1001,MATCH(ROWS($O$2:O910),$O$2:$O$1001,0),0), INDEX($V$1004:$AE$1004,1,MATCH(COLUMNS($V$1006:AB1006),$V$1006:$AE$1006,0)))),"Fix")))</f>
        <v>0</v>
      </c>
      <c r="I910" s="4">
        <f>IF(OR(INDEX($P$2:$P$1001,MATCH(ROWS($O$2:O910),$O$2:$O$1001,0),1)&gt;=100000,INDEX($V$1005:$AE$1005,1,MATCH(COLUMNS($V$1006:AC1006),$V$1006:$AE$1006,0))&gt;=100000), " ",IF(INDEX($V$2:$AE$1001,MATCH(ROWS($O$2:O910),$O$2:$O$1001,0),MATCH(COLUMNS($V$1006:AC1006),$V$1006:$AE$1006,0)), HYPERLINK("#",""), HYPERLINK(CONCATENATE("#Metadata!", ADDRESS(INDEX($Q$2:$Q$1001,MATCH(ROWS($O$2:O910),$O$2:$O$1001,0),0), INDEX($V$1004:$AE$1004,1,MATCH(COLUMNS($V$1006:AC1006),$V$1006:$AE$1006,0)))),"Fix")))</f>
        <v>0</v>
      </c>
      <c r="J910" s="4">
        <f>IF(OR(INDEX($P$2:$P$1001,MATCH(ROWS($O$2:O910),$O$2:$O$1001,0),1)&gt;=100000,INDEX($V$1005:$AE$1005,1,MATCH(COLUMNS($V$1006:AD1006),$V$1006:$AE$1006,0))&gt;=100000), " ",IF(INDEX($V$2:$AE$1001,MATCH(ROWS($O$2:O910),$O$2:$O$1001,0),MATCH(COLUMNS($V$1006:AD1006),$V$1006:$AE$1006,0)), HYPERLINK("#",""), HYPERLINK(CONCATENATE("#Metadata!", ADDRESS(INDEX($Q$2:$Q$1001,MATCH(ROWS($O$2:O910),$O$2:$O$1001,0),0), INDEX($V$1004:$AE$1004,1,MATCH(COLUMNS($V$1006:AD1006),$V$1006:$AE$1006,0)))),"Fix")))</f>
        <v>0</v>
      </c>
      <c r="K910" s="4">
        <f>IF(OR(INDEX($P$2:$P$1001,MATCH(ROWS($O$2:O910),$O$2:$O$1001,0),1)&gt;=100000,INDEX($V$1005:$AE$1005,1,MATCH(COLUMNS($V$1006:AE1006),$V$1006:$AE$1006,0))&gt;=100000), " ",IF(INDEX($V$2:$AE$1001,MATCH(ROWS($O$2:O910),$O$2:$O$1001,0),MATCH(COLUMNS($V$1006:AE1006),$V$1006:$AE$1006,0)), HYPERLINK("#",""), HYPERLINK(CONCATENATE("#Metadata!", ADDRESS(INDEX($Q$2:$Q$1001,MATCH(ROWS($O$2:O910),$O$2:$O$1001,0),0), INDEX($V$1004:$AE$1004,1,MATCH(COLUMNS($V$1006:AE1006),$V$1006:$AE$1006,0)))),"Fix")))</f>
        <v>0</v>
      </c>
      <c r="O910">
        <v>0</v>
      </c>
      <c r="P910">
        <v>0</v>
      </c>
      <c r="Q910">
        <v>0</v>
      </c>
      <c r="R910">
        <f>IF(S910,TRUE,AND(V910:AE910))</f>
        <v>0</v>
      </c>
      <c r="S910">
        <f>COUNTBLANK(Metadata!B910:K910)=COLUMNS(Metadata!B910:K910)</f>
        <v>0</v>
      </c>
      <c r="T910">
        <v>0</v>
      </c>
      <c r="V910">
        <f>AND(IF(Metadata!B910="",FALSE,TRUE),COUNTIF(Metadata!B:B, Metadata!B910) = 1,NOT(ISERROR(SUMPRODUCT(SEARCH(MID(Metadata!B910,ROW(INDIRECT("1:"&amp;LEN(Metadata!B910))), 1),"0123456789abcdefghijklmnopqrstuvwxyzABCDEFGHIJKLMNOPQRSTUVWXYZ.")))))</f>
        <v>0</v>
      </c>
      <c r="W910">
        <f>AND(IF(Metadata!C910="",FALSE,TRUE),exact(Metadata!C910,"urban biome"))</f>
        <v>0</v>
      </c>
      <c r="X910">
        <f>AND(IF(Metadata!D910="",FALSE,TRUE),exact(Metadata!D910,"animal-associated habitat"))</f>
        <v>0</v>
      </c>
      <c r="Y910">
        <f>OR(AND(IF(Metadata!E910="",FALSE,TRUE),OR(exact(Metadata!E910,"not applicable"),exact(Metadata!E910,"missing: not collected"),exact(Metadata!E910,"missing: not provided"),exact(Metadata!E910,"missing: restricted access"))),AND(IF(Metadata!E910="",FALSE,ISNUMBER(VALUE(Metadata!E910))),Metadata!E910&gt;0))</f>
        <v>0</v>
      </c>
      <c r="Z910">
        <f>AND(IF(Metadata!F910="",FALSE,TRUE),exact(Metadata!F910,"weeks"))</f>
        <v>0</v>
      </c>
      <c r="AA910">
        <f>AND(IF(Metadata!G910="",FALSE,TRUE),exact(Metadata!G910,"mouse"))</f>
        <v>0</v>
      </c>
      <c r="AB910">
        <f>AND(IF(Metadata!H910="",FALSE,TRUE),exact(Metadata!H910,"Mus musculus"))</f>
        <v>0</v>
      </c>
      <c r="AC910">
        <f>AND(IF(Metadata!I910="",FALSE,TRUE),exact(Metadata!I910,"10090"))</f>
        <v>0</v>
      </c>
      <c r="AD910">
        <f>OR(AND(IF(Metadata!J910="",FALSE,TRUE),OR(exact(Metadata!J910,"not applicable"),exact(Metadata!J910,"missing: not collected"),exact(Metadata!J910,"missing: not provided"),exact(Metadata!J910,"missing: restricted access"))),AND(IF(Metadata!J910="",FALSE,ISNUMBER(VALUE(Metadata!J910))),Metadata!J910&gt;0))</f>
        <v>0</v>
      </c>
      <c r="AE910">
        <f>AND(IF(Metadata!K910="",FALSE,TRUE),exact(Metadata!K910,"g"))</f>
        <v>0</v>
      </c>
    </row>
    <row r="911" spans="1:31">
      <c r="A911" s="5">
        <f>IF(B911=" "," ",HYPERLINK(CONCATENATE("#metadata!",ADDRESS(INDEX($Q$2:$Q$1001,MATCH(ROWS($O$2:O911),$O$2:$O$1001,0),0),1)),INDEX($T$2:$T$1001,MATCH(ROWS($O$2:O911),$O$2:$O$1001,0),0)))</f>
        <v>0</v>
      </c>
      <c r="B911" s="4">
        <f>IF(OR(INDEX($P$2:$P$1001,MATCH(ROWS($O$2:O911),$O$2:$O$1001,0),1)&gt;=100000,INDEX($V$1005:$AE$1005,1,MATCH(COLUMNS($V$1006:V1006),$V$1006:$AE$1006,0))&gt;=100000), " ",IF(INDEX($V$2:$AE$1001,MATCH(ROWS($O$2:O911),$O$2:$O$1001,0),MATCH(COLUMNS($V$1006:V1006),$V$1006:$AE$1006,0)), HYPERLINK("#",""), HYPERLINK(CONCATENATE("#Metadata!", ADDRESS(INDEX($Q$2:$Q$1001,MATCH(ROWS($O$2:O911),$O$2:$O$1001,0),0), INDEX($V$1004:$AE$1004,1,MATCH(COLUMNS($V$1006:V1006),$V$1006:$AE$1006,0)))),"Fix")))</f>
        <v>0</v>
      </c>
      <c r="C911" s="4">
        <f>IF(OR(INDEX($P$2:$P$1001,MATCH(ROWS($O$2:O911),$O$2:$O$1001,0),1)&gt;=100000,INDEX($V$1005:$AE$1005,1,MATCH(COLUMNS($V$1006:W1006),$V$1006:$AE$1006,0))&gt;=100000), " ",IF(INDEX($V$2:$AE$1001,MATCH(ROWS($O$2:O911),$O$2:$O$1001,0),MATCH(COLUMNS($V$1006:W1006),$V$1006:$AE$1006,0)), HYPERLINK("#",""), HYPERLINK(CONCATENATE("#Metadata!", ADDRESS(INDEX($Q$2:$Q$1001,MATCH(ROWS($O$2:O911),$O$2:$O$1001,0),0), INDEX($V$1004:$AE$1004,1,MATCH(COLUMNS($V$1006:W1006),$V$1006:$AE$1006,0)))),"Fix")))</f>
        <v>0</v>
      </c>
      <c r="D911" s="4">
        <f>IF(OR(INDEX($P$2:$P$1001,MATCH(ROWS($O$2:O911),$O$2:$O$1001,0),1)&gt;=100000,INDEX($V$1005:$AE$1005,1,MATCH(COLUMNS($V$1006:X1006),$V$1006:$AE$1006,0))&gt;=100000), " ",IF(INDEX($V$2:$AE$1001,MATCH(ROWS($O$2:O911),$O$2:$O$1001,0),MATCH(COLUMNS($V$1006:X1006),$V$1006:$AE$1006,0)), HYPERLINK("#",""), HYPERLINK(CONCATENATE("#Metadata!", ADDRESS(INDEX($Q$2:$Q$1001,MATCH(ROWS($O$2:O911),$O$2:$O$1001,0),0), INDEX($V$1004:$AE$1004,1,MATCH(COLUMNS($V$1006:X1006),$V$1006:$AE$1006,0)))),"Fix")))</f>
        <v>0</v>
      </c>
      <c r="E911" s="4">
        <f>IF(OR(INDEX($P$2:$P$1001,MATCH(ROWS($O$2:O911),$O$2:$O$1001,0),1)&gt;=100000,INDEX($V$1005:$AE$1005,1,MATCH(COLUMNS($V$1006:Y1006),$V$1006:$AE$1006,0))&gt;=100000), " ",IF(INDEX($V$2:$AE$1001,MATCH(ROWS($O$2:O911),$O$2:$O$1001,0),MATCH(COLUMNS($V$1006:Y1006),$V$1006:$AE$1006,0)), HYPERLINK("#",""), HYPERLINK(CONCATENATE("#Metadata!", ADDRESS(INDEX($Q$2:$Q$1001,MATCH(ROWS($O$2:O911),$O$2:$O$1001,0),0), INDEX($V$1004:$AE$1004,1,MATCH(COLUMNS($V$1006:Y1006),$V$1006:$AE$1006,0)))),"Fix")))</f>
        <v>0</v>
      </c>
      <c r="F911" s="4">
        <f>IF(OR(INDEX($P$2:$P$1001,MATCH(ROWS($O$2:O911),$O$2:$O$1001,0),1)&gt;=100000,INDEX($V$1005:$AE$1005,1,MATCH(COLUMNS($V$1006:Z1006),$V$1006:$AE$1006,0))&gt;=100000), " ",IF(INDEX($V$2:$AE$1001,MATCH(ROWS($O$2:O911),$O$2:$O$1001,0),MATCH(COLUMNS($V$1006:Z1006),$V$1006:$AE$1006,0)), HYPERLINK("#",""), HYPERLINK(CONCATENATE("#Metadata!", ADDRESS(INDEX($Q$2:$Q$1001,MATCH(ROWS($O$2:O911),$O$2:$O$1001,0),0), INDEX($V$1004:$AE$1004,1,MATCH(COLUMNS($V$1006:Z1006),$V$1006:$AE$1006,0)))),"Fix")))</f>
        <v>0</v>
      </c>
      <c r="G911" s="4">
        <f>IF(OR(INDEX($P$2:$P$1001,MATCH(ROWS($O$2:O911),$O$2:$O$1001,0),1)&gt;=100000,INDEX($V$1005:$AE$1005,1,MATCH(COLUMNS($V$1006:AA1006),$V$1006:$AE$1006,0))&gt;=100000), " ",IF(INDEX($V$2:$AE$1001,MATCH(ROWS($O$2:O911),$O$2:$O$1001,0),MATCH(COLUMNS($V$1006:AA1006),$V$1006:$AE$1006,0)), HYPERLINK("#",""), HYPERLINK(CONCATENATE("#Metadata!", ADDRESS(INDEX($Q$2:$Q$1001,MATCH(ROWS($O$2:O911),$O$2:$O$1001,0),0), INDEX($V$1004:$AE$1004,1,MATCH(COLUMNS($V$1006:AA1006),$V$1006:$AE$1006,0)))),"Fix")))</f>
        <v>0</v>
      </c>
      <c r="H911" s="4">
        <f>IF(OR(INDEX($P$2:$P$1001,MATCH(ROWS($O$2:O911),$O$2:$O$1001,0),1)&gt;=100000,INDEX($V$1005:$AE$1005,1,MATCH(COLUMNS($V$1006:AB1006),$V$1006:$AE$1006,0))&gt;=100000), " ",IF(INDEX($V$2:$AE$1001,MATCH(ROWS($O$2:O911),$O$2:$O$1001,0),MATCH(COLUMNS($V$1006:AB1006),$V$1006:$AE$1006,0)), HYPERLINK("#",""), HYPERLINK(CONCATENATE("#Metadata!", ADDRESS(INDEX($Q$2:$Q$1001,MATCH(ROWS($O$2:O911),$O$2:$O$1001,0),0), INDEX($V$1004:$AE$1004,1,MATCH(COLUMNS($V$1006:AB1006),$V$1006:$AE$1006,0)))),"Fix")))</f>
        <v>0</v>
      </c>
      <c r="I911" s="4">
        <f>IF(OR(INDEX($P$2:$P$1001,MATCH(ROWS($O$2:O911),$O$2:$O$1001,0),1)&gt;=100000,INDEX($V$1005:$AE$1005,1,MATCH(COLUMNS($V$1006:AC1006),$V$1006:$AE$1006,0))&gt;=100000), " ",IF(INDEX($V$2:$AE$1001,MATCH(ROWS($O$2:O911),$O$2:$O$1001,0),MATCH(COLUMNS($V$1006:AC1006),$V$1006:$AE$1006,0)), HYPERLINK("#",""), HYPERLINK(CONCATENATE("#Metadata!", ADDRESS(INDEX($Q$2:$Q$1001,MATCH(ROWS($O$2:O911),$O$2:$O$1001,0),0), INDEX($V$1004:$AE$1004,1,MATCH(COLUMNS($V$1006:AC1006),$V$1006:$AE$1006,0)))),"Fix")))</f>
        <v>0</v>
      </c>
      <c r="J911" s="4">
        <f>IF(OR(INDEX($P$2:$P$1001,MATCH(ROWS($O$2:O911),$O$2:$O$1001,0),1)&gt;=100000,INDEX($V$1005:$AE$1005,1,MATCH(COLUMNS($V$1006:AD1006),$V$1006:$AE$1006,0))&gt;=100000), " ",IF(INDEX($V$2:$AE$1001,MATCH(ROWS($O$2:O911),$O$2:$O$1001,0),MATCH(COLUMNS($V$1006:AD1006),$V$1006:$AE$1006,0)), HYPERLINK("#",""), HYPERLINK(CONCATENATE("#Metadata!", ADDRESS(INDEX($Q$2:$Q$1001,MATCH(ROWS($O$2:O911),$O$2:$O$1001,0),0), INDEX($V$1004:$AE$1004,1,MATCH(COLUMNS($V$1006:AD1006),$V$1006:$AE$1006,0)))),"Fix")))</f>
        <v>0</v>
      </c>
      <c r="K911" s="4">
        <f>IF(OR(INDEX($P$2:$P$1001,MATCH(ROWS($O$2:O911),$O$2:$O$1001,0),1)&gt;=100000,INDEX($V$1005:$AE$1005,1,MATCH(COLUMNS($V$1006:AE1006),$V$1006:$AE$1006,0))&gt;=100000), " ",IF(INDEX($V$2:$AE$1001,MATCH(ROWS($O$2:O911),$O$2:$O$1001,0),MATCH(COLUMNS($V$1006:AE1006),$V$1006:$AE$1006,0)), HYPERLINK("#",""), HYPERLINK(CONCATENATE("#Metadata!", ADDRESS(INDEX($Q$2:$Q$1001,MATCH(ROWS($O$2:O911),$O$2:$O$1001,0),0), INDEX($V$1004:$AE$1004,1,MATCH(COLUMNS($V$1006:AE1006),$V$1006:$AE$1006,0)))),"Fix")))</f>
        <v>0</v>
      </c>
      <c r="O911">
        <v>0</v>
      </c>
      <c r="P911">
        <v>0</v>
      </c>
      <c r="Q911">
        <v>0</v>
      </c>
      <c r="R911">
        <f>IF(S911,TRUE,AND(V911:AE911))</f>
        <v>0</v>
      </c>
      <c r="S911">
        <f>COUNTBLANK(Metadata!B911:K911)=COLUMNS(Metadata!B911:K911)</f>
        <v>0</v>
      </c>
      <c r="T911">
        <v>0</v>
      </c>
      <c r="V911">
        <f>AND(IF(Metadata!B911="",FALSE,TRUE),COUNTIF(Metadata!B:B, Metadata!B911) = 1,NOT(ISERROR(SUMPRODUCT(SEARCH(MID(Metadata!B911,ROW(INDIRECT("1:"&amp;LEN(Metadata!B911))), 1),"0123456789abcdefghijklmnopqrstuvwxyzABCDEFGHIJKLMNOPQRSTUVWXYZ.")))))</f>
        <v>0</v>
      </c>
      <c r="W911">
        <f>AND(IF(Metadata!C911="",FALSE,TRUE),exact(Metadata!C911,"urban biome"))</f>
        <v>0</v>
      </c>
      <c r="X911">
        <f>AND(IF(Metadata!D911="",FALSE,TRUE),exact(Metadata!D911,"animal-associated habitat"))</f>
        <v>0</v>
      </c>
      <c r="Y911">
        <f>OR(AND(IF(Metadata!E911="",FALSE,TRUE),OR(exact(Metadata!E911,"not applicable"),exact(Metadata!E911,"missing: not collected"),exact(Metadata!E911,"missing: not provided"),exact(Metadata!E911,"missing: restricted access"))),AND(IF(Metadata!E911="",FALSE,ISNUMBER(VALUE(Metadata!E911))),Metadata!E911&gt;0))</f>
        <v>0</v>
      </c>
      <c r="Z911">
        <f>AND(IF(Metadata!F911="",FALSE,TRUE),exact(Metadata!F911,"weeks"))</f>
        <v>0</v>
      </c>
      <c r="AA911">
        <f>AND(IF(Metadata!G911="",FALSE,TRUE),exact(Metadata!G911,"mouse"))</f>
        <v>0</v>
      </c>
      <c r="AB911">
        <f>AND(IF(Metadata!H911="",FALSE,TRUE),exact(Metadata!H911,"Mus musculus"))</f>
        <v>0</v>
      </c>
      <c r="AC911">
        <f>AND(IF(Metadata!I911="",FALSE,TRUE),exact(Metadata!I911,"10090"))</f>
        <v>0</v>
      </c>
      <c r="AD911">
        <f>OR(AND(IF(Metadata!J911="",FALSE,TRUE),OR(exact(Metadata!J911,"not applicable"),exact(Metadata!J911,"missing: not collected"),exact(Metadata!J911,"missing: not provided"),exact(Metadata!J911,"missing: restricted access"))),AND(IF(Metadata!J911="",FALSE,ISNUMBER(VALUE(Metadata!J911))),Metadata!J911&gt;0))</f>
        <v>0</v>
      </c>
      <c r="AE911">
        <f>AND(IF(Metadata!K911="",FALSE,TRUE),exact(Metadata!K911,"g"))</f>
        <v>0</v>
      </c>
    </row>
    <row r="912" spans="1:31">
      <c r="A912" s="5">
        <f>IF(B912=" "," ",HYPERLINK(CONCATENATE("#metadata!",ADDRESS(INDEX($Q$2:$Q$1001,MATCH(ROWS($O$2:O912),$O$2:$O$1001,0),0),1)),INDEX($T$2:$T$1001,MATCH(ROWS($O$2:O912),$O$2:$O$1001,0),0)))</f>
        <v>0</v>
      </c>
      <c r="B912" s="4">
        <f>IF(OR(INDEX($P$2:$P$1001,MATCH(ROWS($O$2:O912),$O$2:$O$1001,0),1)&gt;=100000,INDEX($V$1005:$AE$1005,1,MATCH(COLUMNS($V$1006:V1006),$V$1006:$AE$1006,0))&gt;=100000), " ",IF(INDEX($V$2:$AE$1001,MATCH(ROWS($O$2:O912),$O$2:$O$1001,0),MATCH(COLUMNS($V$1006:V1006),$V$1006:$AE$1006,0)), HYPERLINK("#",""), HYPERLINK(CONCATENATE("#Metadata!", ADDRESS(INDEX($Q$2:$Q$1001,MATCH(ROWS($O$2:O912),$O$2:$O$1001,0),0), INDEX($V$1004:$AE$1004,1,MATCH(COLUMNS($V$1006:V1006),$V$1006:$AE$1006,0)))),"Fix")))</f>
        <v>0</v>
      </c>
      <c r="C912" s="4">
        <f>IF(OR(INDEX($P$2:$P$1001,MATCH(ROWS($O$2:O912),$O$2:$O$1001,0),1)&gt;=100000,INDEX($V$1005:$AE$1005,1,MATCH(COLUMNS($V$1006:W1006),$V$1006:$AE$1006,0))&gt;=100000), " ",IF(INDEX($V$2:$AE$1001,MATCH(ROWS($O$2:O912),$O$2:$O$1001,0),MATCH(COLUMNS($V$1006:W1006),$V$1006:$AE$1006,0)), HYPERLINK("#",""), HYPERLINK(CONCATENATE("#Metadata!", ADDRESS(INDEX($Q$2:$Q$1001,MATCH(ROWS($O$2:O912),$O$2:$O$1001,0),0), INDEX($V$1004:$AE$1004,1,MATCH(COLUMNS($V$1006:W1006),$V$1006:$AE$1006,0)))),"Fix")))</f>
        <v>0</v>
      </c>
      <c r="D912" s="4">
        <f>IF(OR(INDEX($P$2:$P$1001,MATCH(ROWS($O$2:O912),$O$2:$O$1001,0),1)&gt;=100000,INDEX($V$1005:$AE$1005,1,MATCH(COLUMNS($V$1006:X1006),$V$1006:$AE$1006,0))&gt;=100000), " ",IF(INDEX($V$2:$AE$1001,MATCH(ROWS($O$2:O912),$O$2:$O$1001,0),MATCH(COLUMNS($V$1006:X1006),$V$1006:$AE$1006,0)), HYPERLINK("#",""), HYPERLINK(CONCATENATE("#Metadata!", ADDRESS(INDEX($Q$2:$Q$1001,MATCH(ROWS($O$2:O912),$O$2:$O$1001,0),0), INDEX($V$1004:$AE$1004,1,MATCH(COLUMNS($V$1006:X1006),$V$1006:$AE$1006,0)))),"Fix")))</f>
        <v>0</v>
      </c>
      <c r="E912" s="4">
        <f>IF(OR(INDEX($P$2:$P$1001,MATCH(ROWS($O$2:O912),$O$2:$O$1001,0),1)&gt;=100000,INDEX($V$1005:$AE$1005,1,MATCH(COLUMNS($V$1006:Y1006),$V$1006:$AE$1006,0))&gt;=100000), " ",IF(INDEX($V$2:$AE$1001,MATCH(ROWS($O$2:O912),$O$2:$O$1001,0),MATCH(COLUMNS($V$1006:Y1006),$V$1006:$AE$1006,0)), HYPERLINK("#",""), HYPERLINK(CONCATENATE("#Metadata!", ADDRESS(INDEX($Q$2:$Q$1001,MATCH(ROWS($O$2:O912),$O$2:$O$1001,0),0), INDEX($V$1004:$AE$1004,1,MATCH(COLUMNS($V$1006:Y1006),$V$1006:$AE$1006,0)))),"Fix")))</f>
        <v>0</v>
      </c>
      <c r="F912" s="4">
        <f>IF(OR(INDEX($P$2:$P$1001,MATCH(ROWS($O$2:O912),$O$2:$O$1001,0),1)&gt;=100000,INDEX($V$1005:$AE$1005,1,MATCH(COLUMNS($V$1006:Z1006),$V$1006:$AE$1006,0))&gt;=100000), " ",IF(INDEX($V$2:$AE$1001,MATCH(ROWS($O$2:O912),$O$2:$O$1001,0),MATCH(COLUMNS($V$1006:Z1006),$V$1006:$AE$1006,0)), HYPERLINK("#",""), HYPERLINK(CONCATENATE("#Metadata!", ADDRESS(INDEX($Q$2:$Q$1001,MATCH(ROWS($O$2:O912),$O$2:$O$1001,0),0), INDEX($V$1004:$AE$1004,1,MATCH(COLUMNS($V$1006:Z1006),$V$1006:$AE$1006,0)))),"Fix")))</f>
        <v>0</v>
      </c>
      <c r="G912" s="4">
        <f>IF(OR(INDEX($P$2:$P$1001,MATCH(ROWS($O$2:O912),$O$2:$O$1001,0),1)&gt;=100000,INDEX($V$1005:$AE$1005,1,MATCH(COLUMNS($V$1006:AA1006),$V$1006:$AE$1006,0))&gt;=100000), " ",IF(INDEX($V$2:$AE$1001,MATCH(ROWS($O$2:O912),$O$2:$O$1001,0),MATCH(COLUMNS($V$1006:AA1006),$V$1006:$AE$1006,0)), HYPERLINK("#",""), HYPERLINK(CONCATENATE("#Metadata!", ADDRESS(INDEX($Q$2:$Q$1001,MATCH(ROWS($O$2:O912),$O$2:$O$1001,0),0), INDEX($V$1004:$AE$1004,1,MATCH(COLUMNS($V$1006:AA1006),$V$1006:$AE$1006,0)))),"Fix")))</f>
        <v>0</v>
      </c>
      <c r="H912" s="4">
        <f>IF(OR(INDEX($P$2:$P$1001,MATCH(ROWS($O$2:O912),$O$2:$O$1001,0),1)&gt;=100000,INDEX($V$1005:$AE$1005,1,MATCH(COLUMNS($V$1006:AB1006),$V$1006:$AE$1006,0))&gt;=100000), " ",IF(INDEX($V$2:$AE$1001,MATCH(ROWS($O$2:O912),$O$2:$O$1001,0),MATCH(COLUMNS($V$1006:AB1006),$V$1006:$AE$1006,0)), HYPERLINK("#",""), HYPERLINK(CONCATENATE("#Metadata!", ADDRESS(INDEX($Q$2:$Q$1001,MATCH(ROWS($O$2:O912),$O$2:$O$1001,0),0), INDEX($V$1004:$AE$1004,1,MATCH(COLUMNS($V$1006:AB1006),$V$1006:$AE$1006,0)))),"Fix")))</f>
        <v>0</v>
      </c>
      <c r="I912" s="4">
        <f>IF(OR(INDEX($P$2:$P$1001,MATCH(ROWS($O$2:O912),$O$2:$O$1001,0),1)&gt;=100000,INDEX($V$1005:$AE$1005,1,MATCH(COLUMNS($V$1006:AC1006),$V$1006:$AE$1006,0))&gt;=100000), " ",IF(INDEX($V$2:$AE$1001,MATCH(ROWS($O$2:O912),$O$2:$O$1001,0),MATCH(COLUMNS($V$1006:AC1006),$V$1006:$AE$1006,0)), HYPERLINK("#",""), HYPERLINK(CONCATENATE("#Metadata!", ADDRESS(INDEX($Q$2:$Q$1001,MATCH(ROWS($O$2:O912),$O$2:$O$1001,0),0), INDEX($V$1004:$AE$1004,1,MATCH(COLUMNS($V$1006:AC1006),$V$1006:$AE$1006,0)))),"Fix")))</f>
        <v>0</v>
      </c>
      <c r="J912" s="4">
        <f>IF(OR(INDEX($P$2:$P$1001,MATCH(ROWS($O$2:O912),$O$2:$O$1001,0),1)&gt;=100000,INDEX($V$1005:$AE$1005,1,MATCH(COLUMNS($V$1006:AD1006),$V$1006:$AE$1006,0))&gt;=100000), " ",IF(INDEX($V$2:$AE$1001,MATCH(ROWS($O$2:O912),$O$2:$O$1001,0),MATCH(COLUMNS($V$1006:AD1006),$V$1006:$AE$1006,0)), HYPERLINK("#",""), HYPERLINK(CONCATENATE("#Metadata!", ADDRESS(INDEX($Q$2:$Q$1001,MATCH(ROWS($O$2:O912),$O$2:$O$1001,0),0), INDEX($V$1004:$AE$1004,1,MATCH(COLUMNS($V$1006:AD1006),$V$1006:$AE$1006,0)))),"Fix")))</f>
        <v>0</v>
      </c>
      <c r="K912" s="4">
        <f>IF(OR(INDEX($P$2:$P$1001,MATCH(ROWS($O$2:O912),$O$2:$O$1001,0),1)&gt;=100000,INDEX($V$1005:$AE$1005,1,MATCH(COLUMNS($V$1006:AE1006),$V$1006:$AE$1006,0))&gt;=100000), " ",IF(INDEX($V$2:$AE$1001,MATCH(ROWS($O$2:O912),$O$2:$O$1001,0),MATCH(COLUMNS($V$1006:AE1006),$V$1006:$AE$1006,0)), HYPERLINK("#",""), HYPERLINK(CONCATENATE("#Metadata!", ADDRESS(INDEX($Q$2:$Q$1001,MATCH(ROWS($O$2:O912),$O$2:$O$1001,0),0), INDEX($V$1004:$AE$1004,1,MATCH(COLUMNS($V$1006:AE1006),$V$1006:$AE$1006,0)))),"Fix")))</f>
        <v>0</v>
      </c>
      <c r="O912">
        <v>0</v>
      </c>
      <c r="P912">
        <v>0</v>
      </c>
      <c r="Q912">
        <v>0</v>
      </c>
      <c r="R912">
        <f>IF(S912,TRUE,AND(V912:AE912))</f>
        <v>0</v>
      </c>
      <c r="S912">
        <f>COUNTBLANK(Metadata!B912:K912)=COLUMNS(Metadata!B912:K912)</f>
        <v>0</v>
      </c>
      <c r="T912">
        <v>0</v>
      </c>
      <c r="V912">
        <f>AND(IF(Metadata!B912="",FALSE,TRUE),COUNTIF(Metadata!B:B, Metadata!B912) = 1,NOT(ISERROR(SUMPRODUCT(SEARCH(MID(Metadata!B912,ROW(INDIRECT("1:"&amp;LEN(Metadata!B912))), 1),"0123456789abcdefghijklmnopqrstuvwxyzABCDEFGHIJKLMNOPQRSTUVWXYZ.")))))</f>
        <v>0</v>
      </c>
      <c r="W912">
        <f>AND(IF(Metadata!C912="",FALSE,TRUE),exact(Metadata!C912,"urban biome"))</f>
        <v>0</v>
      </c>
      <c r="X912">
        <f>AND(IF(Metadata!D912="",FALSE,TRUE),exact(Metadata!D912,"animal-associated habitat"))</f>
        <v>0</v>
      </c>
      <c r="Y912">
        <f>OR(AND(IF(Metadata!E912="",FALSE,TRUE),OR(exact(Metadata!E912,"not applicable"),exact(Metadata!E912,"missing: not collected"),exact(Metadata!E912,"missing: not provided"),exact(Metadata!E912,"missing: restricted access"))),AND(IF(Metadata!E912="",FALSE,ISNUMBER(VALUE(Metadata!E912))),Metadata!E912&gt;0))</f>
        <v>0</v>
      </c>
      <c r="Z912">
        <f>AND(IF(Metadata!F912="",FALSE,TRUE),exact(Metadata!F912,"weeks"))</f>
        <v>0</v>
      </c>
      <c r="AA912">
        <f>AND(IF(Metadata!G912="",FALSE,TRUE),exact(Metadata!G912,"mouse"))</f>
        <v>0</v>
      </c>
      <c r="AB912">
        <f>AND(IF(Metadata!H912="",FALSE,TRUE),exact(Metadata!H912,"Mus musculus"))</f>
        <v>0</v>
      </c>
      <c r="AC912">
        <f>AND(IF(Metadata!I912="",FALSE,TRUE),exact(Metadata!I912,"10090"))</f>
        <v>0</v>
      </c>
      <c r="AD912">
        <f>OR(AND(IF(Metadata!J912="",FALSE,TRUE),OR(exact(Metadata!J912,"not applicable"),exact(Metadata!J912,"missing: not collected"),exact(Metadata!J912,"missing: not provided"),exact(Metadata!J912,"missing: restricted access"))),AND(IF(Metadata!J912="",FALSE,ISNUMBER(VALUE(Metadata!J912))),Metadata!J912&gt;0))</f>
        <v>0</v>
      </c>
      <c r="AE912">
        <f>AND(IF(Metadata!K912="",FALSE,TRUE),exact(Metadata!K912,"g"))</f>
        <v>0</v>
      </c>
    </row>
    <row r="913" spans="1:31">
      <c r="A913" s="5">
        <f>IF(B913=" "," ",HYPERLINK(CONCATENATE("#metadata!",ADDRESS(INDEX($Q$2:$Q$1001,MATCH(ROWS($O$2:O913),$O$2:$O$1001,0),0),1)),INDEX($T$2:$T$1001,MATCH(ROWS($O$2:O913),$O$2:$O$1001,0),0)))</f>
        <v>0</v>
      </c>
      <c r="B913" s="4">
        <f>IF(OR(INDEX($P$2:$P$1001,MATCH(ROWS($O$2:O913),$O$2:$O$1001,0),1)&gt;=100000,INDEX($V$1005:$AE$1005,1,MATCH(COLUMNS($V$1006:V1006),$V$1006:$AE$1006,0))&gt;=100000), " ",IF(INDEX($V$2:$AE$1001,MATCH(ROWS($O$2:O913),$O$2:$O$1001,0),MATCH(COLUMNS($V$1006:V1006),$V$1006:$AE$1006,0)), HYPERLINK("#",""), HYPERLINK(CONCATENATE("#Metadata!", ADDRESS(INDEX($Q$2:$Q$1001,MATCH(ROWS($O$2:O913),$O$2:$O$1001,0),0), INDEX($V$1004:$AE$1004,1,MATCH(COLUMNS($V$1006:V1006),$V$1006:$AE$1006,0)))),"Fix")))</f>
        <v>0</v>
      </c>
      <c r="C913" s="4">
        <f>IF(OR(INDEX($P$2:$P$1001,MATCH(ROWS($O$2:O913),$O$2:$O$1001,0),1)&gt;=100000,INDEX($V$1005:$AE$1005,1,MATCH(COLUMNS($V$1006:W1006),$V$1006:$AE$1006,0))&gt;=100000), " ",IF(INDEX($V$2:$AE$1001,MATCH(ROWS($O$2:O913),$O$2:$O$1001,0),MATCH(COLUMNS($V$1006:W1006),$V$1006:$AE$1006,0)), HYPERLINK("#",""), HYPERLINK(CONCATENATE("#Metadata!", ADDRESS(INDEX($Q$2:$Q$1001,MATCH(ROWS($O$2:O913),$O$2:$O$1001,0),0), INDEX($V$1004:$AE$1004,1,MATCH(COLUMNS($V$1006:W1006),$V$1006:$AE$1006,0)))),"Fix")))</f>
        <v>0</v>
      </c>
      <c r="D913" s="4">
        <f>IF(OR(INDEX($P$2:$P$1001,MATCH(ROWS($O$2:O913),$O$2:$O$1001,0),1)&gt;=100000,INDEX($V$1005:$AE$1005,1,MATCH(COLUMNS($V$1006:X1006),$V$1006:$AE$1006,0))&gt;=100000), " ",IF(INDEX($V$2:$AE$1001,MATCH(ROWS($O$2:O913),$O$2:$O$1001,0),MATCH(COLUMNS($V$1006:X1006),$V$1006:$AE$1006,0)), HYPERLINK("#",""), HYPERLINK(CONCATENATE("#Metadata!", ADDRESS(INDEX($Q$2:$Q$1001,MATCH(ROWS($O$2:O913),$O$2:$O$1001,0),0), INDEX($V$1004:$AE$1004,1,MATCH(COLUMNS($V$1006:X1006),$V$1006:$AE$1006,0)))),"Fix")))</f>
        <v>0</v>
      </c>
      <c r="E913" s="4">
        <f>IF(OR(INDEX($P$2:$P$1001,MATCH(ROWS($O$2:O913),$O$2:$O$1001,0),1)&gt;=100000,INDEX($V$1005:$AE$1005,1,MATCH(COLUMNS($V$1006:Y1006),$V$1006:$AE$1006,0))&gt;=100000), " ",IF(INDEX($V$2:$AE$1001,MATCH(ROWS($O$2:O913),$O$2:$O$1001,0),MATCH(COLUMNS($V$1006:Y1006),$V$1006:$AE$1006,0)), HYPERLINK("#",""), HYPERLINK(CONCATENATE("#Metadata!", ADDRESS(INDEX($Q$2:$Q$1001,MATCH(ROWS($O$2:O913),$O$2:$O$1001,0),0), INDEX($V$1004:$AE$1004,1,MATCH(COLUMNS($V$1006:Y1006),$V$1006:$AE$1006,0)))),"Fix")))</f>
        <v>0</v>
      </c>
      <c r="F913" s="4">
        <f>IF(OR(INDEX($P$2:$P$1001,MATCH(ROWS($O$2:O913),$O$2:$O$1001,0),1)&gt;=100000,INDEX($V$1005:$AE$1005,1,MATCH(COLUMNS($V$1006:Z1006),$V$1006:$AE$1006,0))&gt;=100000), " ",IF(INDEX($V$2:$AE$1001,MATCH(ROWS($O$2:O913),$O$2:$O$1001,0),MATCH(COLUMNS($V$1006:Z1006),$V$1006:$AE$1006,0)), HYPERLINK("#",""), HYPERLINK(CONCATENATE("#Metadata!", ADDRESS(INDEX($Q$2:$Q$1001,MATCH(ROWS($O$2:O913),$O$2:$O$1001,0),0), INDEX($V$1004:$AE$1004,1,MATCH(COLUMNS($V$1006:Z1006),$V$1006:$AE$1006,0)))),"Fix")))</f>
        <v>0</v>
      </c>
      <c r="G913" s="4">
        <f>IF(OR(INDEX($P$2:$P$1001,MATCH(ROWS($O$2:O913),$O$2:$O$1001,0),1)&gt;=100000,INDEX($V$1005:$AE$1005,1,MATCH(COLUMNS($V$1006:AA1006),$V$1006:$AE$1006,0))&gt;=100000), " ",IF(INDEX($V$2:$AE$1001,MATCH(ROWS($O$2:O913),$O$2:$O$1001,0),MATCH(COLUMNS($V$1006:AA1006),$V$1006:$AE$1006,0)), HYPERLINK("#",""), HYPERLINK(CONCATENATE("#Metadata!", ADDRESS(INDEX($Q$2:$Q$1001,MATCH(ROWS($O$2:O913),$O$2:$O$1001,0),0), INDEX($V$1004:$AE$1004,1,MATCH(COLUMNS($V$1006:AA1006),$V$1006:$AE$1006,0)))),"Fix")))</f>
        <v>0</v>
      </c>
      <c r="H913" s="4">
        <f>IF(OR(INDEX($P$2:$P$1001,MATCH(ROWS($O$2:O913),$O$2:$O$1001,0),1)&gt;=100000,INDEX($V$1005:$AE$1005,1,MATCH(COLUMNS($V$1006:AB1006),$V$1006:$AE$1006,0))&gt;=100000), " ",IF(INDEX($V$2:$AE$1001,MATCH(ROWS($O$2:O913),$O$2:$O$1001,0),MATCH(COLUMNS($V$1006:AB1006),$V$1006:$AE$1006,0)), HYPERLINK("#",""), HYPERLINK(CONCATENATE("#Metadata!", ADDRESS(INDEX($Q$2:$Q$1001,MATCH(ROWS($O$2:O913),$O$2:$O$1001,0),0), INDEX($V$1004:$AE$1004,1,MATCH(COLUMNS($V$1006:AB1006),$V$1006:$AE$1006,0)))),"Fix")))</f>
        <v>0</v>
      </c>
      <c r="I913" s="4">
        <f>IF(OR(INDEX($P$2:$P$1001,MATCH(ROWS($O$2:O913),$O$2:$O$1001,0),1)&gt;=100000,INDEX($V$1005:$AE$1005,1,MATCH(COLUMNS($V$1006:AC1006),$V$1006:$AE$1006,0))&gt;=100000), " ",IF(INDEX($V$2:$AE$1001,MATCH(ROWS($O$2:O913),$O$2:$O$1001,0),MATCH(COLUMNS($V$1006:AC1006),$V$1006:$AE$1006,0)), HYPERLINK("#",""), HYPERLINK(CONCATENATE("#Metadata!", ADDRESS(INDEX($Q$2:$Q$1001,MATCH(ROWS($O$2:O913),$O$2:$O$1001,0),0), INDEX($V$1004:$AE$1004,1,MATCH(COLUMNS($V$1006:AC1006),$V$1006:$AE$1006,0)))),"Fix")))</f>
        <v>0</v>
      </c>
      <c r="J913" s="4">
        <f>IF(OR(INDEX($P$2:$P$1001,MATCH(ROWS($O$2:O913),$O$2:$O$1001,0),1)&gt;=100000,INDEX($V$1005:$AE$1005,1,MATCH(COLUMNS($V$1006:AD1006),$V$1006:$AE$1006,0))&gt;=100000), " ",IF(INDEX($V$2:$AE$1001,MATCH(ROWS($O$2:O913),$O$2:$O$1001,0),MATCH(COLUMNS($V$1006:AD1006),$V$1006:$AE$1006,0)), HYPERLINK("#",""), HYPERLINK(CONCATENATE("#Metadata!", ADDRESS(INDEX($Q$2:$Q$1001,MATCH(ROWS($O$2:O913),$O$2:$O$1001,0),0), INDEX($V$1004:$AE$1004,1,MATCH(COLUMNS($V$1006:AD1006),$V$1006:$AE$1006,0)))),"Fix")))</f>
        <v>0</v>
      </c>
      <c r="K913" s="4">
        <f>IF(OR(INDEX($P$2:$P$1001,MATCH(ROWS($O$2:O913),$O$2:$O$1001,0),1)&gt;=100000,INDEX($V$1005:$AE$1005,1,MATCH(COLUMNS($V$1006:AE1006),$V$1006:$AE$1006,0))&gt;=100000), " ",IF(INDEX($V$2:$AE$1001,MATCH(ROWS($O$2:O913),$O$2:$O$1001,0),MATCH(COLUMNS($V$1006:AE1006),$V$1006:$AE$1006,0)), HYPERLINK("#",""), HYPERLINK(CONCATENATE("#Metadata!", ADDRESS(INDEX($Q$2:$Q$1001,MATCH(ROWS($O$2:O913),$O$2:$O$1001,0),0), INDEX($V$1004:$AE$1004,1,MATCH(COLUMNS($V$1006:AE1006),$V$1006:$AE$1006,0)))),"Fix")))</f>
        <v>0</v>
      </c>
      <c r="O913">
        <v>0</v>
      </c>
      <c r="P913">
        <v>0</v>
      </c>
      <c r="Q913">
        <v>0</v>
      </c>
      <c r="R913">
        <f>IF(S913,TRUE,AND(V913:AE913))</f>
        <v>0</v>
      </c>
      <c r="S913">
        <f>COUNTBLANK(Metadata!B913:K913)=COLUMNS(Metadata!B913:K913)</f>
        <v>0</v>
      </c>
      <c r="T913">
        <v>0</v>
      </c>
      <c r="V913">
        <f>AND(IF(Metadata!B913="",FALSE,TRUE),COUNTIF(Metadata!B:B, Metadata!B913) = 1,NOT(ISERROR(SUMPRODUCT(SEARCH(MID(Metadata!B913,ROW(INDIRECT("1:"&amp;LEN(Metadata!B913))), 1),"0123456789abcdefghijklmnopqrstuvwxyzABCDEFGHIJKLMNOPQRSTUVWXYZ.")))))</f>
        <v>0</v>
      </c>
      <c r="W913">
        <f>AND(IF(Metadata!C913="",FALSE,TRUE),exact(Metadata!C913,"urban biome"))</f>
        <v>0</v>
      </c>
      <c r="X913">
        <f>AND(IF(Metadata!D913="",FALSE,TRUE),exact(Metadata!D913,"animal-associated habitat"))</f>
        <v>0</v>
      </c>
      <c r="Y913">
        <f>OR(AND(IF(Metadata!E913="",FALSE,TRUE),OR(exact(Metadata!E913,"not applicable"),exact(Metadata!E913,"missing: not collected"),exact(Metadata!E913,"missing: not provided"),exact(Metadata!E913,"missing: restricted access"))),AND(IF(Metadata!E913="",FALSE,ISNUMBER(VALUE(Metadata!E913))),Metadata!E913&gt;0))</f>
        <v>0</v>
      </c>
      <c r="Z913">
        <f>AND(IF(Metadata!F913="",FALSE,TRUE),exact(Metadata!F913,"weeks"))</f>
        <v>0</v>
      </c>
      <c r="AA913">
        <f>AND(IF(Metadata!G913="",FALSE,TRUE),exact(Metadata!G913,"mouse"))</f>
        <v>0</v>
      </c>
      <c r="AB913">
        <f>AND(IF(Metadata!H913="",FALSE,TRUE),exact(Metadata!H913,"Mus musculus"))</f>
        <v>0</v>
      </c>
      <c r="AC913">
        <f>AND(IF(Metadata!I913="",FALSE,TRUE),exact(Metadata!I913,"10090"))</f>
        <v>0</v>
      </c>
      <c r="AD913">
        <f>OR(AND(IF(Metadata!J913="",FALSE,TRUE),OR(exact(Metadata!J913,"not applicable"),exact(Metadata!J913,"missing: not collected"),exact(Metadata!J913,"missing: not provided"),exact(Metadata!J913,"missing: restricted access"))),AND(IF(Metadata!J913="",FALSE,ISNUMBER(VALUE(Metadata!J913))),Metadata!J913&gt;0))</f>
        <v>0</v>
      </c>
      <c r="AE913">
        <f>AND(IF(Metadata!K913="",FALSE,TRUE),exact(Metadata!K913,"g"))</f>
        <v>0</v>
      </c>
    </row>
    <row r="914" spans="1:31">
      <c r="A914" s="5">
        <f>IF(B914=" "," ",HYPERLINK(CONCATENATE("#metadata!",ADDRESS(INDEX($Q$2:$Q$1001,MATCH(ROWS($O$2:O914),$O$2:$O$1001,0),0),1)),INDEX($T$2:$T$1001,MATCH(ROWS($O$2:O914),$O$2:$O$1001,0),0)))</f>
        <v>0</v>
      </c>
      <c r="B914" s="4">
        <f>IF(OR(INDEX($P$2:$P$1001,MATCH(ROWS($O$2:O914),$O$2:$O$1001,0),1)&gt;=100000,INDEX($V$1005:$AE$1005,1,MATCH(COLUMNS($V$1006:V1006),$V$1006:$AE$1006,0))&gt;=100000), " ",IF(INDEX($V$2:$AE$1001,MATCH(ROWS($O$2:O914),$O$2:$O$1001,0),MATCH(COLUMNS($V$1006:V1006),$V$1006:$AE$1006,0)), HYPERLINK("#",""), HYPERLINK(CONCATENATE("#Metadata!", ADDRESS(INDEX($Q$2:$Q$1001,MATCH(ROWS($O$2:O914),$O$2:$O$1001,0),0), INDEX($V$1004:$AE$1004,1,MATCH(COLUMNS($V$1006:V1006),$V$1006:$AE$1006,0)))),"Fix")))</f>
        <v>0</v>
      </c>
      <c r="C914" s="4">
        <f>IF(OR(INDEX($P$2:$P$1001,MATCH(ROWS($O$2:O914),$O$2:$O$1001,0),1)&gt;=100000,INDEX($V$1005:$AE$1005,1,MATCH(COLUMNS($V$1006:W1006),$V$1006:$AE$1006,0))&gt;=100000), " ",IF(INDEX($V$2:$AE$1001,MATCH(ROWS($O$2:O914),$O$2:$O$1001,0),MATCH(COLUMNS($V$1006:W1006),$V$1006:$AE$1006,0)), HYPERLINK("#",""), HYPERLINK(CONCATENATE("#Metadata!", ADDRESS(INDEX($Q$2:$Q$1001,MATCH(ROWS($O$2:O914),$O$2:$O$1001,0),0), INDEX($V$1004:$AE$1004,1,MATCH(COLUMNS($V$1006:W1006),$V$1006:$AE$1006,0)))),"Fix")))</f>
        <v>0</v>
      </c>
      <c r="D914" s="4">
        <f>IF(OR(INDEX($P$2:$P$1001,MATCH(ROWS($O$2:O914),$O$2:$O$1001,0),1)&gt;=100000,INDEX($V$1005:$AE$1005,1,MATCH(COLUMNS($V$1006:X1006),$V$1006:$AE$1006,0))&gt;=100000), " ",IF(INDEX($V$2:$AE$1001,MATCH(ROWS($O$2:O914),$O$2:$O$1001,0),MATCH(COLUMNS($V$1006:X1006),$V$1006:$AE$1006,0)), HYPERLINK("#",""), HYPERLINK(CONCATENATE("#Metadata!", ADDRESS(INDEX($Q$2:$Q$1001,MATCH(ROWS($O$2:O914),$O$2:$O$1001,0),0), INDEX($V$1004:$AE$1004,1,MATCH(COLUMNS($V$1006:X1006),$V$1006:$AE$1006,0)))),"Fix")))</f>
        <v>0</v>
      </c>
      <c r="E914" s="4">
        <f>IF(OR(INDEX($P$2:$P$1001,MATCH(ROWS($O$2:O914),$O$2:$O$1001,0),1)&gt;=100000,INDEX($V$1005:$AE$1005,1,MATCH(COLUMNS($V$1006:Y1006),$V$1006:$AE$1006,0))&gt;=100000), " ",IF(INDEX($V$2:$AE$1001,MATCH(ROWS($O$2:O914),$O$2:$O$1001,0),MATCH(COLUMNS($V$1006:Y1006),$V$1006:$AE$1006,0)), HYPERLINK("#",""), HYPERLINK(CONCATENATE("#Metadata!", ADDRESS(INDEX($Q$2:$Q$1001,MATCH(ROWS($O$2:O914),$O$2:$O$1001,0),0), INDEX($V$1004:$AE$1004,1,MATCH(COLUMNS($V$1006:Y1006),$V$1006:$AE$1006,0)))),"Fix")))</f>
        <v>0</v>
      </c>
      <c r="F914" s="4">
        <f>IF(OR(INDEX($P$2:$P$1001,MATCH(ROWS($O$2:O914),$O$2:$O$1001,0),1)&gt;=100000,INDEX($V$1005:$AE$1005,1,MATCH(COLUMNS($V$1006:Z1006),$V$1006:$AE$1006,0))&gt;=100000), " ",IF(INDEX($V$2:$AE$1001,MATCH(ROWS($O$2:O914),$O$2:$O$1001,0),MATCH(COLUMNS($V$1006:Z1006),$V$1006:$AE$1006,0)), HYPERLINK("#",""), HYPERLINK(CONCATENATE("#Metadata!", ADDRESS(INDEX($Q$2:$Q$1001,MATCH(ROWS($O$2:O914),$O$2:$O$1001,0),0), INDEX($V$1004:$AE$1004,1,MATCH(COLUMNS($V$1006:Z1006),$V$1006:$AE$1006,0)))),"Fix")))</f>
        <v>0</v>
      </c>
      <c r="G914" s="4">
        <f>IF(OR(INDEX($P$2:$P$1001,MATCH(ROWS($O$2:O914),$O$2:$O$1001,0),1)&gt;=100000,INDEX($V$1005:$AE$1005,1,MATCH(COLUMNS($V$1006:AA1006),$V$1006:$AE$1006,0))&gt;=100000), " ",IF(INDEX($V$2:$AE$1001,MATCH(ROWS($O$2:O914),$O$2:$O$1001,0),MATCH(COLUMNS($V$1006:AA1006),$V$1006:$AE$1006,0)), HYPERLINK("#",""), HYPERLINK(CONCATENATE("#Metadata!", ADDRESS(INDEX($Q$2:$Q$1001,MATCH(ROWS($O$2:O914),$O$2:$O$1001,0),0), INDEX($V$1004:$AE$1004,1,MATCH(COLUMNS($V$1006:AA1006),$V$1006:$AE$1006,0)))),"Fix")))</f>
        <v>0</v>
      </c>
      <c r="H914" s="4">
        <f>IF(OR(INDEX($P$2:$P$1001,MATCH(ROWS($O$2:O914),$O$2:$O$1001,0),1)&gt;=100000,INDEX($V$1005:$AE$1005,1,MATCH(COLUMNS($V$1006:AB1006),$V$1006:$AE$1006,0))&gt;=100000), " ",IF(INDEX($V$2:$AE$1001,MATCH(ROWS($O$2:O914),$O$2:$O$1001,0),MATCH(COLUMNS($V$1006:AB1006),$V$1006:$AE$1006,0)), HYPERLINK("#",""), HYPERLINK(CONCATENATE("#Metadata!", ADDRESS(INDEX($Q$2:$Q$1001,MATCH(ROWS($O$2:O914),$O$2:$O$1001,0),0), INDEX($V$1004:$AE$1004,1,MATCH(COLUMNS($V$1006:AB1006),$V$1006:$AE$1006,0)))),"Fix")))</f>
        <v>0</v>
      </c>
      <c r="I914" s="4">
        <f>IF(OR(INDEX($P$2:$P$1001,MATCH(ROWS($O$2:O914),$O$2:$O$1001,0),1)&gt;=100000,INDEX($V$1005:$AE$1005,1,MATCH(COLUMNS($V$1006:AC1006),$V$1006:$AE$1006,0))&gt;=100000), " ",IF(INDEX($V$2:$AE$1001,MATCH(ROWS($O$2:O914),$O$2:$O$1001,0),MATCH(COLUMNS($V$1006:AC1006),$V$1006:$AE$1006,0)), HYPERLINK("#",""), HYPERLINK(CONCATENATE("#Metadata!", ADDRESS(INDEX($Q$2:$Q$1001,MATCH(ROWS($O$2:O914),$O$2:$O$1001,0),0), INDEX($V$1004:$AE$1004,1,MATCH(COLUMNS($V$1006:AC1006),$V$1006:$AE$1006,0)))),"Fix")))</f>
        <v>0</v>
      </c>
      <c r="J914" s="4">
        <f>IF(OR(INDEX($P$2:$P$1001,MATCH(ROWS($O$2:O914),$O$2:$O$1001,0),1)&gt;=100000,INDEX($V$1005:$AE$1005,1,MATCH(COLUMNS($V$1006:AD1006),$V$1006:$AE$1006,0))&gt;=100000), " ",IF(INDEX($V$2:$AE$1001,MATCH(ROWS($O$2:O914),$O$2:$O$1001,0),MATCH(COLUMNS($V$1006:AD1006),$V$1006:$AE$1006,0)), HYPERLINK("#",""), HYPERLINK(CONCATENATE("#Metadata!", ADDRESS(INDEX($Q$2:$Q$1001,MATCH(ROWS($O$2:O914),$O$2:$O$1001,0),0), INDEX($V$1004:$AE$1004,1,MATCH(COLUMNS($V$1006:AD1006),$V$1006:$AE$1006,0)))),"Fix")))</f>
        <v>0</v>
      </c>
      <c r="K914" s="4">
        <f>IF(OR(INDEX($P$2:$P$1001,MATCH(ROWS($O$2:O914),$O$2:$O$1001,0),1)&gt;=100000,INDEX($V$1005:$AE$1005,1,MATCH(COLUMNS($V$1006:AE1006),$V$1006:$AE$1006,0))&gt;=100000), " ",IF(INDEX($V$2:$AE$1001,MATCH(ROWS($O$2:O914),$O$2:$O$1001,0),MATCH(COLUMNS($V$1006:AE1006),$V$1006:$AE$1006,0)), HYPERLINK("#",""), HYPERLINK(CONCATENATE("#Metadata!", ADDRESS(INDEX($Q$2:$Q$1001,MATCH(ROWS($O$2:O914),$O$2:$O$1001,0),0), INDEX($V$1004:$AE$1004,1,MATCH(COLUMNS($V$1006:AE1006),$V$1006:$AE$1006,0)))),"Fix")))</f>
        <v>0</v>
      </c>
      <c r="O914">
        <v>0</v>
      </c>
      <c r="P914">
        <v>0</v>
      </c>
      <c r="Q914">
        <v>0</v>
      </c>
      <c r="R914">
        <f>IF(S914,TRUE,AND(V914:AE914))</f>
        <v>0</v>
      </c>
      <c r="S914">
        <f>COUNTBLANK(Metadata!B914:K914)=COLUMNS(Metadata!B914:K914)</f>
        <v>0</v>
      </c>
      <c r="T914">
        <v>0</v>
      </c>
      <c r="V914">
        <f>AND(IF(Metadata!B914="",FALSE,TRUE),COUNTIF(Metadata!B:B, Metadata!B914) = 1,NOT(ISERROR(SUMPRODUCT(SEARCH(MID(Metadata!B914,ROW(INDIRECT("1:"&amp;LEN(Metadata!B914))), 1),"0123456789abcdefghijklmnopqrstuvwxyzABCDEFGHIJKLMNOPQRSTUVWXYZ.")))))</f>
        <v>0</v>
      </c>
      <c r="W914">
        <f>AND(IF(Metadata!C914="",FALSE,TRUE),exact(Metadata!C914,"urban biome"))</f>
        <v>0</v>
      </c>
      <c r="X914">
        <f>AND(IF(Metadata!D914="",FALSE,TRUE),exact(Metadata!D914,"animal-associated habitat"))</f>
        <v>0</v>
      </c>
      <c r="Y914">
        <f>OR(AND(IF(Metadata!E914="",FALSE,TRUE),OR(exact(Metadata!E914,"not applicable"),exact(Metadata!E914,"missing: not collected"),exact(Metadata!E914,"missing: not provided"),exact(Metadata!E914,"missing: restricted access"))),AND(IF(Metadata!E914="",FALSE,ISNUMBER(VALUE(Metadata!E914))),Metadata!E914&gt;0))</f>
        <v>0</v>
      </c>
      <c r="Z914">
        <f>AND(IF(Metadata!F914="",FALSE,TRUE),exact(Metadata!F914,"weeks"))</f>
        <v>0</v>
      </c>
      <c r="AA914">
        <f>AND(IF(Metadata!G914="",FALSE,TRUE),exact(Metadata!G914,"mouse"))</f>
        <v>0</v>
      </c>
      <c r="AB914">
        <f>AND(IF(Metadata!H914="",FALSE,TRUE),exact(Metadata!H914,"Mus musculus"))</f>
        <v>0</v>
      </c>
      <c r="AC914">
        <f>AND(IF(Metadata!I914="",FALSE,TRUE),exact(Metadata!I914,"10090"))</f>
        <v>0</v>
      </c>
      <c r="AD914">
        <f>OR(AND(IF(Metadata!J914="",FALSE,TRUE),OR(exact(Metadata!J914,"not applicable"),exact(Metadata!J914,"missing: not collected"),exact(Metadata!J914,"missing: not provided"),exact(Metadata!J914,"missing: restricted access"))),AND(IF(Metadata!J914="",FALSE,ISNUMBER(VALUE(Metadata!J914))),Metadata!J914&gt;0))</f>
        <v>0</v>
      </c>
      <c r="AE914">
        <f>AND(IF(Metadata!K914="",FALSE,TRUE),exact(Metadata!K914,"g"))</f>
        <v>0</v>
      </c>
    </row>
    <row r="915" spans="1:31">
      <c r="A915" s="5">
        <f>IF(B915=" "," ",HYPERLINK(CONCATENATE("#metadata!",ADDRESS(INDEX($Q$2:$Q$1001,MATCH(ROWS($O$2:O915),$O$2:$O$1001,0),0),1)),INDEX($T$2:$T$1001,MATCH(ROWS($O$2:O915),$O$2:$O$1001,0),0)))</f>
        <v>0</v>
      </c>
      <c r="B915" s="4">
        <f>IF(OR(INDEX($P$2:$P$1001,MATCH(ROWS($O$2:O915),$O$2:$O$1001,0),1)&gt;=100000,INDEX($V$1005:$AE$1005,1,MATCH(COLUMNS($V$1006:V1006),$V$1006:$AE$1006,0))&gt;=100000), " ",IF(INDEX($V$2:$AE$1001,MATCH(ROWS($O$2:O915),$O$2:$O$1001,0),MATCH(COLUMNS($V$1006:V1006),$V$1006:$AE$1006,0)), HYPERLINK("#",""), HYPERLINK(CONCATENATE("#Metadata!", ADDRESS(INDEX($Q$2:$Q$1001,MATCH(ROWS($O$2:O915),$O$2:$O$1001,0),0), INDEX($V$1004:$AE$1004,1,MATCH(COLUMNS($V$1006:V1006),$V$1006:$AE$1006,0)))),"Fix")))</f>
        <v>0</v>
      </c>
      <c r="C915" s="4">
        <f>IF(OR(INDEX($P$2:$P$1001,MATCH(ROWS($O$2:O915),$O$2:$O$1001,0),1)&gt;=100000,INDEX($V$1005:$AE$1005,1,MATCH(COLUMNS($V$1006:W1006),$V$1006:$AE$1006,0))&gt;=100000), " ",IF(INDEX($V$2:$AE$1001,MATCH(ROWS($O$2:O915),$O$2:$O$1001,0),MATCH(COLUMNS($V$1006:W1006),$V$1006:$AE$1006,0)), HYPERLINK("#",""), HYPERLINK(CONCATENATE("#Metadata!", ADDRESS(INDEX($Q$2:$Q$1001,MATCH(ROWS($O$2:O915),$O$2:$O$1001,0),0), INDEX($V$1004:$AE$1004,1,MATCH(COLUMNS($V$1006:W1006),$V$1006:$AE$1006,0)))),"Fix")))</f>
        <v>0</v>
      </c>
      <c r="D915" s="4">
        <f>IF(OR(INDEX($P$2:$P$1001,MATCH(ROWS($O$2:O915),$O$2:$O$1001,0),1)&gt;=100000,INDEX($V$1005:$AE$1005,1,MATCH(COLUMNS($V$1006:X1006),$V$1006:$AE$1006,0))&gt;=100000), " ",IF(INDEX($V$2:$AE$1001,MATCH(ROWS($O$2:O915),$O$2:$O$1001,0),MATCH(COLUMNS($V$1006:X1006),$V$1006:$AE$1006,0)), HYPERLINK("#",""), HYPERLINK(CONCATENATE("#Metadata!", ADDRESS(INDEX($Q$2:$Q$1001,MATCH(ROWS($O$2:O915),$O$2:$O$1001,0),0), INDEX($V$1004:$AE$1004,1,MATCH(COLUMNS($V$1006:X1006),$V$1006:$AE$1006,0)))),"Fix")))</f>
        <v>0</v>
      </c>
      <c r="E915" s="4">
        <f>IF(OR(INDEX($P$2:$P$1001,MATCH(ROWS($O$2:O915),$O$2:$O$1001,0),1)&gt;=100000,INDEX($V$1005:$AE$1005,1,MATCH(COLUMNS($V$1006:Y1006),$V$1006:$AE$1006,0))&gt;=100000), " ",IF(INDEX($V$2:$AE$1001,MATCH(ROWS($O$2:O915),$O$2:$O$1001,0),MATCH(COLUMNS($V$1006:Y1006),$V$1006:$AE$1006,0)), HYPERLINK("#",""), HYPERLINK(CONCATENATE("#Metadata!", ADDRESS(INDEX($Q$2:$Q$1001,MATCH(ROWS($O$2:O915),$O$2:$O$1001,0),0), INDEX($V$1004:$AE$1004,1,MATCH(COLUMNS($V$1006:Y1006),$V$1006:$AE$1006,0)))),"Fix")))</f>
        <v>0</v>
      </c>
      <c r="F915" s="4">
        <f>IF(OR(INDEX($P$2:$P$1001,MATCH(ROWS($O$2:O915),$O$2:$O$1001,0),1)&gt;=100000,INDEX($V$1005:$AE$1005,1,MATCH(COLUMNS($V$1006:Z1006),$V$1006:$AE$1006,0))&gt;=100000), " ",IF(INDEX($V$2:$AE$1001,MATCH(ROWS($O$2:O915),$O$2:$O$1001,0),MATCH(COLUMNS($V$1006:Z1006),$V$1006:$AE$1006,0)), HYPERLINK("#",""), HYPERLINK(CONCATENATE("#Metadata!", ADDRESS(INDEX($Q$2:$Q$1001,MATCH(ROWS($O$2:O915),$O$2:$O$1001,0),0), INDEX($V$1004:$AE$1004,1,MATCH(COLUMNS($V$1006:Z1006),$V$1006:$AE$1006,0)))),"Fix")))</f>
        <v>0</v>
      </c>
      <c r="G915" s="4">
        <f>IF(OR(INDEX($P$2:$P$1001,MATCH(ROWS($O$2:O915),$O$2:$O$1001,0),1)&gt;=100000,INDEX($V$1005:$AE$1005,1,MATCH(COLUMNS($V$1006:AA1006),$V$1006:$AE$1006,0))&gt;=100000), " ",IF(INDEX($V$2:$AE$1001,MATCH(ROWS($O$2:O915),$O$2:$O$1001,0),MATCH(COLUMNS($V$1006:AA1006),$V$1006:$AE$1006,0)), HYPERLINK("#",""), HYPERLINK(CONCATENATE("#Metadata!", ADDRESS(INDEX($Q$2:$Q$1001,MATCH(ROWS($O$2:O915),$O$2:$O$1001,0),0), INDEX($V$1004:$AE$1004,1,MATCH(COLUMNS($V$1006:AA1006),$V$1006:$AE$1006,0)))),"Fix")))</f>
        <v>0</v>
      </c>
      <c r="H915" s="4">
        <f>IF(OR(INDEX($P$2:$P$1001,MATCH(ROWS($O$2:O915),$O$2:$O$1001,0),1)&gt;=100000,INDEX($V$1005:$AE$1005,1,MATCH(COLUMNS($V$1006:AB1006),$V$1006:$AE$1006,0))&gt;=100000), " ",IF(INDEX($V$2:$AE$1001,MATCH(ROWS($O$2:O915),$O$2:$O$1001,0),MATCH(COLUMNS($V$1006:AB1006),$V$1006:$AE$1006,0)), HYPERLINK("#",""), HYPERLINK(CONCATENATE("#Metadata!", ADDRESS(INDEX($Q$2:$Q$1001,MATCH(ROWS($O$2:O915),$O$2:$O$1001,0),0), INDEX($V$1004:$AE$1004,1,MATCH(COLUMNS($V$1006:AB1006),$V$1006:$AE$1006,0)))),"Fix")))</f>
        <v>0</v>
      </c>
      <c r="I915" s="4">
        <f>IF(OR(INDEX($P$2:$P$1001,MATCH(ROWS($O$2:O915),$O$2:$O$1001,0),1)&gt;=100000,INDEX($V$1005:$AE$1005,1,MATCH(COLUMNS($V$1006:AC1006),$V$1006:$AE$1006,0))&gt;=100000), " ",IF(INDEX($V$2:$AE$1001,MATCH(ROWS($O$2:O915),$O$2:$O$1001,0),MATCH(COLUMNS($V$1006:AC1006),$V$1006:$AE$1006,0)), HYPERLINK("#",""), HYPERLINK(CONCATENATE("#Metadata!", ADDRESS(INDEX($Q$2:$Q$1001,MATCH(ROWS($O$2:O915),$O$2:$O$1001,0),0), INDEX($V$1004:$AE$1004,1,MATCH(COLUMNS($V$1006:AC1006),$V$1006:$AE$1006,0)))),"Fix")))</f>
        <v>0</v>
      </c>
      <c r="J915" s="4">
        <f>IF(OR(INDEX($P$2:$P$1001,MATCH(ROWS($O$2:O915),$O$2:$O$1001,0),1)&gt;=100000,INDEX($V$1005:$AE$1005,1,MATCH(COLUMNS($V$1006:AD1006),$V$1006:$AE$1006,0))&gt;=100000), " ",IF(INDEX($V$2:$AE$1001,MATCH(ROWS($O$2:O915),$O$2:$O$1001,0),MATCH(COLUMNS($V$1006:AD1006),$V$1006:$AE$1006,0)), HYPERLINK("#",""), HYPERLINK(CONCATENATE("#Metadata!", ADDRESS(INDEX($Q$2:$Q$1001,MATCH(ROWS($O$2:O915),$O$2:$O$1001,0),0), INDEX($V$1004:$AE$1004,1,MATCH(COLUMNS($V$1006:AD1006),$V$1006:$AE$1006,0)))),"Fix")))</f>
        <v>0</v>
      </c>
      <c r="K915" s="4">
        <f>IF(OR(INDEX($P$2:$P$1001,MATCH(ROWS($O$2:O915),$O$2:$O$1001,0),1)&gt;=100000,INDEX($V$1005:$AE$1005,1,MATCH(COLUMNS($V$1006:AE1006),$V$1006:$AE$1006,0))&gt;=100000), " ",IF(INDEX($V$2:$AE$1001,MATCH(ROWS($O$2:O915),$O$2:$O$1001,0),MATCH(COLUMNS($V$1006:AE1006),$V$1006:$AE$1006,0)), HYPERLINK("#",""), HYPERLINK(CONCATENATE("#Metadata!", ADDRESS(INDEX($Q$2:$Q$1001,MATCH(ROWS($O$2:O915),$O$2:$O$1001,0),0), INDEX($V$1004:$AE$1004,1,MATCH(COLUMNS($V$1006:AE1006),$V$1006:$AE$1006,0)))),"Fix")))</f>
        <v>0</v>
      </c>
      <c r="O915">
        <v>0</v>
      </c>
      <c r="P915">
        <v>0</v>
      </c>
      <c r="Q915">
        <v>0</v>
      </c>
      <c r="R915">
        <f>IF(S915,TRUE,AND(V915:AE915))</f>
        <v>0</v>
      </c>
      <c r="S915">
        <f>COUNTBLANK(Metadata!B915:K915)=COLUMNS(Metadata!B915:K915)</f>
        <v>0</v>
      </c>
      <c r="T915">
        <v>0</v>
      </c>
      <c r="V915">
        <f>AND(IF(Metadata!B915="",FALSE,TRUE),COUNTIF(Metadata!B:B, Metadata!B915) = 1,NOT(ISERROR(SUMPRODUCT(SEARCH(MID(Metadata!B915,ROW(INDIRECT("1:"&amp;LEN(Metadata!B915))), 1),"0123456789abcdefghijklmnopqrstuvwxyzABCDEFGHIJKLMNOPQRSTUVWXYZ.")))))</f>
        <v>0</v>
      </c>
      <c r="W915">
        <f>AND(IF(Metadata!C915="",FALSE,TRUE),exact(Metadata!C915,"urban biome"))</f>
        <v>0</v>
      </c>
      <c r="X915">
        <f>AND(IF(Metadata!D915="",FALSE,TRUE),exact(Metadata!D915,"animal-associated habitat"))</f>
        <v>0</v>
      </c>
      <c r="Y915">
        <f>OR(AND(IF(Metadata!E915="",FALSE,TRUE),OR(exact(Metadata!E915,"not applicable"),exact(Metadata!E915,"missing: not collected"),exact(Metadata!E915,"missing: not provided"),exact(Metadata!E915,"missing: restricted access"))),AND(IF(Metadata!E915="",FALSE,ISNUMBER(VALUE(Metadata!E915))),Metadata!E915&gt;0))</f>
        <v>0</v>
      </c>
      <c r="Z915">
        <f>AND(IF(Metadata!F915="",FALSE,TRUE),exact(Metadata!F915,"weeks"))</f>
        <v>0</v>
      </c>
      <c r="AA915">
        <f>AND(IF(Metadata!G915="",FALSE,TRUE),exact(Metadata!G915,"mouse"))</f>
        <v>0</v>
      </c>
      <c r="AB915">
        <f>AND(IF(Metadata!H915="",FALSE,TRUE),exact(Metadata!H915,"Mus musculus"))</f>
        <v>0</v>
      </c>
      <c r="AC915">
        <f>AND(IF(Metadata!I915="",FALSE,TRUE),exact(Metadata!I915,"10090"))</f>
        <v>0</v>
      </c>
      <c r="AD915">
        <f>OR(AND(IF(Metadata!J915="",FALSE,TRUE),OR(exact(Metadata!J915,"not applicable"),exact(Metadata!J915,"missing: not collected"),exact(Metadata!J915,"missing: not provided"),exact(Metadata!J915,"missing: restricted access"))),AND(IF(Metadata!J915="",FALSE,ISNUMBER(VALUE(Metadata!J915))),Metadata!J915&gt;0))</f>
        <v>0</v>
      </c>
      <c r="AE915">
        <f>AND(IF(Metadata!K915="",FALSE,TRUE),exact(Metadata!K915,"g"))</f>
        <v>0</v>
      </c>
    </row>
    <row r="916" spans="1:31">
      <c r="A916" s="5">
        <f>IF(B916=" "," ",HYPERLINK(CONCATENATE("#metadata!",ADDRESS(INDEX($Q$2:$Q$1001,MATCH(ROWS($O$2:O916),$O$2:$O$1001,0),0),1)),INDEX($T$2:$T$1001,MATCH(ROWS($O$2:O916),$O$2:$O$1001,0),0)))</f>
        <v>0</v>
      </c>
      <c r="B916" s="4">
        <f>IF(OR(INDEX($P$2:$P$1001,MATCH(ROWS($O$2:O916),$O$2:$O$1001,0),1)&gt;=100000,INDEX($V$1005:$AE$1005,1,MATCH(COLUMNS($V$1006:V1006),$V$1006:$AE$1006,0))&gt;=100000), " ",IF(INDEX($V$2:$AE$1001,MATCH(ROWS($O$2:O916),$O$2:$O$1001,0),MATCH(COLUMNS($V$1006:V1006),$V$1006:$AE$1006,0)), HYPERLINK("#",""), HYPERLINK(CONCATENATE("#Metadata!", ADDRESS(INDEX($Q$2:$Q$1001,MATCH(ROWS($O$2:O916),$O$2:$O$1001,0),0), INDEX($V$1004:$AE$1004,1,MATCH(COLUMNS($V$1006:V1006),$V$1006:$AE$1006,0)))),"Fix")))</f>
        <v>0</v>
      </c>
      <c r="C916" s="4">
        <f>IF(OR(INDEX($P$2:$P$1001,MATCH(ROWS($O$2:O916),$O$2:$O$1001,0),1)&gt;=100000,INDEX($V$1005:$AE$1005,1,MATCH(COLUMNS($V$1006:W1006),$V$1006:$AE$1006,0))&gt;=100000), " ",IF(INDEX($V$2:$AE$1001,MATCH(ROWS($O$2:O916),$O$2:$O$1001,0),MATCH(COLUMNS($V$1006:W1006),$V$1006:$AE$1006,0)), HYPERLINK("#",""), HYPERLINK(CONCATENATE("#Metadata!", ADDRESS(INDEX($Q$2:$Q$1001,MATCH(ROWS($O$2:O916),$O$2:$O$1001,0),0), INDEX($V$1004:$AE$1004,1,MATCH(COLUMNS($V$1006:W1006),$V$1006:$AE$1006,0)))),"Fix")))</f>
        <v>0</v>
      </c>
      <c r="D916" s="4">
        <f>IF(OR(INDEX($P$2:$P$1001,MATCH(ROWS($O$2:O916),$O$2:$O$1001,0),1)&gt;=100000,INDEX($V$1005:$AE$1005,1,MATCH(COLUMNS($V$1006:X1006),$V$1006:$AE$1006,0))&gt;=100000), " ",IF(INDEX($V$2:$AE$1001,MATCH(ROWS($O$2:O916),$O$2:$O$1001,0),MATCH(COLUMNS($V$1006:X1006),$V$1006:$AE$1006,0)), HYPERLINK("#",""), HYPERLINK(CONCATENATE("#Metadata!", ADDRESS(INDEX($Q$2:$Q$1001,MATCH(ROWS($O$2:O916),$O$2:$O$1001,0),0), INDEX($V$1004:$AE$1004,1,MATCH(COLUMNS($V$1006:X1006),$V$1006:$AE$1006,0)))),"Fix")))</f>
        <v>0</v>
      </c>
      <c r="E916" s="4">
        <f>IF(OR(INDEX($P$2:$P$1001,MATCH(ROWS($O$2:O916),$O$2:$O$1001,0),1)&gt;=100000,INDEX($V$1005:$AE$1005,1,MATCH(COLUMNS($V$1006:Y1006),$V$1006:$AE$1006,0))&gt;=100000), " ",IF(INDEX($V$2:$AE$1001,MATCH(ROWS($O$2:O916),$O$2:$O$1001,0),MATCH(COLUMNS($V$1006:Y1006),$V$1006:$AE$1006,0)), HYPERLINK("#",""), HYPERLINK(CONCATENATE("#Metadata!", ADDRESS(INDEX($Q$2:$Q$1001,MATCH(ROWS($O$2:O916),$O$2:$O$1001,0),0), INDEX($V$1004:$AE$1004,1,MATCH(COLUMNS($V$1006:Y1006),$V$1006:$AE$1006,0)))),"Fix")))</f>
        <v>0</v>
      </c>
      <c r="F916" s="4">
        <f>IF(OR(INDEX($P$2:$P$1001,MATCH(ROWS($O$2:O916),$O$2:$O$1001,0),1)&gt;=100000,INDEX($V$1005:$AE$1005,1,MATCH(COLUMNS($V$1006:Z1006),$V$1006:$AE$1006,0))&gt;=100000), " ",IF(INDEX($V$2:$AE$1001,MATCH(ROWS($O$2:O916),$O$2:$O$1001,0),MATCH(COLUMNS($V$1006:Z1006),$V$1006:$AE$1006,0)), HYPERLINK("#",""), HYPERLINK(CONCATENATE("#Metadata!", ADDRESS(INDEX($Q$2:$Q$1001,MATCH(ROWS($O$2:O916),$O$2:$O$1001,0),0), INDEX($V$1004:$AE$1004,1,MATCH(COLUMNS($V$1006:Z1006),$V$1006:$AE$1006,0)))),"Fix")))</f>
        <v>0</v>
      </c>
      <c r="G916" s="4">
        <f>IF(OR(INDEX($P$2:$P$1001,MATCH(ROWS($O$2:O916),$O$2:$O$1001,0),1)&gt;=100000,INDEX($V$1005:$AE$1005,1,MATCH(COLUMNS($V$1006:AA1006),$V$1006:$AE$1006,0))&gt;=100000), " ",IF(INDEX($V$2:$AE$1001,MATCH(ROWS($O$2:O916),$O$2:$O$1001,0),MATCH(COLUMNS($V$1006:AA1006),$V$1006:$AE$1006,0)), HYPERLINK("#",""), HYPERLINK(CONCATENATE("#Metadata!", ADDRESS(INDEX($Q$2:$Q$1001,MATCH(ROWS($O$2:O916),$O$2:$O$1001,0),0), INDEX($V$1004:$AE$1004,1,MATCH(COLUMNS($V$1006:AA1006),$V$1006:$AE$1006,0)))),"Fix")))</f>
        <v>0</v>
      </c>
      <c r="H916" s="4">
        <f>IF(OR(INDEX($P$2:$P$1001,MATCH(ROWS($O$2:O916),$O$2:$O$1001,0),1)&gt;=100000,INDEX($V$1005:$AE$1005,1,MATCH(COLUMNS($V$1006:AB1006),$V$1006:$AE$1006,0))&gt;=100000), " ",IF(INDEX($V$2:$AE$1001,MATCH(ROWS($O$2:O916),$O$2:$O$1001,0),MATCH(COLUMNS($V$1006:AB1006),$V$1006:$AE$1006,0)), HYPERLINK("#",""), HYPERLINK(CONCATENATE("#Metadata!", ADDRESS(INDEX($Q$2:$Q$1001,MATCH(ROWS($O$2:O916),$O$2:$O$1001,0),0), INDEX($V$1004:$AE$1004,1,MATCH(COLUMNS($V$1006:AB1006),$V$1006:$AE$1006,0)))),"Fix")))</f>
        <v>0</v>
      </c>
      <c r="I916" s="4">
        <f>IF(OR(INDEX($P$2:$P$1001,MATCH(ROWS($O$2:O916),$O$2:$O$1001,0),1)&gt;=100000,INDEX($V$1005:$AE$1005,1,MATCH(COLUMNS($V$1006:AC1006),$V$1006:$AE$1006,0))&gt;=100000), " ",IF(INDEX($V$2:$AE$1001,MATCH(ROWS($O$2:O916),$O$2:$O$1001,0),MATCH(COLUMNS($V$1006:AC1006),$V$1006:$AE$1006,0)), HYPERLINK("#",""), HYPERLINK(CONCATENATE("#Metadata!", ADDRESS(INDEX($Q$2:$Q$1001,MATCH(ROWS($O$2:O916),$O$2:$O$1001,0),0), INDEX($V$1004:$AE$1004,1,MATCH(COLUMNS($V$1006:AC1006),$V$1006:$AE$1006,0)))),"Fix")))</f>
        <v>0</v>
      </c>
      <c r="J916" s="4">
        <f>IF(OR(INDEX($P$2:$P$1001,MATCH(ROWS($O$2:O916),$O$2:$O$1001,0),1)&gt;=100000,INDEX($V$1005:$AE$1005,1,MATCH(COLUMNS($V$1006:AD1006),$V$1006:$AE$1006,0))&gt;=100000), " ",IF(INDEX($V$2:$AE$1001,MATCH(ROWS($O$2:O916),$O$2:$O$1001,0),MATCH(COLUMNS($V$1006:AD1006),$V$1006:$AE$1006,0)), HYPERLINK("#",""), HYPERLINK(CONCATENATE("#Metadata!", ADDRESS(INDEX($Q$2:$Q$1001,MATCH(ROWS($O$2:O916),$O$2:$O$1001,0),0), INDEX($V$1004:$AE$1004,1,MATCH(COLUMNS($V$1006:AD1006),$V$1006:$AE$1006,0)))),"Fix")))</f>
        <v>0</v>
      </c>
      <c r="K916" s="4">
        <f>IF(OR(INDEX($P$2:$P$1001,MATCH(ROWS($O$2:O916),$O$2:$O$1001,0),1)&gt;=100000,INDEX($V$1005:$AE$1005,1,MATCH(COLUMNS($V$1006:AE1006),$V$1006:$AE$1006,0))&gt;=100000), " ",IF(INDEX($V$2:$AE$1001,MATCH(ROWS($O$2:O916),$O$2:$O$1001,0),MATCH(COLUMNS($V$1006:AE1006),$V$1006:$AE$1006,0)), HYPERLINK("#",""), HYPERLINK(CONCATENATE("#Metadata!", ADDRESS(INDEX($Q$2:$Q$1001,MATCH(ROWS($O$2:O916),$O$2:$O$1001,0),0), INDEX($V$1004:$AE$1004,1,MATCH(COLUMNS($V$1006:AE1006),$V$1006:$AE$1006,0)))),"Fix")))</f>
        <v>0</v>
      </c>
      <c r="O916">
        <v>0</v>
      </c>
      <c r="P916">
        <v>0</v>
      </c>
      <c r="Q916">
        <v>0</v>
      </c>
      <c r="R916">
        <f>IF(S916,TRUE,AND(V916:AE916))</f>
        <v>0</v>
      </c>
      <c r="S916">
        <f>COUNTBLANK(Metadata!B916:K916)=COLUMNS(Metadata!B916:K916)</f>
        <v>0</v>
      </c>
      <c r="T916">
        <v>0</v>
      </c>
      <c r="V916">
        <f>AND(IF(Metadata!B916="",FALSE,TRUE),COUNTIF(Metadata!B:B, Metadata!B916) = 1,NOT(ISERROR(SUMPRODUCT(SEARCH(MID(Metadata!B916,ROW(INDIRECT("1:"&amp;LEN(Metadata!B916))), 1),"0123456789abcdefghijklmnopqrstuvwxyzABCDEFGHIJKLMNOPQRSTUVWXYZ.")))))</f>
        <v>0</v>
      </c>
      <c r="W916">
        <f>AND(IF(Metadata!C916="",FALSE,TRUE),exact(Metadata!C916,"urban biome"))</f>
        <v>0</v>
      </c>
      <c r="X916">
        <f>AND(IF(Metadata!D916="",FALSE,TRUE),exact(Metadata!D916,"animal-associated habitat"))</f>
        <v>0</v>
      </c>
      <c r="Y916">
        <f>OR(AND(IF(Metadata!E916="",FALSE,TRUE),OR(exact(Metadata!E916,"not applicable"),exact(Metadata!E916,"missing: not collected"),exact(Metadata!E916,"missing: not provided"),exact(Metadata!E916,"missing: restricted access"))),AND(IF(Metadata!E916="",FALSE,ISNUMBER(VALUE(Metadata!E916))),Metadata!E916&gt;0))</f>
        <v>0</v>
      </c>
      <c r="Z916">
        <f>AND(IF(Metadata!F916="",FALSE,TRUE),exact(Metadata!F916,"weeks"))</f>
        <v>0</v>
      </c>
      <c r="AA916">
        <f>AND(IF(Metadata!G916="",FALSE,TRUE),exact(Metadata!G916,"mouse"))</f>
        <v>0</v>
      </c>
      <c r="AB916">
        <f>AND(IF(Metadata!H916="",FALSE,TRUE),exact(Metadata!H916,"Mus musculus"))</f>
        <v>0</v>
      </c>
      <c r="AC916">
        <f>AND(IF(Metadata!I916="",FALSE,TRUE),exact(Metadata!I916,"10090"))</f>
        <v>0</v>
      </c>
      <c r="AD916">
        <f>OR(AND(IF(Metadata!J916="",FALSE,TRUE),OR(exact(Metadata!J916,"not applicable"),exact(Metadata!J916,"missing: not collected"),exact(Metadata!J916,"missing: not provided"),exact(Metadata!J916,"missing: restricted access"))),AND(IF(Metadata!J916="",FALSE,ISNUMBER(VALUE(Metadata!J916))),Metadata!J916&gt;0))</f>
        <v>0</v>
      </c>
      <c r="AE916">
        <f>AND(IF(Metadata!K916="",FALSE,TRUE),exact(Metadata!K916,"g"))</f>
        <v>0</v>
      </c>
    </row>
    <row r="917" spans="1:31">
      <c r="A917" s="5">
        <f>IF(B917=" "," ",HYPERLINK(CONCATENATE("#metadata!",ADDRESS(INDEX($Q$2:$Q$1001,MATCH(ROWS($O$2:O917),$O$2:$O$1001,0),0),1)),INDEX($T$2:$T$1001,MATCH(ROWS($O$2:O917),$O$2:$O$1001,0),0)))</f>
        <v>0</v>
      </c>
      <c r="B917" s="4">
        <f>IF(OR(INDEX($P$2:$P$1001,MATCH(ROWS($O$2:O917),$O$2:$O$1001,0),1)&gt;=100000,INDEX($V$1005:$AE$1005,1,MATCH(COLUMNS($V$1006:V1006),$V$1006:$AE$1006,0))&gt;=100000), " ",IF(INDEX($V$2:$AE$1001,MATCH(ROWS($O$2:O917),$O$2:$O$1001,0),MATCH(COLUMNS($V$1006:V1006),$V$1006:$AE$1006,0)), HYPERLINK("#",""), HYPERLINK(CONCATENATE("#Metadata!", ADDRESS(INDEX($Q$2:$Q$1001,MATCH(ROWS($O$2:O917),$O$2:$O$1001,0),0), INDEX($V$1004:$AE$1004,1,MATCH(COLUMNS($V$1006:V1006),$V$1006:$AE$1006,0)))),"Fix")))</f>
        <v>0</v>
      </c>
      <c r="C917" s="4">
        <f>IF(OR(INDEX($P$2:$P$1001,MATCH(ROWS($O$2:O917),$O$2:$O$1001,0),1)&gt;=100000,INDEX($V$1005:$AE$1005,1,MATCH(COLUMNS($V$1006:W1006),$V$1006:$AE$1006,0))&gt;=100000), " ",IF(INDEX($V$2:$AE$1001,MATCH(ROWS($O$2:O917),$O$2:$O$1001,0),MATCH(COLUMNS($V$1006:W1006),$V$1006:$AE$1006,0)), HYPERLINK("#",""), HYPERLINK(CONCATENATE("#Metadata!", ADDRESS(INDEX($Q$2:$Q$1001,MATCH(ROWS($O$2:O917),$O$2:$O$1001,0),0), INDEX($V$1004:$AE$1004,1,MATCH(COLUMNS($V$1006:W1006),$V$1006:$AE$1006,0)))),"Fix")))</f>
        <v>0</v>
      </c>
      <c r="D917" s="4">
        <f>IF(OR(INDEX($P$2:$P$1001,MATCH(ROWS($O$2:O917),$O$2:$O$1001,0),1)&gt;=100000,INDEX($V$1005:$AE$1005,1,MATCH(COLUMNS($V$1006:X1006),$V$1006:$AE$1006,0))&gt;=100000), " ",IF(INDEX($V$2:$AE$1001,MATCH(ROWS($O$2:O917),$O$2:$O$1001,0),MATCH(COLUMNS($V$1006:X1006),$V$1006:$AE$1006,0)), HYPERLINK("#",""), HYPERLINK(CONCATENATE("#Metadata!", ADDRESS(INDEX($Q$2:$Q$1001,MATCH(ROWS($O$2:O917),$O$2:$O$1001,0),0), INDEX($V$1004:$AE$1004,1,MATCH(COLUMNS($V$1006:X1006),$V$1006:$AE$1006,0)))),"Fix")))</f>
        <v>0</v>
      </c>
      <c r="E917" s="4">
        <f>IF(OR(INDEX($P$2:$P$1001,MATCH(ROWS($O$2:O917),$O$2:$O$1001,0),1)&gt;=100000,INDEX($V$1005:$AE$1005,1,MATCH(COLUMNS($V$1006:Y1006),$V$1006:$AE$1006,0))&gt;=100000), " ",IF(INDEX($V$2:$AE$1001,MATCH(ROWS($O$2:O917),$O$2:$O$1001,0),MATCH(COLUMNS($V$1006:Y1006),$V$1006:$AE$1006,0)), HYPERLINK("#",""), HYPERLINK(CONCATENATE("#Metadata!", ADDRESS(INDEX($Q$2:$Q$1001,MATCH(ROWS($O$2:O917),$O$2:$O$1001,0),0), INDEX($V$1004:$AE$1004,1,MATCH(COLUMNS($V$1006:Y1006),$V$1006:$AE$1006,0)))),"Fix")))</f>
        <v>0</v>
      </c>
      <c r="F917" s="4">
        <f>IF(OR(INDEX($P$2:$P$1001,MATCH(ROWS($O$2:O917),$O$2:$O$1001,0),1)&gt;=100000,INDEX($V$1005:$AE$1005,1,MATCH(COLUMNS($V$1006:Z1006),$V$1006:$AE$1006,0))&gt;=100000), " ",IF(INDEX($V$2:$AE$1001,MATCH(ROWS($O$2:O917),$O$2:$O$1001,0),MATCH(COLUMNS($V$1006:Z1006),$V$1006:$AE$1006,0)), HYPERLINK("#",""), HYPERLINK(CONCATENATE("#Metadata!", ADDRESS(INDEX($Q$2:$Q$1001,MATCH(ROWS($O$2:O917),$O$2:$O$1001,0),0), INDEX($V$1004:$AE$1004,1,MATCH(COLUMNS($V$1006:Z1006),$V$1006:$AE$1006,0)))),"Fix")))</f>
        <v>0</v>
      </c>
      <c r="G917" s="4">
        <f>IF(OR(INDEX($P$2:$P$1001,MATCH(ROWS($O$2:O917),$O$2:$O$1001,0),1)&gt;=100000,INDEX($V$1005:$AE$1005,1,MATCH(COLUMNS($V$1006:AA1006),$V$1006:$AE$1006,0))&gt;=100000), " ",IF(INDEX($V$2:$AE$1001,MATCH(ROWS($O$2:O917),$O$2:$O$1001,0),MATCH(COLUMNS($V$1006:AA1006),$V$1006:$AE$1006,0)), HYPERLINK("#",""), HYPERLINK(CONCATENATE("#Metadata!", ADDRESS(INDEX($Q$2:$Q$1001,MATCH(ROWS($O$2:O917),$O$2:$O$1001,0),0), INDEX($V$1004:$AE$1004,1,MATCH(COLUMNS($V$1006:AA1006),$V$1006:$AE$1006,0)))),"Fix")))</f>
        <v>0</v>
      </c>
      <c r="H917" s="4">
        <f>IF(OR(INDEX($P$2:$P$1001,MATCH(ROWS($O$2:O917),$O$2:$O$1001,0),1)&gt;=100000,INDEX($V$1005:$AE$1005,1,MATCH(COLUMNS($V$1006:AB1006),$V$1006:$AE$1006,0))&gt;=100000), " ",IF(INDEX($V$2:$AE$1001,MATCH(ROWS($O$2:O917),$O$2:$O$1001,0),MATCH(COLUMNS($V$1006:AB1006),$V$1006:$AE$1006,0)), HYPERLINK("#",""), HYPERLINK(CONCATENATE("#Metadata!", ADDRESS(INDEX($Q$2:$Q$1001,MATCH(ROWS($O$2:O917),$O$2:$O$1001,0),0), INDEX($V$1004:$AE$1004,1,MATCH(COLUMNS($V$1006:AB1006),$V$1006:$AE$1006,0)))),"Fix")))</f>
        <v>0</v>
      </c>
      <c r="I917" s="4">
        <f>IF(OR(INDEX($P$2:$P$1001,MATCH(ROWS($O$2:O917),$O$2:$O$1001,0),1)&gt;=100000,INDEX($V$1005:$AE$1005,1,MATCH(COLUMNS($V$1006:AC1006),$V$1006:$AE$1006,0))&gt;=100000), " ",IF(INDEX($V$2:$AE$1001,MATCH(ROWS($O$2:O917),$O$2:$O$1001,0),MATCH(COLUMNS($V$1006:AC1006),$V$1006:$AE$1006,0)), HYPERLINK("#",""), HYPERLINK(CONCATENATE("#Metadata!", ADDRESS(INDEX($Q$2:$Q$1001,MATCH(ROWS($O$2:O917),$O$2:$O$1001,0),0), INDEX($V$1004:$AE$1004,1,MATCH(COLUMNS($V$1006:AC1006),$V$1006:$AE$1006,0)))),"Fix")))</f>
        <v>0</v>
      </c>
      <c r="J917" s="4">
        <f>IF(OR(INDEX($P$2:$P$1001,MATCH(ROWS($O$2:O917),$O$2:$O$1001,0),1)&gt;=100000,INDEX($V$1005:$AE$1005,1,MATCH(COLUMNS($V$1006:AD1006),$V$1006:$AE$1006,0))&gt;=100000), " ",IF(INDEX($V$2:$AE$1001,MATCH(ROWS($O$2:O917),$O$2:$O$1001,0),MATCH(COLUMNS($V$1006:AD1006),$V$1006:$AE$1006,0)), HYPERLINK("#",""), HYPERLINK(CONCATENATE("#Metadata!", ADDRESS(INDEX($Q$2:$Q$1001,MATCH(ROWS($O$2:O917),$O$2:$O$1001,0),0), INDEX($V$1004:$AE$1004,1,MATCH(COLUMNS($V$1006:AD1006),$V$1006:$AE$1006,0)))),"Fix")))</f>
        <v>0</v>
      </c>
      <c r="K917" s="4">
        <f>IF(OR(INDEX($P$2:$P$1001,MATCH(ROWS($O$2:O917),$O$2:$O$1001,0),1)&gt;=100000,INDEX($V$1005:$AE$1005,1,MATCH(COLUMNS($V$1006:AE1006),$V$1006:$AE$1006,0))&gt;=100000), " ",IF(INDEX($V$2:$AE$1001,MATCH(ROWS($O$2:O917),$O$2:$O$1001,0),MATCH(COLUMNS($V$1006:AE1006),$V$1006:$AE$1006,0)), HYPERLINK("#",""), HYPERLINK(CONCATENATE("#Metadata!", ADDRESS(INDEX($Q$2:$Q$1001,MATCH(ROWS($O$2:O917),$O$2:$O$1001,0),0), INDEX($V$1004:$AE$1004,1,MATCH(COLUMNS($V$1006:AE1006),$V$1006:$AE$1006,0)))),"Fix")))</f>
        <v>0</v>
      </c>
      <c r="O917">
        <v>0</v>
      </c>
      <c r="P917">
        <v>0</v>
      </c>
      <c r="Q917">
        <v>0</v>
      </c>
      <c r="R917">
        <f>IF(S917,TRUE,AND(V917:AE917))</f>
        <v>0</v>
      </c>
      <c r="S917">
        <f>COUNTBLANK(Metadata!B917:K917)=COLUMNS(Metadata!B917:K917)</f>
        <v>0</v>
      </c>
      <c r="T917">
        <v>0</v>
      </c>
      <c r="V917">
        <f>AND(IF(Metadata!B917="",FALSE,TRUE),COUNTIF(Metadata!B:B, Metadata!B917) = 1,NOT(ISERROR(SUMPRODUCT(SEARCH(MID(Metadata!B917,ROW(INDIRECT("1:"&amp;LEN(Metadata!B917))), 1),"0123456789abcdefghijklmnopqrstuvwxyzABCDEFGHIJKLMNOPQRSTUVWXYZ.")))))</f>
        <v>0</v>
      </c>
      <c r="W917">
        <f>AND(IF(Metadata!C917="",FALSE,TRUE),exact(Metadata!C917,"urban biome"))</f>
        <v>0</v>
      </c>
      <c r="X917">
        <f>AND(IF(Metadata!D917="",FALSE,TRUE),exact(Metadata!D917,"animal-associated habitat"))</f>
        <v>0</v>
      </c>
      <c r="Y917">
        <f>OR(AND(IF(Metadata!E917="",FALSE,TRUE),OR(exact(Metadata!E917,"not applicable"),exact(Metadata!E917,"missing: not collected"),exact(Metadata!E917,"missing: not provided"),exact(Metadata!E917,"missing: restricted access"))),AND(IF(Metadata!E917="",FALSE,ISNUMBER(VALUE(Metadata!E917))),Metadata!E917&gt;0))</f>
        <v>0</v>
      </c>
      <c r="Z917">
        <f>AND(IF(Metadata!F917="",FALSE,TRUE),exact(Metadata!F917,"weeks"))</f>
        <v>0</v>
      </c>
      <c r="AA917">
        <f>AND(IF(Metadata!G917="",FALSE,TRUE),exact(Metadata!G917,"mouse"))</f>
        <v>0</v>
      </c>
      <c r="AB917">
        <f>AND(IF(Metadata!H917="",FALSE,TRUE),exact(Metadata!H917,"Mus musculus"))</f>
        <v>0</v>
      </c>
      <c r="AC917">
        <f>AND(IF(Metadata!I917="",FALSE,TRUE),exact(Metadata!I917,"10090"))</f>
        <v>0</v>
      </c>
      <c r="AD917">
        <f>OR(AND(IF(Metadata!J917="",FALSE,TRUE),OR(exact(Metadata!J917,"not applicable"),exact(Metadata!J917,"missing: not collected"),exact(Metadata!J917,"missing: not provided"),exact(Metadata!J917,"missing: restricted access"))),AND(IF(Metadata!J917="",FALSE,ISNUMBER(VALUE(Metadata!J917))),Metadata!J917&gt;0))</f>
        <v>0</v>
      </c>
      <c r="AE917">
        <f>AND(IF(Metadata!K917="",FALSE,TRUE),exact(Metadata!K917,"g"))</f>
        <v>0</v>
      </c>
    </row>
    <row r="918" spans="1:31">
      <c r="A918" s="5">
        <f>IF(B918=" "," ",HYPERLINK(CONCATENATE("#metadata!",ADDRESS(INDEX($Q$2:$Q$1001,MATCH(ROWS($O$2:O918),$O$2:$O$1001,0),0),1)),INDEX($T$2:$T$1001,MATCH(ROWS($O$2:O918),$O$2:$O$1001,0),0)))</f>
        <v>0</v>
      </c>
      <c r="B918" s="4">
        <f>IF(OR(INDEX($P$2:$P$1001,MATCH(ROWS($O$2:O918),$O$2:$O$1001,0),1)&gt;=100000,INDEX($V$1005:$AE$1005,1,MATCH(COLUMNS($V$1006:V1006),$V$1006:$AE$1006,0))&gt;=100000), " ",IF(INDEX($V$2:$AE$1001,MATCH(ROWS($O$2:O918),$O$2:$O$1001,0),MATCH(COLUMNS($V$1006:V1006),$V$1006:$AE$1006,0)), HYPERLINK("#",""), HYPERLINK(CONCATENATE("#Metadata!", ADDRESS(INDEX($Q$2:$Q$1001,MATCH(ROWS($O$2:O918),$O$2:$O$1001,0),0), INDEX($V$1004:$AE$1004,1,MATCH(COLUMNS($V$1006:V1006),$V$1006:$AE$1006,0)))),"Fix")))</f>
        <v>0</v>
      </c>
      <c r="C918" s="4">
        <f>IF(OR(INDEX($P$2:$P$1001,MATCH(ROWS($O$2:O918),$O$2:$O$1001,0),1)&gt;=100000,INDEX($V$1005:$AE$1005,1,MATCH(COLUMNS($V$1006:W1006),$V$1006:$AE$1006,0))&gt;=100000), " ",IF(INDEX($V$2:$AE$1001,MATCH(ROWS($O$2:O918),$O$2:$O$1001,0),MATCH(COLUMNS($V$1006:W1006),$V$1006:$AE$1006,0)), HYPERLINK("#",""), HYPERLINK(CONCATENATE("#Metadata!", ADDRESS(INDEX($Q$2:$Q$1001,MATCH(ROWS($O$2:O918),$O$2:$O$1001,0),0), INDEX($V$1004:$AE$1004,1,MATCH(COLUMNS($V$1006:W1006),$V$1006:$AE$1006,0)))),"Fix")))</f>
        <v>0</v>
      </c>
      <c r="D918" s="4">
        <f>IF(OR(INDEX($P$2:$P$1001,MATCH(ROWS($O$2:O918),$O$2:$O$1001,0),1)&gt;=100000,INDEX($V$1005:$AE$1005,1,MATCH(COLUMNS($V$1006:X1006),$V$1006:$AE$1006,0))&gt;=100000), " ",IF(INDEX($V$2:$AE$1001,MATCH(ROWS($O$2:O918),$O$2:$O$1001,0),MATCH(COLUMNS($V$1006:X1006),$V$1006:$AE$1006,0)), HYPERLINK("#",""), HYPERLINK(CONCATENATE("#Metadata!", ADDRESS(INDEX($Q$2:$Q$1001,MATCH(ROWS($O$2:O918),$O$2:$O$1001,0),0), INDEX($V$1004:$AE$1004,1,MATCH(COLUMNS($V$1006:X1006),$V$1006:$AE$1006,0)))),"Fix")))</f>
        <v>0</v>
      </c>
      <c r="E918" s="4">
        <f>IF(OR(INDEX($P$2:$P$1001,MATCH(ROWS($O$2:O918),$O$2:$O$1001,0),1)&gt;=100000,INDEX($V$1005:$AE$1005,1,MATCH(COLUMNS($V$1006:Y1006),$V$1006:$AE$1006,0))&gt;=100000), " ",IF(INDEX($V$2:$AE$1001,MATCH(ROWS($O$2:O918),$O$2:$O$1001,0),MATCH(COLUMNS($V$1006:Y1006),$V$1006:$AE$1006,0)), HYPERLINK("#",""), HYPERLINK(CONCATENATE("#Metadata!", ADDRESS(INDEX($Q$2:$Q$1001,MATCH(ROWS($O$2:O918),$O$2:$O$1001,0),0), INDEX($V$1004:$AE$1004,1,MATCH(COLUMNS($V$1006:Y1006),$V$1006:$AE$1006,0)))),"Fix")))</f>
        <v>0</v>
      </c>
      <c r="F918" s="4">
        <f>IF(OR(INDEX($P$2:$P$1001,MATCH(ROWS($O$2:O918),$O$2:$O$1001,0),1)&gt;=100000,INDEX($V$1005:$AE$1005,1,MATCH(COLUMNS($V$1006:Z1006),$V$1006:$AE$1006,0))&gt;=100000), " ",IF(INDEX($V$2:$AE$1001,MATCH(ROWS($O$2:O918),$O$2:$O$1001,0),MATCH(COLUMNS($V$1006:Z1006),$V$1006:$AE$1006,0)), HYPERLINK("#",""), HYPERLINK(CONCATENATE("#Metadata!", ADDRESS(INDEX($Q$2:$Q$1001,MATCH(ROWS($O$2:O918),$O$2:$O$1001,0),0), INDEX($V$1004:$AE$1004,1,MATCH(COLUMNS($V$1006:Z1006),$V$1006:$AE$1006,0)))),"Fix")))</f>
        <v>0</v>
      </c>
      <c r="G918" s="4">
        <f>IF(OR(INDEX($P$2:$P$1001,MATCH(ROWS($O$2:O918),$O$2:$O$1001,0),1)&gt;=100000,INDEX($V$1005:$AE$1005,1,MATCH(COLUMNS($V$1006:AA1006),$V$1006:$AE$1006,0))&gt;=100000), " ",IF(INDEX($V$2:$AE$1001,MATCH(ROWS($O$2:O918),$O$2:$O$1001,0),MATCH(COLUMNS($V$1006:AA1006),$V$1006:$AE$1006,0)), HYPERLINK("#",""), HYPERLINK(CONCATENATE("#Metadata!", ADDRESS(INDEX($Q$2:$Q$1001,MATCH(ROWS($O$2:O918),$O$2:$O$1001,0),0), INDEX($V$1004:$AE$1004,1,MATCH(COLUMNS($V$1006:AA1006),$V$1006:$AE$1006,0)))),"Fix")))</f>
        <v>0</v>
      </c>
      <c r="H918" s="4">
        <f>IF(OR(INDEX($P$2:$P$1001,MATCH(ROWS($O$2:O918),$O$2:$O$1001,0),1)&gt;=100000,INDEX($V$1005:$AE$1005,1,MATCH(COLUMNS($V$1006:AB1006),$V$1006:$AE$1006,0))&gt;=100000), " ",IF(INDEX($V$2:$AE$1001,MATCH(ROWS($O$2:O918),$O$2:$O$1001,0),MATCH(COLUMNS($V$1006:AB1006),$V$1006:$AE$1006,0)), HYPERLINK("#",""), HYPERLINK(CONCATENATE("#Metadata!", ADDRESS(INDEX($Q$2:$Q$1001,MATCH(ROWS($O$2:O918),$O$2:$O$1001,0),0), INDEX($V$1004:$AE$1004,1,MATCH(COLUMNS($V$1006:AB1006),$V$1006:$AE$1006,0)))),"Fix")))</f>
        <v>0</v>
      </c>
      <c r="I918" s="4">
        <f>IF(OR(INDEX($P$2:$P$1001,MATCH(ROWS($O$2:O918),$O$2:$O$1001,0),1)&gt;=100000,INDEX($V$1005:$AE$1005,1,MATCH(COLUMNS($V$1006:AC1006),$V$1006:$AE$1006,0))&gt;=100000), " ",IF(INDEX($V$2:$AE$1001,MATCH(ROWS($O$2:O918),$O$2:$O$1001,0),MATCH(COLUMNS($V$1006:AC1006),$V$1006:$AE$1006,0)), HYPERLINK("#",""), HYPERLINK(CONCATENATE("#Metadata!", ADDRESS(INDEX($Q$2:$Q$1001,MATCH(ROWS($O$2:O918),$O$2:$O$1001,0),0), INDEX($V$1004:$AE$1004,1,MATCH(COLUMNS($V$1006:AC1006),$V$1006:$AE$1006,0)))),"Fix")))</f>
        <v>0</v>
      </c>
      <c r="J918" s="4">
        <f>IF(OR(INDEX($P$2:$P$1001,MATCH(ROWS($O$2:O918),$O$2:$O$1001,0),1)&gt;=100000,INDEX($V$1005:$AE$1005,1,MATCH(COLUMNS($V$1006:AD1006),$V$1006:$AE$1006,0))&gt;=100000), " ",IF(INDEX($V$2:$AE$1001,MATCH(ROWS($O$2:O918),$O$2:$O$1001,0),MATCH(COLUMNS($V$1006:AD1006),$V$1006:$AE$1006,0)), HYPERLINK("#",""), HYPERLINK(CONCATENATE("#Metadata!", ADDRESS(INDEX($Q$2:$Q$1001,MATCH(ROWS($O$2:O918),$O$2:$O$1001,0),0), INDEX($V$1004:$AE$1004,1,MATCH(COLUMNS($V$1006:AD1006),$V$1006:$AE$1006,0)))),"Fix")))</f>
        <v>0</v>
      </c>
      <c r="K918" s="4">
        <f>IF(OR(INDEX($P$2:$P$1001,MATCH(ROWS($O$2:O918),$O$2:$O$1001,0),1)&gt;=100000,INDEX($V$1005:$AE$1005,1,MATCH(COLUMNS($V$1006:AE1006),$V$1006:$AE$1006,0))&gt;=100000), " ",IF(INDEX($V$2:$AE$1001,MATCH(ROWS($O$2:O918),$O$2:$O$1001,0),MATCH(COLUMNS($V$1006:AE1006),$V$1006:$AE$1006,0)), HYPERLINK("#",""), HYPERLINK(CONCATENATE("#Metadata!", ADDRESS(INDEX($Q$2:$Q$1001,MATCH(ROWS($O$2:O918),$O$2:$O$1001,0),0), INDEX($V$1004:$AE$1004,1,MATCH(COLUMNS($V$1006:AE1006),$V$1006:$AE$1006,0)))),"Fix")))</f>
        <v>0</v>
      </c>
      <c r="O918">
        <v>0</v>
      </c>
      <c r="P918">
        <v>0</v>
      </c>
      <c r="Q918">
        <v>0</v>
      </c>
      <c r="R918">
        <f>IF(S918,TRUE,AND(V918:AE918))</f>
        <v>0</v>
      </c>
      <c r="S918">
        <f>COUNTBLANK(Metadata!B918:K918)=COLUMNS(Metadata!B918:K918)</f>
        <v>0</v>
      </c>
      <c r="T918">
        <v>0</v>
      </c>
      <c r="V918">
        <f>AND(IF(Metadata!B918="",FALSE,TRUE),COUNTIF(Metadata!B:B, Metadata!B918) = 1,NOT(ISERROR(SUMPRODUCT(SEARCH(MID(Metadata!B918,ROW(INDIRECT("1:"&amp;LEN(Metadata!B918))), 1),"0123456789abcdefghijklmnopqrstuvwxyzABCDEFGHIJKLMNOPQRSTUVWXYZ.")))))</f>
        <v>0</v>
      </c>
      <c r="W918">
        <f>AND(IF(Metadata!C918="",FALSE,TRUE),exact(Metadata!C918,"urban biome"))</f>
        <v>0</v>
      </c>
      <c r="X918">
        <f>AND(IF(Metadata!D918="",FALSE,TRUE),exact(Metadata!D918,"animal-associated habitat"))</f>
        <v>0</v>
      </c>
      <c r="Y918">
        <f>OR(AND(IF(Metadata!E918="",FALSE,TRUE),OR(exact(Metadata!E918,"not applicable"),exact(Metadata!E918,"missing: not collected"),exact(Metadata!E918,"missing: not provided"),exact(Metadata!E918,"missing: restricted access"))),AND(IF(Metadata!E918="",FALSE,ISNUMBER(VALUE(Metadata!E918))),Metadata!E918&gt;0))</f>
        <v>0</v>
      </c>
      <c r="Z918">
        <f>AND(IF(Metadata!F918="",FALSE,TRUE),exact(Metadata!F918,"weeks"))</f>
        <v>0</v>
      </c>
      <c r="AA918">
        <f>AND(IF(Metadata!G918="",FALSE,TRUE),exact(Metadata!G918,"mouse"))</f>
        <v>0</v>
      </c>
      <c r="AB918">
        <f>AND(IF(Metadata!H918="",FALSE,TRUE),exact(Metadata!H918,"Mus musculus"))</f>
        <v>0</v>
      </c>
      <c r="AC918">
        <f>AND(IF(Metadata!I918="",FALSE,TRUE),exact(Metadata!I918,"10090"))</f>
        <v>0</v>
      </c>
      <c r="AD918">
        <f>OR(AND(IF(Metadata!J918="",FALSE,TRUE),OR(exact(Metadata!J918,"not applicable"),exact(Metadata!J918,"missing: not collected"),exact(Metadata!J918,"missing: not provided"),exact(Metadata!J918,"missing: restricted access"))),AND(IF(Metadata!J918="",FALSE,ISNUMBER(VALUE(Metadata!J918))),Metadata!J918&gt;0))</f>
        <v>0</v>
      </c>
      <c r="AE918">
        <f>AND(IF(Metadata!K918="",FALSE,TRUE),exact(Metadata!K918,"g"))</f>
        <v>0</v>
      </c>
    </row>
    <row r="919" spans="1:31">
      <c r="A919" s="5">
        <f>IF(B919=" "," ",HYPERLINK(CONCATENATE("#metadata!",ADDRESS(INDEX($Q$2:$Q$1001,MATCH(ROWS($O$2:O919),$O$2:$O$1001,0),0),1)),INDEX($T$2:$T$1001,MATCH(ROWS($O$2:O919),$O$2:$O$1001,0),0)))</f>
        <v>0</v>
      </c>
      <c r="B919" s="4">
        <f>IF(OR(INDEX($P$2:$P$1001,MATCH(ROWS($O$2:O919),$O$2:$O$1001,0),1)&gt;=100000,INDEX($V$1005:$AE$1005,1,MATCH(COLUMNS($V$1006:V1006),$V$1006:$AE$1006,0))&gt;=100000), " ",IF(INDEX($V$2:$AE$1001,MATCH(ROWS($O$2:O919),$O$2:$O$1001,0),MATCH(COLUMNS($V$1006:V1006),$V$1006:$AE$1006,0)), HYPERLINK("#",""), HYPERLINK(CONCATENATE("#Metadata!", ADDRESS(INDEX($Q$2:$Q$1001,MATCH(ROWS($O$2:O919),$O$2:$O$1001,0),0), INDEX($V$1004:$AE$1004,1,MATCH(COLUMNS($V$1006:V1006),$V$1006:$AE$1006,0)))),"Fix")))</f>
        <v>0</v>
      </c>
      <c r="C919" s="4">
        <f>IF(OR(INDEX($P$2:$P$1001,MATCH(ROWS($O$2:O919),$O$2:$O$1001,0),1)&gt;=100000,INDEX($V$1005:$AE$1005,1,MATCH(COLUMNS($V$1006:W1006),$V$1006:$AE$1006,0))&gt;=100000), " ",IF(INDEX($V$2:$AE$1001,MATCH(ROWS($O$2:O919),$O$2:$O$1001,0),MATCH(COLUMNS($V$1006:W1006),$V$1006:$AE$1006,0)), HYPERLINK("#",""), HYPERLINK(CONCATENATE("#Metadata!", ADDRESS(INDEX($Q$2:$Q$1001,MATCH(ROWS($O$2:O919),$O$2:$O$1001,0),0), INDEX($V$1004:$AE$1004,1,MATCH(COLUMNS($V$1006:W1006),$V$1006:$AE$1006,0)))),"Fix")))</f>
        <v>0</v>
      </c>
      <c r="D919" s="4">
        <f>IF(OR(INDEX($P$2:$P$1001,MATCH(ROWS($O$2:O919),$O$2:$O$1001,0),1)&gt;=100000,INDEX($V$1005:$AE$1005,1,MATCH(COLUMNS($V$1006:X1006),$V$1006:$AE$1006,0))&gt;=100000), " ",IF(INDEX($V$2:$AE$1001,MATCH(ROWS($O$2:O919),$O$2:$O$1001,0),MATCH(COLUMNS($V$1006:X1006),$V$1006:$AE$1006,0)), HYPERLINK("#",""), HYPERLINK(CONCATENATE("#Metadata!", ADDRESS(INDEX($Q$2:$Q$1001,MATCH(ROWS($O$2:O919),$O$2:$O$1001,0),0), INDEX($V$1004:$AE$1004,1,MATCH(COLUMNS($V$1006:X1006),$V$1006:$AE$1006,0)))),"Fix")))</f>
        <v>0</v>
      </c>
      <c r="E919" s="4">
        <f>IF(OR(INDEX($P$2:$P$1001,MATCH(ROWS($O$2:O919),$O$2:$O$1001,0),1)&gt;=100000,INDEX($V$1005:$AE$1005,1,MATCH(COLUMNS($V$1006:Y1006),$V$1006:$AE$1006,0))&gt;=100000), " ",IF(INDEX($V$2:$AE$1001,MATCH(ROWS($O$2:O919),$O$2:$O$1001,0),MATCH(COLUMNS($V$1006:Y1006),$V$1006:$AE$1006,0)), HYPERLINK("#",""), HYPERLINK(CONCATENATE("#Metadata!", ADDRESS(INDEX($Q$2:$Q$1001,MATCH(ROWS($O$2:O919),$O$2:$O$1001,0),0), INDEX($V$1004:$AE$1004,1,MATCH(COLUMNS($V$1006:Y1006),$V$1006:$AE$1006,0)))),"Fix")))</f>
        <v>0</v>
      </c>
      <c r="F919" s="4">
        <f>IF(OR(INDEX($P$2:$P$1001,MATCH(ROWS($O$2:O919),$O$2:$O$1001,0),1)&gt;=100000,INDEX($V$1005:$AE$1005,1,MATCH(COLUMNS($V$1006:Z1006),$V$1006:$AE$1006,0))&gt;=100000), " ",IF(INDEX($V$2:$AE$1001,MATCH(ROWS($O$2:O919),$O$2:$O$1001,0),MATCH(COLUMNS($V$1006:Z1006),$V$1006:$AE$1006,0)), HYPERLINK("#",""), HYPERLINK(CONCATENATE("#Metadata!", ADDRESS(INDEX($Q$2:$Q$1001,MATCH(ROWS($O$2:O919),$O$2:$O$1001,0),0), INDEX($V$1004:$AE$1004,1,MATCH(COLUMNS($V$1006:Z1006),$V$1006:$AE$1006,0)))),"Fix")))</f>
        <v>0</v>
      </c>
      <c r="G919" s="4">
        <f>IF(OR(INDEX($P$2:$P$1001,MATCH(ROWS($O$2:O919),$O$2:$O$1001,0),1)&gt;=100000,INDEX($V$1005:$AE$1005,1,MATCH(COLUMNS($V$1006:AA1006),$V$1006:$AE$1006,0))&gt;=100000), " ",IF(INDEX($V$2:$AE$1001,MATCH(ROWS($O$2:O919),$O$2:$O$1001,0),MATCH(COLUMNS($V$1006:AA1006),$V$1006:$AE$1006,0)), HYPERLINK("#",""), HYPERLINK(CONCATENATE("#Metadata!", ADDRESS(INDEX($Q$2:$Q$1001,MATCH(ROWS($O$2:O919),$O$2:$O$1001,0),0), INDEX($V$1004:$AE$1004,1,MATCH(COLUMNS($V$1006:AA1006),$V$1006:$AE$1006,0)))),"Fix")))</f>
        <v>0</v>
      </c>
      <c r="H919" s="4">
        <f>IF(OR(INDEX($P$2:$P$1001,MATCH(ROWS($O$2:O919),$O$2:$O$1001,0),1)&gt;=100000,INDEX($V$1005:$AE$1005,1,MATCH(COLUMNS($V$1006:AB1006),$V$1006:$AE$1006,0))&gt;=100000), " ",IF(INDEX($V$2:$AE$1001,MATCH(ROWS($O$2:O919),$O$2:$O$1001,0),MATCH(COLUMNS($V$1006:AB1006),$V$1006:$AE$1006,0)), HYPERLINK("#",""), HYPERLINK(CONCATENATE("#Metadata!", ADDRESS(INDEX($Q$2:$Q$1001,MATCH(ROWS($O$2:O919),$O$2:$O$1001,0),0), INDEX($V$1004:$AE$1004,1,MATCH(COLUMNS($V$1006:AB1006),$V$1006:$AE$1006,0)))),"Fix")))</f>
        <v>0</v>
      </c>
      <c r="I919" s="4">
        <f>IF(OR(INDEX($P$2:$P$1001,MATCH(ROWS($O$2:O919),$O$2:$O$1001,0),1)&gt;=100000,INDEX($V$1005:$AE$1005,1,MATCH(COLUMNS($V$1006:AC1006),$V$1006:$AE$1006,0))&gt;=100000), " ",IF(INDEX($V$2:$AE$1001,MATCH(ROWS($O$2:O919),$O$2:$O$1001,0),MATCH(COLUMNS($V$1006:AC1006),$V$1006:$AE$1006,0)), HYPERLINK("#",""), HYPERLINK(CONCATENATE("#Metadata!", ADDRESS(INDEX($Q$2:$Q$1001,MATCH(ROWS($O$2:O919),$O$2:$O$1001,0),0), INDEX($V$1004:$AE$1004,1,MATCH(COLUMNS($V$1006:AC1006),$V$1006:$AE$1006,0)))),"Fix")))</f>
        <v>0</v>
      </c>
      <c r="J919" s="4">
        <f>IF(OR(INDEX($P$2:$P$1001,MATCH(ROWS($O$2:O919),$O$2:$O$1001,0),1)&gt;=100000,INDEX($V$1005:$AE$1005,1,MATCH(COLUMNS($V$1006:AD1006),$V$1006:$AE$1006,0))&gt;=100000), " ",IF(INDEX($V$2:$AE$1001,MATCH(ROWS($O$2:O919),$O$2:$O$1001,0),MATCH(COLUMNS($V$1006:AD1006),$V$1006:$AE$1006,0)), HYPERLINK("#",""), HYPERLINK(CONCATENATE("#Metadata!", ADDRESS(INDEX($Q$2:$Q$1001,MATCH(ROWS($O$2:O919),$O$2:$O$1001,0),0), INDEX($V$1004:$AE$1004,1,MATCH(COLUMNS($V$1006:AD1006),$V$1006:$AE$1006,0)))),"Fix")))</f>
        <v>0</v>
      </c>
      <c r="K919" s="4">
        <f>IF(OR(INDEX($P$2:$P$1001,MATCH(ROWS($O$2:O919),$O$2:$O$1001,0),1)&gt;=100000,INDEX($V$1005:$AE$1005,1,MATCH(COLUMNS($V$1006:AE1006),$V$1006:$AE$1006,0))&gt;=100000), " ",IF(INDEX($V$2:$AE$1001,MATCH(ROWS($O$2:O919),$O$2:$O$1001,0),MATCH(COLUMNS($V$1006:AE1006),$V$1006:$AE$1006,0)), HYPERLINK("#",""), HYPERLINK(CONCATENATE("#Metadata!", ADDRESS(INDEX($Q$2:$Q$1001,MATCH(ROWS($O$2:O919),$O$2:$O$1001,0),0), INDEX($V$1004:$AE$1004,1,MATCH(COLUMNS($V$1006:AE1006),$V$1006:$AE$1006,0)))),"Fix")))</f>
        <v>0</v>
      </c>
      <c r="O919">
        <v>0</v>
      </c>
      <c r="P919">
        <v>0</v>
      </c>
      <c r="Q919">
        <v>0</v>
      </c>
      <c r="R919">
        <f>IF(S919,TRUE,AND(V919:AE919))</f>
        <v>0</v>
      </c>
      <c r="S919">
        <f>COUNTBLANK(Metadata!B919:K919)=COLUMNS(Metadata!B919:K919)</f>
        <v>0</v>
      </c>
      <c r="T919">
        <v>0</v>
      </c>
      <c r="V919">
        <f>AND(IF(Metadata!B919="",FALSE,TRUE),COUNTIF(Metadata!B:B, Metadata!B919) = 1,NOT(ISERROR(SUMPRODUCT(SEARCH(MID(Metadata!B919,ROW(INDIRECT("1:"&amp;LEN(Metadata!B919))), 1),"0123456789abcdefghijklmnopqrstuvwxyzABCDEFGHIJKLMNOPQRSTUVWXYZ.")))))</f>
        <v>0</v>
      </c>
      <c r="W919">
        <f>AND(IF(Metadata!C919="",FALSE,TRUE),exact(Metadata!C919,"urban biome"))</f>
        <v>0</v>
      </c>
      <c r="X919">
        <f>AND(IF(Metadata!D919="",FALSE,TRUE),exact(Metadata!D919,"animal-associated habitat"))</f>
        <v>0</v>
      </c>
      <c r="Y919">
        <f>OR(AND(IF(Metadata!E919="",FALSE,TRUE),OR(exact(Metadata!E919,"not applicable"),exact(Metadata!E919,"missing: not collected"),exact(Metadata!E919,"missing: not provided"),exact(Metadata!E919,"missing: restricted access"))),AND(IF(Metadata!E919="",FALSE,ISNUMBER(VALUE(Metadata!E919))),Metadata!E919&gt;0))</f>
        <v>0</v>
      </c>
      <c r="Z919">
        <f>AND(IF(Metadata!F919="",FALSE,TRUE),exact(Metadata!F919,"weeks"))</f>
        <v>0</v>
      </c>
      <c r="AA919">
        <f>AND(IF(Metadata!G919="",FALSE,TRUE),exact(Metadata!G919,"mouse"))</f>
        <v>0</v>
      </c>
      <c r="AB919">
        <f>AND(IF(Metadata!H919="",FALSE,TRUE),exact(Metadata!H919,"Mus musculus"))</f>
        <v>0</v>
      </c>
      <c r="AC919">
        <f>AND(IF(Metadata!I919="",FALSE,TRUE),exact(Metadata!I919,"10090"))</f>
        <v>0</v>
      </c>
      <c r="AD919">
        <f>OR(AND(IF(Metadata!J919="",FALSE,TRUE),OR(exact(Metadata!J919,"not applicable"),exact(Metadata!J919,"missing: not collected"),exact(Metadata!J919,"missing: not provided"),exact(Metadata!J919,"missing: restricted access"))),AND(IF(Metadata!J919="",FALSE,ISNUMBER(VALUE(Metadata!J919))),Metadata!J919&gt;0))</f>
        <v>0</v>
      </c>
      <c r="AE919">
        <f>AND(IF(Metadata!K919="",FALSE,TRUE),exact(Metadata!K919,"g"))</f>
        <v>0</v>
      </c>
    </row>
    <row r="920" spans="1:31">
      <c r="A920" s="5">
        <f>IF(B920=" "," ",HYPERLINK(CONCATENATE("#metadata!",ADDRESS(INDEX($Q$2:$Q$1001,MATCH(ROWS($O$2:O920),$O$2:$O$1001,0),0),1)),INDEX($T$2:$T$1001,MATCH(ROWS($O$2:O920),$O$2:$O$1001,0),0)))</f>
        <v>0</v>
      </c>
      <c r="B920" s="4">
        <f>IF(OR(INDEX($P$2:$P$1001,MATCH(ROWS($O$2:O920),$O$2:$O$1001,0),1)&gt;=100000,INDEX($V$1005:$AE$1005,1,MATCH(COLUMNS($V$1006:V1006),$V$1006:$AE$1006,0))&gt;=100000), " ",IF(INDEX($V$2:$AE$1001,MATCH(ROWS($O$2:O920),$O$2:$O$1001,0),MATCH(COLUMNS($V$1006:V1006),$V$1006:$AE$1006,0)), HYPERLINK("#",""), HYPERLINK(CONCATENATE("#Metadata!", ADDRESS(INDEX($Q$2:$Q$1001,MATCH(ROWS($O$2:O920),$O$2:$O$1001,0),0), INDEX($V$1004:$AE$1004,1,MATCH(COLUMNS($V$1006:V1006),$V$1006:$AE$1006,0)))),"Fix")))</f>
        <v>0</v>
      </c>
      <c r="C920" s="4">
        <f>IF(OR(INDEX($P$2:$P$1001,MATCH(ROWS($O$2:O920),$O$2:$O$1001,0),1)&gt;=100000,INDEX($V$1005:$AE$1005,1,MATCH(COLUMNS($V$1006:W1006),$V$1006:$AE$1006,0))&gt;=100000), " ",IF(INDEX($V$2:$AE$1001,MATCH(ROWS($O$2:O920),$O$2:$O$1001,0),MATCH(COLUMNS($V$1006:W1006),$V$1006:$AE$1006,0)), HYPERLINK("#",""), HYPERLINK(CONCATENATE("#Metadata!", ADDRESS(INDEX($Q$2:$Q$1001,MATCH(ROWS($O$2:O920),$O$2:$O$1001,0),0), INDEX($V$1004:$AE$1004,1,MATCH(COLUMNS($V$1006:W1006),$V$1006:$AE$1006,0)))),"Fix")))</f>
        <v>0</v>
      </c>
      <c r="D920" s="4">
        <f>IF(OR(INDEX($P$2:$P$1001,MATCH(ROWS($O$2:O920),$O$2:$O$1001,0),1)&gt;=100000,INDEX($V$1005:$AE$1005,1,MATCH(COLUMNS($V$1006:X1006),$V$1006:$AE$1006,0))&gt;=100000), " ",IF(INDEX($V$2:$AE$1001,MATCH(ROWS($O$2:O920),$O$2:$O$1001,0),MATCH(COLUMNS($V$1006:X1006),$V$1006:$AE$1006,0)), HYPERLINK("#",""), HYPERLINK(CONCATENATE("#Metadata!", ADDRESS(INDEX($Q$2:$Q$1001,MATCH(ROWS($O$2:O920),$O$2:$O$1001,0),0), INDEX($V$1004:$AE$1004,1,MATCH(COLUMNS($V$1006:X1006),$V$1006:$AE$1006,0)))),"Fix")))</f>
        <v>0</v>
      </c>
      <c r="E920" s="4">
        <f>IF(OR(INDEX($P$2:$P$1001,MATCH(ROWS($O$2:O920),$O$2:$O$1001,0),1)&gt;=100000,INDEX($V$1005:$AE$1005,1,MATCH(COLUMNS($V$1006:Y1006),$V$1006:$AE$1006,0))&gt;=100000), " ",IF(INDEX($V$2:$AE$1001,MATCH(ROWS($O$2:O920),$O$2:$O$1001,0),MATCH(COLUMNS($V$1006:Y1006),$V$1006:$AE$1006,0)), HYPERLINK("#",""), HYPERLINK(CONCATENATE("#Metadata!", ADDRESS(INDEX($Q$2:$Q$1001,MATCH(ROWS($O$2:O920),$O$2:$O$1001,0),0), INDEX($V$1004:$AE$1004,1,MATCH(COLUMNS($V$1006:Y1006),$V$1006:$AE$1006,0)))),"Fix")))</f>
        <v>0</v>
      </c>
      <c r="F920" s="4">
        <f>IF(OR(INDEX($P$2:$P$1001,MATCH(ROWS($O$2:O920),$O$2:$O$1001,0),1)&gt;=100000,INDEX($V$1005:$AE$1005,1,MATCH(COLUMNS($V$1006:Z1006),$V$1006:$AE$1006,0))&gt;=100000), " ",IF(INDEX($V$2:$AE$1001,MATCH(ROWS($O$2:O920),$O$2:$O$1001,0),MATCH(COLUMNS($V$1006:Z1006),$V$1006:$AE$1006,0)), HYPERLINK("#",""), HYPERLINK(CONCATENATE("#Metadata!", ADDRESS(INDEX($Q$2:$Q$1001,MATCH(ROWS($O$2:O920),$O$2:$O$1001,0),0), INDEX($V$1004:$AE$1004,1,MATCH(COLUMNS($V$1006:Z1006),$V$1006:$AE$1006,0)))),"Fix")))</f>
        <v>0</v>
      </c>
      <c r="G920" s="4">
        <f>IF(OR(INDEX($P$2:$P$1001,MATCH(ROWS($O$2:O920),$O$2:$O$1001,0),1)&gt;=100000,INDEX($V$1005:$AE$1005,1,MATCH(COLUMNS($V$1006:AA1006),$V$1006:$AE$1006,0))&gt;=100000), " ",IF(INDEX($V$2:$AE$1001,MATCH(ROWS($O$2:O920),$O$2:$O$1001,0),MATCH(COLUMNS($V$1006:AA1006),$V$1006:$AE$1006,0)), HYPERLINK("#",""), HYPERLINK(CONCATENATE("#Metadata!", ADDRESS(INDEX($Q$2:$Q$1001,MATCH(ROWS($O$2:O920),$O$2:$O$1001,0),0), INDEX($V$1004:$AE$1004,1,MATCH(COLUMNS($V$1006:AA1006),$V$1006:$AE$1006,0)))),"Fix")))</f>
        <v>0</v>
      </c>
      <c r="H920" s="4">
        <f>IF(OR(INDEX($P$2:$P$1001,MATCH(ROWS($O$2:O920),$O$2:$O$1001,0),1)&gt;=100000,INDEX($V$1005:$AE$1005,1,MATCH(COLUMNS($V$1006:AB1006),$V$1006:$AE$1006,0))&gt;=100000), " ",IF(INDEX($V$2:$AE$1001,MATCH(ROWS($O$2:O920),$O$2:$O$1001,0),MATCH(COLUMNS($V$1006:AB1006),$V$1006:$AE$1006,0)), HYPERLINK("#",""), HYPERLINK(CONCATENATE("#Metadata!", ADDRESS(INDEX($Q$2:$Q$1001,MATCH(ROWS($O$2:O920),$O$2:$O$1001,0),0), INDEX($V$1004:$AE$1004,1,MATCH(COLUMNS($V$1006:AB1006),$V$1006:$AE$1006,0)))),"Fix")))</f>
        <v>0</v>
      </c>
      <c r="I920" s="4">
        <f>IF(OR(INDEX($P$2:$P$1001,MATCH(ROWS($O$2:O920),$O$2:$O$1001,0),1)&gt;=100000,INDEX($V$1005:$AE$1005,1,MATCH(COLUMNS($V$1006:AC1006),$V$1006:$AE$1006,0))&gt;=100000), " ",IF(INDEX($V$2:$AE$1001,MATCH(ROWS($O$2:O920),$O$2:$O$1001,0),MATCH(COLUMNS($V$1006:AC1006),$V$1006:$AE$1006,0)), HYPERLINK("#",""), HYPERLINK(CONCATENATE("#Metadata!", ADDRESS(INDEX($Q$2:$Q$1001,MATCH(ROWS($O$2:O920),$O$2:$O$1001,0),0), INDEX($V$1004:$AE$1004,1,MATCH(COLUMNS($V$1006:AC1006),$V$1006:$AE$1006,0)))),"Fix")))</f>
        <v>0</v>
      </c>
      <c r="J920" s="4">
        <f>IF(OR(INDEX($P$2:$P$1001,MATCH(ROWS($O$2:O920),$O$2:$O$1001,0),1)&gt;=100000,INDEX($V$1005:$AE$1005,1,MATCH(COLUMNS($V$1006:AD1006),$V$1006:$AE$1006,0))&gt;=100000), " ",IF(INDEX($V$2:$AE$1001,MATCH(ROWS($O$2:O920),$O$2:$O$1001,0),MATCH(COLUMNS($V$1006:AD1006),$V$1006:$AE$1006,0)), HYPERLINK("#",""), HYPERLINK(CONCATENATE("#Metadata!", ADDRESS(INDEX($Q$2:$Q$1001,MATCH(ROWS($O$2:O920),$O$2:$O$1001,0),0), INDEX($V$1004:$AE$1004,1,MATCH(COLUMNS($V$1006:AD1006),$V$1006:$AE$1006,0)))),"Fix")))</f>
        <v>0</v>
      </c>
      <c r="K920" s="4">
        <f>IF(OR(INDEX($P$2:$P$1001,MATCH(ROWS($O$2:O920),$O$2:$O$1001,0),1)&gt;=100000,INDEX($V$1005:$AE$1005,1,MATCH(COLUMNS($V$1006:AE1006),$V$1006:$AE$1006,0))&gt;=100000), " ",IF(INDEX($V$2:$AE$1001,MATCH(ROWS($O$2:O920),$O$2:$O$1001,0),MATCH(COLUMNS($V$1006:AE1006),$V$1006:$AE$1006,0)), HYPERLINK("#",""), HYPERLINK(CONCATENATE("#Metadata!", ADDRESS(INDEX($Q$2:$Q$1001,MATCH(ROWS($O$2:O920),$O$2:$O$1001,0),0), INDEX($V$1004:$AE$1004,1,MATCH(COLUMNS($V$1006:AE1006),$V$1006:$AE$1006,0)))),"Fix")))</f>
        <v>0</v>
      </c>
      <c r="O920">
        <v>0</v>
      </c>
      <c r="P920">
        <v>0</v>
      </c>
      <c r="Q920">
        <v>0</v>
      </c>
      <c r="R920">
        <f>IF(S920,TRUE,AND(V920:AE920))</f>
        <v>0</v>
      </c>
      <c r="S920">
        <f>COUNTBLANK(Metadata!B920:K920)=COLUMNS(Metadata!B920:K920)</f>
        <v>0</v>
      </c>
      <c r="T920">
        <v>0</v>
      </c>
      <c r="V920">
        <f>AND(IF(Metadata!B920="",FALSE,TRUE),COUNTIF(Metadata!B:B, Metadata!B920) = 1,NOT(ISERROR(SUMPRODUCT(SEARCH(MID(Metadata!B920,ROW(INDIRECT("1:"&amp;LEN(Metadata!B920))), 1),"0123456789abcdefghijklmnopqrstuvwxyzABCDEFGHIJKLMNOPQRSTUVWXYZ.")))))</f>
        <v>0</v>
      </c>
      <c r="W920">
        <f>AND(IF(Metadata!C920="",FALSE,TRUE),exact(Metadata!C920,"urban biome"))</f>
        <v>0</v>
      </c>
      <c r="X920">
        <f>AND(IF(Metadata!D920="",FALSE,TRUE),exact(Metadata!D920,"animal-associated habitat"))</f>
        <v>0</v>
      </c>
      <c r="Y920">
        <f>OR(AND(IF(Metadata!E920="",FALSE,TRUE),OR(exact(Metadata!E920,"not applicable"),exact(Metadata!E920,"missing: not collected"),exact(Metadata!E920,"missing: not provided"),exact(Metadata!E920,"missing: restricted access"))),AND(IF(Metadata!E920="",FALSE,ISNUMBER(VALUE(Metadata!E920))),Metadata!E920&gt;0))</f>
        <v>0</v>
      </c>
      <c r="Z920">
        <f>AND(IF(Metadata!F920="",FALSE,TRUE),exact(Metadata!F920,"weeks"))</f>
        <v>0</v>
      </c>
      <c r="AA920">
        <f>AND(IF(Metadata!G920="",FALSE,TRUE),exact(Metadata!G920,"mouse"))</f>
        <v>0</v>
      </c>
      <c r="AB920">
        <f>AND(IF(Metadata!H920="",FALSE,TRUE),exact(Metadata!H920,"Mus musculus"))</f>
        <v>0</v>
      </c>
      <c r="AC920">
        <f>AND(IF(Metadata!I920="",FALSE,TRUE),exact(Metadata!I920,"10090"))</f>
        <v>0</v>
      </c>
      <c r="AD920">
        <f>OR(AND(IF(Metadata!J920="",FALSE,TRUE),OR(exact(Metadata!J920,"not applicable"),exact(Metadata!J920,"missing: not collected"),exact(Metadata!J920,"missing: not provided"),exact(Metadata!J920,"missing: restricted access"))),AND(IF(Metadata!J920="",FALSE,ISNUMBER(VALUE(Metadata!J920))),Metadata!J920&gt;0))</f>
        <v>0</v>
      </c>
      <c r="AE920">
        <f>AND(IF(Metadata!K920="",FALSE,TRUE),exact(Metadata!K920,"g"))</f>
        <v>0</v>
      </c>
    </row>
    <row r="921" spans="1:31">
      <c r="A921" s="5">
        <f>IF(B921=" "," ",HYPERLINK(CONCATENATE("#metadata!",ADDRESS(INDEX($Q$2:$Q$1001,MATCH(ROWS($O$2:O921),$O$2:$O$1001,0),0),1)),INDEX($T$2:$T$1001,MATCH(ROWS($O$2:O921),$O$2:$O$1001,0),0)))</f>
        <v>0</v>
      </c>
      <c r="B921" s="4">
        <f>IF(OR(INDEX($P$2:$P$1001,MATCH(ROWS($O$2:O921),$O$2:$O$1001,0),1)&gt;=100000,INDEX($V$1005:$AE$1005,1,MATCH(COLUMNS($V$1006:V1006),$V$1006:$AE$1006,0))&gt;=100000), " ",IF(INDEX($V$2:$AE$1001,MATCH(ROWS($O$2:O921),$O$2:$O$1001,0),MATCH(COLUMNS($V$1006:V1006),$V$1006:$AE$1006,0)), HYPERLINK("#",""), HYPERLINK(CONCATENATE("#Metadata!", ADDRESS(INDEX($Q$2:$Q$1001,MATCH(ROWS($O$2:O921),$O$2:$O$1001,0),0), INDEX($V$1004:$AE$1004,1,MATCH(COLUMNS($V$1006:V1006),$V$1006:$AE$1006,0)))),"Fix")))</f>
        <v>0</v>
      </c>
      <c r="C921" s="4">
        <f>IF(OR(INDEX($P$2:$P$1001,MATCH(ROWS($O$2:O921),$O$2:$O$1001,0),1)&gt;=100000,INDEX($V$1005:$AE$1005,1,MATCH(COLUMNS($V$1006:W1006),$V$1006:$AE$1006,0))&gt;=100000), " ",IF(INDEX($V$2:$AE$1001,MATCH(ROWS($O$2:O921),$O$2:$O$1001,0),MATCH(COLUMNS($V$1006:W1006),$V$1006:$AE$1006,0)), HYPERLINK("#",""), HYPERLINK(CONCATENATE("#Metadata!", ADDRESS(INDEX($Q$2:$Q$1001,MATCH(ROWS($O$2:O921),$O$2:$O$1001,0),0), INDEX($V$1004:$AE$1004,1,MATCH(COLUMNS($V$1006:W1006),$V$1006:$AE$1006,0)))),"Fix")))</f>
        <v>0</v>
      </c>
      <c r="D921" s="4">
        <f>IF(OR(INDEX($P$2:$P$1001,MATCH(ROWS($O$2:O921),$O$2:$O$1001,0),1)&gt;=100000,INDEX($V$1005:$AE$1005,1,MATCH(COLUMNS($V$1006:X1006),$V$1006:$AE$1006,0))&gt;=100000), " ",IF(INDEX($V$2:$AE$1001,MATCH(ROWS($O$2:O921),$O$2:$O$1001,0),MATCH(COLUMNS($V$1006:X1006),$V$1006:$AE$1006,0)), HYPERLINK("#",""), HYPERLINK(CONCATENATE("#Metadata!", ADDRESS(INDEX($Q$2:$Q$1001,MATCH(ROWS($O$2:O921),$O$2:$O$1001,0),0), INDEX($V$1004:$AE$1004,1,MATCH(COLUMNS($V$1006:X1006),$V$1006:$AE$1006,0)))),"Fix")))</f>
        <v>0</v>
      </c>
      <c r="E921" s="4">
        <f>IF(OR(INDEX($P$2:$P$1001,MATCH(ROWS($O$2:O921),$O$2:$O$1001,0),1)&gt;=100000,INDEX($V$1005:$AE$1005,1,MATCH(COLUMNS($V$1006:Y1006),$V$1006:$AE$1006,0))&gt;=100000), " ",IF(INDEX($V$2:$AE$1001,MATCH(ROWS($O$2:O921),$O$2:$O$1001,0),MATCH(COLUMNS($V$1006:Y1006),$V$1006:$AE$1006,0)), HYPERLINK("#",""), HYPERLINK(CONCATENATE("#Metadata!", ADDRESS(INDEX($Q$2:$Q$1001,MATCH(ROWS($O$2:O921),$O$2:$O$1001,0),0), INDEX($V$1004:$AE$1004,1,MATCH(COLUMNS($V$1006:Y1006),$V$1006:$AE$1006,0)))),"Fix")))</f>
        <v>0</v>
      </c>
      <c r="F921" s="4">
        <f>IF(OR(INDEX($P$2:$P$1001,MATCH(ROWS($O$2:O921),$O$2:$O$1001,0),1)&gt;=100000,INDEX($V$1005:$AE$1005,1,MATCH(COLUMNS($V$1006:Z1006),$V$1006:$AE$1006,0))&gt;=100000), " ",IF(INDEX($V$2:$AE$1001,MATCH(ROWS($O$2:O921),$O$2:$O$1001,0),MATCH(COLUMNS($V$1006:Z1006),$V$1006:$AE$1006,0)), HYPERLINK("#",""), HYPERLINK(CONCATENATE("#Metadata!", ADDRESS(INDEX($Q$2:$Q$1001,MATCH(ROWS($O$2:O921),$O$2:$O$1001,0),0), INDEX($V$1004:$AE$1004,1,MATCH(COLUMNS($V$1006:Z1006),$V$1006:$AE$1006,0)))),"Fix")))</f>
        <v>0</v>
      </c>
      <c r="G921" s="4">
        <f>IF(OR(INDEX($P$2:$P$1001,MATCH(ROWS($O$2:O921),$O$2:$O$1001,0),1)&gt;=100000,INDEX($V$1005:$AE$1005,1,MATCH(COLUMNS($V$1006:AA1006),$V$1006:$AE$1006,0))&gt;=100000), " ",IF(INDEX($V$2:$AE$1001,MATCH(ROWS($O$2:O921),$O$2:$O$1001,0),MATCH(COLUMNS($V$1006:AA1006),$V$1006:$AE$1006,0)), HYPERLINK("#",""), HYPERLINK(CONCATENATE("#Metadata!", ADDRESS(INDEX($Q$2:$Q$1001,MATCH(ROWS($O$2:O921),$O$2:$O$1001,0),0), INDEX($V$1004:$AE$1004,1,MATCH(COLUMNS($V$1006:AA1006),$V$1006:$AE$1006,0)))),"Fix")))</f>
        <v>0</v>
      </c>
      <c r="H921" s="4">
        <f>IF(OR(INDEX($P$2:$P$1001,MATCH(ROWS($O$2:O921),$O$2:$O$1001,0),1)&gt;=100000,INDEX($V$1005:$AE$1005,1,MATCH(COLUMNS($V$1006:AB1006),$V$1006:$AE$1006,0))&gt;=100000), " ",IF(INDEX($V$2:$AE$1001,MATCH(ROWS($O$2:O921),$O$2:$O$1001,0),MATCH(COLUMNS($V$1006:AB1006),$V$1006:$AE$1006,0)), HYPERLINK("#",""), HYPERLINK(CONCATENATE("#Metadata!", ADDRESS(INDEX($Q$2:$Q$1001,MATCH(ROWS($O$2:O921),$O$2:$O$1001,0),0), INDEX($V$1004:$AE$1004,1,MATCH(COLUMNS($V$1006:AB1006),$V$1006:$AE$1006,0)))),"Fix")))</f>
        <v>0</v>
      </c>
      <c r="I921" s="4">
        <f>IF(OR(INDEX($P$2:$P$1001,MATCH(ROWS($O$2:O921),$O$2:$O$1001,0),1)&gt;=100000,INDEX($V$1005:$AE$1005,1,MATCH(COLUMNS($V$1006:AC1006),$V$1006:$AE$1006,0))&gt;=100000), " ",IF(INDEX($V$2:$AE$1001,MATCH(ROWS($O$2:O921),$O$2:$O$1001,0),MATCH(COLUMNS($V$1006:AC1006),$V$1006:$AE$1006,0)), HYPERLINK("#",""), HYPERLINK(CONCATENATE("#Metadata!", ADDRESS(INDEX($Q$2:$Q$1001,MATCH(ROWS($O$2:O921),$O$2:$O$1001,0),0), INDEX($V$1004:$AE$1004,1,MATCH(COLUMNS($V$1006:AC1006),$V$1006:$AE$1006,0)))),"Fix")))</f>
        <v>0</v>
      </c>
      <c r="J921" s="4">
        <f>IF(OR(INDEX($P$2:$P$1001,MATCH(ROWS($O$2:O921),$O$2:$O$1001,0),1)&gt;=100000,INDEX($V$1005:$AE$1005,1,MATCH(COLUMNS($V$1006:AD1006),$V$1006:$AE$1006,0))&gt;=100000), " ",IF(INDEX($V$2:$AE$1001,MATCH(ROWS($O$2:O921),$O$2:$O$1001,0),MATCH(COLUMNS($V$1006:AD1006),$V$1006:$AE$1006,0)), HYPERLINK("#",""), HYPERLINK(CONCATENATE("#Metadata!", ADDRESS(INDEX($Q$2:$Q$1001,MATCH(ROWS($O$2:O921),$O$2:$O$1001,0),0), INDEX($V$1004:$AE$1004,1,MATCH(COLUMNS($V$1006:AD1006),$V$1006:$AE$1006,0)))),"Fix")))</f>
        <v>0</v>
      </c>
      <c r="K921" s="4">
        <f>IF(OR(INDEX($P$2:$P$1001,MATCH(ROWS($O$2:O921),$O$2:$O$1001,0),1)&gt;=100000,INDEX($V$1005:$AE$1005,1,MATCH(COLUMNS($V$1006:AE1006),$V$1006:$AE$1006,0))&gt;=100000), " ",IF(INDEX($V$2:$AE$1001,MATCH(ROWS($O$2:O921),$O$2:$O$1001,0),MATCH(COLUMNS($V$1006:AE1006),$V$1006:$AE$1006,0)), HYPERLINK("#",""), HYPERLINK(CONCATENATE("#Metadata!", ADDRESS(INDEX($Q$2:$Q$1001,MATCH(ROWS($O$2:O921),$O$2:$O$1001,0),0), INDEX($V$1004:$AE$1004,1,MATCH(COLUMNS($V$1006:AE1006),$V$1006:$AE$1006,0)))),"Fix")))</f>
        <v>0</v>
      </c>
      <c r="O921">
        <v>0</v>
      </c>
      <c r="P921">
        <v>0</v>
      </c>
      <c r="Q921">
        <v>0</v>
      </c>
      <c r="R921">
        <f>IF(S921,TRUE,AND(V921:AE921))</f>
        <v>0</v>
      </c>
      <c r="S921">
        <f>COUNTBLANK(Metadata!B921:K921)=COLUMNS(Metadata!B921:K921)</f>
        <v>0</v>
      </c>
      <c r="T921">
        <v>0</v>
      </c>
      <c r="V921">
        <f>AND(IF(Metadata!B921="",FALSE,TRUE),COUNTIF(Metadata!B:B, Metadata!B921) = 1,NOT(ISERROR(SUMPRODUCT(SEARCH(MID(Metadata!B921,ROW(INDIRECT("1:"&amp;LEN(Metadata!B921))), 1),"0123456789abcdefghijklmnopqrstuvwxyzABCDEFGHIJKLMNOPQRSTUVWXYZ.")))))</f>
        <v>0</v>
      </c>
      <c r="W921">
        <f>AND(IF(Metadata!C921="",FALSE,TRUE),exact(Metadata!C921,"urban biome"))</f>
        <v>0</v>
      </c>
      <c r="X921">
        <f>AND(IF(Metadata!D921="",FALSE,TRUE),exact(Metadata!D921,"animal-associated habitat"))</f>
        <v>0</v>
      </c>
      <c r="Y921">
        <f>OR(AND(IF(Metadata!E921="",FALSE,TRUE),OR(exact(Metadata!E921,"not applicable"),exact(Metadata!E921,"missing: not collected"),exact(Metadata!E921,"missing: not provided"),exact(Metadata!E921,"missing: restricted access"))),AND(IF(Metadata!E921="",FALSE,ISNUMBER(VALUE(Metadata!E921))),Metadata!E921&gt;0))</f>
        <v>0</v>
      </c>
      <c r="Z921">
        <f>AND(IF(Metadata!F921="",FALSE,TRUE),exact(Metadata!F921,"weeks"))</f>
        <v>0</v>
      </c>
      <c r="AA921">
        <f>AND(IF(Metadata!G921="",FALSE,TRUE),exact(Metadata!G921,"mouse"))</f>
        <v>0</v>
      </c>
      <c r="AB921">
        <f>AND(IF(Metadata!H921="",FALSE,TRUE),exact(Metadata!H921,"Mus musculus"))</f>
        <v>0</v>
      </c>
      <c r="AC921">
        <f>AND(IF(Metadata!I921="",FALSE,TRUE),exact(Metadata!I921,"10090"))</f>
        <v>0</v>
      </c>
      <c r="AD921">
        <f>OR(AND(IF(Metadata!J921="",FALSE,TRUE),OR(exact(Metadata!J921,"not applicable"),exact(Metadata!J921,"missing: not collected"),exact(Metadata!J921,"missing: not provided"),exact(Metadata!J921,"missing: restricted access"))),AND(IF(Metadata!J921="",FALSE,ISNUMBER(VALUE(Metadata!J921))),Metadata!J921&gt;0))</f>
        <v>0</v>
      </c>
      <c r="AE921">
        <f>AND(IF(Metadata!K921="",FALSE,TRUE),exact(Metadata!K921,"g"))</f>
        <v>0</v>
      </c>
    </row>
    <row r="922" spans="1:31">
      <c r="A922" s="5">
        <f>IF(B922=" "," ",HYPERLINK(CONCATENATE("#metadata!",ADDRESS(INDEX($Q$2:$Q$1001,MATCH(ROWS($O$2:O922),$O$2:$O$1001,0),0),1)),INDEX($T$2:$T$1001,MATCH(ROWS($O$2:O922),$O$2:$O$1001,0),0)))</f>
        <v>0</v>
      </c>
      <c r="B922" s="4">
        <f>IF(OR(INDEX($P$2:$P$1001,MATCH(ROWS($O$2:O922),$O$2:$O$1001,0),1)&gt;=100000,INDEX($V$1005:$AE$1005,1,MATCH(COLUMNS($V$1006:V1006),$V$1006:$AE$1006,0))&gt;=100000), " ",IF(INDEX($V$2:$AE$1001,MATCH(ROWS($O$2:O922),$O$2:$O$1001,0),MATCH(COLUMNS($V$1006:V1006),$V$1006:$AE$1006,0)), HYPERLINK("#",""), HYPERLINK(CONCATENATE("#Metadata!", ADDRESS(INDEX($Q$2:$Q$1001,MATCH(ROWS($O$2:O922),$O$2:$O$1001,0),0), INDEX($V$1004:$AE$1004,1,MATCH(COLUMNS($V$1006:V1006),$V$1006:$AE$1006,0)))),"Fix")))</f>
        <v>0</v>
      </c>
      <c r="C922" s="4">
        <f>IF(OR(INDEX($P$2:$P$1001,MATCH(ROWS($O$2:O922),$O$2:$O$1001,0),1)&gt;=100000,INDEX($V$1005:$AE$1005,1,MATCH(COLUMNS($V$1006:W1006),$V$1006:$AE$1006,0))&gt;=100000), " ",IF(INDEX($V$2:$AE$1001,MATCH(ROWS($O$2:O922),$O$2:$O$1001,0),MATCH(COLUMNS($V$1006:W1006),$V$1006:$AE$1006,0)), HYPERLINK("#",""), HYPERLINK(CONCATENATE("#Metadata!", ADDRESS(INDEX($Q$2:$Q$1001,MATCH(ROWS($O$2:O922),$O$2:$O$1001,0),0), INDEX($V$1004:$AE$1004,1,MATCH(COLUMNS($V$1006:W1006),$V$1006:$AE$1006,0)))),"Fix")))</f>
        <v>0</v>
      </c>
      <c r="D922" s="4">
        <f>IF(OR(INDEX($P$2:$P$1001,MATCH(ROWS($O$2:O922),$O$2:$O$1001,0),1)&gt;=100000,INDEX($V$1005:$AE$1005,1,MATCH(COLUMNS($V$1006:X1006),$V$1006:$AE$1006,0))&gt;=100000), " ",IF(INDEX($V$2:$AE$1001,MATCH(ROWS($O$2:O922),$O$2:$O$1001,0),MATCH(COLUMNS($V$1006:X1006),$V$1006:$AE$1006,0)), HYPERLINK("#",""), HYPERLINK(CONCATENATE("#Metadata!", ADDRESS(INDEX($Q$2:$Q$1001,MATCH(ROWS($O$2:O922),$O$2:$O$1001,0),0), INDEX($V$1004:$AE$1004,1,MATCH(COLUMNS($V$1006:X1006),$V$1006:$AE$1006,0)))),"Fix")))</f>
        <v>0</v>
      </c>
      <c r="E922" s="4">
        <f>IF(OR(INDEX($P$2:$P$1001,MATCH(ROWS($O$2:O922),$O$2:$O$1001,0),1)&gt;=100000,INDEX($V$1005:$AE$1005,1,MATCH(COLUMNS($V$1006:Y1006),$V$1006:$AE$1006,0))&gt;=100000), " ",IF(INDEX($V$2:$AE$1001,MATCH(ROWS($O$2:O922),$O$2:$O$1001,0),MATCH(COLUMNS($V$1006:Y1006),$V$1006:$AE$1006,0)), HYPERLINK("#",""), HYPERLINK(CONCATENATE("#Metadata!", ADDRESS(INDEX($Q$2:$Q$1001,MATCH(ROWS($O$2:O922),$O$2:$O$1001,0),0), INDEX($V$1004:$AE$1004,1,MATCH(COLUMNS($V$1006:Y1006),$V$1006:$AE$1006,0)))),"Fix")))</f>
        <v>0</v>
      </c>
      <c r="F922" s="4">
        <f>IF(OR(INDEX($P$2:$P$1001,MATCH(ROWS($O$2:O922),$O$2:$O$1001,0),1)&gt;=100000,INDEX($V$1005:$AE$1005,1,MATCH(COLUMNS($V$1006:Z1006),$V$1006:$AE$1006,0))&gt;=100000), " ",IF(INDEX($V$2:$AE$1001,MATCH(ROWS($O$2:O922),$O$2:$O$1001,0),MATCH(COLUMNS($V$1006:Z1006),$V$1006:$AE$1006,0)), HYPERLINK("#",""), HYPERLINK(CONCATENATE("#Metadata!", ADDRESS(INDEX($Q$2:$Q$1001,MATCH(ROWS($O$2:O922),$O$2:$O$1001,0),0), INDEX($V$1004:$AE$1004,1,MATCH(COLUMNS($V$1006:Z1006),$V$1006:$AE$1006,0)))),"Fix")))</f>
        <v>0</v>
      </c>
      <c r="G922" s="4">
        <f>IF(OR(INDEX($P$2:$P$1001,MATCH(ROWS($O$2:O922),$O$2:$O$1001,0),1)&gt;=100000,INDEX($V$1005:$AE$1005,1,MATCH(COLUMNS($V$1006:AA1006),$V$1006:$AE$1006,0))&gt;=100000), " ",IF(INDEX($V$2:$AE$1001,MATCH(ROWS($O$2:O922),$O$2:$O$1001,0),MATCH(COLUMNS($V$1006:AA1006),$V$1006:$AE$1006,0)), HYPERLINK("#",""), HYPERLINK(CONCATENATE("#Metadata!", ADDRESS(INDEX($Q$2:$Q$1001,MATCH(ROWS($O$2:O922),$O$2:$O$1001,0),0), INDEX($V$1004:$AE$1004,1,MATCH(COLUMNS($V$1006:AA1006),$V$1006:$AE$1006,0)))),"Fix")))</f>
        <v>0</v>
      </c>
      <c r="H922" s="4">
        <f>IF(OR(INDEX($P$2:$P$1001,MATCH(ROWS($O$2:O922),$O$2:$O$1001,0),1)&gt;=100000,INDEX($V$1005:$AE$1005,1,MATCH(COLUMNS($V$1006:AB1006),$V$1006:$AE$1006,0))&gt;=100000), " ",IF(INDEX($V$2:$AE$1001,MATCH(ROWS($O$2:O922),$O$2:$O$1001,0),MATCH(COLUMNS($V$1006:AB1006),$V$1006:$AE$1006,0)), HYPERLINK("#",""), HYPERLINK(CONCATENATE("#Metadata!", ADDRESS(INDEX($Q$2:$Q$1001,MATCH(ROWS($O$2:O922),$O$2:$O$1001,0),0), INDEX($V$1004:$AE$1004,1,MATCH(COLUMNS($V$1006:AB1006),$V$1006:$AE$1006,0)))),"Fix")))</f>
        <v>0</v>
      </c>
      <c r="I922" s="4">
        <f>IF(OR(INDEX($P$2:$P$1001,MATCH(ROWS($O$2:O922),$O$2:$O$1001,0),1)&gt;=100000,INDEX($V$1005:$AE$1005,1,MATCH(COLUMNS($V$1006:AC1006),$V$1006:$AE$1006,0))&gt;=100000), " ",IF(INDEX($V$2:$AE$1001,MATCH(ROWS($O$2:O922),$O$2:$O$1001,0),MATCH(COLUMNS($V$1006:AC1006),$V$1006:$AE$1006,0)), HYPERLINK("#",""), HYPERLINK(CONCATENATE("#Metadata!", ADDRESS(INDEX($Q$2:$Q$1001,MATCH(ROWS($O$2:O922),$O$2:$O$1001,0),0), INDEX($V$1004:$AE$1004,1,MATCH(COLUMNS($V$1006:AC1006),$V$1006:$AE$1006,0)))),"Fix")))</f>
        <v>0</v>
      </c>
      <c r="J922" s="4">
        <f>IF(OR(INDEX($P$2:$P$1001,MATCH(ROWS($O$2:O922),$O$2:$O$1001,0),1)&gt;=100000,INDEX($V$1005:$AE$1005,1,MATCH(COLUMNS($V$1006:AD1006),$V$1006:$AE$1006,0))&gt;=100000), " ",IF(INDEX($V$2:$AE$1001,MATCH(ROWS($O$2:O922),$O$2:$O$1001,0),MATCH(COLUMNS($V$1006:AD1006),$V$1006:$AE$1006,0)), HYPERLINK("#",""), HYPERLINK(CONCATENATE("#Metadata!", ADDRESS(INDEX($Q$2:$Q$1001,MATCH(ROWS($O$2:O922),$O$2:$O$1001,0),0), INDEX($V$1004:$AE$1004,1,MATCH(COLUMNS($V$1006:AD1006),$V$1006:$AE$1006,0)))),"Fix")))</f>
        <v>0</v>
      </c>
      <c r="K922" s="4">
        <f>IF(OR(INDEX($P$2:$P$1001,MATCH(ROWS($O$2:O922),$O$2:$O$1001,0),1)&gt;=100000,INDEX($V$1005:$AE$1005,1,MATCH(COLUMNS($V$1006:AE1006),$V$1006:$AE$1006,0))&gt;=100000), " ",IF(INDEX($V$2:$AE$1001,MATCH(ROWS($O$2:O922),$O$2:$O$1001,0),MATCH(COLUMNS($V$1006:AE1006),$V$1006:$AE$1006,0)), HYPERLINK("#",""), HYPERLINK(CONCATENATE("#Metadata!", ADDRESS(INDEX($Q$2:$Q$1001,MATCH(ROWS($O$2:O922),$O$2:$O$1001,0),0), INDEX($V$1004:$AE$1004,1,MATCH(COLUMNS($V$1006:AE1006),$V$1006:$AE$1006,0)))),"Fix")))</f>
        <v>0</v>
      </c>
      <c r="O922">
        <v>0</v>
      </c>
      <c r="P922">
        <v>0</v>
      </c>
      <c r="Q922">
        <v>0</v>
      </c>
      <c r="R922">
        <f>IF(S922,TRUE,AND(V922:AE922))</f>
        <v>0</v>
      </c>
      <c r="S922">
        <f>COUNTBLANK(Metadata!B922:K922)=COLUMNS(Metadata!B922:K922)</f>
        <v>0</v>
      </c>
      <c r="T922">
        <v>0</v>
      </c>
      <c r="V922">
        <f>AND(IF(Metadata!B922="",FALSE,TRUE),COUNTIF(Metadata!B:B, Metadata!B922) = 1,NOT(ISERROR(SUMPRODUCT(SEARCH(MID(Metadata!B922,ROW(INDIRECT("1:"&amp;LEN(Metadata!B922))), 1),"0123456789abcdefghijklmnopqrstuvwxyzABCDEFGHIJKLMNOPQRSTUVWXYZ.")))))</f>
        <v>0</v>
      </c>
      <c r="W922">
        <f>AND(IF(Metadata!C922="",FALSE,TRUE),exact(Metadata!C922,"urban biome"))</f>
        <v>0</v>
      </c>
      <c r="X922">
        <f>AND(IF(Metadata!D922="",FALSE,TRUE),exact(Metadata!D922,"animal-associated habitat"))</f>
        <v>0</v>
      </c>
      <c r="Y922">
        <f>OR(AND(IF(Metadata!E922="",FALSE,TRUE),OR(exact(Metadata!E922,"not applicable"),exact(Metadata!E922,"missing: not collected"),exact(Metadata!E922,"missing: not provided"),exact(Metadata!E922,"missing: restricted access"))),AND(IF(Metadata!E922="",FALSE,ISNUMBER(VALUE(Metadata!E922))),Metadata!E922&gt;0))</f>
        <v>0</v>
      </c>
      <c r="Z922">
        <f>AND(IF(Metadata!F922="",FALSE,TRUE),exact(Metadata!F922,"weeks"))</f>
        <v>0</v>
      </c>
      <c r="AA922">
        <f>AND(IF(Metadata!G922="",FALSE,TRUE),exact(Metadata!G922,"mouse"))</f>
        <v>0</v>
      </c>
      <c r="AB922">
        <f>AND(IF(Metadata!H922="",FALSE,TRUE),exact(Metadata!H922,"Mus musculus"))</f>
        <v>0</v>
      </c>
      <c r="AC922">
        <f>AND(IF(Metadata!I922="",FALSE,TRUE),exact(Metadata!I922,"10090"))</f>
        <v>0</v>
      </c>
      <c r="AD922">
        <f>OR(AND(IF(Metadata!J922="",FALSE,TRUE),OR(exact(Metadata!J922,"not applicable"),exact(Metadata!J922,"missing: not collected"),exact(Metadata!J922,"missing: not provided"),exact(Metadata!J922,"missing: restricted access"))),AND(IF(Metadata!J922="",FALSE,ISNUMBER(VALUE(Metadata!J922))),Metadata!J922&gt;0))</f>
        <v>0</v>
      </c>
      <c r="AE922">
        <f>AND(IF(Metadata!K922="",FALSE,TRUE),exact(Metadata!K922,"g"))</f>
        <v>0</v>
      </c>
    </row>
    <row r="923" spans="1:31">
      <c r="A923" s="5">
        <f>IF(B923=" "," ",HYPERLINK(CONCATENATE("#metadata!",ADDRESS(INDEX($Q$2:$Q$1001,MATCH(ROWS($O$2:O923),$O$2:$O$1001,0),0),1)),INDEX($T$2:$T$1001,MATCH(ROWS($O$2:O923),$O$2:$O$1001,0),0)))</f>
        <v>0</v>
      </c>
      <c r="B923" s="4">
        <f>IF(OR(INDEX($P$2:$P$1001,MATCH(ROWS($O$2:O923),$O$2:$O$1001,0),1)&gt;=100000,INDEX($V$1005:$AE$1005,1,MATCH(COLUMNS($V$1006:V1006),$V$1006:$AE$1006,0))&gt;=100000), " ",IF(INDEX($V$2:$AE$1001,MATCH(ROWS($O$2:O923),$O$2:$O$1001,0),MATCH(COLUMNS($V$1006:V1006),$V$1006:$AE$1006,0)), HYPERLINK("#",""), HYPERLINK(CONCATENATE("#Metadata!", ADDRESS(INDEX($Q$2:$Q$1001,MATCH(ROWS($O$2:O923),$O$2:$O$1001,0),0), INDEX($V$1004:$AE$1004,1,MATCH(COLUMNS($V$1006:V1006),$V$1006:$AE$1006,0)))),"Fix")))</f>
        <v>0</v>
      </c>
      <c r="C923" s="4">
        <f>IF(OR(INDEX($P$2:$P$1001,MATCH(ROWS($O$2:O923),$O$2:$O$1001,0),1)&gt;=100000,INDEX($V$1005:$AE$1005,1,MATCH(COLUMNS($V$1006:W1006),$V$1006:$AE$1006,0))&gt;=100000), " ",IF(INDEX($V$2:$AE$1001,MATCH(ROWS($O$2:O923),$O$2:$O$1001,0),MATCH(COLUMNS($V$1006:W1006),$V$1006:$AE$1006,0)), HYPERLINK("#",""), HYPERLINK(CONCATENATE("#Metadata!", ADDRESS(INDEX($Q$2:$Q$1001,MATCH(ROWS($O$2:O923),$O$2:$O$1001,0),0), INDEX($V$1004:$AE$1004,1,MATCH(COLUMNS($V$1006:W1006),$V$1006:$AE$1006,0)))),"Fix")))</f>
        <v>0</v>
      </c>
      <c r="D923" s="4">
        <f>IF(OR(INDEX($P$2:$P$1001,MATCH(ROWS($O$2:O923),$O$2:$O$1001,0),1)&gt;=100000,INDEX($V$1005:$AE$1005,1,MATCH(COLUMNS($V$1006:X1006),$V$1006:$AE$1006,0))&gt;=100000), " ",IF(INDEX($V$2:$AE$1001,MATCH(ROWS($O$2:O923),$O$2:$O$1001,0),MATCH(COLUMNS($V$1006:X1006),$V$1006:$AE$1006,0)), HYPERLINK("#",""), HYPERLINK(CONCATENATE("#Metadata!", ADDRESS(INDEX($Q$2:$Q$1001,MATCH(ROWS($O$2:O923),$O$2:$O$1001,0),0), INDEX($V$1004:$AE$1004,1,MATCH(COLUMNS($V$1006:X1006),$V$1006:$AE$1006,0)))),"Fix")))</f>
        <v>0</v>
      </c>
      <c r="E923" s="4">
        <f>IF(OR(INDEX($P$2:$P$1001,MATCH(ROWS($O$2:O923),$O$2:$O$1001,0),1)&gt;=100000,INDEX($V$1005:$AE$1005,1,MATCH(COLUMNS($V$1006:Y1006),$V$1006:$AE$1006,0))&gt;=100000), " ",IF(INDEX($V$2:$AE$1001,MATCH(ROWS($O$2:O923),$O$2:$O$1001,0),MATCH(COLUMNS($V$1006:Y1006),$V$1006:$AE$1006,0)), HYPERLINK("#",""), HYPERLINK(CONCATENATE("#Metadata!", ADDRESS(INDEX($Q$2:$Q$1001,MATCH(ROWS($O$2:O923),$O$2:$O$1001,0),0), INDEX($V$1004:$AE$1004,1,MATCH(COLUMNS($V$1006:Y1006),$V$1006:$AE$1006,0)))),"Fix")))</f>
        <v>0</v>
      </c>
      <c r="F923" s="4">
        <f>IF(OR(INDEX($P$2:$P$1001,MATCH(ROWS($O$2:O923),$O$2:$O$1001,0),1)&gt;=100000,INDEX($V$1005:$AE$1005,1,MATCH(COLUMNS($V$1006:Z1006),$V$1006:$AE$1006,0))&gt;=100000), " ",IF(INDEX($V$2:$AE$1001,MATCH(ROWS($O$2:O923),$O$2:$O$1001,0),MATCH(COLUMNS($V$1006:Z1006),$V$1006:$AE$1006,0)), HYPERLINK("#",""), HYPERLINK(CONCATENATE("#Metadata!", ADDRESS(INDEX($Q$2:$Q$1001,MATCH(ROWS($O$2:O923),$O$2:$O$1001,0),0), INDEX($V$1004:$AE$1004,1,MATCH(COLUMNS($V$1006:Z1006),$V$1006:$AE$1006,0)))),"Fix")))</f>
        <v>0</v>
      </c>
      <c r="G923" s="4">
        <f>IF(OR(INDEX($P$2:$P$1001,MATCH(ROWS($O$2:O923),$O$2:$O$1001,0),1)&gt;=100000,INDEX($V$1005:$AE$1005,1,MATCH(COLUMNS($V$1006:AA1006),$V$1006:$AE$1006,0))&gt;=100000), " ",IF(INDEX($V$2:$AE$1001,MATCH(ROWS($O$2:O923),$O$2:$O$1001,0),MATCH(COLUMNS($V$1006:AA1006),$V$1006:$AE$1006,0)), HYPERLINK("#",""), HYPERLINK(CONCATENATE("#Metadata!", ADDRESS(INDEX($Q$2:$Q$1001,MATCH(ROWS($O$2:O923),$O$2:$O$1001,0),0), INDEX($V$1004:$AE$1004,1,MATCH(COLUMNS($V$1006:AA1006),$V$1006:$AE$1006,0)))),"Fix")))</f>
        <v>0</v>
      </c>
      <c r="H923" s="4">
        <f>IF(OR(INDEX($P$2:$P$1001,MATCH(ROWS($O$2:O923),$O$2:$O$1001,0),1)&gt;=100000,INDEX($V$1005:$AE$1005,1,MATCH(COLUMNS($V$1006:AB1006),$V$1006:$AE$1006,0))&gt;=100000), " ",IF(INDEX($V$2:$AE$1001,MATCH(ROWS($O$2:O923),$O$2:$O$1001,0),MATCH(COLUMNS($V$1006:AB1006),$V$1006:$AE$1006,0)), HYPERLINK("#",""), HYPERLINK(CONCATENATE("#Metadata!", ADDRESS(INDEX($Q$2:$Q$1001,MATCH(ROWS($O$2:O923),$O$2:$O$1001,0),0), INDEX($V$1004:$AE$1004,1,MATCH(COLUMNS($V$1006:AB1006),$V$1006:$AE$1006,0)))),"Fix")))</f>
        <v>0</v>
      </c>
      <c r="I923" s="4">
        <f>IF(OR(INDEX($P$2:$P$1001,MATCH(ROWS($O$2:O923),$O$2:$O$1001,0),1)&gt;=100000,INDEX($V$1005:$AE$1005,1,MATCH(COLUMNS($V$1006:AC1006),$V$1006:$AE$1006,0))&gt;=100000), " ",IF(INDEX($V$2:$AE$1001,MATCH(ROWS($O$2:O923),$O$2:$O$1001,0),MATCH(COLUMNS($V$1006:AC1006),$V$1006:$AE$1006,0)), HYPERLINK("#",""), HYPERLINK(CONCATENATE("#Metadata!", ADDRESS(INDEX($Q$2:$Q$1001,MATCH(ROWS($O$2:O923),$O$2:$O$1001,0),0), INDEX($V$1004:$AE$1004,1,MATCH(COLUMNS($V$1006:AC1006),$V$1006:$AE$1006,0)))),"Fix")))</f>
        <v>0</v>
      </c>
      <c r="J923" s="4">
        <f>IF(OR(INDEX($P$2:$P$1001,MATCH(ROWS($O$2:O923),$O$2:$O$1001,0),1)&gt;=100000,INDEX($V$1005:$AE$1005,1,MATCH(COLUMNS($V$1006:AD1006),$V$1006:$AE$1006,0))&gt;=100000), " ",IF(INDEX($V$2:$AE$1001,MATCH(ROWS($O$2:O923),$O$2:$O$1001,0),MATCH(COLUMNS($V$1006:AD1006),$V$1006:$AE$1006,0)), HYPERLINK("#",""), HYPERLINK(CONCATENATE("#Metadata!", ADDRESS(INDEX($Q$2:$Q$1001,MATCH(ROWS($O$2:O923),$O$2:$O$1001,0),0), INDEX($V$1004:$AE$1004,1,MATCH(COLUMNS($V$1006:AD1006),$V$1006:$AE$1006,0)))),"Fix")))</f>
        <v>0</v>
      </c>
      <c r="K923" s="4">
        <f>IF(OR(INDEX($P$2:$P$1001,MATCH(ROWS($O$2:O923),$O$2:$O$1001,0),1)&gt;=100000,INDEX($V$1005:$AE$1005,1,MATCH(COLUMNS($V$1006:AE1006),$V$1006:$AE$1006,0))&gt;=100000), " ",IF(INDEX($V$2:$AE$1001,MATCH(ROWS($O$2:O923),$O$2:$O$1001,0),MATCH(COLUMNS($V$1006:AE1006),$V$1006:$AE$1006,0)), HYPERLINK("#",""), HYPERLINK(CONCATENATE("#Metadata!", ADDRESS(INDEX($Q$2:$Q$1001,MATCH(ROWS($O$2:O923),$O$2:$O$1001,0),0), INDEX($V$1004:$AE$1004,1,MATCH(COLUMNS($V$1006:AE1006),$V$1006:$AE$1006,0)))),"Fix")))</f>
        <v>0</v>
      </c>
      <c r="O923">
        <v>0</v>
      </c>
      <c r="P923">
        <v>0</v>
      </c>
      <c r="Q923">
        <v>0</v>
      </c>
      <c r="R923">
        <f>IF(S923,TRUE,AND(V923:AE923))</f>
        <v>0</v>
      </c>
      <c r="S923">
        <f>COUNTBLANK(Metadata!B923:K923)=COLUMNS(Metadata!B923:K923)</f>
        <v>0</v>
      </c>
      <c r="T923">
        <v>0</v>
      </c>
      <c r="V923">
        <f>AND(IF(Metadata!B923="",FALSE,TRUE),COUNTIF(Metadata!B:B, Metadata!B923) = 1,NOT(ISERROR(SUMPRODUCT(SEARCH(MID(Metadata!B923,ROW(INDIRECT("1:"&amp;LEN(Metadata!B923))), 1),"0123456789abcdefghijklmnopqrstuvwxyzABCDEFGHIJKLMNOPQRSTUVWXYZ.")))))</f>
        <v>0</v>
      </c>
      <c r="W923">
        <f>AND(IF(Metadata!C923="",FALSE,TRUE),exact(Metadata!C923,"urban biome"))</f>
        <v>0</v>
      </c>
      <c r="X923">
        <f>AND(IF(Metadata!D923="",FALSE,TRUE),exact(Metadata!D923,"animal-associated habitat"))</f>
        <v>0</v>
      </c>
      <c r="Y923">
        <f>OR(AND(IF(Metadata!E923="",FALSE,TRUE),OR(exact(Metadata!E923,"not applicable"),exact(Metadata!E923,"missing: not collected"),exact(Metadata!E923,"missing: not provided"),exact(Metadata!E923,"missing: restricted access"))),AND(IF(Metadata!E923="",FALSE,ISNUMBER(VALUE(Metadata!E923))),Metadata!E923&gt;0))</f>
        <v>0</v>
      </c>
      <c r="Z923">
        <f>AND(IF(Metadata!F923="",FALSE,TRUE),exact(Metadata!F923,"weeks"))</f>
        <v>0</v>
      </c>
      <c r="AA923">
        <f>AND(IF(Metadata!G923="",FALSE,TRUE),exact(Metadata!G923,"mouse"))</f>
        <v>0</v>
      </c>
      <c r="AB923">
        <f>AND(IF(Metadata!H923="",FALSE,TRUE),exact(Metadata!H923,"Mus musculus"))</f>
        <v>0</v>
      </c>
      <c r="AC923">
        <f>AND(IF(Metadata!I923="",FALSE,TRUE),exact(Metadata!I923,"10090"))</f>
        <v>0</v>
      </c>
      <c r="AD923">
        <f>OR(AND(IF(Metadata!J923="",FALSE,TRUE),OR(exact(Metadata!J923,"not applicable"),exact(Metadata!J923,"missing: not collected"),exact(Metadata!J923,"missing: not provided"),exact(Metadata!J923,"missing: restricted access"))),AND(IF(Metadata!J923="",FALSE,ISNUMBER(VALUE(Metadata!J923))),Metadata!J923&gt;0))</f>
        <v>0</v>
      </c>
      <c r="AE923">
        <f>AND(IF(Metadata!K923="",FALSE,TRUE),exact(Metadata!K923,"g"))</f>
        <v>0</v>
      </c>
    </row>
    <row r="924" spans="1:31">
      <c r="A924" s="5">
        <f>IF(B924=" "," ",HYPERLINK(CONCATENATE("#metadata!",ADDRESS(INDEX($Q$2:$Q$1001,MATCH(ROWS($O$2:O924),$O$2:$O$1001,0),0),1)),INDEX($T$2:$T$1001,MATCH(ROWS($O$2:O924),$O$2:$O$1001,0),0)))</f>
        <v>0</v>
      </c>
      <c r="B924" s="4">
        <f>IF(OR(INDEX($P$2:$P$1001,MATCH(ROWS($O$2:O924),$O$2:$O$1001,0),1)&gt;=100000,INDEX($V$1005:$AE$1005,1,MATCH(COLUMNS($V$1006:V1006),$V$1006:$AE$1006,0))&gt;=100000), " ",IF(INDEX($V$2:$AE$1001,MATCH(ROWS($O$2:O924),$O$2:$O$1001,0),MATCH(COLUMNS($V$1006:V1006),$V$1006:$AE$1006,0)), HYPERLINK("#",""), HYPERLINK(CONCATENATE("#Metadata!", ADDRESS(INDEX($Q$2:$Q$1001,MATCH(ROWS($O$2:O924),$O$2:$O$1001,0),0), INDEX($V$1004:$AE$1004,1,MATCH(COLUMNS($V$1006:V1006),$V$1006:$AE$1006,0)))),"Fix")))</f>
        <v>0</v>
      </c>
      <c r="C924" s="4">
        <f>IF(OR(INDEX($P$2:$P$1001,MATCH(ROWS($O$2:O924),$O$2:$O$1001,0),1)&gt;=100000,INDEX($V$1005:$AE$1005,1,MATCH(COLUMNS($V$1006:W1006),$V$1006:$AE$1006,0))&gt;=100000), " ",IF(INDEX($V$2:$AE$1001,MATCH(ROWS($O$2:O924),$O$2:$O$1001,0),MATCH(COLUMNS($V$1006:W1006),$V$1006:$AE$1006,0)), HYPERLINK("#",""), HYPERLINK(CONCATENATE("#Metadata!", ADDRESS(INDEX($Q$2:$Q$1001,MATCH(ROWS($O$2:O924),$O$2:$O$1001,0),0), INDEX($V$1004:$AE$1004,1,MATCH(COLUMNS($V$1006:W1006),$V$1006:$AE$1006,0)))),"Fix")))</f>
        <v>0</v>
      </c>
      <c r="D924" s="4">
        <f>IF(OR(INDEX($P$2:$P$1001,MATCH(ROWS($O$2:O924),$O$2:$O$1001,0),1)&gt;=100000,INDEX($V$1005:$AE$1005,1,MATCH(COLUMNS($V$1006:X1006),$V$1006:$AE$1006,0))&gt;=100000), " ",IF(INDEX($V$2:$AE$1001,MATCH(ROWS($O$2:O924),$O$2:$O$1001,0),MATCH(COLUMNS($V$1006:X1006),$V$1006:$AE$1006,0)), HYPERLINK("#",""), HYPERLINK(CONCATENATE("#Metadata!", ADDRESS(INDEX($Q$2:$Q$1001,MATCH(ROWS($O$2:O924),$O$2:$O$1001,0),0), INDEX($V$1004:$AE$1004,1,MATCH(COLUMNS($V$1006:X1006),$V$1006:$AE$1006,0)))),"Fix")))</f>
        <v>0</v>
      </c>
      <c r="E924" s="4">
        <f>IF(OR(INDEX($P$2:$P$1001,MATCH(ROWS($O$2:O924),$O$2:$O$1001,0),1)&gt;=100000,INDEX($V$1005:$AE$1005,1,MATCH(COLUMNS($V$1006:Y1006),$V$1006:$AE$1006,0))&gt;=100000), " ",IF(INDEX($V$2:$AE$1001,MATCH(ROWS($O$2:O924),$O$2:$O$1001,0),MATCH(COLUMNS($V$1006:Y1006),$V$1006:$AE$1006,0)), HYPERLINK("#",""), HYPERLINK(CONCATENATE("#Metadata!", ADDRESS(INDEX($Q$2:$Q$1001,MATCH(ROWS($O$2:O924),$O$2:$O$1001,0),0), INDEX($V$1004:$AE$1004,1,MATCH(COLUMNS($V$1006:Y1006),$V$1006:$AE$1006,0)))),"Fix")))</f>
        <v>0</v>
      </c>
      <c r="F924" s="4">
        <f>IF(OR(INDEX($P$2:$P$1001,MATCH(ROWS($O$2:O924),$O$2:$O$1001,0),1)&gt;=100000,INDEX($V$1005:$AE$1005,1,MATCH(COLUMNS($V$1006:Z1006),$V$1006:$AE$1006,0))&gt;=100000), " ",IF(INDEX($V$2:$AE$1001,MATCH(ROWS($O$2:O924),$O$2:$O$1001,0),MATCH(COLUMNS($V$1006:Z1006),$V$1006:$AE$1006,0)), HYPERLINK("#",""), HYPERLINK(CONCATENATE("#Metadata!", ADDRESS(INDEX($Q$2:$Q$1001,MATCH(ROWS($O$2:O924),$O$2:$O$1001,0),0), INDEX($V$1004:$AE$1004,1,MATCH(COLUMNS($V$1006:Z1006),$V$1006:$AE$1006,0)))),"Fix")))</f>
        <v>0</v>
      </c>
      <c r="G924" s="4">
        <f>IF(OR(INDEX($P$2:$P$1001,MATCH(ROWS($O$2:O924),$O$2:$O$1001,0),1)&gt;=100000,INDEX($V$1005:$AE$1005,1,MATCH(COLUMNS($V$1006:AA1006),$V$1006:$AE$1006,0))&gt;=100000), " ",IF(INDEX($V$2:$AE$1001,MATCH(ROWS($O$2:O924),$O$2:$O$1001,0),MATCH(COLUMNS($V$1006:AA1006),$V$1006:$AE$1006,0)), HYPERLINK("#",""), HYPERLINK(CONCATENATE("#Metadata!", ADDRESS(INDEX($Q$2:$Q$1001,MATCH(ROWS($O$2:O924),$O$2:$O$1001,0),0), INDEX($V$1004:$AE$1004,1,MATCH(COLUMNS($V$1006:AA1006),$V$1006:$AE$1006,0)))),"Fix")))</f>
        <v>0</v>
      </c>
      <c r="H924" s="4">
        <f>IF(OR(INDEX($P$2:$P$1001,MATCH(ROWS($O$2:O924),$O$2:$O$1001,0),1)&gt;=100000,INDEX($V$1005:$AE$1005,1,MATCH(COLUMNS($V$1006:AB1006),$V$1006:$AE$1006,0))&gt;=100000), " ",IF(INDEX($V$2:$AE$1001,MATCH(ROWS($O$2:O924),$O$2:$O$1001,0),MATCH(COLUMNS($V$1006:AB1006),$V$1006:$AE$1006,0)), HYPERLINK("#",""), HYPERLINK(CONCATENATE("#Metadata!", ADDRESS(INDEX($Q$2:$Q$1001,MATCH(ROWS($O$2:O924),$O$2:$O$1001,0),0), INDEX($V$1004:$AE$1004,1,MATCH(COLUMNS($V$1006:AB1006),$V$1006:$AE$1006,0)))),"Fix")))</f>
        <v>0</v>
      </c>
      <c r="I924" s="4">
        <f>IF(OR(INDEX($P$2:$P$1001,MATCH(ROWS($O$2:O924),$O$2:$O$1001,0),1)&gt;=100000,INDEX($V$1005:$AE$1005,1,MATCH(COLUMNS($V$1006:AC1006),$V$1006:$AE$1006,0))&gt;=100000), " ",IF(INDEX($V$2:$AE$1001,MATCH(ROWS($O$2:O924),$O$2:$O$1001,0),MATCH(COLUMNS($V$1006:AC1006),$V$1006:$AE$1006,0)), HYPERLINK("#",""), HYPERLINK(CONCATENATE("#Metadata!", ADDRESS(INDEX($Q$2:$Q$1001,MATCH(ROWS($O$2:O924),$O$2:$O$1001,0),0), INDEX($V$1004:$AE$1004,1,MATCH(COLUMNS($V$1006:AC1006),$V$1006:$AE$1006,0)))),"Fix")))</f>
        <v>0</v>
      </c>
      <c r="J924" s="4">
        <f>IF(OR(INDEX($P$2:$P$1001,MATCH(ROWS($O$2:O924),$O$2:$O$1001,0),1)&gt;=100000,INDEX($V$1005:$AE$1005,1,MATCH(COLUMNS($V$1006:AD1006),$V$1006:$AE$1006,0))&gt;=100000), " ",IF(INDEX($V$2:$AE$1001,MATCH(ROWS($O$2:O924),$O$2:$O$1001,0),MATCH(COLUMNS($V$1006:AD1006),$V$1006:$AE$1006,0)), HYPERLINK("#",""), HYPERLINK(CONCATENATE("#Metadata!", ADDRESS(INDEX($Q$2:$Q$1001,MATCH(ROWS($O$2:O924),$O$2:$O$1001,0),0), INDEX($V$1004:$AE$1004,1,MATCH(COLUMNS($V$1006:AD1006),$V$1006:$AE$1006,0)))),"Fix")))</f>
        <v>0</v>
      </c>
      <c r="K924" s="4">
        <f>IF(OR(INDEX($P$2:$P$1001,MATCH(ROWS($O$2:O924),$O$2:$O$1001,0),1)&gt;=100000,INDEX($V$1005:$AE$1005,1,MATCH(COLUMNS($V$1006:AE1006),$V$1006:$AE$1006,0))&gt;=100000), " ",IF(INDEX($V$2:$AE$1001,MATCH(ROWS($O$2:O924),$O$2:$O$1001,0),MATCH(COLUMNS($V$1006:AE1006),$V$1006:$AE$1006,0)), HYPERLINK("#",""), HYPERLINK(CONCATENATE("#Metadata!", ADDRESS(INDEX($Q$2:$Q$1001,MATCH(ROWS($O$2:O924),$O$2:$O$1001,0),0), INDEX($V$1004:$AE$1004,1,MATCH(COLUMNS($V$1006:AE1006),$V$1006:$AE$1006,0)))),"Fix")))</f>
        <v>0</v>
      </c>
      <c r="O924">
        <v>0</v>
      </c>
      <c r="P924">
        <v>0</v>
      </c>
      <c r="Q924">
        <v>0</v>
      </c>
      <c r="R924">
        <f>IF(S924,TRUE,AND(V924:AE924))</f>
        <v>0</v>
      </c>
      <c r="S924">
        <f>COUNTBLANK(Metadata!B924:K924)=COLUMNS(Metadata!B924:K924)</f>
        <v>0</v>
      </c>
      <c r="T924">
        <v>0</v>
      </c>
      <c r="V924">
        <f>AND(IF(Metadata!B924="",FALSE,TRUE),COUNTIF(Metadata!B:B, Metadata!B924) = 1,NOT(ISERROR(SUMPRODUCT(SEARCH(MID(Metadata!B924,ROW(INDIRECT("1:"&amp;LEN(Metadata!B924))), 1),"0123456789abcdefghijklmnopqrstuvwxyzABCDEFGHIJKLMNOPQRSTUVWXYZ.")))))</f>
        <v>0</v>
      </c>
      <c r="W924">
        <f>AND(IF(Metadata!C924="",FALSE,TRUE),exact(Metadata!C924,"urban biome"))</f>
        <v>0</v>
      </c>
      <c r="X924">
        <f>AND(IF(Metadata!D924="",FALSE,TRUE),exact(Metadata!D924,"animal-associated habitat"))</f>
        <v>0</v>
      </c>
      <c r="Y924">
        <f>OR(AND(IF(Metadata!E924="",FALSE,TRUE),OR(exact(Metadata!E924,"not applicable"),exact(Metadata!E924,"missing: not collected"),exact(Metadata!E924,"missing: not provided"),exact(Metadata!E924,"missing: restricted access"))),AND(IF(Metadata!E924="",FALSE,ISNUMBER(VALUE(Metadata!E924))),Metadata!E924&gt;0))</f>
        <v>0</v>
      </c>
      <c r="Z924">
        <f>AND(IF(Metadata!F924="",FALSE,TRUE),exact(Metadata!F924,"weeks"))</f>
        <v>0</v>
      </c>
      <c r="AA924">
        <f>AND(IF(Metadata!G924="",FALSE,TRUE),exact(Metadata!G924,"mouse"))</f>
        <v>0</v>
      </c>
      <c r="AB924">
        <f>AND(IF(Metadata!H924="",FALSE,TRUE),exact(Metadata!H924,"Mus musculus"))</f>
        <v>0</v>
      </c>
      <c r="AC924">
        <f>AND(IF(Metadata!I924="",FALSE,TRUE),exact(Metadata!I924,"10090"))</f>
        <v>0</v>
      </c>
      <c r="AD924">
        <f>OR(AND(IF(Metadata!J924="",FALSE,TRUE),OR(exact(Metadata!J924,"not applicable"),exact(Metadata!J924,"missing: not collected"),exact(Metadata!J924,"missing: not provided"),exact(Metadata!J924,"missing: restricted access"))),AND(IF(Metadata!J924="",FALSE,ISNUMBER(VALUE(Metadata!J924))),Metadata!J924&gt;0))</f>
        <v>0</v>
      </c>
      <c r="AE924">
        <f>AND(IF(Metadata!K924="",FALSE,TRUE),exact(Metadata!K924,"g"))</f>
        <v>0</v>
      </c>
    </row>
    <row r="925" spans="1:31">
      <c r="A925" s="5">
        <f>IF(B925=" "," ",HYPERLINK(CONCATENATE("#metadata!",ADDRESS(INDEX($Q$2:$Q$1001,MATCH(ROWS($O$2:O925),$O$2:$O$1001,0),0),1)),INDEX($T$2:$T$1001,MATCH(ROWS($O$2:O925),$O$2:$O$1001,0),0)))</f>
        <v>0</v>
      </c>
      <c r="B925" s="4">
        <f>IF(OR(INDEX($P$2:$P$1001,MATCH(ROWS($O$2:O925),$O$2:$O$1001,0),1)&gt;=100000,INDEX($V$1005:$AE$1005,1,MATCH(COLUMNS($V$1006:V1006),$V$1006:$AE$1006,0))&gt;=100000), " ",IF(INDEX($V$2:$AE$1001,MATCH(ROWS($O$2:O925),$O$2:$O$1001,0),MATCH(COLUMNS($V$1006:V1006),$V$1006:$AE$1006,0)), HYPERLINK("#",""), HYPERLINK(CONCATENATE("#Metadata!", ADDRESS(INDEX($Q$2:$Q$1001,MATCH(ROWS($O$2:O925),$O$2:$O$1001,0),0), INDEX($V$1004:$AE$1004,1,MATCH(COLUMNS($V$1006:V1006),$V$1006:$AE$1006,0)))),"Fix")))</f>
        <v>0</v>
      </c>
      <c r="C925" s="4">
        <f>IF(OR(INDEX($P$2:$P$1001,MATCH(ROWS($O$2:O925),$O$2:$O$1001,0),1)&gt;=100000,INDEX($V$1005:$AE$1005,1,MATCH(COLUMNS($V$1006:W1006),$V$1006:$AE$1006,0))&gt;=100000), " ",IF(INDEX($V$2:$AE$1001,MATCH(ROWS($O$2:O925),$O$2:$O$1001,0),MATCH(COLUMNS($V$1006:W1006),$V$1006:$AE$1006,0)), HYPERLINK("#",""), HYPERLINK(CONCATENATE("#Metadata!", ADDRESS(INDEX($Q$2:$Q$1001,MATCH(ROWS($O$2:O925),$O$2:$O$1001,0),0), INDEX($V$1004:$AE$1004,1,MATCH(COLUMNS($V$1006:W1006),$V$1006:$AE$1006,0)))),"Fix")))</f>
        <v>0</v>
      </c>
      <c r="D925" s="4">
        <f>IF(OR(INDEX($P$2:$P$1001,MATCH(ROWS($O$2:O925),$O$2:$O$1001,0),1)&gt;=100000,INDEX($V$1005:$AE$1005,1,MATCH(COLUMNS($V$1006:X1006),$V$1006:$AE$1006,0))&gt;=100000), " ",IF(INDEX($V$2:$AE$1001,MATCH(ROWS($O$2:O925),$O$2:$O$1001,0),MATCH(COLUMNS($V$1006:X1006),$V$1006:$AE$1006,0)), HYPERLINK("#",""), HYPERLINK(CONCATENATE("#Metadata!", ADDRESS(INDEX($Q$2:$Q$1001,MATCH(ROWS($O$2:O925),$O$2:$O$1001,0),0), INDEX($V$1004:$AE$1004,1,MATCH(COLUMNS($V$1006:X1006),$V$1006:$AE$1006,0)))),"Fix")))</f>
        <v>0</v>
      </c>
      <c r="E925" s="4">
        <f>IF(OR(INDEX($P$2:$P$1001,MATCH(ROWS($O$2:O925),$O$2:$O$1001,0),1)&gt;=100000,INDEX($V$1005:$AE$1005,1,MATCH(COLUMNS($V$1006:Y1006),$V$1006:$AE$1006,0))&gt;=100000), " ",IF(INDEX($V$2:$AE$1001,MATCH(ROWS($O$2:O925),$O$2:$O$1001,0),MATCH(COLUMNS($V$1006:Y1006),$V$1006:$AE$1006,0)), HYPERLINK("#",""), HYPERLINK(CONCATENATE("#Metadata!", ADDRESS(INDEX($Q$2:$Q$1001,MATCH(ROWS($O$2:O925),$O$2:$O$1001,0),0), INDEX($V$1004:$AE$1004,1,MATCH(COLUMNS($V$1006:Y1006),$V$1006:$AE$1006,0)))),"Fix")))</f>
        <v>0</v>
      </c>
      <c r="F925" s="4">
        <f>IF(OR(INDEX($P$2:$P$1001,MATCH(ROWS($O$2:O925),$O$2:$O$1001,0),1)&gt;=100000,INDEX($V$1005:$AE$1005,1,MATCH(COLUMNS($V$1006:Z1006),$V$1006:$AE$1006,0))&gt;=100000), " ",IF(INDEX($V$2:$AE$1001,MATCH(ROWS($O$2:O925),$O$2:$O$1001,0),MATCH(COLUMNS($V$1006:Z1006),$V$1006:$AE$1006,0)), HYPERLINK("#",""), HYPERLINK(CONCATENATE("#Metadata!", ADDRESS(INDEX($Q$2:$Q$1001,MATCH(ROWS($O$2:O925),$O$2:$O$1001,0),0), INDEX($V$1004:$AE$1004,1,MATCH(COLUMNS($V$1006:Z1006),$V$1006:$AE$1006,0)))),"Fix")))</f>
        <v>0</v>
      </c>
      <c r="G925" s="4">
        <f>IF(OR(INDEX($P$2:$P$1001,MATCH(ROWS($O$2:O925),$O$2:$O$1001,0),1)&gt;=100000,INDEX($V$1005:$AE$1005,1,MATCH(COLUMNS($V$1006:AA1006),$V$1006:$AE$1006,0))&gt;=100000), " ",IF(INDEX($V$2:$AE$1001,MATCH(ROWS($O$2:O925),$O$2:$O$1001,0),MATCH(COLUMNS($V$1006:AA1006),$V$1006:$AE$1006,0)), HYPERLINK("#",""), HYPERLINK(CONCATENATE("#Metadata!", ADDRESS(INDEX($Q$2:$Q$1001,MATCH(ROWS($O$2:O925),$O$2:$O$1001,0),0), INDEX($V$1004:$AE$1004,1,MATCH(COLUMNS($V$1006:AA1006),$V$1006:$AE$1006,0)))),"Fix")))</f>
        <v>0</v>
      </c>
      <c r="H925" s="4">
        <f>IF(OR(INDEX($P$2:$P$1001,MATCH(ROWS($O$2:O925),$O$2:$O$1001,0),1)&gt;=100000,INDEX($V$1005:$AE$1005,1,MATCH(COLUMNS($V$1006:AB1006),$V$1006:$AE$1006,0))&gt;=100000), " ",IF(INDEX($V$2:$AE$1001,MATCH(ROWS($O$2:O925),$O$2:$O$1001,0),MATCH(COLUMNS($V$1006:AB1006),$V$1006:$AE$1006,0)), HYPERLINK("#",""), HYPERLINK(CONCATENATE("#Metadata!", ADDRESS(INDEX($Q$2:$Q$1001,MATCH(ROWS($O$2:O925),$O$2:$O$1001,0),0), INDEX($V$1004:$AE$1004,1,MATCH(COLUMNS($V$1006:AB1006),$V$1006:$AE$1006,0)))),"Fix")))</f>
        <v>0</v>
      </c>
      <c r="I925" s="4">
        <f>IF(OR(INDEX($P$2:$P$1001,MATCH(ROWS($O$2:O925),$O$2:$O$1001,0),1)&gt;=100000,INDEX($V$1005:$AE$1005,1,MATCH(COLUMNS($V$1006:AC1006),$V$1006:$AE$1006,0))&gt;=100000), " ",IF(INDEX($V$2:$AE$1001,MATCH(ROWS($O$2:O925),$O$2:$O$1001,0),MATCH(COLUMNS($V$1006:AC1006),$V$1006:$AE$1006,0)), HYPERLINK("#",""), HYPERLINK(CONCATENATE("#Metadata!", ADDRESS(INDEX($Q$2:$Q$1001,MATCH(ROWS($O$2:O925),$O$2:$O$1001,0),0), INDEX($V$1004:$AE$1004,1,MATCH(COLUMNS($V$1006:AC1006),$V$1006:$AE$1006,0)))),"Fix")))</f>
        <v>0</v>
      </c>
      <c r="J925" s="4">
        <f>IF(OR(INDEX($P$2:$P$1001,MATCH(ROWS($O$2:O925),$O$2:$O$1001,0),1)&gt;=100000,INDEX($V$1005:$AE$1005,1,MATCH(COLUMNS($V$1006:AD1006),$V$1006:$AE$1006,0))&gt;=100000), " ",IF(INDEX($V$2:$AE$1001,MATCH(ROWS($O$2:O925),$O$2:$O$1001,0),MATCH(COLUMNS($V$1006:AD1006),$V$1006:$AE$1006,0)), HYPERLINK("#",""), HYPERLINK(CONCATENATE("#Metadata!", ADDRESS(INDEX($Q$2:$Q$1001,MATCH(ROWS($O$2:O925),$O$2:$O$1001,0),0), INDEX($V$1004:$AE$1004,1,MATCH(COLUMNS($V$1006:AD1006),$V$1006:$AE$1006,0)))),"Fix")))</f>
        <v>0</v>
      </c>
      <c r="K925" s="4">
        <f>IF(OR(INDEX($P$2:$P$1001,MATCH(ROWS($O$2:O925),$O$2:$O$1001,0),1)&gt;=100000,INDEX($V$1005:$AE$1005,1,MATCH(COLUMNS($V$1006:AE1006),$V$1006:$AE$1006,0))&gt;=100000), " ",IF(INDEX($V$2:$AE$1001,MATCH(ROWS($O$2:O925),$O$2:$O$1001,0),MATCH(COLUMNS($V$1006:AE1006),$V$1006:$AE$1006,0)), HYPERLINK("#",""), HYPERLINK(CONCATENATE("#Metadata!", ADDRESS(INDEX($Q$2:$Q$1001,MATCH(ROWS($O$2:O925),$O$2:$O$1001,0),0), INDEX($V$1004:$AE$1004,1,MATCH(COLUMNS($V$1006:AE1006),$V$1006:$AE$1006,0)))),"Fix")))</f>
        <v>0</v>
      </c>
      <c r="O925">
        <v>0</v>
      </c>
      <c r="P925">
        <v>0</v>
      </c>
      <c r="Q925">
        <v>0</v>
      </c>
      <c r="R925">
        <f>IF(S925,TRUE,AND(V925:AE925))</f>
        <v>0</v>
      </c>
      <c r="S925">
        <f>COUNTBLANK(Metadata!B925:K925)=COLUMNS(Metadata!B925:K925)</f>
        <v>0</v>
      </c>
      <c r="T925">
        <v>0</v>
      </c>
      <c r="V925">
        <f>AND(IF(Metadata!B925="",FALSE,TRUE),COUNTIF(Metadata!B:B, Metadata!B925) = 1,NOT(ISERROR(SUMPRODUCT(SEARCH(MID(Metadata!B925,ROW(INDIRECT("1:"&amp;LEN(Metadata!B925))), 1),"0123456789abcdefghijklmnopqrstuvwxyzABCDEFGHIJKLMNOPQRSTUVWXYZ.")))))</f>
        <v>0</v>
      </c>
      <c r="W925">
        <f>AND(IF(Metadata!C925="",FALSE,TRUE),exact(Metadata!C925,"urban biome"))</f>
        <v>0</v>
      </c>
      <c r="X925">
        <f>AND(IF(Metadata!D925="",FALSE,TRUE),exact(Metadata!D925,"animal-associated habitat"))</f>
        <v>0</v>
      </c>
      <c r="Y925">
        <f>OR(AND(IF(Metadata!E925="",FALSE,TRUE),OR(exact(Metadata!E925,"not applicable"),exact(Metadata!E925,"missing: not collected"),exact(Metadata!E925,"missing: not provided"),exact(Metadata!E925,"missing: restricted access"))),AND(IF(Metadata!E925="",FALSE,ISNUMBER(VALUE(Metadata!E925))),Metadata!E925&gt;0))</f>
        <v>0</v>
      </c>
      <c r="Z925">
        <f>AND(IF(Metadata!F925="",FALSE,TRUE),exact(Metadata!F925,"weeks"))</f>
        <v>0</v>
      </c>
      <c r="AA925">
        <f>AND(IF(Metadata!G925="",FALSE,TRUE),exact(Metadata!G925,"mouse"))</f>
        <v>0</v>
      </c>
      <c r="AB925">
        <f>AND(IF(Metadata!H925="",FALSE,TRUE),exact(Metadata!H925,"Mus musculus"))</f>
        <v>0</v>
      </c>
      <c r="AC925">
        <f>AND(IF(Metadata!I925="",FALSE,TRUE),exact(Metadata!I925,"10090"))</f>
        <v>0</v>
      </c>
      <c r="AD925">
        <f>OR(AND(IF(Metadata!J925="",FALSE,TRUE),OR(exact(Metadata!J925,"not applicable"),exact(Metadata!J925,"missing: not collected"),exact(Metadata!J925,"missing: not provided"),exact(Metadata!J925,"missing: restricted access"))),AND(IF(Metadata!J925="",FALSE,ISNUMBER(VALUE(Metadata!J925))),Metadata!J925&gt;0))</f>
        <v>0</v>
      </c>
      <c r="AE925">
        <f>AND(IF(Metadata!K925="",FALSE,TRUE),exact(Metadata!K925,"g"))</f>
        <v>0</v>
      </c>
    </row>
    <row r="926" spans="1:31">
      <c r="A926" s="5">
        <f>IF(B926=" "," ",HYPERLINK(CONCATENATE("#metadata!",ADDRESS(INDEX($Q$2:$Q$1001,MATCH(ROWS($O$2:O926),$O$2:$O$1001,0),0),1)),INDEX($T$2:$T$1001,MATCH(ROWS($O$2:O926),$O$2:$O$1001,0),0)))</f>
        <v>0</v>
      </c>
      <c r="B926" s="4">
        <f>IF(OR(INDEX($P$2:$P$1001,MATCH(ROWS($O$2:O926),$O$2:$O$1001,0),1)&gt;=100000,INDEX($V$1005:$AE$1005,1,MATCH(COLUMNS($V$1006:V1006),$V$1006:$AE$1006,0))&gt;=100000), " ",IF(INDEX($V$2:$AE$1001,MATCH(ROWS($O$2:O926),$O$2:$O$1001,0),MATCH(COLUMNS($V$1006:V1006),$V$1006:$AE$1006,0)), HYPERLINK("#",""), HYPERLINK(CONCATENATE("#Metadata!", ADDRESS(INDEX($Q$2:$Q$1001,MATCH(ROWS($O$2:O926),$O$2:$O$1001,0),0), INDEX($V$1004:$AE$1004,1,MATCH(COLUMNS($V$1006:V1006),$V$1006:$AE$1006,0)))),"Fix")))</f>
        <v>0</v>
      </c>
      <c r="C926" s="4">
        <f>IF(OR(INDEX($P$2:$P$1001,MATCH(ROWS($O$2:O926),$O$2:$O$1001,0),1)&gt;=100000,INDEX($V$1005:$AE$1005,1,MATCH(COLUMNS($V$1006:W1006),$V$1006:$AE$1006,0))&gt;=100000), " ",IF(INDEX($V$2:$AE$1001,MATCH(ROWS($O$2:O926),$O$2:$O$1001,0),MATCH(COLUMNS($V$1006:W1006),$V$1006:$AE$1006,0)), HYPERLINK("#",""), HYPERLINK(CONCATENATE("#Metadata!", ADDRESS(INDEX($Q$2:$Q$1001,MATCH(ROWS($O$2:O926),$O$2:$O$1001,0),0), INDEX($V$1004:$AE$1004,1,MATCH(COLUMNS($V$1006:W1006),$V$1006:$AE$1006,0)))),"Fix")))</f>
        <v>0</v>
      </c>
      <c r="D926" s="4">
        <f>IF(OR(INDEX($P$2:$P$1001,MATCH(ROWS($O$2:O926),$O$2:$O$1001,0),1)&gt;=100000,INDEX($V$1005:$AE$1005,1,MATCH(COLUMNS($V$1006:X1006),$V$1006:$AE$1006,0))&gt;=100000), " ",IF(INDEX($V$2:$AE$1001,MATCH(ROWS($O$2:O926),$O$2:$O$1001,0),MATCH(COLUMNS($V$1006:X1006),$V$1006:$AE$1006,0)), HYPERLINK("#",""), HYPERLINK(CONCATENATE("#Metadata!", ADDRESS(INDEX($Q$2:$Q$1001,MATCH(ROWS($O$2:O926),$O$2:$O$1001,0),0), INDEX($V$1004:$AE$1004,1,MATCH(COLUMNS($V$1006:X1006),$V$1006:$AE$1006,0)))),"Fix")))</f>
        <v>0</v>
      </c>
      <c r="E926" s="4">
        <f>IF(OR(INDEX($P$2:$P$1001,MATCH(ROWS($O$2:O926),$O$2:$O$1001,0),1)&gt;=100000,INDEX($V$1005:$AE$1005,1,MATCH(COLUMNS($V$1006:Y1006),$V$1006:$AE$1006,0))&gt;=100000), " ",IF(INDEX($V$2:$AE$1001,MATCH(ROWS($O$2:O926),$O$2:$O$1001,0),MATCH(COLUMNS($V$1006:Y1006),$V$1006:$AE$1006,0)), HYPERLINK("#",""), HYPERLINK(CONCATENATE("#Metadata!", ADDRESS(INDEX($Q$2:$Q$1001,MATCH(ROWS($O$2:O926),$O$2:$O$1001,0),0), INDEX($V$1004:$AE$1004,1,MATCH(COLUMNS($V$1006:Y1006),$V$1006:$AE$1006,0)))),"Fix")))</f>
        <v>0</v>
      </c>
      <c r="F926" s="4">
        <f>IF(OR(INDEX($P$2:$P$1001,MATCH(ROWS($O$2:O926),$O$2:$O$1001,0),1)&gt;=100000,INDEX($V$1005:$AE$1005,1,MATCH(COLUMNS($V$1006:Z1006),$V$1006:$AE$1006,0))&gt;=100000), " ",IF(INDEX($V$2:$AE$1001,MATCH(ROWS($O$2:O926),$O$2:$O$1001,0),MATCH(COLUMNS($V$1006:Z1006),$V$1006:$AE$1006,0)), HYPERLINK("#",""), HYPERLINK(CONCATENATE("#Metadata!", ADDRESS(INDEX($Q$2:$Q$1001,MATCH(ROWS($O$2:O926),$O$2:$O$1001,0),0), INDEX($V$1004:$AE$1004,1,MATCH(COLUMNS($V$1006:Z1006),$V$1006:$AE$1006,0)))),"Fix")))</f>
        <v>0</v>
      </c>
      <c r="G926" s="4">
        <f>IF(OR(INDEX($P$2:$P$1001,MATCH(ROWS($O$2:O926),$O$2:$O$1001,0),1)&gt;=100000,INDEX($V$1005:$AE$1005,1,MATCH(COLUMNS($V$1006:AA1006),$V$1006:$AE$1006,0))&gt;=100000), " ",IF(INDEX($V$2:$AE$1001,MATCH(ROWS($O$2:O926),$O$2:$O$1001,0),MATCH(COLUMNS($V$1006:AA1006),$V$1006:$AE$1006,0)), HYPERLINK("#",""), HYPERLINK(CONCATENATE("#Metadata!", ADDRESS(INDEX($Q$2:$Q$1001,MATCH(ROWS($O$2:O926),$O$2:$O$1001,0),0), INDEX($V$1004:$AE$1004,1,MATCH(COLUMNS($V$1006:AA1006),$V$1006:$AE$1006,0)))),"Fix")))</f>
        <v>0</v>
      </c>
      <c r="H926" s="4">
        <f>IF(OR(INDEX($P$2:$P$1001,MATCH(ROWS($O$2:O926),$O$2:$O$1001,0),1)&gt;=100000,INDEX($V$1005:$AE$1005,1,MATCH(COLUMNS($V$1006:AB1006),$V$1006:$AE$1006,0))&gt;=100000), " ",IF(INDEX($V$2:$AE$1001,MATCH(ROWS($O$2:O926),$O$2:$O$1001,0),MATCH(COLUMNS($V$1006:AB1006),$V$1006:$AE$1006,0)), HYPERLINK("#",""), HYPERLINK(CONCATENATE("#Metadata!", ADDRESS(INDEX($Q$2:$Q$1001,MATCH(ROWS($O$2:O926),$O$2:$O$1001,0),0), INDEX($V$1004:$AE$1004,1,MATCH(COLUMNS($V$1006:AB1006),$V$1006:$AE$1006,0)))),"Fix")))</f>
        <v>0</v>
      </c>
      <c r="I926" s="4">
        <f>IF(OR(INDEX($P$2:$P$1001,MATCH(ROWS($O$2:O926),$O$2:$O$1001,0),1)&gt;=100000,INDEX($V$1005:$AE$1005,1,MATCH(COLUMNS($V$1006:AC1006),$V$1006:$AE$1006,0))&gt;=100000), " ",IF(INDEX($V$2:$AE$1001,MATCH(ROWS($O$2:O926),$O$2:$O$1001,0),MATCH(COLUMNS($V$1006:AC1006),$V$1006:$AE$1006,0)), HYPERLINK("#",""), HYPERLINK(CONCATENATE("#Metadata!", ADDRESS(INDEX($Q$2:$Q$1001,MATCH(ROWS($O$2:O926),$O$2:$O$1001,0),0), INDEX($V$1004:$AE$1004,1,MATCH(COLUMNS($V$1006:AC1006),$V$1006:$AE$1006,0)))),"Fix")))</f>
        <v>0</v>
      </c>
      <c r="J926" s="4">
        <f>IF(OR(INDEX($P$2:$P$1001,MATCH(ROWS($O$2:O926),$O$2:$O$1001,0),1)&gt;=100000,INDEX($V$1005:$AE$1005,1,MATCH(COLUMNS($V$1006:AD1006),$V$1006:$AE$1006,0))&gt;=100000), " ",IF(INDEX($V$2:$AE$1001,MATCH(ROWS($O$2:O926),$O$2:$O$1001,0),MATCH(COLUMNS($V$1006:AD1006),$V$1006:$AE$1006,0)), HYPERLINK("#",""), HYPERLINK(CONCATENATE("#Metadata!", ADDRESS(INDEX($Q$2:$Q$1001,MATCH(ROWS($O$2:O926),$O$2:$O$1001,0),0), INDEX($V$1004:$AE$1004,1,MATCH(COLUMNS($V$1006:AD1006),$V$1006:$AE$1006,0)))),"Fix")))</f>
        <v>0</v>
      </c>
      <c r="K926" s="4">
        <f>IF(OR(INDEX($P$2:$P$1001,MATCH(ROWS($O$2:O926),$O$2:$O$1001,0),1)&gt;=100000,INDEX($V$1005:$AE$1005,1,MATCH(COLUMNS($V$1006:AE1006),$V$1006:$AE$1006,0))&gt;=100000), " ",IF(INDEX($V$2:$AE$1001,MATCH(ROWS($O$2:O926),$O$2:$O$1001,0),MATCH(COLUMNS($V$1006:AE1006),$V$1006:$AE$1006,0)), HYPERLINK("#",""), HYPERLINK(CONCATENATE("#Metadata!", ADDRESS(INDEX($Q$2:$Q$1001,MATCH(ROWS($O$2:O926),$O$2:$O$1001,0),0), INDEX($V$1004:$AE$1004,1,MATCH(COLUMNS($V$1006:AE1006),$V$1006:$AE$1006,0)))),"Fix")))</f>
        <v>0</v>
      </c>
      <c r="O926">
        <v>0</v>
      </c>
      <c r="P926">
        <v>0</v>
      </c>
      <c r="Q926">
        <v>0</v>
      </c>
      <c r="R926">
        <f>IF(S926,TRUE,AND(V926:AE926))</f>
        <v>0</v>
      </c>
      <c r="S926">
        <f>COUNTBLANK(Metadata!B926:K926)=COLUMNS(Metadata!B926:K926)</f>
        <v>0</v>
      </c>
      <c r="T926">
        <v>0</v>
      </c>
      <c r="V926">
        <f>AND(IF(Metadata!B926="",FALSE,TRUE),COUNTIF(Metadata!B:B, Metadata!B926) = 1,NOT(ISERROR(SUMPRODUCT(SEARCH(MID(Metadata!B926,ROW(INDIRECT("1:"&amp;LEN(Metadata!B926))), 1),"0123456789abcdefghijklmnopqrstuvwxyzABCDEFGHIJKLMNOPQRSTUVWXYZ.")))))</f>
        <v>0</v>
      </c>
      <c r="W926">
        <f>AND(IF(Metadata!C926="",FALSE,TRUE),exact(Metadata!C926,"urban biome"))</f>
        <v>0</v>
      </c>
      <c r="X926">
        <f>AND(IF(Metadata!D926="",FALSE,TRUE),exact(Metadata!D926,"animal-associated habitat"))</f>
        <v>0</v>
      </c>
      <c r="Y926">
        <f>OR(AND(IF(Metadata!E926="",FALSE,TRUE),OR(exact(Metadata!E926,"not applicable"),exact(Metadata!E926,"missing: not collected"),exact(Metadata!E926,"missing: not provided"),exact(Metadata!E926,"missing: restricted access"))),AND(IF(Metadata!E926="",FALSE,ISNUMBER(VALUE(Metadata!E926))),Metadata!E926&gt;0))</f>
        <v>0</v>
      </c>
      <c r="Z926">
        <f>AND(IF(Metadata!F926="",FALSE,TRUE),exact(Metadata!F926,"weeks"))</f>
        <v>0</v>
      </c>
      <c r="AA926">
        <f>AND(IF(Metadata!G926="",FALSE,TRUE),exact(Metadata!G926,"mouse"))</f>
        <v>0</v>
      </c>
      <c r="AB926">
        <f>AND(IF(Metadata!H926="",FALSE,TRUE),exact(Metadata!H926,"Mus musculus"))</f>
        <v>0</v>
      </c>
      <c r="AC926">
        <f>AND(IF(Metadata!I926="",FALSE,TRUE),exact(Metadata!I926,"10090"))</f>
        <v>0</v>
      </c>
      <c r="AD926">
        <f>OR(AND(IF(Metadata!J926="",FALSE,TRUE),OR(exact(Metadata!J926,"not applicable"),exact(Metadata!J926,"missing: not collected"),exact(Metadata!J926,"missing: not provided"),exact(Metadata!J926,"missing: restricted access"))),AND(IF(Metadata!J926="",FALSE,ISNUMBER(VALUE(Metadata!J926))),Metadata!J926&gt;0))</f>
        <v>0</v>
      </c>
      <c r="AE926">
        <f>AND(IF(Metadata!K926="",FALSE,TRUE),exact(Metadata!K926,"g"))</f>
        <v>0</v>
      </c>
    </row>
    <row r="927" spans="1:31">
      <c r="A927" s="5">
        <f>IF(B927=" "," ",HYPERLINK(CONCATENATE("#metadata!",ADDRESS(INDEX($Q$2:$Q$1001,MATCH(ROWS($O$2:O927),$O$2:$O$1001,0),0),1)),INDEX($T$2:$T$1001,MATCH(ROWS($O$2:O927),$O$2:$O$1001,0),0)))</f>
        <v>0</v>
      </c>
      <c r="B927" s="4">
        <f>IF(OR(INDEX($P$2:$P$1001,MATCH(ROWS($O$2:O927),$O$2:$O$1001,0),1)&gt;=100000,INDEX($V$1005:$AE$1005,1,MATCH(COLUMNS($V$1006:V1006),$V$1006:$AE$1006,0))&gt;=100000), " ",IF(INDEX($V$2:$AE$1001,MATCH(ROWS($O$2:O927),$O$2:$O$1001,0),MATCH(COLUMNS($V$1006:V1006),$V$1006:$AE$1006,0)), HYPERLINK("#",""), HYPERLINK(CONCATENATE("#Metadata!", ADDRESS(INDEX($Q$2:$Q$1001,MATCH(ROWS($O$2:O927),$O$2:$O$1001,0),0), INDEX($V$1004:$AE$1004,1,MATCH(COLUMNS($V$1006:V1006),$V$1006:$AE$1006,0)))),"Fix")))</f>
        <v>0</v>
      </c>
      <c r="C927" s="4">
        <f>IF(OR(INDEX($P$2:$P$1001,MATCH(ROWS($O$2:O927),$O$2:$O$1001,0),1)&gt;=100000,INDEX($V$1005:$AE$1005,1,MATCH(COLUMNS($V$1006:W1006),$V$1006:$AE$1006,0))&gt;=100000), " ",IF(INDEX($V$2:$AE$1001,MATCH(ROWS($O$2:O927),$O$2:$O$1001,0),MATCH(COLUMNS($V$1006:W1006),$V$1006:$AE$1006,0)), HYPERLINK("#",""), HYPERLINK(CONCATENATE("#Metadata!", ADDRESS(INDEX($Q$2:$Q$1001,MATCH(ROWS($O$2:O927),$O$2:$O$1001,0),0), INDEX($V$1004:$AE$1004,1,MATCH(COLUMNS($V$1006:W1006),$V$1006:$AE$1006,0)))),"Fix")))</f>
        <v>0</v>
      </c>
      <c r="D927" s="4">
        <f>IF(OR(INDEX($P$2:$P$1001,MATCH(ROWS($O$2:O927),$O$2:$O$1001,0),1)&gt;=100000,INDEX($V$1005:$AE$1005,1,MATCH(COLUMNS($V$1006:X1006),$V$1006:$AE$1006,0))&gt;=100000), " ",IF(INDEX($V$2:$AE$1001,MATCH(ROWS($O$2:O927),$O$2:$O$1001,0),MATCH(COLUMNS($V$1006:X1006),$V$1006:$AE$1006,0)), HYPERLINK("#",""), HYPERLINK(CONCATENATE("#Metadata!", ADDRESS(INDEX($Q$2:$Q$1001,MATCH(ROWS($O$2:O927),$O$2:$O$1001,0),0), INDEX($V$1004:$AE$1004,1,MATCH(COLUMNS($V$1006:X1006),$V$1006:$AE$1006,0)))),"Fix")))</f>
        <v>0</v>
      </c>
      <c r="E927" s="4">
        <f>IF(OR(INDEX($P$2:$P$1001,MATCH(ROWS($O$2:O927),$O$2:$O$1001,0),1)&gt;=100000,INDEX($V$1005:$AE$1005,1,MATCH(COLUMNS($V$1006:Y1006),$V$1006:$AE$1006,0))&gt;=100000), " ",IF(INDEX($V$2:$AE$1001,MATCH(ROWS($O$2:O927),$O$2:$O$1001,0),MATCH(COLUMNS($V$1006:Y1006),$V$1006:$AE$1006,0)), HYPERLINK("#",""), HYPERLINK(CONCATENATE("#Metadata!", ADDRESS(INDEX($Q$2:$Q$1001,MATCH(ROWS($O$2:O927),$O$2:$O$1001,0),0), INDEX($V$1004:$AE$1004,1,MATCH(COLUMNS($V$1006:Y1006),$V$1006:$AE$1006,0)))),"Fix")))</f>
        <v>0</v>
      </c>
      <c r="F927" s="4">
        <f>IF(OR(INDEX($P$2:$P$1001,MATCH(ROWS($O$2:O927),$O$2:$O$1001,0),1)&gt;=100000,INDEX($V$1005:$AE$1005,1,MATCH(COLUMNS($V$1006:Z1006),$V$1006:$AE$1006,0))&gt;=100000), " ",IF(INDEX($V$2:$AE$1001,MATCH(ROWS($O$2:O927),$O$2:$O$1001,0),MATCH(COLUMNS($V$1006:Z1006),$V$1006:$AE$1006,0)), HYPERLINK("#",""), HYPERLINK(CONCATENATE("#Metadata!", ADDRESS(INDEX($Q$2:$Q$1001,MATCH(ROWS($O$2:O927),$O$2:$O$1001,0),0), INDEX($V$1004:$AE$1004,1,MATCH(COLUMNS($V$1006:Z1006),$V$1006:$AE$1006,0)))),"Fix")))</f>
        <v>0</v>
      </c>
      <c r="G927" s="4">
        <f>IF(OR(INDEX($P$2:$P$1001,MATCH(ROWS($O$2:O927),$O$2:$O$1001,0),1)&gt;=100000,INDEX($V$1005:$AE$1005,1,MATCH(COLUMNS($V$1006:AA1006),$V$1006:$AE$1006,0))&gt;=100000), " ",IF(INDEX($V$2:$AE$1001,MATCH(ROWS($O$2:O927),$O$2:$O$1001,0),MATCH(COLUMNS($V$1006:AA1006),$V$1006:$AE$1006,0)), HYPERLINK("#",""), HYPERLINK(CONCATENATE("#Metadata!", ADDRESS(INDEX($Q$2:$Q$1001,MATCH(ROWS($O$2:O927),$O$2:$O$1001,0),0), INDEX($V$1004:$AE$1004,1,MATCH(COLUMNS($V$1006:AA1006),$V$1006:$AE$1006,0)))),"Fix")))</f>
        <v>0</v>
      </c>
      <c r="H927" s="4">
        <f>IF(OR(INDEX($P$2:$P$1001,MATCH(ROWS($O$2:O927),$O$2:$O$1001,0),1)&gt;=100000,INDEX($V$1005:$AE$1005,1,MATCH(COLUMNS($V$1006:AB1006),$V$1006:$AE$1006,0))&gt;=100000), " ",IF(INDEX($V$2:$AE$1001,MATCH(ROWS($O$2:O927),$O$2:$O$1001,0),MATCH(COLUMNS($V$1006:AB1006),$V$1006:$AE$1006,0)), HYPERLINK("#",""), HYPERLINK(CONCATENATE("#Metadata!", ADDRESS(INDEX($Q$2:$Q$1001,MATCH(ROWS($O$2:O927),$O$2:$O$1001,0),0), INDEX($V$1004:$AE$1004,1,MATCH(COLUMNS($V$1006:AB1006),$V$1006:$AE$1006,0)))),"Fix")))</f>
        <v>0</v>
      </c>
      <c r="I927" s="4">
        <f>IF(OR(INDEX($P$2:$P$1001,MATCH(ROWS($O$2:O927),$O$2:$O$1001,0),1)&gt;=100000,INDEX($V$1005:$AE$1005,1,MATCH(COLUMNS($V$1006:AC1006),$V$1006:$AE$1006,0))&gt;=100000), " ",IF(INDEX($V$2:$AE$1001,MATCH(ROWS($O$2:O927),$O$2:$O$1001,0),MATCH(COLUMNS($V$1006:AC1006),$V$1006:$AE$1006,0)), HYPERLINK("#",""), HYPERLINK(CONCATENATE("#Metadata!", ADDRESS(INDEX($Q$2:$Q$1001,MATCH(ROWS($O$2:O927),$O$2:$O$1001,0),0), INDEX($V$1004:$AE$1004,1,MATCH(COLUMNS($V$1006:AC1006),$V$1006:$AE$1006,0)))),"Fix")))</f>
        <v>0</v>
      </c>
      <c r="J927" s="4">
        <f>IF(OR(INDEX($P$2:$P$1001,MATCH(ROWS($O$2:O927),$O$2:$O$1001,0),1)&gt;=100000,INDEX($V$1005:$AE$1005,1,MATCH(COLUMNS($V$1006:AD1006),$V$1006:$AE$1006,0))&gt;=100000), " ",IF(INDEX($V$2:$AE$1001,MATCH(ROWS($O$2:O927),$O$2:$O$1001,0),MATCH(COLUMNS($V$1006:AD1006),$V$1006:$AE$1006,0)), HYPERLINK("#",""), HYPERLINK(CONCATENATE("#Metadata!", ADDRESS(INDEX($Q$2:$Q$1001,MATCH(ROWS($O$2:O927),$O$2:$O$1001,0),0), INDEX($V$1004:$AE$1004,1,MATCH(COLUMNS($V$1006:AD1006),$V$1006:$AE$1006,0)))),"Fix")))</f>
        <v>0</v>
      </c>
      <c r="K927" s="4">
        <f>IF(OR(INDEX($P$2:$P$1001,MATCH(ROWS($O$2:O927),$O$2:$O$1001,0),1)&gt;=100000,INDEX($V$1005:$AE$1005,1,MATCH(COLUMNS($V$1006:AE1006),$V$1006:$AE$1006,0))&gt;=100000), " ",IF(INDEX($V$2:$AE$1001,MATCH(ROWS($O$2:O927),$O$2:$O$1001,0),MATCH(COLUMNS($V$1006:AE1006),$V$1006:$AE$1006,0)), HYPERLINK("#",""), HYPERLINK(CONCATENATE("#Metadata!", ADDRESS(INDEX($Q$2:$Q$1001,MATCH(ROWS($O$2:O927),$O$2:$O$1001,0),0), INDEX($V$1004:$AE$1004,1,MATCH(COLUMNS($V$1006:AE1006),$V$1006:$AE$1006,0)))),"Fix")))</f>
        <v>0</v>
      </c>
      <c r="O927">
        <v>0</v>
      </c>
      <c r="P927">
        <v>0</v>
      </c>
      <c r="Q927">
        <v>0</v>
      </c>
      <c r="R927">
        <f>IF(S927,TRUE,AND(V927:AE927))</f>
        <v>0</v>
      </c>
      <c r="S927">
        <f>COUNTBLANK(Metadata!B927:K927)=COLUMNS(Metadata!B927:K927)</f>
        <v>0</v>
      </c>
      <c r="T927">
        <v>0</v>
      </c>
      <c r="V927">
        <f>AND(IF(Metadata!B927="",FALSE,TRUE),COUNTIF(Metadata!B:B, Metadata!B927) = 1,NOT(ISERROR(SUMPRODUCT(SEARCH(MID(Metadata!B927,ROW(INDIRECT("1:"&amp;LEN(Metadata!B927))), 1),"0123456789abcdefghijklmnopqrstuvwxyzABCDEFGHIJKLMNOPQRSTUVWXYZ.")))))</f>
        <v>0</v>
      </c>
      <c r="W927">
        <f>AND(IF(Metadata!C927="",FALSE,TRUE),exact(Metadata!C927,"urban biome"))</f>
        <v>0</v>
      </c>
      <c r="X927">
        <f>AND(IF(Metadata!D927="",FALSE,TRUE),exact(Metadata!D927,"animal-associated habitat"))</f>
        <v>0</v>
      </c>
      <c r="Y927">
        <f>OR(AND(IF(Metadata!E927="",FALSE,TRUE),OR(exact(Metadata!E927,"not applicable"),exact(Metadata!E927,"missing: not collected"),exact(Metadata!E927,"missing: not provided"),exact(Metadata!E927,"missing: restricted access"))),AND(IF(Metadata!E927="",FALSE,ISNUMBER(VALUE(Metadata!E927))),Metadata!E927&gt;0))</f>
        <v>0</v>
      </c>
      <c r="Z927">
        <f>AND(IF(Metadata!F927="",FALSE,TRUE),exact(Metadata!F927,"weeks"))</f>
        <v>0</v>
      </c>
      <c r="AA927">
        <f>AND(IF(Metadata!G927="",FALSE,TRUE),exact(Metadata!G927,"mouse"))</f>
        <v>0</v>
      </c>
      <c r="AB927">
        <f>AND(IF(Metadata!H927="",FALSE,TRUE),exact(Metadata!H927,"Mus musculus"))</f>
        <v>0</v>
      </c>
      <c r="AC927">
        <f>AND(IF(Metadata!I927="",FALSE,TRUE),exact(Metadata!I927,"10090"))</f>
        <v>0</v>
      </c>
      <c r="AD927">
        <f>OR(AND(IF(Metadata!J927="",FALSE,TRUE),OR(exact(Metadata!J927,"not applicable"),exact(Metadata!J927,"missing: not collected"),exact(Metadata!J927,"missing: not provided"),exact(Metadata!J927,"missing: restricted access"))),AND(IF(Metadata!J927="",FALSE,ISNUMBER(VALUE(Metadata!J927))),Metadata!J927&gt;0))</f>
        <v>0</v>
      </c>
      <c r="AE927">
        <f>AND(IF(Metadata!K927="",FALSE,TRUE),exact(Metadata!K927,"g"))</f>
        <v>0</v>
      </c>
    </row>
    <row r="928" spans="1:31">
      <c r="A928" s="5">
        <f>IF(B928=" "," ",HYPERLINK(CONCATENATE("#metadata!",ADDRESS(INDEX($Q$2:$Q$1001,MATCH(ROWS($O$2:O928),$O$2:$O$1001,0),0),1)),INDEX($T$2:$T$1001,MATCH(ROWS($O$2:O928),$O$2:$O$1001,0),0)))</f>
        <v>0</v>
      </c>
      <c r="B928" s="4">
        <f>IF(OR(INDEX($P$2:$P$1001,MATCH(ROWS($O$2:O928),$O$2:$O$1001,0),1)&gt;=100000,INDEX($V$1005:$AE$1005,1,MATCH(COLUMNS($V$1006:V1006),$V$1006:$AE$1006,0))&gt;=100000), " ",IF(INDEX($V$2:$AE$1001,MATCH(ROWS($O$2:O928),$O$2:$O$1001,0),MATCH(COLUMNS($V$1006:V1006),$V$1006:$AE$1006,0)), HYPERLINK("#",""), HYPERLINK(CONCATENATE("#Metadata!", ADDRESS(INDEX($Q$2:$Q$1001,MATCH(ROWS($O$2:O928),$O$2:$O$1001,0),0), INDEX($V$1004:$AE$1004,1,MATCH(COLUMNS($V$1006:V1006),$V$1006:$AE$1006,0)))),"Fix")))</f>
        <v>0</v>
      </c>
      <c r="C928" s="4">
        <f>IF(OR(INDEX($P$2:$P$1001,MATCH(ROWS($O$2:O928),$O$2:$O$1001,0),1)&gt;=100000,INDEX($V$1005:$AE$1005,1,MATCH(COLUMNS($V$1006:W1006),$V$1006:$AE$1006,0))&gt;=100000), " ",IF(INDEX($V$2:$AE$1001,MATCH(ROWS($O$2:O928),$O$2:$O$1001,0),MATCH(COLUMNS($V$1006:W1006),$V$1006:$AE$1006,0)), HYPERLINK("#",""), HYPERLINK(CONCATENATE("#Metadata!", ADDRESS(INDEX($Q$2:$Q$1001,MATCH(ROWS($O$2:O928),$O$2:$O$1001,0),0), INDEX($V$1004:$AE$1004,1,MATCH(COLUMNS($V$1006:W1006),$V$1006:$AE$1006,0)))),"Fix")))</f>
        <v>0</v>
      </c>
      <c r="D928" s="4">
        <f>IF(OR(INDEX($P$2:$P$1001,MATCH(ROWS($O$2:O928),$O$2:$O$1001,0),1)&gt;=100000,INDEX($V$1005:$AE$1005,1,MATCH(COLUMNS($V$1006:X1006),$V$1006:$AE$1006,0))&gt;=100000), " ",IF(INDEX($V$2:$AE$1001,MATCH(ROWS($O$2:O928),$O$2:$O$1001,0),MATCH(COLUMNS($V$1006:X1006),$V$1006:$AE$1006,0)), HYPERLINK("#",""), HYPERLINK(CONCATENATE("#Metadata!", ADDRESS(INDEX($Q$2:$Q$1001,MATCH(ROWS($O$2:O928),$O$2:$O$1001,0),0), INDEX($V$1004:$AE$1004,1,MATCH(COLUMNS($V$1006:X1006),$V$1006:$AE$1006,0)))),"Fix")))</f>
        <v>0</v>
      </c>
      <c r="E928" s="4">
        <f>IF(OR(INDEX($P$2:$P$1001,MATCH(ROWS($O$2:O928),$O$2:$O$1001,0),1)&gt;=100000,INDEX($V$1005:$AE$1005,1,MATCH(COLUMNS($V$1006:Y1006),$V$1006:$AE$1006,0))&gt;=100000), " ",IF(INDEX($V$2:$AE$1001,MATCH(ROWS($O$2:O928),$O$2:$O$1001,0),MATCH(COLUMNS($V$1006:Y1006),$V$1006:$AE$1006,0)), HYPERLINK("#",""), HYPERLINK(CONCATENATE("#Metadata!", ADDRESS(INDEX($Q$2:$Q$1001,MATCH(ROWS($O$2:O928),$O$2:$O$1001,0),0), INDEX($V$1004:$AE$1004,1,MATCH(COLUMNS($V$1006:Y1006),$V$1006:$AE$1006,0)))),"Fix")))</f>
        <v>0</v>
      </c>
      <c r="F928" s="4">
        <f>IF(OR(INDEX($P$2:$P$1001,MATCH(ROWS($O$2:O928),$O$2:$O$1001,0),1)&gt;=100000,INDEX($V$1005:$AE$1005,1,MATCH(COLUMNS($V$1006:Z1006),$V$1006:$AE$1006,0))&gt;=100000), " ",IF(INDEX($V$2:$AE$1001,MATCH(ROWS($O$2:O928),$O$2:$O$1001,0),MATCH(COLUMNS($V$1006:Z1006),$V$1006:$AE$1006,0)), HYPERLINK("#",""), HYPERLINK(CONCATENATE("#Metadata!", ADDRESS(INDEX($Q$2:$Q$1001,MATCH(ROWS($O$2:O928),$O$2:$O$1001,0),0), INDEX($V$1004:$AE$1004,1,MATCH(COLUMNS($V$1006:Z1006),$V$1006:$AE$1006,0)))),"Fix")))</f>
        <v>0</v>
      </c>
      <c r="G928" s="4">
        <f>IF(OR(INDEX($P$2:$P$1001,MATCH(ROWS($O$2:O928),$O$2:$O$1001,0),1)&gt;=100000,INDEX($V$1005:$AE$1005,1,MATCH(COLUMNS($V$1006:AA1006),$V$1006:$AE$1006,0))&gt;=100000), " ",IF(INDEX($V$2:$AE$1001,MATCH(ROWS($O$2:O928),$O$2:$O$1001,0),MATCH(COLUMNS($V$1006:AA1006),$V$1006:$AE$1006,0)), HYPERLINK("#",""), HYPERLINK(CONCATENATE("#Metadata!", ADDRESS(INDEX($Q$2:$Q$1001,MATCH(ROWS($O$2:O928),$O$2:$O$1001,0),0), INDEX($V$1004:$AE$1004,1,MATCH(COLUMNS($V$1006:AA1006),$V$1006:$AE$1006,0)))),"Fix")))</f>
        <v>0</v>
      </c>
      <c r="H928" s="4">
        <f>IF(OR(INDEX($P$2:$P$1001,MATCH(ROWS($O$2:O928),$O$2:$O$1001,0),1)&gt;=100000,INDEX($V$1005:$AE$1005,1,MATCH(COLUMNS($V$1006:AB1006),$V$1006:$AE$1006,0))&gt;=100000), " ",IF(INDEX($V$2:$AE$1001,MATCH(ROWS($O$2:O928),$O$2:$O$1001,0),MATCH(COLUMNS($V$1006:AB1006),$V$1006:$AE$1006,0)), HYPERLINK("#",""), HYPERLINK(CONCATENATE("#Metadata!", ADDRESS(INDEX($Q$2:$Q$1001,MATCH(ROWS($O$2:O928),$O$2:$O$1001,0),0), INDEX($V$1004:$AE$1004,1,MATCH(COLUMNS($V$1006:AB1006),$V$1006:$AE$1006,0)))),"Fix")))</f>
        <v>0</v>
      </c>
      <c r="I928" s="4">
        <f>IF(OR(INDEX($P$2:$P$1001,MATCH(ROWS($O$2:O928),$O$2:$O$1001,0),1)&gt;=100000,INDEX($V$1005:$AE$1005,1,MATCH(COLUMNS($V$1006:AC1006),$V$1006:$AE$1006,0))&gt;=100000), " ",IF(INDEX($V$2:$AE$1001,MATCH(ROWS($O$2:O928),$O$2:$O$1001,0),MATCH(COLUMNS($V$1006:AC1006),$V$1006:$AE$1006,0)), HYPERLINK("#",""), HYPERLINK(CONCATENATE("#Metadata!", ADDRESS(INDEX($Q$2:$Q$1001,MATCH(ROWS($O$2:O928),$O$2:$O$1001,0),0), INDEX($V$1004:$AE$1004,1,MATCH(COLUMNS($V$1006:AC1006),$V$1006:$AE$1006,0)))),"Fix")))</f>
        <v>0</v>
      </c>
      <c r="J928" s="4">
        <f>IF(OR(INDEX($P$2:$P$1001,MATCH(ROWS($O$2:O928),$O$2:$O$1001,0),1)&gt;=100000,INDEX($V$1005:$AE$1005,1,MATCH(COLUMNS($V$1006:AD1006),$V$1006:$AE$1006,0))&gt;=100000), " ",IF(INDEX($V$2:$AE$1001,MATCH(ROWS($O$2:O928),$O$2:$O$1001,0),MATCH(COLUMNS($V$1006:AD1006),$V$1006:$AE$1006,0)), HYPERLINK("#",""), HYPERLINK(CONCATENATE("#Metadata!", ADDRESS(INDEX($Q$2:$Q$1001,MATCH(ROWS($O$2:O928),$O$2:$O$1001,0),0), INDEX($V$1004:$AE$1004,1,MATCH(COLUMNS($V$1006:AD1006),$V$1006:$AE$1006,0)))),"Fix")))</f>
        <v>0</v>
      </c>
      <c r="K928" s="4">
        <f>IF(OR(INDEX($P$2:$P$1001,MATCH(ROWS($O$2:O928),$O$2:$O$1001,0),1)&gt;=100000,INDEX($V$1005:$AE$1005,1,MATCH(COLUMNS($V$1006:AE1006),$V$1006:$AE$1006,0))&gt;=100000), " ",IF(INDEX($V$2:$AE$1001,MATCH(ROWS($O$2:O928),$O$2:$O$1001,0),MATCH(COLUMNS($V$1006:AE1006),$V$1006:$AE$1006,0)), HYPERLINK("#",""), HYPERLINK(CONCATENATE("#Metadata!", ADDRESS(INDEX($Q$2:$Q$1001,MATCH(ROWS($O$2:O928),$O$2:$O$1001,0),0), INDEX($V$1004:$AE$1004,1,MATCH(COLUMNS($V$1006:AE1006),$V$1006:$AE$1006,0)))),"Fix")))</f>
        <v>0</v>
      </c>
      <c r="O928">
        <v>0</v>
      </c>
      <c r="P928">
        <v>0</v>
      </c>
      <c r="Q928">
        <v>0</v>
      </c>
      <c r="R928">
        <f>IF(S928,TRUE,AND(V928:AE928))</f>
        <v>0</v>
      </c>
      <c r="S928">
        <f>COUNTBLANK(Metadata!B928:K928)=COLUMNS(Metadata!B928:K928)</f>
        <v>0</v>
      </c>
      <c r="T928">
        <v>0</v>
      </c>
      <c r="V928">
        <f>AND(IF(Metadata!B928="",FALSE,TRUE),COUNTIF(Metadata!B:B, Metadata!B928) = 1,NOT(ISERROR(SUMPRODUCT(SEARCH(MID(Metadata!B928,ROW(INDIRECT("1:"&amp;LEN(Metadata!B928))), 1),"0123456789abcdefghijklmnopqrstuvwxyzABCDEFGHIJKLMNOPQRSTUVWXYZ.")))))</f>
        <v>0</v>
      </c>
      <c r="W928">
        <f>AND(IF(Metadata!C928="",FALSE,TRUE),exact(Metadata!C928,"urban biome"))</f>
        <v>0</v>
      </c>
      <c r="X928">
        <f>AND(IF(Metadata!D928="",FALSE,TRUE),exact(Metadata!D928,"animal-associated habitat"))</f>
        <v>0</v>
      </c>
      <c r="Y928">
        <f>OR(AND(IF(Metadata!E928="",FALSE,TRUE),OR(exact(Metadata!E928,"not applicable"),exact(Metadata!E928,"missing: not collected"),exact(Metadata!E928,"missing: not provided"),exact(Metadata!E928,"missing: restricted access"))),AND(IF(Metadata!E928="",FALSE,ISNUMBER(VALUE(Metadata!E928))),Metadata!E928&gt;0))</f>
        <v>0</v>
      </c>
      <c r="Z928">
        <f>AND(IF(Metadata!F928="",FALSE,TRUE),exact(Metadata!F928,"weeks"))</f>
        <v>0</v>
      </c>
      <c r="AA928">
        <f>AND(IF(Metadata!G928="",FALSE,TRUE),exact(Metadata!G928,"mouse"))</f>
        <v>0</v>
      </c>
      <c r="AB928">
        <f>AND(IF(Metadata!H928="",FALSE,TRUE),exact(Metadata!H928,"Mus musculus"))</f>
        <v>0</v>
      </c>
      <c r="AC928">
        <f>AND(IF(Metadata!I928="",FALSE,TRUE),exact(Metadata!I928,"10090"))</f>
        <v>0</v>
      </c>
      <c r="AD928">
        <f>OR(AND(IF(Metadata!J928="",FALSE,TRUE),OR(exact(Metadata!J928,"not applicable"),exact(Metadata!J928,"missing: not collected"),exact(Metadata!J928,"missing: not provided"),exact(Metadata!J928,"missing: restricted access"))),AND(IF(Metadata!J928="",FALSE,ISNUMBER(VALUE(Metadata!J928))),Metadata!J928&gt;0))</f>
        <v>0</v>
      </c>
      <c r="AE928">
        <f>AND(IF(Metadata!K928="",FALSE,TRUE),exact(Metadata!K928,"g"))</f>
        <v>0</v>
      </c>
    </row>
    <row r="929" spans="1:31">
      <c r="A929" s="5">
        <f>IF(B929=" "," ",HYPERLINK(CONCATENATE("#metadata!",ADDRESS(INDEX($Q$2:$Q$1001,MATCH(ROWS($O$2:O929),$O$2:$O$1001,0),0),1)),INDEX($T$2:$T$1001,MATCH(ROWS($O$2:O929),$O$2:$O$1001,0),0)))</f>
        <v>0</v>
      </c>
      <c r="B929" s="4">
        <f>IF(OR(INDEX($P$2:$P$1001,MATCH(ROWS($O$2:O929),$O$2:$O$1001,0),1)&gt;=100000,INDEX($V$1005:$AE$1005,1,MATCH(COLUMNS($V$1006:V1006),$V$1006:$AE$1006,0))&gt;=100000), " ",IF(INDEX($V$2:$AE$1001,MATCH(ROWS($O$2:O929),$O$2:$O$1001,0),MATCH(COLUMNS($V$1006:V1006),$V$1006:$AE$1006,0)), HYPERLINK("#",""), HYPERLINK(CONCATENATE("#Metadata!", ADDRESS(INDEX($Q$2:$Q$1001,MATCH(ROWS($O$2:O929),$O$2:$O$1001,0),0), INDEX($V$1004:$AE$1004,1,MATCH(COLUMNS($V$1006:V1006),$V$1006:$AE$1006,0)))),"Fix")))</f>
        <v>0</v>
      </c>
      <c r="C929" s="4">
        <f>IF(OR(INDEX($P$2:$P$1001,MATCH(ROWS($O$2:O929),$O$2:$O$1001,0),1)&gt;=100000,INDEX($V$1005:$AE$1005,1,MATCH(COLUMNS($V$1006:W1006),$V$1006:$AE$1006,0))&gt;=100000), " ",IF(INDEX($V$2:$AE$1001,MATCH(ROWS($O$2:O929),$O$2:$O$1001,0),MATCH(COLUMNS($V$1006:W1006),$V$1006:$AE$1006,0)), HYPERLINK("#",""), HYPERLINK(CONCATENATE("#Metadata!", ADDRESS(INDEX($Q$2:$Q$1001,MATCH(ROWS($O$2:O929),$O$2:$O$1001,0),0), INDEX($V$1004:$AE$1004,1,MATCH(COLUMNS($V$1006:W1006),$V$1006:$AE$1006,0)))),"Fix")))</f>
        <v>0</v>
      </c>
      <c r="D929" s="4">
        <f>IF(OR(INDEX($P$2:$P$1001,MATCH(ROWS($O$2:O929),$O$2:$O$1001,0),1)&gt;=100000,INDEX($V$1005:$AE$1005,1,MATCH(COLUMNS($V$1006:X1006),$V$1006:$AE$1006,0))&gt;=100000), " ",IF(INDEX($V$2:$AE$1001,MATCH(ROWS($O$2:O929),$O$2:$O$1001,0),MATCH(COLUMNS($V$1006:X1006),$V$1006:$AE$1006,0)), HYPERLINK("#",""), HYPERLINK(CONCATENATE("#Metadata!", ADDRESS(INDEX($Q$2:$Q$1001,MATCH(ROWS($O$2:O929),$O$2:$O$1001,0),0), INDEX($V$1004:$AE$1004,1,MATCH(COLUMNS($V$1006:X1006),$V$1006:$AE$1006,0)))),"Fix")))</f>
        <v>0</v>
      </c>
      <c r="E929" s="4">
        <f>IF(OR(INDEX($P$2:$P$1001,MATCH(ROWS($O$2:O929),$O$2:$O$1001,0),1)&gt;=100000,INDEX($V$1005:$AE$1005,1,MATCH(COLUMNS($V$1006:Y1006),$V$1006:$AE$1006,0))&gt;=100000), " ",IF(INDEX($V$2:$AE$1001,MATCH(ROWS($O$2:O929),$O$2:$O$1001,0),MATCH(COLUMNS($V$1006:Y1006),$V$1006:$AE$1006,0)), HYPERLINK("#",""), HYPERLINK(CONCATENATE("#Metadata!", ADDRESS(INDEX($Q$2:$Q$1001,MATCH(ROWS($O$2:O929),$O$2:$O$1001,0),0), INDEX($V$1004:$AE$1004,1,MATCH(COLUMNS($V$1006:Y1006),$V$1006:$AE$1006,0)))),"Fix")))</f>
        <v>0</v>
      </c>
      <c r="F929" s="4">
        <f>IF(OR(INDEX($P$2:$P$1001,MATCH(ROWS($O$2:O929),$O$2:$O$1001,0),1)&gt;=100000,INDEX($V$1005:$AE$1005,1,MATCH(COLUMNS($V$1006:Z1006),$V$1006:$AE$1006,0))&gt;=100000), " ",IF(INDEX($V$2:$AE$1001,MATCH(ROWS($O$2:O929),$O$2:$O$1001,0),MATCH(COLUMNS($V$1006:Z1006),$V$1006:$AE$1006,0)), HYPERLINK("#",""), HYPERLINK(CONCATENATE("#Metadata!", ADDRESS(INDEX($Q$2:$Q$1001,MATCH(ROWS($O$2:O929),$O$2:$O$1001,0),0), INDEX($V$1004:$AE$1004,1,MATCH(COLUMNS($V$1006:Z1006),$V$1006:$AE$1006,0)))),"Fix")))</f>
        <v>0</v>
      </c>
      <c r="G929" s="4">
        <f>IF(OR(INDEX($P$2:$P$1001,MATCH(ROWS($O$2:O929),$O$2:$O$1001,0),1)&gt;=100000,INDEX($V$1005:$AE$1005,1,MATCH(COLUMNS($V$1006:AA1006),$V$1006:$AE$1006,0))&gt;=100000), " ",IF(INDEX($V$2:$AE$1001,MATCH(ROWS($O$2:O929),$O$2:$O$1001,0),MATCH(COLUMNS($V$1006:AA1006),$V$1006:$AE$1006,0)), HYPERLINK("#",""), HYPERLINK(CONCATENATE("#Metadata!", ADDRESS(INDEX($Q$2:$Q$1001,MATCH(ROWS($O$2:O929),$O$2:$O$1001,0),0), INDEX($V$1004:$AE$1004,1,MATCH(COLUMNS($V$1006:AA1006),$V$1006:$AE$1006,0)))),"Fix")))</f>
        <v>0</v>
      </c>
      <c r="H929" s="4">
        <f>IF(OR(INDEX($P$2:$P$1001,MATCH(ROWS($O$2:O929),$O$2:$O$1001,0),1)&gt;=100000,INDEX($V$1005:$AE$1005,1,MATCH(COLUMNS($V$1006:AB1006),$V$1006:$AE$1006,0))&gt;=100000), " ",IF(INDEX($V$2:$AE$1001,MATCH(ROWS($O$2:O929),$O$2:$O$1001,0),MATCH(COLUMNS($V$1006:AB1006),$V$1006:$AE$1006,0)), HYPERLINK("#",""), HYPERLINK(CONCATENATE("#Metadata!", ADDRESS(INDEX($Q$2:$Q$1001,MATCH(ROWS($O$2:O929),$O$2:$O$1001,0),0), INDEX($V$1004:$AE$1004,1,MATCH(COLUMNS($V$1006:AB1006),$V$1006:$AE$1006,0)))),"Fix")))</f>
        <v>0</v>
      </c>
      <c r="I929" s="4">
        <f>IF(OR(INDEX($P$2:$P$1001,MATCH(ROWS($O$2:O929),$O$2:$O$1001,0),1)&gt;=100000,INDEX($V$1005:$AE$1005,1,MATCH(COLUMNS($V$1006:AC1006),$V$1006:$AE$1006,0))&gt;=100000), " ",IF(INDEX($V$2:$AE$1001,MATCH(ROWS($O$2:O929),$O$2:$O$1001,0),MATCH(COLUMNS($V$1006:AC1006),$V$1006:$AE$1006,0)), HYPERLINK("#",""), HYPERLINK(CONCATENATE("#Metadata!", ADDRESS(INDEX($Q$2:$Q$1001,MATCH(ROWS($O$2:O929),$O$2:$O$1001,0),0), INDEX($V$1004:$AE$1004,1,MATCH(COLUMNS($V$1006:AC1006),$V$1006:$AE$1006,0)))),"Fix")))</f>
        <v>0</v>
      </c>
      <c r="J929" s="4">
        <f>IF(OR(INDEX($P$2:$P$1001,MATCH(ROWS($O$2:O929),$O$2:$O$1001,0),1)&gt;=100000,INDEX($V$1005:$AE$1005,1,MATCH(COLUMNS($V$1006:AD1006),$V$1006:$AE$1006,0))&gt;=100000), " ",IF(INDEX($V$2:$AE$1001,MATCH(ROWS($O$2:O929),$O$2:$O$1001,0),MATCH(COLUMNS($V$1006:AD1006),$V$1006:$AE$1006,0)), HYPERLINK("#",""), HYPERLINK(CONCATENATE("#Metadata!", ADDRESS(INDEX($Q$2:$Q$1001,MATCH(ROWS($O$2:O929),$O$2:$O$1001,0),0), INDEX($V$1004:$AE$1004,1,MATCH(COLUMNS($V$1006:AD1006),$V$1006:$AE$1006,0)))),"Fix")))</f>
        <v>0</v>
      </c>
      <c r="K929" s="4">
        <f>IF(OR(INDEX($P$2:$P$1001,MATCH(ROWS($O$2:O929),$O$2:$O$1001,0),1)&gt;=100000,INDEX($V$1005:$AE$1005,1,MATCH(COLUMNS($V$1006:AE1006),$V$1006:$AE$1006,0))&gt;=100000), " ",IF(INDEX($V$2:$AE$1001,MATCH(ROWS($O$2:O929),$O$2:$O$1001,0),MATCH(COLUMNS($V$1006:AE1006),$V$1006:$AE$1006,0)), HYPERLINK("#",""), HYPERLINK(CONCATENATE("#Metadata!", ADDRESS(INDEX($Q$2:$Q$1001,MATCH(ROWS($O$2:O929),$O$2:$O$1001,0),0), INDEX($V$1004:$AE$1004,1,MATCH(COLUMNS($V$1006:AE1006),$V$1006:$AE$1006,0)))),"Fix")))</f>
        <v>0</v>
      </c>
      <c r="O929">
        <v>0</v>
      </c>
      <c r="P929">
        <v>0</v>
      </c>
      <c r="Q929">
        <v>0</v>
      </c>
      <c r="R929">
        <f>IF(S929,TRUE,AND(V929:AE929))</f>
        <v>0</v>
      </c>
      <c r="S929">
        <f>COUNTBLANK(Metadata!B929:K929)=COLUMNS(Metadata!B929:K929)</f>
        <v>0</v>
      </c>
      <c r="T929">
        <v>0</v>
      </c>
      <c r="V929">
        <f>AND(IF(Metadata!B929="",FALSE,TRUE),COUNTIF(Metadata!B:B, Metadata!B929) = 1,NOT(ISERROR(SUMPRODUCT(SEARCH(MID(Metadata!B929,ROW(INDIRECT("1:"&amp;LEN(Metadata!B929))), 1),"0123456789abcdefghijklmnopqrstuvwxyzABCDEFGHIJKLMNOPQRSTUVWXYZ.")))))</f>
        <v>0</v>
      </c>
      <c r="W929">
        <f>AND(IF(Metadata!C929="",FALSE,TRUE),exact(Metadata!C929,"urban biome"))</f>
        <v>0</v>
      </c>
      <c r="X929">
        <f>AND(IF(Metadata!D929="",FALSE,TRUE),exact(Metadata!D929,"animal-associated habitat"))</f>
        <v>0</v>
      </c>
      <c r="Y929">
        <f>OR(AND(IF(Metadata!E929="",FALSE,TRUE),OR(exact(Metadata!E929,"not applicable"),exact(Metadata!E929,"missing: not collected"),exact(Metadata!E929,"missing: not provided"),exact(Metadata!E929,"missing: restricted access"))),AND(IF(Metadata!E929="",FALSE,ISNUMBER(VALUE(Metadata!E929))),Metadata!E929&gt;0))</f>
        <v>0</v>
      </c>
      <c r="Z929">
        <f>AND(IF(Metadata!F929="",FALSE,TRUE),exact(Metadata!F929,"weeks"))</f>
        <v>0</v>
      </c>
      <c r="AA929">
        <f>AND(IF(Metadata!G929="",FALSE,TRUE),exact(Metadata!G929,"mouse"))</f>
        <v>0</v>
      </c>
      <c r="AB929">
        <f>AND(IF(Metadata!H929="",FALSE,TRUE),exact(Metadata!H929,"Mus musculus"))</f>
        <v>0</v>
      </c>
      <c r="AC929">
        <f>AND(IF(Metadata!I929="",FALSE,TRUE),exact(Metadata!I929,"10090"))</f>
        <v>0</v>
      </c>
      <c r="AD929">
        <f>OR(AND(IF(Metadata!J929="",FALSE,TRUE),OR(exact(Metadata!J929,"not applicable"),exact(Metadata!J929,"missing: not collected"),exact(Metadata!J929,"missing: not provided"),exact(Metadata!J929,"missing: restricted access"))),AND(IF(Metadata!J929="",FALSE,ISNUMBER(VALUE(Metadata!J929))),Metadata!J929&gt;0))</f>
        <v>0</v>
      </c>
      <c r="AE929">
        <f>AND(IF(Metadata!K929="",FALSE,TRUE),exact(Metadata!K929,"g"))</f>
        <v>0</v>
      </c>
    </row>
    <row r="930" spans="1:31">
      <c r="A930" s="5">
        <f>IF(B930=" "," ",HYPERLINK(CONCATENATE("#metadata!",ADDRESS(INDEX($Q$2:$Q$1001,MATCH(ROWS($O$2:O930),$O$2:$O$1001,0),0),1)),INDEX($T$2:$T$1001,MATCH(ROWS($O$2:O930),$O$2:$O$1001,0),0)))</f>
        <v>0</v>
      </c>
      <c r="B930" s="4">
        <f>IF(OR(INDEX($P$2:$P$1001,MATCH(ROWS($O$2:O930),$O$2:$O$1001,0),1)&gt;=100000,INDEX($V$1005:$AE$1005,1,MATCH(COLUMNS($V$1006:V1006),$V$1006:$AE$1006,0))&gt;=100000), " ",IF(INDEX($V$2:$AE$1001,MATCH(ROWS($O$2:O930),$O$2:$O$1001,0),MATCH(COLUMNS($V$1006:V1006),$V$1006:$AE$1006,0)), HYPERLINK("#",""), HYPERLINK(CONCATENATE("#Metadata!", ADDRESS(INDEX($Q$2:$Q$1001,MATCH(ROWS($O$2:O930),$O$2:$O$1001,0),0), INDEX($V$1004:$AE$1004,1,MATCH(COLUMNS($V$1006:V1006),$V$1006:$AE$1006,0)))),"Fix")))</f>
        <v>0</v>
      </c>
      <c r="C930" s="4">
        <f>IF(OR(INDEX($P$2:$P$1001,MATCH(ROWS($O$2:O930),$O$2:$O$1001,0),1)&gt;=100000,INDEX($V$1005:$AE$1005,1,MATCH(COLUMNS($V$1006:W1006),$V$1006:$AE$1006,0))&gt;=100000), " ",IF(INDEX($V$2:$AE$1001,MATCH(ROWS($O$2:O930),$O$2:$O$1001,0),MATCH(COLUMNS($V$1006:W1006),$V$1006:$AE$1006,0)), HYPERLINK("#",""), HYPERLINK(CONCATENATE("#Metadata!", ADDRESS(INDEX($Q$2:$Q$1001,MATCH(ROWS($O$2:O930),$O$2:$O$1001,0),0), INDEX($V$1004:$AE$1004,1,MATCH(COLUMNS($V$1006:W1006),$V$1006:$AE$1006,0)))),"Fix")))</f>
        <v>0</v>
      </c>
      <c r="D930" s="4">
        <f>IF(OR(INDEX($P$2:$P$1001,MATCH(ROWS($O$2:O930),$O$2:$O$1001,0),1)&gt;=100000,INDEX($V$1005:$AE$1005,1,MATCH(COLUMNS($V$1006:X1006),$V$1006:$AE$1006,0))&gt;=100000), " ",IF(INDEX($V$2:$AE$1001,MATCH(ROWS($O$2:O930),$O$2:$O$1001,0),MATCH(COLUMNS($V$1006:X1006),$V$1006:$AE$1006,0)), HYPERLINK("#",""), HYPERLINK(CONCATENATE("#Metadata!", ADDRESS(INDEX($Q$2:$Q$1001,MATCH(ROWS($O$2:O930),$O$2:$O$1001,0),0), INDEX($V$1004:$AE$1004,1,MATCH(COLUMNS($V$1006:X1006),$V$1006:$AE$1006,0)))),"Fix")))</f>
        <v>0</v>
      </c>
      <c r="E930" s="4">
        <f>IF(OR(INDEX($P$2:$P$1001,MATCH(ROWS($O$2:O930),$O$2:$O$1001,0),1)&gt;=100000,INDEX($V$1005:$AE$1005,1,MATCH(COLUMNS($V$1006:Y1006),$V$1006:$AE$1006,0))&gt;=100000), " ",IF(INDEX($V$2:$AE$1001,MATCH(ROWS($O$2:O930),$O$2:$O$1001,0),MATCH(COLUMNS($V$1006:Y1006),$V$1006:$AE$1006,0)), HYPERLINK("#",""), HYPERLINK(CONCATENATE("#Metadata!", ADDRESS(INDEX($Q$2:$Q$1001,MATCH(ROWS($O$2:O930),$O$2:$O$1001,0),0), INDEX($V$1004:$AE$1004,1,MATCH(COLUMNS($V$1006:Y1006),$V$1006:$AE$1006,0)))),"Fix")))</f>
        <v>0</v>
      </c>
      <c r="F930" s="4">
        <f>IF(OR(INDEX($P$2:$P$1001,MATCH(ROWS($O$2:O930),$O$2:$O$1001,0),1)&gt;=100000,INDEX($V$1005:$AE$1005,1,MATCH(COLUMNS($V$1006:Z1006),$V$1006:$AE$1006,0))&gt;=100000), " ",IF(INDEX($V$2:$AE$1001,MATCH(ROWS($O$2:O930),$O$2:$O$1001,0),MATCH(COLUMNS($V$1006:Z1006),$V$1006:$AE$1006,0)), HYPERLINK("#",""), HYPERLINK(CONCATENATE("#Metadata!", ADDRESS(INDEX($Q$2:$Q$1001,MATCH(ROWS($O$2:O930),$O$2:$O$1001,0),0), INDEX($V$1004:$AE$1004,1,MATCH(COLUMNS($V$1006:Z1006),$V$1006:$AE$1006,0)))),"Fix")))</f>
        <v>0</v>
      </c>
      <c r="G930" s="4">
        <f>IF(OR(INDEX($P$2:$P$1001,MATCH(ROWS($O$2:O930),$O$2:$O$1001,0),1)&gt;=100000,INDEX($V$1005:$AE$1005,1,MATCH(COLUMNS($V$1006:AA1006),$V$1006:$AE$1006,0))&gt;=100000), " ",IF(INDEX($V$2:$AE$1001,MATCH(ROWS($O$2:O930),$O$2:$O$1001,0),MATCH(COLUMNS($V$1006:AA1006),$V$1006:$AE$1006,0)), HYPERLINK("#",""), HYPERLINK(CONCATENATE("#Metadata!", ADDRESS(INDEX($Q$2:$Q$1001,MATCH(ROWS($O$2:O930),$O$2:$O$1001,0),0), INDEX($V$1004:$AE$1004,1,MATCH(COLUMNS($V$1006:AA1006),$V$1006:$AE$1006,0)))),"Fix")))</f>
        <v>0</v>
      </c>
      <c r="H930" s="4">
        <f>IF(OR(INDEX($P$2:$P$1001,MATCH(ROWS($O$2:O930),$O$2:$O$1001,0),1)&gt;=100000,INDEX($V$1005:$AE$1005,1,MATCH(COLUMNS($V$1006:AB1006),$V$1006:$AE$1006,0))&gt;=100000), " ",IF(INDEX($V$2:$AE$1001,MATCH(ROWS($O$2:O930),$O$2:$O$1001,0),MATCH(COLUMNS($V$1006:AB1006),$V$1006:$AE$1006,0)), HYPERLINK("#",""), HYPERLINK(CONCATENATE("#Metadata!", ADDRESS(INDEX($Q$2:$Q$1001,MATCH(ROWS($O$2:O930),$O$2:$O$1001,0),0), INDEX($V$1004:$AE$1004,1,MATCH(COLUMNS($V$1006:AB1006),$V$1006:$AE$1006,0)))),"Fix")))</f>
        <v>0</v>
      </c>
      <c r="I930" s="4">
        <f>IF(OR(INDEX($P$2:$P$1001,MATCH(ROWS($O$2:O930),$O$2:$O$1001,0),1)&gt;=100000,INDEX($V$1005:$AE$1005,1,MATCH(COLUMNS($V$1006:AC1006),$V$1006:$AE$1006,0))&gt;=100000), " ",IF(INDEX($V$2:$AE$1001,MATCH(ROWS($O$2:O930),$O$2:$O$1001,0),MATCH(COLUMNS($V$1006:AC1006),$V$1006:$AE$1006,0)), HYPERLINK("#",""), HYPERLINK(CONCATENATE("#Metadata!", ADDRESS(INDEX($Q$2:$Q$1001,MATCH(ROWS($O$2:O930),$O$2:$O$1001,0),0), INDEX($V$1004:$AE$1004,1,MATCH(COLUMNS($V$1006:AC1006),$V$1006:$AE$1006,0)))),"Fix")))</f>
        <v>0</v>
      </c>
      <c r="J930" s="4">
        <f>IF(OR(INDEX($P$2:$P$1001,MATCH(ROWS($O$2:O930),$O$2:$O$1001,0),1)&gt;=100000,INDEX($V$1005:$AE$1005,1,MATCH(COLUMNS($V$1006:AD1006),$V$1006:$AE$1006,0))&gt;=100000), " ",IF(INDEX($V$2:$AE$1001,MATCH(ROWS($O$2:O930),$O$2:$O$1001,0),MATCH(COLUMNS($V$1006:AD1006),$V$1006:$AE$1006,0)), HYPERLINK("#",""), HYPERLINK(CONCATENATE("#Metadata!", ADDRESS(INDEX($Q$2:$Q$1001,MATCH(ROWS($O$2:O930),$O$2:$O$1001,0),0), INDEX($V$1004:$AE$1004,1,MATCH(COLUMNS($V$1006:AD1006),$V$1006:$AE$1006,0)))),"Fix")))</f>
        <v>0</v>
      </c>
      <c r="K930" s="4">
        <f>IF(OR(INDEX($P$2:$P$1001,MATCH(ROWS($O$2:O930),$O$2:$O$1001,0),1)&gt;=100000,INDEX($V$1005:$AE$1005,1,MATCH(COLUMNS($V$1006:AE1006),$V$1006:$AE$1006,0))&gt;=100000), " ",IF(INDEX($V$2:$AE$1001,MATCH(ROWS($O$2:O930),$O$2:$O$1001,0),MATCH(COLUMNS($V$1006:AE1006),$V$1006:$AE$1006,0)), HYPERLINK("#",""), HYPERLINK(CONCATENATE("#Metadata!", ADDRESS(INDEX($Q$2:$Q$1001,MATCH(ROWS($O$2:O930),$O$2:$O$1001,0),0), INDEX($V$1004:$AE$1004,1,MATCH(COLUMNS($V$1006:AE1006),$V$1006:$AE$1006,0)))),"Fix")))</f>
        <v>0</v>
      </c>
      <c r="O930">
        <v>0</v>
      </c>
      <c r="P930">
        <v>0</v>
      </c>
      <c r="Q930">
        <v>0</v>
      </c>
      <c r="R930">
        <f>IF(S930,TRUE,AND(V930:AE930))</f>
        <v>0</v>
      </c>
      <c r="S930">
        <f>COUNTBLANK(Metadata!B930:K930)=COLUMNS(Metadata!B930:K930)</f>
        <v>0</v>
      </c>
      <c r="T930">
        <v>0</v>
      </c>
      <c r="V930">
        <f>AND(IF(Metadata!B930="",FALSE,TRUE),COUNTIF(Metadata!B:B, Metadata!B930) = 1,NOT(ISERROR(SUMPRODUCT(SEARCH(MID(Metadata!B930,ROW(INDIRECT("1:"&amp;LEN(Metadata!B930))), 1),"0123456789abcdefghijklmnopqrstuvwxyzABCDEFGHIJKLMNOPQRSTUVWXYZ.")))))</f>
        <v>0</v>
      </c>
      <c r="W930">
        <f>AND(IF(Metadata!C930="",FALSE,TRUE),exact(Metadata!C930,"urban biome"))</f>
        <v>0</v>
      </c>
      <c r="X930">
        <f>AND(IF(Metadata!D930="",FALSE,TRUE),exact(Metadata!D930,"animal-associated habitat"))</f>
        <v>0</v>
      </c>
      <c r="Y930">
        <f>OR(AND(IF(Metadata!E930="",FALSE,TRUE),OR(exact(Metadata!E930,"not applicable"),exact(Metadata!E930,"missing: not collected"),exact(Metadata!E930,"missing: not provided"),exact(Metadata!E930,"missing: restricted access"))),AND(IF(Metadata!E930="",FALSE,ISNUMBER(VALUE(Metadata!E930))),Metadata!E930&gt;0))</f>
        <v>0</v>
      </c>
      <c r="Z930">
        <f>AND(IF(Metadata!F930="",FALSE,TRUE),exact(Metadata!F930,"weeks"))</f>
        <v>0</v>
      </c>
      <c r="AA930">
        <f>AND(IF(Metadata!G930="",FALSE,TRUE),exact(Metadata!G930,"mouse"))</f>
        <v>0</v>
      </c>
      <c r="AB930">
        <f>AND(IF(Metadata!H930="",FALSE,TRUE),exact(Metadata!H930,"Mus musculus"))</f>
        <v>0</v>
      </c>
      <c r="AC930">
        <f>AND(IF(Metadata!I930="",FALSE,TRUE),exact(Metadata!I930,"10090"))</f>
        <v>0</v>
      </c>
      <c r="AD930">
        <f>OR(AND(IF(Metadata!J930="",FALSE,TRUE),OR(exact(Metadata!J930,"not applicable"),exact(Metadata!J930,"missing: not collected"),exact(Metadata!J930,"missing: not provided"),exact(Metadata!J930,"missing: restricted access"))),AND(IF(Metadata!J930="",FALSE,ISNUMBER(VALUE(Metadata!J930))),Metadata!J930&gt;0))</f>
        <v>0</v>
      </c>
      <c r="AE930">
        <f>AND(IF(Metadata!K930="",FALSE,TRUE),exact(Metadata!K930,"g"))</f>
        <v>0</v>
      </c>
    </row>
    <row r="931" spans="1:31">
      <c r="A931" s="5">
        <f>IF(B931=" "," ",HYPERLINK(CONCATENATE("#metadata!",ADDRESS(INDEX($Q$2:$Q$1001,MATCH(ROWS($O$2:O931),$O$2:$O$1001,0),0),1)),INDEX($T$2:$T$1001,MATCH(ROWS($O$2:O931),$O$2:$O$1001,0),0)))</f>
        <v>0</v>
      </c>
      <c r="B931" s="4">
        <f>IF(OR(INDEX($P$2:$P$1001,MATCH(ROWS($O$2:O931),$O$2:$O$1001,0),1)&gt;=100000,INDEX($V$1005:$AE$1005,1,MATCH(COLUMNS($V$1006:V1006),$V$1006:$AE$1006,0))&gt;=100000), " ",IF(INDEX($V$2:$AE$1001,MATCH(ROWS($O$2:O931),$O$2:$O$1001,0),MATCH(COLUMNS($V$1006:V1006),$V$1006:$AE$1006,0)), HYPERLINK("#",""), HYPERLINK(CONCATENATE("#Metadata!", ADDRESS(INDEX($Q$2:$Q$1001,MATCH(ROWS($O$2:O931),$O$2:$O$1001,0),0), INDEX($V$1004:$AE$1004,1,MATCH(COLUMNS($V$1006:V1006),$V$1006:$AE$1006,0)))),"Fix")))</f>
        <v>0</v>
      </c>
      <c r="C931" s="4">
        <f>IF(OR(INDEX($P$2:$P$1001,MATCH(ROWS($O$2:O931),$O$2:$O$1001,0),1)&gt;=100000,INDEX($V$1005:$AE$1005,1,MATCH(COLUMNS($V$1006:W1006),$V$1006:$AE$1006,0))&gt;=100000), " ",IF(INDEX($V$2:$AE$1001,MATCH(ROWS($O$2:O931),$O$2:$O$1001,0),MATCH(COLUMNS($V$1006:W1006),$V$1006:$AE$1006,0)), HYPERLINK("#",""), HYPERLINK(CONCATENATE("#Metadata!", ADDRESS(INDEX($Q$2:$Q$1001,MATCH(ROWS($O$2:O931),$O$2:$O$1001,0),0), INDEX($V$1004:$AE$1004,1,MATCH(COLUMNS($V$1006:W1006),$V$1006:$AE$1006,0)))),"Fix")))</f>
        <v>0</v>
      </c>
      <c r="D931" s="4">
        <f>IF(OR(INDEX($P$2:$P$1001,MATCH(ROWS($O$2:O931),$O$2:$O$1001,0),1)&gt;=100000,INDEX($V$1005:$AE$1005,1,MATCH(COLUMNS($V$1006:X1006),$V$1006:$AE$1006,0))&gt;=100000), " ",IF(INDEX($V$2:$AE$1001,MATCH(ROWS($O$2:O931),$O$2:$O$1001,0),MATCH(COLUMNS($V$1006:X1006),$V$1006:$AE$1006,0)), HYPERLINK("#",""), HYPERLINK(CONCATENATE("#Metadata!", ADDRESS(INDEX($Q$2:$Q$1001,MATCH(ROWS($O$2:O931),$O$2:$O$1001,0),0), INDEX($V$1004:$AE$1004,1,MATCH(COLUMNS($V$1006:X1006),$V$1006:$AE$1006,0)))),"Fix")))</f>
        <v>0</v>
      </c>
      <c r="E931" s="4">
        <f>IF(OR(INDEX($P$2:$P$1001,MATCH(ROWS($O$2:O931),$O$2:$O$1001,0),1)&gt;=100000,INDEX($V$1005:$AE$1005,1,MATCH(COLUMNS($V$1006:Y1006),$V$1006:$AE$1006,0))&gt;=100000), " ",IF(INDEX($V$2:$AE$1001,MATCH(ROWS($O$2:O931),$O$2:$O$1001,0),MATCH(COLUMNS($V$1006:Y1006),$V$1006:$AE$1006,0)), HYPERLINK("#",""), HYPERLINK(CONCATENATE("#Metadata!", ADDRESS(INDEX($Q$2:$Q$1001,MATCH(ROWS($O$2:O931),$O$2:$O$1001,0),0), INDEX($V$1004:$AE$1004,1,MATCH(COLUMNS($V$1006:Y1006),$V$1006:$AE$1006,0)))),"Fix")))</f>
        <v>0</v>
      </c>
      <c r="F931" s="4">
        <f>IF(OR(INDEX($P$2:$P$1001,MATCH(ROWS($O$2:O931),$O$2:$O$1001,0),1)&gt;=100000,INDEX($V$1005:$AE$1005,1,MATCH(COLUMNS($V$1006:Z1006),$V$1006:$AE$1006,0))&gt;=100000), " ",IF(INDEX($V$2:$AE$1001,MATCH(ROWS($O$2:O931),$O$2:$O$1001,0),MATCH(COLUMNS($V$1006:Z1006),$V$1006:$AE$1006,0)), HYPERLINK("#",""), HYPERLINK(CONCATENATE("#Metadata!", ADDRESS(INDEX($Q$2:$Q$1001,MATCH(ROWS($O$2:O931),$O$2:$O$1001,0),0), INDEX($V$1004:$AE$1004,1,MATCH(COLUMNS($V$1006:Z1006),$V$1006:$AE$1006,0)))),"Fix")))</f>
        <v>0</v>
      </c>
      <c r="G931" s="4">
        <f>IF(OR(INDEX($P$2:$P$1001,MATCH(ROWS($O$2:O931),$O$2:$O$1001,0),1)&gt;=100000,INDEX($V$1005:$AE$1005,1,MATCH(COLUMNS($V$1006:AA1006),$V$1006:$AE$1006,0))&gt;=100000), " ",IF(INDEX($V$2:$AE$1001,MATCH(ROWS($O$2:O931),$O$2:$O$1001,0),MATCH(COLUMNS($V$1006:AA1006),$V$1006:$AE$1006,0)), HYPERLINK("#",""), HYPERLINK(CONCATENATE("#Metadata!", ADDRESS(INDEX($Q$2:$Q$1001,MATCH(ROWS($O$2:O931),$O$2:$O$1001,0),0), INDEX($V$1004:$AE$1004,1,MATCH(COLUMNS($V$1006:AA1006),$V$1006:$AE$1006,0)))),"Fix")))</f>
        <v>0</v>
      </c>
      <c r="H931" s="4">
        <f>IF(OR(INDEX($P$2:$P$1001,MATCH(ROWS($O$2:O931),$O$2:$O$1001,0),1)&gt;=100000,INDEX($V$1005:$AE$1005,1,MATCH(COLUMNS($V$1006:AB1006),$V$1006:$AE$1006,0))&gt;=100000), " ",IF(INDEX($V$2:$AE$1001,MATCH(ROWS($O$2:O931),$O$2:$O$1001,0),MATCH(COLUMNS($V$1006:AB1006),$V$1006:$AE$1006,0)), HYPERLINK("#",""), HYPERLINK(CONCATENATE("#Metadata!", ADDRESS(INDEX($Q$2:$Q$1001,MATCH(ROWS($O$2:O931),$O$2:$O$1001,0),0), INDEX($V$1004:$AE$1004,1,MATCH(COLUMNS($V$1006:AB1006),$V$1006:$AE$1006,0)))),"Fix")))</f>
        <v>0</v>
      </c>
      <c r="I931" s="4">
        <f>IF(OR(INDEX($P$2:$P$1001,MATCH(ROWS($O$2:O931),$O$2:$O$1001,0),1)&gt;=100000,INDEX($V$1005:$AE$1005,1,MATCH(COLUMNS($V$1006:AC1006),$V$1006:$AE$1006,0))&gt;=100000), " ",IF(INDEX($V$2:$AE$1001,MATCH(ROWS($O$2:O931),$O$2:$O$1001,0),MATCH(COLUMNS($V$1006:AC1006),$V$1006:$AE$1006,0)), HYPERLINK("#",""), HYPERLINK(CONCATENATE("#Metadata!", ADDRESS(INDEX($Q$2:$Q$1001,MATCH(ROWS($O$2:O931),$O$2:$O$1001,0),0), INDEX($V$1004:$AE$1004,1,MATCH(COLUMNS($V$1006:AC1006),$V$1006:$AE$1006,0)))),"Fix")))</f>
        <v>0</v>
      </c>
      <c r="J931" s="4">
        <f>IF(OR(INDEX($P$2:$P$1001,MATCH(ROWS($O$2:O931),$O$2:$O$1001,0),1)&gt;=100000,INDEX($V$1005:$AE$1005,1,MATCH(COLUMNS($V$1006:AD1006),$V$1006:$AE$1006,0))&gt;=100000), " ",IF(INDEX($V$2:$AE$1001,MATCH(ROWS($O$2:O931),$O$2:$O$1001,0),MATCH(COLUMNS($V$1006:AD1006),$V$1006:$AE$1006,0)), HYPERLINK("#",""), HYPERLINK(CONCATENATE("#Metadata!", ADDRESS(INDEX($Q$2:$Q$1001,MATCH(ROWS($O$2:O931),$O$2:$O$1001,0),0), INDEX($V$1004:$AE$1004,1,MATCH(COLUMNS($V$1006:AD1006),$V$1006:$AE$1006,0)))),"Fix")))</f>
        <v>0</v>
      </c>
      <c r="K931" s="4">
        <f>IF(OR(INDEX($P$2:$P$1001,MATCH(ROWS($O$2:O931),$O$2:$O$1001,0),1)&gt;=100000,INDEX($V$1005:$AE$1005,1,MATCH(COLUMNS($V$1006:AE1006),$V$1006:$AE$1006,0))&gt;=100000), " ",IF(INDEX($V$2:$AE$1001,MATCH(ROWS($O$2:O931),$O$2:$O$1001,0),MATCH(COLUMNS($V$1006:AE1006),$V$1006:$AE$1006,0)), HYPERLINK("#",""), HYPERLINK(CONCATENATE("#Metadata!", ADDRESS(INDEX($Q$2:$Q$1001,MATCH(ROWS($O$2:O931),$O$2:$O$1001,0),0), INDEX($V$1004:$AE$1004,1,MATCH(COLUMNS($V$1006:AE1006),$V$1006:$AE$1006,0)))),"Fix")))</f>
        <v>0</v>
      </c>
      <c r="O931">
        <v>0</v>
      </c>
      <c r="P931">
        <v>0</v>
      </c>
      <c r="Q931">
        <v>0</v>
      </c>
      <c r="R931">
        <f>IF(S931,TRUE,AND(V931:AE931))</f>
        <v>0</v>
      </c>
      <c r="S931">
        <f>COUNTBLANK(Metadata!B931:K931)=COLUMNS(Metadata!B931:K931)</f>
        <v>0</v>
      </c>
      <c r="T931">
        <v>0</v>
      </c>
      <c r="V931">
        <f>AND(IF(Metadata!B931="",FALSE,TRUE),COUNTIF(Metadata!B:B, Metadata!B931) = 1,NOT(ISERROR(SUMPRODUCT(SEARCH(MID(Metadata!B931,ROW(INDIRECT("1:"&amp;LEN(Metadata!B931))), 1),"0123456789abcdefghijklmnopqrstuvwxyzABCDEFGHIJKLMNOPQRSTUVWXYZ.")))))</f>
        <v>0</v>
      </c>
      <c r="W931">
        <f>AND(IF(Metadata!C931="",FALSE,TRUE),exact(Metadata!C931,"urban biome"))</f>
        <v>0</v>
      </c>
      <c r="X931">
        <f>AND(IF(Metadata!D931="",FALSE,TRUE),exact(Metadata!D931,"animal-associated habitat"))</f>
        <v>0</v>
      </c>
      <c r="Y931">
        <f>OR(AND(IF(Metadata!E931="",FALSE,TRUE),OR(exact(Metadata!E931,"not applicable"),exact(Metadata!E931,"missing: not collected"),exact(Metadata!E931,"missing: not provided"),exact(Metadata!E931,"missing: restricted access"))),AND(IF(Metadata!E931="",FALSE,ISNUMBER(VALUE(Metadata!E931))),Metadata!E931&gt;0))</f>
        <v>0</v>
      </c>
      <c r="Z931">
        <f>AND(IF(Metadata!F931="",FALSE,TRUE),exact(Metadata!F931,"weeks"))</f>
        <v>0</v>
      </c>
      <c r="AA931">
        <f>AND(IF(Metadata!G931="",FALSE,TRUE),exact(Metadata!G931,"mouse"))</f>
        <v>0</v>
      </c>
      <c r="AB931">
        <f>AND(IF(Metadata!H931="",FALSE,TRUE),exact(Metadata!H931,"Mus musculus"))</f>
        <v>0</v>
      </c>
      <c r="AC931">
        <f>AND(IF(Metadata!I931="",FALSE,TRUE),exact(Metadata!I931,"10090"))</f>
        <v>0</v>
      </c>
      <c r="AD931">
        <f>OR(AND(IF(Metadata!J931="",FALSE,TRUE),OR(exact(Metadata!J931,"not applicable"),exact(Metadata!J931,"missing: not collected"),exact(Metadata!J931,"missing: not provided"),exact(Metadata!J931,"missing: restricted access"))),AND(IF(Metadata!J931="",FALSE,ISNUMBER(VALUE(Metadata!J931))),Metadata!J931&gt;0))</f>
        <v>0</v>
      </c>
      <c r="AE931">
        <f>AND(IF(Metadata!K931="",FALSE,TRUE),exact(Metadata!K931,"g"))</f>
        <v>0</v>
      </c>
    </row>
    <row r="932" spans="1:31">
      <c r="A932" s="5">
        <f>IF(B932=" "," ",HYPERLINK(CONCATENATE("#metadata!",ADDRESS(INDEX($Q$2:$Q$1001,MATCH(ROWS($O$2:O932),$O$2:$O$1001,0),0),1)),INDEX($T$2:$T$1001,MATCH(ROWS($O$2:O932),$O$2:$O$1001,0),0)))</f>
        <v>0</v>
      </c>
      <c r="B932" s="4">
        <f>IF(OR(INDEX($P$2:$P$1001,MATCH(ROWS($O$2:O932),$O$2:$O$1001,0),1)&gt;=100000,INDEX($V$1005:$AE$1005,1,MATCH(COLUMNS($V$1006:V1006),$V$1006:$AE$1006,0))&gt;=100000), " ",IF(INDEX($V$2:$AE$1001,MATCH(ROWS($O$2:O932),$O$2:$O$1001,0),MATCH(COLUMNS($V$1006:V1006),$V$1006:$AE$1006,0)), HYPERLINK("#",""), HYPERLINK(CONCATENATE("#Metadata!", ADDRESS(INDEX($Q$2:$Q$1001,MATCH(ROWS($O$2:O932),$O$2:$O$1001,0),0), INDEX($V$1004:$AE$1004,1,MATCH(COLUMNS($V$1006:V1006),$V$1006:$AE$1006,0)))),"Fix")))</f>
        <v>0</v>
      </c>
      <c r="C932" s="4">
        <f>IF(OR(INDEX($P$2:$P$1001,MATCH(ROWS($O$2:O932),$O$2:$O$1001,0),1)&gt;=100000,INDEX($V$1005:$AE$1005,1,MATCH(COLUMNS($V$1006:W1006),$V$1006:$AE$1006,0))&gt;=100000), " ",IF(INDEX($V$2:$AE$1001,MATCH(ROWS($O$2:O932),$O$2:$O$1001,0),MATCH(COLUMNS($V$1006:W1006),$V$1006:$AE$1006,0)), HYPERLINK("#",""), HYPERLINK(CONCATENATE("#Metadata!", ADDRESS(INDEX($Q$2:$Q$1001,MATCH(ROWS($O$2:O932),$O$2:$O$1001,0),0), INDEX($V$1004:$AE$1004,1,MATCH(COLUMNS($V$1006:W1006),$V$1006:$AE$1006,0)))),"Fix")))</f>
        <v>0</v>
      </c>
      <c r="D932" s="4">
        <f>IF(OR(INDEX($P$2:$P$1001,MATCH(ROWS($O$2:O932),$O$2:$O$1001,0),1)&gt;=100000,INDEX($V$1005:$AE$1005,1,MATCH(COLUMNS($V$1006:X1006),$V$1006:$AE$1006,0))&gt;=100000), " ",IF(INDEX($V$2:$AE$1001,MATCH(ROWS($O$2:O932),$O$2:$O$1001,0),MATCH(COLUMNS($V$1006:X1006),$V$1006:$AE$1006,0)), HYPERLINK("#",""), HYPERLINK(CONCATENATE("#Metadata!", ADDRESS(INDEX($Q$2:$Q$1001,MATCH(ROWS($O$2:O932),$O$2:$O$1001,0),0), INDEX($V$1004:$AE$1004,1,MATCH(COLUMNS($V$1006:X1006),$V$1006:$AE$1006,0)))),"Fix")))</f>
        <v>0</v>
      </c>
      <c r="E932" s="4">
        <f>IF(OR(INDEX($P$2:$P$1001,MATCH(ROWS($O$2:O932),$O$2:$O$1001,0),1)&gt;=100000,INDEX($V$1005:$AE$1005,1,MATCH(COLUMNS($V$1006:Y1006),$V$1006:$AE$1006,0))&gt;=100000), " ",IF(INDEX($V$2:$AE$1001,MATCH(ROWS($O$2:O932),$O$2:$O$1001,0),MATCH(COLUMNS($V$1006:Y1006),$V$1006:$AE$1006,0)), HYPERLINK("#",""), HYPERLINK(CONCATENATE("#Metadata!", ADDRESS(INDEX($Q$2:$Q$1001,MATCH(ROWS($O$2:O932),$O$2:$O$1001,0),0), INDEX($V$1004:$AE$1004,1,MATCH(COLUMNS($V$1006:Y1006),$V$1006:$AE$1006,0)))),"Fix")))</f>
        <v>0</v>
      </c>
      <c r="F932" s="4">
        <f>IF(OR(INDEX($P$2:$P$1001,MATCH(ROWS($O$2:O932),$O$2:$O$1001,0),1)&gt;=100000,INDEX($V$1005:$AE$1005,1,MATCH(COLUMNS($V$1006:Z1006),$V$1006:$AE$1006,0))&gt;=100000), " ",IF(INDEX($V$2:$AE$1001,MATCH(ROWS($O$2:O932),$O$2:$O$1001,0),MATCH(COLUMNS($V$1006:Z1006),$V$1006:$AE$1006,0)), HYPERLINK("#",""), HYPERLINK(CONCATENATE("#Metadata!", ADDRESS(INDEX($Q$2:$Q$1001,MATCH(ROWS($O$2:O932),$O$2:$O$1001,0),0), INDEX($V$1004:$AE$1004,1,MATCH(COLUMNS($V$1006:Z1006),$V$1006:$AE$1006,0)))),"Fix")))</f>
        <v>0</v>
      </c>
      <c r="G932" s="4">
        <f>IF(OR(INDEX($P$2:$P$1001,MATCH(ROWS($O$2:O932),$O$2:$O$1001,0),1)&gt;=100000,INDEX($V$1005:$AE$1005,1,MATCH(COLUMNS($V$1006:AA1006),$V$1006:$AE$1006,0))&gt;=100000), " ",IF(INDEX($V$2:$AE$1001,MATCH(ROWS($O$2:O932),$O$2:$O$1001,0),MATCH(COLUMNS($V$1006:AA1006),$V$1006:$AE$1006,0)), HYPERLINK("#",""), HYPERLINK(CONCATENATE("#Metadata!", ADDRESS(INDEX($Q$2:$Q$1001,MATCH(ROWS($O$2:O932),$O$2:$O$1001,0),0), INDEX($V$1004:$AE$1004,1,MATCH(COLUMNS($V$1006:AA1006),$V$1006:$AE$1006,0)))),"Fix")))</f>
        <v>0</v>
      </c>
      <c r="H932" s="4">
        <f>IF(OR(INDEX($P$2:$P$1001,MATCH(ROWS($O$2:O932),$O$2:$O$1001,0),1)&gt;=100000,INDEX($V$1005:$AE$1005,1,MATCH(COLUMNS($V$1006:AB1006),$V$1006:$AE$1006,0))&gt;=100000), " ",IF(INDEX($V$2:$AE$1001,MATCH(ROWS($O$2:O932),$O$2:$O$1001,0),MATCH(COLUMNS($V$1006:AB1006),$V$1006:$AE$1006,0)), HYPERLINK("#",""), HYPERLINK(CONCATENATE("#Metadata!", ADDRESS(INDEX($Q$2:$Q$1001,MATCH(ROWS($O$2:O932),$O$2:$O$1001,0),0), INDEX($V$1004:$AE$1004,1,MATCH(COLUMNS($V$1006:AB1006),$V$1006:$AE$1006,0)))),"Fix")))</f>
        <v>0</v>
      </c>
      <c r="I932" s="4">
        <f>IF(OR(INDEX($P$2:$P$1001,MATCH(ROWS($O$2:O932),$O$2:$O$1001,0),1)&gt;=100000,INDEX($V$1005:$AE$1005,1,MATCH(COLUMNS($V$1006:AC1006),$V$1006:$AE$1006,0))&gt;=100000), " ",IF(INDEX($V$2:$AE$1001,MATCH(ROWS($O$2:O932),$O$2:$O$1001,0),MATCH(COLUMNS($V$1006:AC1006),$V$1006:$AE$1006,0)), HYPERLINK("#",""), HYPERLINK(CONCATENATE("#Metadata!", ADDRESS(INDEX($Q$2:$Q$1001,MATCH(ROWS($O$2:O932),$O$2:$O$1001,0),0), INDEX($V$1004:$AE$1004,1,MATCH(COLUMNS($V$1006:AC1006),$V$1006:$AE$1006,0)))),"Fix")))</f>
        <v>0</v>
      </c>
      <c r="J932" s="4">
        <f>IF(OR(INDEX($P$2:$P$1001,MATCH(ROWS($O$2:O932),$O$2:$O$1001,0),1)&gt;=100000,INDEX($V$1005:$AE$1005,1,MATCH(COLUMNS($V$1006:AD1006),$V$1006:$AE$1006,0))&gt;=100000), " ",IF(INDEX($V$2:$AE$1001,MATCH(ROWS($O$2:O932),$O$2:$O$1001,0),MATCH(COLUMNS($V$1006:AD1006),$V$1006:$AE$1006,0)), HYPERLINK("#",""), HYPERLINK(CONCATENATE("#Metadata!", ADDRESS(INDEX($Q$2:$Q$1001,MATCH(ROWS($O$2:O932),$O$2:$O$1001,0),0), INDEX($V$1004:$AE$1004,1,MATCH(COLUMNS($V$1006:AD1006),$V$1006:$AE$1006,0)))),"Fix")))</f>
        <v>0</v>
      </c>
      <c r="K932" s="4">
        <f>IF(OR(INDEX($P$2:$P$1001,MATCH(ROWS($O$2:O932),$O$2:$O$1001,0),1)&gt;=100000,INDEX($V$1005:$AE$1005,1,MATCH(COLUMNS($V$1006:AE1006),$V$1006:$AE$1006,0))&gt;=100000), " ",IF(INDEX($V$2:$AE$1001,MATCH(ROWS($O$2:O932),$O$2:$O$1001,0),MATCH(COLUMNS($V$1006:AE1006),$V$1006:$AE$1006,0)), HYPERLINK("#",""), HYPERLINK(CONCATENATE("#Metadata!", ADDRESS(INDEX($Q$2:$Q$1001,MATCH(ROWS($O$2:O932),$O$2:$O$1001,0),0), INDEX($V$1004:$AE$1004,1,MATCH(COLUMNS($V$1006:AE1006),$V$1006:$AE$1006,0)))),"Fix")))</f>
        <v>0</v>
      </c>
      <c r="O932">
        <v>0</v>
      </c>
      <c r="P932">
        <v>0</v>
      </c>
      <c r="Q932">
        <v>0</v>
      </c>
      <c r="R932">
        <f>IF(S932,TRUE,AND(V932:AE932))</f>
        <v>0</v>
      </c>
      <c r="S932">
        <f>COUNTBLANK(Metadata!B932:K932)=COLUMNS(Metadata!B932:K932)</f>
        <v>0</v>
      </c>
      <c r="T932">
        <v>0</v>
      </c>
      <c r="V932">
        <f>AND(IF(Metadata!B932="",FALSE,TRUE),COUNTIF(Metadata!B:B, Metadata!B932) = 1,NOT(ISERROR(SUMPRODUCT(SEARCH(MID(Metadata!B932,ROW(INDIRECT("1:"&amp;LEN(Metadata!B932))), 1),"0123456789abcdefghijklmnopqrstuvwxyzABCDEFGHIJKLMNOPQRSTUVWXYZ.")))))</f>
        <v>0</v>
      </c>
      <c r="W932">
        <f>AND(IF(Metadata!C932="",FALSE,TRUE),exact(Metadata!C932,"urban biome"))</f>
        <v>0</v>
      </c>
      <c r="X932">
        <f>AND(IF(Metadata!D932="",FALSE,TRUE),exact(Metadata!D932,"animal-associated habitat"))</f>
        <v>0</v>
      </c>
      <c r="Y932">
        <f>OR(AND(IF(Metadata!E932="",FALSE,TRUE),OR(exact(Metadata!E932,"not applicable"),exact(Metadata!E932,"missing: not collected"),exact(Metadata!E932,"missing: not provided"),exact(Metadata!E932,"missing: restricted access"))),AND(IF(Metadata!E932="",FALSE,ISNUMBER(VALUE(Metadata!E932))),Metadata!E932&gt;0))</f>
        <v>0</v>
      </c>
      <c r="Z932">
        <f>AND(IF(Metadata!F932="",FALSE,TRUE),exact(Metadata!F932,"weeks"))</f>
        <v>0</v>
      </c>
      <c r="AA932">
        <f>AND(IF(Metadata!G932="",FALSE,TRUE),exact(Metadata!G932,"mouse"))</f>
        <v>0</v>
      </c>
      <c r="AB932">
        <f>AND(IF(Metadata!H932="",FALSE,TRUE),exact(Metadata!H932,"Mus musculus"))</f>
        <v>0</v>
      </c>
      <c r="AC932">
        <f>AND(IF(Metadata!I932="",FALSE,TRUE),exact(Metadata!I932,"10090"))</f>
        <v>0</v>
      </c>
      <c r="AD932">
        <f>OR(AND(IF(Metadata!J932="",FALSE,TRUE),OR(exact(Metadata!J932,"not applicable"),exact(Metadata!J932,"missing: not collected"),exact(Metadata!J932,"missing: not provided"),exact(Metadata!J932,"missing: restricted access"))),AND(IF(Metadata!J932="",FALSE,ISNUMBER(VALUE(Metadata!J932))),Metadata!J932&gt;0))</f>
        <v>0</v>
      </c>
      <c r="AE932">
        <f>AND(IF(Metadata!K932="",FALSE,TRUE),exact(Metadata!K932,"g"))</f>
        <v>0</v>
      </c>
    </row>
    <row r="933" spans="1:31">
      <c r="A933" s="5">
        <f>IF(B933=" "," ",HYPERLINK(CONCATENATE("#metadata!",ADDRESS(INDEX($Q$2:$Q$1001,MATCH(ROWS($O$2:O933),$O$2:$O$1001,0),0),1)),INDEX($T$2:$T$1001,MATCH(ROWS($O$2:O933),$O$2:$O$1001,0),0)))</f>
        <v>0</v>
      </c>
      <c r="B933" s="4">
        <f>IF(OR(INDEX($P$2:$P$1001,MATCH(ROWS($O$2:O933),$O$2:$O$1001,0),1)&gt;=100000,INDEX($V$1005:$AE$1005,1,MATCH(COLUMNS($V$1006:V1006),$V$1006:$AE$1006,0))&gt;=100000), " ",IF(INDEX($V$2:$AE$1001,MATCH(ROWS($O$2:O933),$O$2:$O$1001,0),MATCH(COLUMNS($V$1006:V1006),$V$1006:$AE$1006,0)), HYPERLINK("#",""), HYPERLINK(CONCATENATE("#Metadata!", ADDRESS(INDEX($Q$2:$Q$1001,MATCH(ROWS($O$2:O933),$O$2:$O$1001,0),0), INDEX($V$1004:$AE$1004,1,MATCH(COLUMNS($V$1006:V1006),$V$1006:$AE$1006,0)))),"Fix")))</f>
        <v>0</v>
      </c>
      <c r="C933" s="4">
        <f>IF(OR(INDEX($P$2:$P$1001,MATCH(ROWS($O$2:O933),$O$2:$O$1001,0),1)&gt;=100000,INDEX($V$1005:$AE$1005,1,MATCH(COLUMNS($V$1006:W1006),$V$1006:$AE$1006,0))&gt;=100000), " ",IF(INDEX($V$2:$AE$1001,MATCH(ROWS($O$2:O933),$O$2:$O$1001,0),MATCH(COLUMNS($V$1006:W1006),$V$1006:$AE$1006,0)), HYPERLINK("#",""), HYPERLINK(CONCATENATE("#Metadata!", ADDRESS(INDEX($Q$2:$Q$1001,MATCH(ROWS($O$2:O933),$O$2:$O$1001,0),0), INDEX($V$1004:$AE$1004,1,MATCH(COLUMNS($V$1006:W1006),$V$1006:$AE$1006,0)))),"Fix")))</f>
        <v>0</v>
      </c>
      <c r="D933" s="4">
        <f>IF(OR(INDEX($P$2:$P$1001,MATCH(ROWS($O$2:O933),$O$2:$O$1001,0),1)&gt;=100000,INDEX($V$1005:$AE$1005,1,MATCH(COLUMNS($V$1006:X1006),$V$1006:$AE$1006,0))&gt;=100000), " ",IF(INDEX($V$2:$AE$1001,MATCH(ROWS($O$2:O933),$O$2:$O$1001,0),MATCH(COLUMNS($V$1006:X1006),$V$1006:$AE$1006,0)), HYPERLINK("#",""), HYPERLINK(CONCATENATE("#Metadata!", ADDRESS(INDEX($Q$2:$Q$1001,MATCH(ROWS($O$2:O933),$O$2:$O$1001,0),0), INDEX($V$1004:$AE$1004,1,MATCH(COLUMNS($V$1006:X1006),$V$1006:$AE$1006,0)))),"Fix")))</f>
        <v>0</v>
      </c>
      <c r="E933" s="4">
        <f>IF(OR(INDEX($P$2:$P$1001,MATCH(ROWS($O$2:O933),$O$2:$O$1001,0),1)&gt;=100000,INDEX($V$1005:$AE$1005,1,MATCH(COLUMNS($V$1006:Y1006),$V$1006:$AE$1006,0))&gt;=100000), " ",IF(INDEX($V$2:$AE$1001,MATCH(ROWS($O$2:O933),$O$2:$O$1001,0),MATCH(COLUMNS($V$1006:Y1006),$V$1006:$AE$1006,0)), HYPERLINK("#",""), HYPERLINK(CONCATENATE("#Metadata!", ADDRESS(INDEX($Q$2:$Q$1001,MATCH(ROWS($O$2:O933),$O$2:$O$1001,0),0), INDEX($V$1004:$AE$1004,1,MATCH(COLUMNS($V$1006:Y1006),$V$1006:$AE$1006,0)))),"Fix")))</f>
        <v>0</v>
      </c>
      <c r="F933" s="4">
        <f>IF(OR(INDEX($P$2:$P$1001,MATCH(ROWS($O$2:O933),$O$2:$O$1001,0),1)&gt;=100000,INDEX($V$1005:$AE$1005,1,MATCH(COLUMNS($V$1006:Z1006),$V$1006:$AE$1006,0))&gt;=100000), " ",IF(INDEX($V$2:$AE$1001,MATCH(ROWS($O$2:O933),$O$2:$O$1001,0),MATCH(COLUMNS($V$1006:Z1006),$V$1006:$AE$1006,0)), HYPERLINK("#",""), HYPERLINK(CONCATENATE("#Metadata!", ADDRESS(INDEX($Q$2:$Q$1001,MATCH(ROWS($O$2:O933),$O$2:$O$1001,0),0), INDEX($V$1004:$AE$1004,1,MATCH(COLUMNS($V$1006:Z1006),$V$1006:$AE$1006,0)))),"Fix")))</f>
        <v>0</v>
      </c>
      <c r="G933" s="4">
        <f>IF(OR(INDEX($P$2:$P$1001,MATCH(ROWS($O$2:O933),$O$2:$O$1001,0),1)&gt;=100000,INDEX($V$1005:$AE$1005,1,MATCH(COLUMNS($V$1006:AA1006),$V$1006:$AE$1006,0))&gt;=100000), " ",IF(INDEX($V$2:$AE$1001,MATCH(ROWS($O$2:O933),$O$2:$O$1001,0),MATCH(COLUMNS($V$1006:AA1006),$V$1006:$AE$1006,0)), HYPERLINK("#",""), HYPERLINK(CONCATENATE("#Metadata!", ADDRESS(INDEX($Q$2:$Q$1001,MATCH(ROWS($O$2:O933),$O$2:$O$1001,0),0), INDEX($V$1004:$AE$1004,1,MATCH(COLUMNS($V$1006:AA1006),$V$1006:$AE$1006,0)))),"Fix")))</f>
        <v>0</v>
      </c>
      <c r="H933" s="4">
        <f>IF(OR(INDEX($P$2:$P$1001,MATCH(ROWS($O$2:O933),$O$2:$O$1001,0),1)&gt;=100000,INDEX($V$1005:$AE$1005,1,MATCH(COLUMNS($V$1006:AB1006),$V$1006:$AE$1006,0))&gt;=100000), " ",IF(INDEX($V$2:$AE$1001,MATCH(ROWS($O$2:O933),$O$2:$O$1001,0),MATCH(COLUMNS($V$1006:AB1006),$V$1006:$AE$1006,0)), HYPERLINK("#",""), HYPERLINK(CONCATENATE("#Metadata!", ADDRESS(INDEX($Q$2:$Q$1001,MATCH(ROWS($O$2:O933),$O$2:$O$1001,0),0), INDEX($V$1004:$AE$1004,1,MATCH(COLUMNS($V$1006:AB1006),$V$1006:$AE$1006,0)))),"Fix")))</f>
        <v>0</v>
      </c>
      <c r="I933" s="4">
        <f>IF(OR(INDEX($P$2:$P$1001,MATCH(ROWS($O$2:O933),$O$2:$O$1001,0),1)&gt;=100000,INDEX($V$1005:$AE$1005,1,MATCH(COLUMNS($V$1006:AC1006),$V$1006:$AE$1006,0))&gt;=100000), " ",IF(INDEX($V$2:$AE$1001,MATCH(ROWS($O$2:O933),$O$2:$O$1001,0),MATCH(COLUMNS($V$1006:AC1006),$V$1006:$AE$1006,0)), HYPERLINK("#",""), HYPERLINK(CONCATENATE("#Metadata!", ADDRESS(INDEX($Q$2:$Q$1001,MATCH(ROWS($O$2:O933),$O$2:$O$1001,0),0), INDEX($V$1004:$AE$1004,1,MATCH(COLUMNS($V$1006:AC1006),$V$1006:$AE$1006,0)))),"Fix")))</f>
        <v>0</v>
      </c>
      <c r="J933" s="4">
        <f>IF(OR(INDEX($P$2:$P$1001,MATCH(ROWS($O$2:O933),$O$2:$O$1001,0),1)&gt;=100000,INDEX($V$1005:$AE$1005,1,MATCH(COLUMNS($V$1006:AD1006),$V$1006:$AE$1006,0))&gt;=100000), " ",IF(INDEX($V$2:$AE$1001,MATCH(ROWS($O$2:O933),$O$2:$O$1001,0),MATCH(COLUMNS($V$1006:AD1006),$V$1006:$AE$1006,0)), HYPERLINK("#",""), HYPERLINK(CONCATENATE("#Metadata!", ADDRESS(INDEX($Q$2:$Q$1001,MATCH(ROWS($O$2:O933),$O$2:$O$1001,0),0), INDEX($V$1004:$AE$1004,1,MATCH(COLUMNS($V$1006:AD1006),$V$1006:$AE$1006,0)))),"Fix")))</f>
        <v>0</v>
      </c>
      <c r="K933" s="4">
        <f>IF(OR(INDEX($P$2:$P$1001,MATCH(ROWS($O$2:O933),$O$2:$O$1001,0),1)&gt;=100000,INDEX($V$1005:$AE$1005,1,MATCH(COLUMNS($V$1006:AE1006),$V$1006:$AE$1006,0))&gt;=100000), " ",IF(INDEX($V$2:$AE$1001,MATCH(ROWS($O$2:O933),$O$2:$O$1001,0),MATCH(COLUMNS($V$1006:AE1006),$V$1006:$AE$1006,0)), HYPERLINK("#",""), HYPERLINK(CONCATENATE("#Metadata!", ADDRESS(INDEX($Q$2:$Q$1001,MATCH(ROWS($O$2:O933),$O$2:$O$1001,0),0), INDEX($V$1004:$AE$1004,1,MATCH(COLUMNS($V$1006:AE1006),$V$1006:$AE$1006,0)))),"Fix")))</f>
        <v>0</v>
      </c>
      <c r="O933">
        <v>0</v>
      </c>
      <c r="P933">
        <v>0</v>
      </c>
      <c r="Q933">
        <v>0</v>
      </c>
      <c r="R933">
        <f>IF(S933,TRUE,AND(V933:AE933))</f>
        <v>0</v>
      </c>
      <c r="S933">
        <f>COUNTBLANK(Metadata!B933:K933)=COLUMNS(Metadata!B933:K933)</f>
        <v>0</v>
      </c>
      <c r="T933">
        <v>0</v>
      </c>
      <c r="V933">
        <f>AND(IF(Metadata!B933="",FALSE,TRUE),COUNTIF(Metadata!B:B, Metadata!B933) = 1,NOT(ISERROR(SUMPRODUCT(SEARCH(MID(Metadata!B933,ROW(INDIRECT("1:"&amp;LEN(Metadata!B933))), 1),"0123456789abcdefghijklmnopqrstuvwxyzABCDEFGHIJKLMNOPQRSTUVWXYZ.")))))</f>
        <v>0</v>
      </c>
      <c r="W933">
        <f>AND(IF(Metadata!C933="",FALSE,TRUE),exact(Metadata!C933,"urban biome"))</f>
        <v>0</v>
      </c>
      <c r="X933">
        <f>AND(IF(Metadata!D933="",FALSE,TRUE),exact(Metadata!D933,"animal-associated habitat"))</f>
        <v>0</v>
      </c>
      <c r="Y933">
        <f>OR(AND(IF(Metadata!E933="",FALSE,TRUE),OR(exact(Metadata!E933,"not applicable"),exact(Metadata!E933,"missing: not collected"),exact(Metadata!E933,"missing: not provided"),exact(Metadata!E933,"missing: restricted access"))),AND(IF(Metadata!E933="",FALSE,ISNUMBER(VALUE(Metadata!E933))),Metadata!E933&gt;0))</f>
        <v>0</v>
      </c>
      <c r="Z933">
        <f>AND(IF(Metadata!F933="",FALSE,TRUE),exact(Metadata!F933,"weeks"))</f>
        <v>0</v>
      </c>
      <c r="AA933">
        <f>AND(IF(Metadata!G933="",FALSE,TRUE),exact(Metadata!G933,"mouse"))</f>
        <v>0</v>
      </c>
      <c r="AB933">
        <f>AND(IF(Metadata!H933="",FALSE,TRUE),exact(Metadata!H933,"Mus musculus"))</f>
        <v>0</v>
      </c>
      <c r="AC933">
        <f>AND(IF(Metadata!I933="",FALSE,TRUE),exact(Metadata!I933,"10090"))</f>
        <v>0</v>
      </c>
      <c r="AD933">
        <f>OR(AND(IF(Metadata!J933="",FALSE,TRUE),OR(exact(Metadata!J933,"not applicable"),exact(Metadata!J933,"missing: not collected"),exact(Metadata!J933,"missing: not provided"),exact(Metadata!J933,"missing: restricted access"))),AND(IF(Metadata!J933="",FALSE,ISNUMBER(VALUE(Metadata!J933))),Metadata!J933&gt;0))</f>
        <v>0</v>
      </c>
      <c r="AE933">
        <f>AND(IF(Metadata!K933="",FALSE,TRUE),exact(Metadata!K933,"g"))</f>
        <v>0</v>
      </c>
    </row>
    <row r="934" spans="1:31">
      <c r="A934" s="5">
        <f>IF(B934=" "," ",HYPERLINK(CONCATENATE("#metadata!",ADDRESS(INDEX($Q$2:$Q$1001,MATCH(ROWS($O$2:O934),$O$2:$O$1001,0),0),1)),INDEX($T$2:$T$1001,MATCH(ROWS($O$2:O934),$O$2:$O$1001,0),0)))</f>
        <v>0</v>
      </c>
      <c r="B934" s="4">
        <f>IF(OR(INDEX($P$2:$P$1001,MATCH(ROWS($O$2:O934),$O$2:$O$1001,0),1)&gt;=100000,INDEX($V$1005:$AE$1005,1,MATCH(COLUMNS($V$1006:V1006),$V$1006:$AE$1006,0))&gt;=100000), " ",IF(INDEX($V$2:$AE$1001,MATCH(ROWS($O$2:O934),$O$2:$O$1001,0),MATCH(COLUMNS($V$1006:V1006),$V$1006:$AE$1006,0)), HYPERLINK("#",""), HYPERLINK(CONCATENATE("#Metadata!", ADDRESS(INDEX($Q$2:$Q$1001,MATCH(ROWS($O$2:O934),$O$2:$O$1001,0),0), INDEX($V$1004:$AE$1004,1,MATCH(COLUMNS($V$1006:V1006),$V$1006:$AE$1006,0)))),"Fix")))</f>
        <v>0</v>
      </c>
      <c r="C934" s="4">
        <f>IF(OR(INDEX($P$2:$P$1001,MATCH(ROWS($O$2:O934),$O$2:$O$1001,0),1)&gt;=100000,INDEX($V$1005:$AE$1005,1,MATCH(COLUMNS($V$1006:W1006),$V$1006:$AE$1006,0))&gt;=100000), " ",IF(INDEX($V$2:$AE$1001,MATCH(ROWS($O$2:O934),$O$2:$O$1001,0),MATCH(COLUMNS($V$1006:W1006),$V$1006:$AE$1006,0)), HYPERLINK("#",""), HYPERLINK(CONCATENATE("#Metadata!", ADDRESS(INDEX($Q$2:$Q$1001,MATCH(ROWS($O$2:O934),$O$2:$O$1001,0),0), INDEX($V$1004:$AE$1004,1,MATCH(COLUMNS($V$1006:W1006),$V$1006:$AE$1006,0)))),"Fix")))</f>
        <v>0</v>
      </c>
      <c r="D934" s="4">
        <f>IF(OR(INDEX($P$2:$P$1001,MATCH(ROWS($O$2:O934),$O$2:$O$1001,0),1)&gt;=100000,INDEX($V$1005:$AE$1005,1,MATCH(COLUMNS($V$1006:X1006),$V$1006:$AE$1006,0))&gt;=100000), " ",IF(INDEX($V$2:$AE$1001,MATCH(ROWS($O$2:O934),$O$2:$O$1001,0),MATCH(COLUMNS($V$1006:X1006),$V$1006:$AE$1006,0)), HYPERLINK("#",""), HYPERLINK(CONCATENATE("#Metadata!", ADDRESS(INDEX($Q$2:$Q$1001,MATCH(ROWS($O$2:O934),$O$2:$O$1001,0),0), INDEX($V$1004:$AE$1004,1,MATCH(COLUMNS($V$1006:X1006),$V$1006:$AE$1006,0)))),"Fix")))</f>
        <v>0</v>
      </c>
      <c r="E934" s="4">
        <f>IF(OR(INDEX($P$2:$P$1001,MATCH(ROWS($O$2:O934),$O$2:$O$1001,0),1)&gt;=100000,INDEX($V$1005:$AE$1005,1,MATCH(COLUMNS($V$1006:Y1006),$V$1006:$AE$1006,0))&gt;=100000), " ",IF(INDEX($V$2:$AE$1001,MATCH(ROWS($O$2:O934),$O$2:$O$1001,0),MATCH(COLUMNS($V$1006:Y1006),$V$1006:$AE$1006,0)), HYPERLINK("#",""), HYPERLINK(CONCATENATE("#Metadata!", ADDRESS(INDEX($Q$2:$Q$1001,MATCH(ROWS($O$2:O934),$O$2:$O$1001,0),0), INDEX($V$1004:$AE$1004,1,MATCH(COLUMNS($V$1006:Y1006),$V$1006:$AE$1006,0)))),"Fix")))</f>
        <v>0</v>
      </c>
      <c r="F934" s="4">
        <f>IF(OR(INDEX($P$2:$P$1001,MATCH(ROWS($O$2:O934),$O$2:$O$1001,0),1)&gt;=100000,INDEX($V$1005:$AE$1005,1,MATCH(COLUMNS($V$1006:Z1006),$V$1006:$AE$1006,0))&gt;=100000), " ",IF(INDEX($V$2:$AE$1001,MATCH(ROWS($O$2:O934),$O$2:$O$1001,0),MATCH(COLUMNS($V$1006:Z1006),$V$1006:$AE$1006,0)), HYPERLINK("#",""), HYPERLINK(CONCATENATE("#Metadata!", ADDRESS(INDEX($Q$2:$Q$1001,MATCH(ROWS($O$2:O934),$O$2:$O$1001,0),0), INDEX($V$1004:$AE$1004,1,MATCH(COLUMNS($V$1006:Z1006),$V$1006:$AE$1006,0)))),"Fix")))</f>
        <v>0</v>
      </c>
      <c r="G934" s="4">
        <f>IF(OR(INDEX($P$2:$P$1001,MATCH(ROWS($O$2:O934),$O$2:$O$1001,0),1)&gt;=100000,INDEX($V$1005:$AE$1005,1,MATCH(COLUMNS($V$1006:AA1006),$V$1006:$AE$1006,0))&gt;=100000), " ",IF(INDEX($V$2:$AE$1001,MATCH(ROWS($O$2:O934),$O$2:$O$1001,0),MATCH(COLUMNS($V$1006:AA1006),$V$1006:$AE$1006,0)), HYPERLINK("#",""), HYPERLINK(CONCATENATE("#Metadata!", ADDRESS(INDEX($Q$2:$Q$1001,MATCH(ROWS($O$2:O934),$O$2:$O$1001,0),0), INDEX($V$1004:$AE$1004,1,MATCH(COLUMNS($V$1006:AA1006),$V$1006:$AE$1006,0)))),"Fix")))</f>
        <v>0</v>
      </c>
      <c r="H934" s="4">
        <f>IF(OR(INDEX($P$2:$P$1001,MATCH(ROWS($O$2:O934),$O$2:$O$1001,0),1)&gt;=100000,INDEX($V$1005:$AE$1005,1,MATCH(COLUMNS($V$1006:AB1006),$V$1006:$AE$1006,0))&gt;=100000), " ",IF(INDEX($V$2:$AE$1001,MATCH(ROWS($O$2:O934),$O$2:$O$1001,0),MATCH(COLUMNS($V$1006:AB1006),$V$1006:$AE$1006,0)), HYPERLINK("#",""), HYPERLINK(CONCATENATE("#Metadata!", ADDRESS(INDEX($Q$2:$Q$1001,MATCH(ROWS($O$2:O934),$O$2:$O$1001,0),0), INDEX($V$1004:$AE$1004,1,MATCH(COLUMNS($V$1006:AB1006),$V$1006:$AE$1006,0)))),"Fix")))</f>
        <v>0</v>
      </c>
      <c r="I934" s="4">
        <f>IF(OR(INDEX($P$2:$P$1001,MATCH(ROWS($O$2:O934),$O$2:$O$1001,0),1)&gt;=100000,INDEX($V$1005:$AE$1005,1,MATCH(COLUMNS($V$1006:AC1006),$V$1006:$AE$1006,0))&gt;=100000), " ",IF(INDEX($V$2:$AE$1001,MATCH(ROWS($O$2:O934),$O$2:$O$1001,0),MATCH(COLUMNS($V$1006:AC1006),$V$1006:$AE$1006,0)), HYPERLINK("#",""), HYPERLINK(CONCATENATE("#Metadata!", ADDRESS(INDEX($Q$2:$Q$1001,MATCH(ROWS($O$2:O934),$O$2:$O$1001,0),0), INDEX($V$1004:$AE$1004,1,MATCH(COLUMNS($V$1006:AC1006),$V$1006:$AE$1006,0)))),"Fix")))</f>
        <v>0</v>
      </c>
      <c r="J934" s="4">
        <f>IF(OR(INDEX($P$2:$P$1001,MATCH(ROWS($O$2:O934),$O$2:$O$1001,0),1)&gt;=100000,INDEX($V$1005:$AE$1005,1,MATCH(COLUMNS($V$1006:AD1006),$V$1006:$AE$1006,0))&gt;=100000), " ",IF(INDEX($V$2:$AE$1001,MATCH(ROWS($O$2:O934),$O$2:$O$1001,0),MATCH(COLUMNS($V$1006:AD1006),$V$1006:$AE$1006,0)), HYPERLINK("#",""), HYPERLINK(CONCATENATE("#Metadata!", ADDRESS(INDEX($Q$2:$Q$1001,MATCH(ROWS($O$2:O934),$O$2:$O$1001,0),0), INDEX($V$1004:$AE$1004,1,MATCH(COLUMNS($V$1006:AD1006),$V$1006:$AE$1006,0)))),"Fix")))</f>
        <v>0</v>
      </c>
      <c r="K934" s="4">
        <f>IF(OR(INDEX($P$2:$P$1001,MATCH(ROWS($O$2:O934),$O$2:$O$1001,0),1)&gt;=100000,INDEX($V$1005:$AE$1005,1,MATCH(COLUMNS($V$1006:AE1006),$V$1006:$AE$1006,0))&gt;=100000), " ",IF(INDEX($V$2:$AE$1001,MATCH(ROWS($O$2:O934),$O$2:$O$1001,0),MATCH(COLUMNS($V$1006:AE1006),$V$1006:$AE$1006,0)), HYPERLINK("#",""), HYPERLINK(CONCATENATE("#Metadata!", ADDRESS(INDEX($Q$2:$Q$1001,MATCH(ROWS($O$2:O934),$O$2:$O$1001,0),0), INDEX($V$1004:$AE$1004,1,MATCH(COLUMNS($V$1006:AE1006),$V$1006:$AE$1006,0)))),"Fix")))</f>
        <v>0</v>
      </c>
      <c r="O934">
        <v>0</v>
      </c>
      <c r="P934">
        <v>0</v>
      </c>
      <c r="Q934">
        <v>0</v>
      </c>
      <c r="R934">
        <f>IF(S934,TRUE,AND(V934:AE934))</f>
        <v>0</v>
      </c>
      <c r="S934">
        <f>COUNTBLANK(Metadata!B934:K934)=COLUMNS(Metadata!B934:K934)</f>
        <v>0</v>
      </c>
      <c r="T934">
        <v>0</v>
      </c>
      <c r="V934">
        <f>AND(IF(Metadata!B934="",FALSE,TRUE),COUNTIF(Metadata!B:B, Metadata!B934) = 1,NOT(ISERROR(SUMPRODUCT(SEARCH(MID(Metadata!B934,ROW(INDIRECT("1:"&amp;LEN(Metadata!B934))), 1),"0123456789abcdefghijklmnopqrstuvwxyzABCDEFGHIJKLMNOPQRSTUVWXYZ.")))))</f>
        <v>0</v>
      </c>
      <c r="W934">
        <f>AND(IF(Metadata!C934="",FALSE,TRUE),exact(Metadata!C934,"urban biome"))</f>
        <v>0</v>
      </c>
      <c r="X934">
        <f>AND(IF(Metadata!D934="",FALSE,TRUE),exact(Metadata!D934,"animal-associated habitat"))</f>
        <v>0</v>
      </c>
      <c r="Y934">
        <f>OR(AND(IF(Metadata!E934="",FALSE,TRUE),OR(exact(Metadata!E934,"not applicable"),exact(Metadata!E934,"missing: not collected"),exact(Metadata!E934,"missing: not provided"),exact(Metadata!E934,"missing: restricted access"))),AND(IF(Metadata!E934="",FALSE,ISNUMBER(VALUE(Metadata!E934))),Metadata!E934&gt;0))</f>
        <v>0</v>
      </c>
      <c r="Z934">
        <f>AND(IF(Metadata!F934="",FALSE,TRUE),exact(Metadata!F934,"weeks"))</f>
        <v>0</v>
      </c>
      <c r="AA934">
        <f>AND(IF(Metadata!G934="",FALSE,TRUE),exact(Metadata!G934,"mouse"))</f>
        <v>0</v>
      </c>
      <c r="AB934">
        <f>AND(IF(Metadata!H934="",FALSE,TRUE),exact(Metadata!H934,"Mus musculus"))</f>
        <v>0</v>
      </c>
      <c r="AC934">
        <f>AND(IF(Metadata!I934="",FALSE,TRUE),exact(Metadata!I934,"10090"))</f>
        <v>0</v>
      </c>
      <c r="AD934">
        <f>OR(AND(IF(Metadata!J934="",FALSE,TRUE),OR(exact(Metadata!J934,"not applicable"),exact(Metadata!J934,"missing: not collected"),exact(Metadata!J934,"missing: not provided"),exact(Metadata!J934,"missing: restricted access"))),AND(IF(Metadata!J934="",FALSE,ISNUMBER(VALUE(Metadata!J934))),Metadata!J934&gt;0))</f>
        <v>0</v>
      </c>
      <c r="AE934">
        <f>AND(IF(Metadata!K934="",FALSE,TRUE),exact(Metadata!K934,"g"))</f>
        <v>0</v>
      </c>
    </row>
    <row r="935" spans="1:31">
      <c r="A935" s="5">
        <f>IF(B935=" "," ",HYPERLINK(CONCATENATE("#metadata!",ADDRESS(INDEX($Q$2:$Q$1001,MATCH(ROWS($O$2:O935),$O$2:$O$1001,0),0),1)),INDEX($T$2:$T$1001,MATCH(ROWS($O$2:O935),$O$2:$O$1001,0),0)))</f>
        <v>0</v>
      </c>
      <c r="B935" s="4">
        <f>IF(OR(INDEX($P$2:$P$1001,MATCH(ROWS($O$2:O935),$O$2:$O$1001,0),1)&gt;=100000,INDEX($V$1005:$AE$1005,1,MATCH(COLUMNS($V$1006:V1006),$V$1006:$AE$1006,0))&gt;=100000), " ",IF(INDEX($V$2:$AE$1001,MATCH(ROWS($O$2:O935),$O$2:$O$1001,0),MATCH(COLUMNS($V$1006:V1006),$V$1006:$AE$1006,0)), HYPERLINK("#",""), HYPERLINK(CONCATENATE("#Metadata!", ADDRESS(INDEX($Q$2:$Q$1001,MATCH(ROWS($O$2:O935),$O$2:$O$1001,0),0), INDEX($V$1004:$AE$1004,1,MATCH(COLUMNS($V$1006:V1006),$V$1006:$AE$1006,0)))),"Fix")))</f>
        <v>0</v>
      </c>
      <c r="C935" s="4">
        <f>IF(OR(INDEX($P$2:$P$1001,MATCH(ROWS($O$2:O935),$O$2:$O$1001,0),1)&gt;=100000,INDEX($V$1005:$AE$1005,1,MATCH(COLUMNS($V$1006:W1006),$V$1006:$AE$1006,0))&gt;=100000), " ",IF(INDEX($V$2:$AE$1001,MATCH(ROWS($O$2:O935),$O$2:$O$1001,0),MATCH(COLUMNS($V$1006:W1006),$V$1006:$AE$1006,0)), HYPERLINK("#",""), HYPERLINK(CONCATENATE("#Metadata!", ADDRESS(INDEX($Q$2:$Q$1001,MATCH(ROWS($O$2:O935),$O$2:$O$1001,0),0), INDEX($V$1004:$AE$1004,1,MATCH(COLUMNS($V$1006:W1006),$V$1006:$AE$1006,0)))),"Fix")))</f>
        <v>0</v>
      </c>
      <c r="D935" s="4">
        <f>IF(OR(INDEX($P$2:$P$1001,MATCH(ROWS($O$2:O935),$O$2:$O$1001,0),1)&gt;=100000,INDEX($V$1005:$AE$1005,1,MATCH(COLUMNS($V$1006:X1006),$V$1006:$AE$1006,0))&gt;=100000), " ",IF(INDEX($V$2:$AE$1001,MATCH(ROWS($O$2:O935),$O$2:$O$1001,0),MATCH(COLUMNS($V$1006:X1006),$V$1006:$AE$1006,0)), HYPERLINK("#",""), HYPERLINK(CONCATENATE("#Metadata!", ADDRESS(INDEX($Q$2:$Q$1001,MATCH(ROWS($O$2:O935),$O$2:$O$1001,0),0), INDEX($V$1004:$AE$1004,1,MATCH(COLUMNS($V$1006:X1006),$V$1006:$AE$1006,0)))),"Fix")))</f>
        <v>0</v>
      </c>
      <c r="E935" s="4">
        <f>IF(OR(INDEX($P$2:$P$1001,MATCH(ROWS($O$2:O935),$O$2:$O$1001,0),1)&gt;=100000,INDEX($V$1005:$AE$1005,1,MATCH(COLUMNS($V$1006:Y1006),$V$1006:$AE$1006,0))&gt;=100000), " ",IF(INDEX($V$2:$AE$1001,MATCH(ROWS($O$2:O935),$O$2:$O$1001,0),MATCH(COLUMNS($V$1006:Y1006),$V$1006:$AE$1006,0)), HYPERLINK("#",""), HYPERLINK(CONCATENATE("#Metadata!", ADDRESS(INDEX($Q$2:$Q$1001,MATCH(ROWS($O$2:O935),$O$2:$O$1001,0),0), INDEX($V$1004:$AE$1004,1,MATCH(COLUMNS($V$1006:Y1006),$V$1006:$AE$1006,0)))),"Fix")))</f>
        <v>0</v>
      </c>
      <c r="F935" s="4">
        <f>IF(OR(INDEX($P$2:$P$1001,MATCH(ROWS($O$2:O935),$O$2:$O$1001,0),1)&gt;=100000,INDEX($V$1005:$AE$1005,1,MATCH(COLUMNS($V$1006:Z1006),$V$1006:$AE$1006,0))&gt;=100000), " ",IF(INDEX($V$2:$AE$1001,MATCH(ROWS($O$2:O935),$O$2:$O$1001,0),MATCH(COLUMNS($V$1006:Z1006),$V$1006:$AE$1006,0)), HYPERLINK("#",""), HYPERLINK(CONCATENATE("#Metadata!", ADDRESS(INDEX($Q$2:$Q$1001,MATCH(ROWS($O$2:O935),$O$2:$O$1001,0),0), INDEX($V$1004:$AE$1004,1,MATCH(COLUMNS($V$1006:Z1006),$V$1006:$AE$1006,0)))),"Fix")))</f>
        <v>0</v>
      </c>
      <c r="G935" s="4">
        <f>IF(OR(INDEX($P$2:$P$1001,MATCH(ROWS($O$2:O935),$O$2:$O$1001,0),1)&gt;=100000,INDEX($V$1005:$AE$1005,1,MATCH(COLUMNS($V$1006:AA1006),$V$1006:$AE$1006,0))&gt;=100000), " ",IF(INDEX($V$2:$AE$1001,MATCH(ROWS($O$2:O935),$O$2:$O$1001,0),MATCH(COLUMNS($V$1006:AA1006),$V$1006:$AE$1006,0)), HYPERLINK("#",""), HYPERLINK(CONCATENATE("#Metadata!", ADDRESS(INDEX($Q$2:$Q$1001,MATCH(ROWS($O$2:O935),$O$2:$O$1001,0),0), INDEX($V$1004:$AE$1004,1,MATCH(COLUMNS($V$1006:AA1006),$V$1006:$AE$1006,0)))),"Fix")))</f>
        <v>0</v>
      </c>
      <c r="H935" s="4">
        <f>IF(OR(INDEX($P$2:$P$1001,MATCH(ROWS($O$2:O935),$O$2:$O$1001,0),1)&gt;=100000,INDEX($V$1005:$AE$1005,1,MATCH(COLUMNS($V$1006:AB1006),$V$1006:$AE$1006,0))&gt;=100000), " ",IF(INDEX($V$2:$AE$1001,MATCH(ROWS($O$2:O935),$O$2:$O$1001,0),MATCH(COLUMNS($V$1006:AB1006),$V$1006:$AE$1006,0)), HYPERLINK("#",""), HYPERLINK(CONCATENATE("#Metadata!", ADDRESS(INDEX($Q$2:$Q$1001,MATCH(ROWS($O$2:O935),$O$2:$O$1001,0),0), INDEX($V$1004:$AE$1004,1,MATCH(COLUMNS($V$1006:AB1006),$V$1006:$AE$1006,0)))),"Fix")))</f>
        <v>0</v>
      </c>
      <c r="I935" s="4">
        <f>IF(OR(INDEX($P$2:$P$1001,MATCH(ROWS($O$2:O935),$O$2:$O$1001,0),1)&gt;=100000,INDEX($V$1005:$AE$1005,1,MATCH(COLUMNS($V$1006:AC1006),$V$1006:$AE$1006,0))&gt;=100000), " ",IF(INDEX($V$2:$AE$1001,MATCH(ROWS($O$2:O935),$O$2:$O$1001,0),MATCH(COLUMNS($V$1006:AC1006),$V$1006:$AE$1006,0)), HYPERLINK("#",""), HYPERLINK(CONCATENATE("#Metadata!", ADDRESS(INDEX($Q$2:$Q$1001,MATCH(ROWS($O$2:O935),$O$2:$O$1001,0),0), INDEX($V$1004:$AE$1004,1,MATCH(COLUMNS($V$1006:AC1006),$V$1006:$AE$1006,0)))),"Fix")))</f>
        <v>0</v>
      </c>
      <c r="J935" s="4">
        <f>IF(OR(INDEX($P$2:$P$1001,MATCH(ROWS($O$2:O935),$O$2:$O$1001,0),1)&gt;=100000,INDEX($V$1005:$AE$1005,1,MATCH(COLUMNS($V$1006:AD1006),$V$1006:$AE$1006,0))&gt;=100000), " ",IF(INDEX($V$2:$AE$1001,MATCH(ROWS($O$2:O935),$O$2:$O$1001,0),MATCH(COLUMNS($V$1006:AD1006),$V$1006:$AE$1006,0)), HYPERLINK("#",""), HYPERLINK(CONCATENATE("#Metadata!", ADDRESS(INDEX($Q$2:$Q$1001,MATCH(ROWS($O$2:O935),$O$2:$O$1001,0),0), INDEX($V$1004:$AE$1004,1,MATCH(COLUMNS($V$1006:AD1006),$V$1006:$AE$1006,0)))),"Fix")))</f>
        <v>0</v>
      </c>
      <c r="K935" s="4">
        <f>IF(OR(INDEX($P$2:$P$1001,MATCH(ROWS($O$2:O935),$O$2:$O$1001,0),1)&gt;=100000,INDEX($V$1005:$AE$1005,1,MATCH(COLUMNS($V$1006:AE1006),$V$1006:$AE$1006,0))&gt;=100000), " ",IF(INDEX($V$2:$AE$1001,MATCH(ROWS($O$2:O935),$O$2:$O$1001,0),MATCH(COLUMNS($V$1006:AE1006),$V$1006:$AE$1006,0)), HYPERLINK("#",""), HYPERLINK(CONCATENATE("#Metadata!", ADDRESS(INDEX($Q$2:$Q$1001,MATCH(ROWS($O$2:O935),$O$2:$O$1001,0),0), INDEX($V$1004:$AE$1004,1,MATCH(COLUMNS($V$1006:AE1006),$V$1006:$AE$1006,0)))),"Fix")))</f>
        <v>0</v>
      </c>
      <c r="O935">
        <v>0</v>
      </c>
      <c r="P935">
        <v>0</v>
      </c>
      <c r="Q935">
        <v>0</v>
      </c>
      <c r="R935">
        <f>IF(S935,TRUE,AND(V935:AE935))</f>
        <v>0</v>
      </c>
      <c r="S935">
        <f>COUNTBLANK(Metadata!B935:K935)=COLUMNS(Metadata!B935:K935)</f>
        <v>0</v>
      </c>
      <c r="T935">
        <v>0</v>
      </c>
      <c r="V935">
        <f>AND(IF(Metadata!B935="",FALSE,TRUE),COUNTIF(Metadata!B:B, Metadata!B935) = 1,NOT(ISERROR(SUMPRODUCT(SEARCH(MID(Metadata!B935,ROW(INDIRECT("1:"&amp;LEN(Metadata!B935))), 1),"0123456789abcdefghijklmnopqrstuvwxyzABCDEFGHIJKLMNOPQRSTUVWXYZ.")))))</f>
        <v>0</v>
      </c>
      <c r="W935">
        <f>AND(IF(Metadata!C935="",FALSE,TRUE),exact(Metadata!C935,"urban biome"))</f>
        <v>0</v>
      </c>
      <c r="X935">
        <f>AND(IF(Metadata!D935="",FALSE,TRUE),exact(Metadata!D935,"animal-associated habitat"))</f>
        <v>0</v>
      </c>
      <c r="Y935">
        <f>OR(AND(IF(Metadata!E935="",FALSE,TRUE),OR(exact(Metadata!E935,"not applicable"),exact(Metadata!E935,"missing: not collected"),exact(Metadata!E935,"missing: not provided"),exact(Metadata!E935,"missing: restricted access"))),AND(IF(Metadata!E935="",FALSE,ISNUMBER(VALUE(Metadata!E935))),Metadata!E935&gt;0))</f>
        <v>0</v>
      </c>
      <c r="Z935">
        <f>AND(IF(Metadata!F935="",FALSE,TRUE),exact(Metadata!F935,"weeks"))</f>
        <v>0</v>
      </c>
      <c r="AA935">
        <f>AND(IF(Metadata!G935="",FALSE,TRUE),exact(Metadata!G935,"mouse"))</f>
        <v>0</v>
      </c>
      <c r="AB935">
        <f>AND(IF(Metadata!H935="",FALSE,TRUE),exact(Metadata!H935,"Mus musculus"))</f>
        <v>0</v>
      </c>
      <c r="AC935">
        <f>AND(IF(Metadata!I935="",FALSE,TRUE),exact(Metadata!I935,"10090"))</f>
        <v>0</v>
      </c>
      <c r="AD935">
        <f>OR(AND(IF(Metadata!J935="",FALSE,TRUE),OR(exact(Metadata!J935,"not applicable"),exact(Metadata!J935,"missing: not collected"),exact(Metadata!J935,"missing: not provided"),exact(Metadata!J935,"missing: restricted access"))),AND(IF(Metadata!J935="",FALSE,ISNUMBER(VALUE(Metadata!J935))),Metadata!J935&gt;0))</f>
        <v>0</v>
      </c>
      <c r="AE935">
        <f>AND(IF(Metadata!K935="",FALSE,TRUE),exact(Metadata!K935,"g"))</f>
        <v>0</v>
      </c>
    </row>
    <row r="936" spans="1:31">
      <c r="A936" s="5">
        <f>IF(B936=" "," ",HYPERLINK(CONCATENATE("#metadata!",ADDRESS(INDEX($Q$2:$Q$1001,MATCH(ROWS($O$2:O936),$O$2:$O$1001,0),0),1)),INDEX($T$2:$T$1001,MATCH(ROWS($O$2:O936),$O$2:$O$1001,0),0)))</f>
        <v>0</v>
      </c>
      <c r="B936" s="4">
        <f>IF(OR(INDEX($P$2:$P$1001,MATCH(ROWS($O$2:O936),$O$2:$O$1001,0),1)&gt;=100000,INDEX($V$1005:$AE$1005,1,MATCH(COLUMNS($V$1006:V1006),$V$1006:$AE$1006,0))&gt;=100000), " ",IF(INDEX($V$2:$AE$1001,MATCH(ROWS($O$2:O936),$O$2:$O$1001,0),MATCH(COLUMNS($V$1006:V1006),$V$1006:$AE$1006,0)), HYPERLINK("#",""), HYPERLINK(CONCATENATE("#Metadata!", ADDRESS(INDEX($Q$2:$Q$1001,MATCH(ROWS($O$2:O936),$O$2:$O$1001,0),0), INDEX($V$1004:$AE$1004,1,MATCH(COLUMNS($V$1006:V1006),$V$1006:$AE$1006,0)))),"Fix")))</f>
        <v>0</v>
      </c>
      <c r="C936" s="4">
        <f>IF(OR(INDEX($P$2:$P$1001,MATCH(ROWS($O$2:O936),$O$2:$O$1001,0),1)&gt;=100000,INDEX($V$1005:$AE$1005,1,MATCH(COLUMNS($V$1006:W1006),$V$1006:$AE$1006,0))&gt;=100000), " ",IF(INDEX($V$2:$AE$1001,MATCH(ROWS($O$2:O936),$O$2:$O$1001,0),MATCH(COLUMNS($V$1006:W1006),$V$1006:$AE$1006,0)), HYPERLINK("#",""), HYPERLINK(CONCATENATE("#Metadata!", ADDRESS(INDEX($Q$2:$Q$1001,MATCH(ROWS($O$2:O936),$O$2:$O$1001,0),0), INDEX($V$1004:$AE$1004,1,MATCH(COLUMNS($V$1006:W1006),$V$1006:$AE$1006,0)))),"Fix")))</f>
        <v>0</v>
      </c>
      <c r="D936" s="4">
        <f>IF(OR(INDEX($P$2:$P$1001,MATCH(ROWS($O$2:O936),$O$2:$O$1001,0),1)&gt;=100000,INDEX($V$1005:$AE$1005,1,MATCH(COLUMNS($V$1006:X1006),$V$1006:$AE$1006,0))&gt;=100000), " ",IF(INDEX($V$2:$AE$1001,MATCH(ROWS($O$2:O936),$O$2:$O$1001,0),MATCH(COLUMNS($V$1006:X1006),$V$1006:$AE$1006,0)), HYPERLINK("#",""), HYPERLINK(CONCATENATE("#Metadata!", ADDRESS(INDEX($Q$2:$Q$1001,MATCH(ROWS($O$2:O936),$O$2:$O$1001,0),0), INDEX($V$1004:$AE$1004,1,MATCH(COLUMNS($V$1006:X1006),$V$1006:$AE$1006,0)))),"Fix")))</f>
        <v>0</v>
      </c>
      <c r="E936" s="4">
        <f>IF(OR(INDEX($P$2:$P$1001,MATCH(ROWS($O$2:O936),$O$2:$O$1001,0),1)&gt;=100000,INDEX($V$1005:$AE$1005,1,MATCH(COLUMNS($V$1006:Y1006),$V$1006:$AE$1006,0))&gt;=100000), " ",IF(INDEX($V$2:$AE$1001,MATCH(ROWS($O$2:O936),$O$2:$O$1001,0),MATCH(COLUMNS($V$1006:Y1006),$V$1006:$AE$1006,0)), HYPERLINK("#",""), HYPERLINK(CONCATENATE("#Metadata!", ADDRESS(INDEX($Q$2:$Q$1001,MATCH(ROWS($O$2:O936),$O$2:$O$1001,0),0), INDEX($V$1004:$AE$1004,1,MATCH(COLUMNS($V$1006:Y1006),$V$1006:$AE$1006,0)))),"Fix")))</f>
        <v>0</v>
      </c>
      <c r="F936" s="4">
        <f>IF(OR(INDEX($P$2:$P$1001,MATCH(ROWS($O$2:O936),$O$2:$O$1001,0),1)&gt;=100000,INDEX($V$1005:$AE$1005,1,MATCH(COLUMNS($V$1006:Z1006),$V$1006:$AE$1006,0))&gt;=100000), " ",IF(INDEX($V$2:$AE$1001,MATCH(ROWS($O$2:O936),$O$2:$O$1001,0),MATCH(COLUMNS($V$1006:Z1006),$V$1006:$AE$1006,0)), HYPERLINK("#",""), HYPERLINK(CONCATENATE("#Metadata!", ADDRESS(INDEX($Q$2:$Q$1001,MATCH(ROWS($O$2:O936),$O$2:$O$1001,0),0), INDEX($V$1004:$AE$1004,1,MATCH(COLUMNS($V$1006:Z1006),$V$1006:$AE$1006,0)))),"Fix")))</f>
        <v>0</v>
      </c>
      <c r="G936" s="4">
        <f>IF(OR(INDEX($P$2:$P$1001,MATCH(ROWS($O$2:O936),$O$2:$O$1001,0),1)&gt;=100000,INDEX($V$1005:$AE$1005,1,MATCH(COLUMNS($V$1006:AA1006),$V$1006:$AE$1006,0))&gt;=100000), " ",IF(INDEX($V$2:$AE$1001,MATCH(ROWS($O$2:O936),$O$2:$O$1001,0),MATCH(COLUMNS($V$1006:AA1006),$V$1006:$AE$1006,0)), HYPERLINK("#",""), HYPERLINK(CONCATENATE("#Metadata!", ADDRESS(INDEX($Q$2:$Q$1001,MATCH(ROWS($O$2:O936),$O$2:$O$1001,0),0), INDEX($V$1004:$AE$1004,1,MATCH(COLUMNS($V$1006:AA1006),$V$1006:$AE$1006,0)))),"Fix")))</f>
        <v>0</v>
      </c>
      <c r="H936" s="4">
        <f>IF(OR(INDEX($P$2:$P$1001,MATCH(ROWS($O$2:O936),$O$2:$O$1001,0),1)&gt;=100000,INDEX($V$1005:$AE$1005,1,MATCH(COLUMNS($V$1006:AB1006),$V$1006:$AE$1006,0))&gt;=100000), " ",IF(INDEX($V$2:$AE$1001,MATCH(ROWS($O$2:O936),$O$2:$O$1001,0),MATCH(COLUMNS($V$1006:AB1006),$V$1006:$AE$1006,0)), HYPERLINK("#",""), HYPERLINK(CONCATENATE("#Metadata!", ADDRESS(INDEX($Q$2:$Q$1001,MATCH(ROWS($O$2:O936),$O$2:$O$1001,0),0), INDEX($V$1004:$AE$1004,1,MATCH(COLUMNS($V$1006:AB1006),$V$1006:$AE$1006,0)))),"Fix")))</f>
        <v>0</v>
      </c>
      <c r="I936" s="4">
        <f>IF(OR(INDEX($P$2:$P$1001,MATCH(ROWS($O$2:O936),$O$2:$O$1001,0),1)&gt;=100000,INDEX($V$1005:$AE$1005,1,MATCH(COLUMNS($V$1006:AC1006),$V$1006:$AE$1006,0))&gt;=100000), " ",IF(INDEX($V$2:$AE$1001,MATCH(ROWS($O$2:O936),$O$2:$O$1001,0),MATCH(COLUMNS($V$1006:AC1006),$V$1006:$AE$1006,0)), HYPERLINK("#",""), HYPERLINK(CONCATENATE("#Metadata!", ADDRESS(INDEX($Q$2:$Q$1001,MATCH(ROWS($O$2:O936),$O$2:$O$1001,0),0), INDEX($V$1004:$AE$1004,1,MATCH(COLUMNS($V$1006:AC1006),$V$1006:$AE$1006,0)))),"Fix")))</f>
        <v>0</v>
      </c>
      <c r="J936" s="4">
        <f>IF(OR(INDEX($P$2:$P$1001,MATCH(ROWS($O$2:O936),$O$2:$O$1001,0),1)&gt;=100000,INDEX($V$1005:$AE$1005,1,MATCH(COLUMNS($V$1006:AD1006),$V$1006:$AE$1006,0))&gt;=100000), " ",IF(INDEX($V$2:$AE$1001,MATCH(ROWS($O$2:O936),$O$2:$O$1001,0),MATCH(COLUMNS($V$1006:AD1006),$V$1006:$AE$1006,0)), HYPERLINK("#",""), HYPERLINK(CONCATENATE("#Metadata!", ADDRESS(INDEX($Q$2:$Q$1001,MATCH(ROWS($O$2:O936),$O$2:$O$1001,0),0), INDEX($V$1004:$AE$1004,1,MATCH(COLUMNS($V$1006:AD1006),$V$1006:$AE$1006,0)))),"Fix")))</f>
        <v>0</v>
      </c>
      <c r="K936" s="4">
        <f>IF(OR(INDEX($P$2:$P$1001,MATCH(ROWS($O$2:O936),$O$2:$O$1001,0),1)&gt;=100000,INDEX($V$1005:$AE$1005,1,MATCH(COLUMNS($V$1006:AE1006),$V$1006:$AE$1006,0))&gt;=100000), " ",IF(INDEX($V$2:$AE$1001,MATCH(ROWS($O$2:O936),$O$2:$O$1001,0),MATCH(COLUMNS($V$1006:AE1006),$V$1006:$AE$1006,0)), HYPERLINK("#",""), HYPERLINK(CONCATENATE("#Metadata!", ADDRESS(INDEX($Q$2:$Q$1001,MATCH(ROWS($O$2:O936),$O$2:$O$1001,0),0), INDEX($V$1004:$AE$1004,1,MATCH(COLUMNS($V$1006:AE1006),$V$1006:$AE$1006,0)))),"Fix")))</f>
        <v>0</v>
      </c>
      <c r="O936">
        <v>0</v>
      </c>
      <c r="P936">
        <v>0</v>
      </c>
      <c r="Q936">
        <v>0</v>
      </c>
      <c r="R936">
        <f>IF(S936,TRUE,AND(V936:AE936))</f>
        <v>0</v>
      </c>
      <c r="S936">
        <f>COUNTBLANK(Metadata!B936:K936)=COLUMNS(Metadata!B936:K936)</f>
        <v>0</v>
      </c>
      <c r="T936">
        <v>0</v>
      </c>
      <c r="V936">
        <f>AND(IF(Metadata!B936="",FALSE,TRUE),COUNTIF(Metadata!B:B, Metadata!B936) = 1,NOT(ISERROR(SUMPRODUCT(SEARCH(MID(Metadata!B936,ROW(INDIRECT("1:"&amp;LEN(Metadata!B936))), 1),"0123456789abcdefghijklmnopqrstuvwxyzABCDEFGHIJKLMNOPQRSTUVWXYZ.")))))</f>
        <v>0</v>
      </c>
      <c r="W936">
        <f>AND(IF(Metadata!C936="",FALSE,TRUE),exact(Metadata!C936,"urban biome"))</f>
        <v>0</v>
      </c>
      <c r="X936">
        <f>AND(IF(Metadata!D936="",FALSE,TRUE),exact(Metadata!D936,"animal-associated habitat"))</f>
        <v>0</v>
      </c>
      <c r="Y936">
        <f>OR(AND(IF(Metadata!E936="",FALSE,TRUE),OR(exact(Metadata!E936,"not applicable"),exact(Metadata!E936,"missing: not collected"),exact(Metadata!E936,"missing: not provided"),exact(Metadata!E936,"missing: restricted access"))),AND(IF(Metadata!E936="",FALSE,ISNUMBER(VALUE(Metadata!E936))),Metadata!E936&gt;0))</f>
        <v>0</v>
      </c>
      <c r="Z936">
        <f>AND(IF(Metadata!F936="",FALSE,TRUE),exact(Metadata!F936,"weeks"))</f>
        <v>0</v>
      </c>
      <c r="AA936">
        <f>AND(IF(Metadata!G936="",FALSE,TRUE),exact(Metadata!G936,"mouse"))</f>
        <v>0</v>
      </c>
      <c r="AB936">
        <f>AND(IF(Metadata!H936="",FALSE,TRUE),exact(Metadata!H936,"Mus musculus"))</f>
        <v>0</v>
      </c>
      <c r="AC936">
        <f>AND(IF(Metadata!I936="",FALSE,TRUE),exact(Metadata!I936,"10090"))</f>
        <v>0</v>
      </c>
      <c r="AD936">
        <f>OR(AND(IF(Metadata!J936="",FALSE,TRUE),OR(exact(Metadata!J936,"not applicable"),exact(Metadata!J936,"missing: not collected"),exact(Metadata!J936,"missing: not provided"),exact(Metadata!J936,"missing: restricted access"))),AND(IF(Metadata!J936="",FALSE,ISNUMBER(VALUE(Metadata!J936))),Metadata!J936&gt;0))</f>
        <v>0</v>
      </c>
      <c r="AE936">
        <f>AND(IF(Metadata!K936="",FALSE,TRUE),exact(Metadata!K936,"g"))</f>
        <v>0</v>
      </c>
    </row>
    <row r="937" spans="1:31">
      <c r="A937" s="5">
        <f>IF(B937=" "," ",HYPERLINK(CONCATENATE("#metadata!",ADDRESS(INDEX($Q$2:$Q$1001,MATCH(ROWS($O$2:O937),$O$2:$O$1001,0),0),1)),INDEX($T$2:$T$1001,MATCH(ROWS($O$2:O937),$O$2:$O$1001,0),0)))</f>
        <v>0</v>
      </c>
      <c r="B937" s="4">
        <f>IF(OR(INDEX($P$2:$P$1001,MATCH(ROWS($O$2:O937),$O$2:$O$1001,0),1)&gt;=100000,INDEX($V$1005:$AE$1005,1,MATCH(COLUMNS($V$1006:V1006),$V$1006:$AE$1006,0))&gt;=100000), " ",IF(INDEX($V$2:$AE$1001,MATCH(ROWS($O$2:O937),$O$2:$O$1001,0),MATCH(COLUMNS($V$1006:V1006),$V$1006:$AE$1006,0)), HYPERLINK("#",""), HYPERLINK(CONCATENATE("#Metadata!", ADDRESS(INDEX($Q$2:$Q$1001,MATCH(ROWS($O$2:O937),$O$2:$O$1001,0),0), INDEX($V$1004:$AE$1004,1,MATCH(COLUMNS($V$1006:V1006),$V$1006:$AE$1006,0)))),"Fix")))</f>
        <v>0</v>
      </c>
      <c r="C937" s="4">
        <f>IF(OR(INDEX($P$2:$P$1001,MATCH(ROWS($O$2:O937),$O$2:$O$1001,0),1)&gt;=100000,INDEX($V$1005:$AE$1005,1,MATCH(COLUMNS($V$1006:W1006),$V$1006:$AE$1006,0))&gt;=100000), " ",IF(INDEX($V$2:$AE$1001,MATCH(ROWS($O$2:O937),$O$2:$O$1001,0),MATCH(COLUMNS($V$1006:W1006),$V$1006:$AE$1006,0)), HYPERLINK("#",""), HYPERLINK(CONCATENATE("#Metadata!", ADDRESS(INDEX($Q$2:$Q$1001,MATCH(ROWS($O$2:O937),$O$2:$O$1001,0),0), INDEX($V$1004:$AE$1004,1,MATCH(COLUMNS($V$1006:W1006),$V$1006:$AE$1006,0)))),"Fix")))</f>
        <v>0</v>
      </c>
      <c r="D937" s="4">
        <f>IF(OR(INDEX($P$2:$P$1001,MATCH(ROWS($O$2:O937),$O$2:$O$1001,0),1)&gt;=100000,INDEX($V$1005:$AE$1005,1,MATCH(COLUMNS($V$1006:X1006),$V$1006:$AE$1006,0))&gt;=100000), " ",IF(INDEX($V$2:$AE$1001,MATCH(ROWS($O$2:O937),$O$2:$O$1001,0),MATCH(COLUMNS($V$1006:X1006),$V$1006:$AE$1006,0)), HYPERLINK("#",""), HYPERLINK(CONCATENATE("#Metadata!", ADDRESS(INDEX($Q$2:$Q$1001,MATCH(ROWS($O$2:O937),$O$2:$O$1001,0),0), INDEX($V$1004:$AE$1004,1,MATCH(COLUMNS($V$1006:X1006),$V$1006:$AE$1006,0)))),"Fix")))</f>
        <v>0</v>
      </c>
      <c r="E937" s="4">
        <f>IF(OR(INDEX($P$2:$P$1001,MATCH(ROWS($O$2:O937),$O$2:$O$1001,0),1)&gt;=100000,INDEX($V$1005:$AE$1005,1,MATCH(COLUMNS($V$1006:Y1006),$V$1006:$AE$1006,0))&gt;=100000), " ",IF(INDEX($V$2:$AE$1001,MATCH(ROWS($O$2:O937),$O$2:$O$1001,0),MATCH(COLUMNS($V$1006:Y1006),$V$1006:$AE$1006,0)), HYPERLINK("#",""), HYPERLINK(CONCATENATE("#Metadata!", ADDRESS(INDEX($Q$2:$Q$1001,MATCH(ROWS($O$2:O937),$O$2:$O$1001,0),0), INDEX($V$1004:$AE$1004,1,MATCH(COLUMNS($V$1006:Y1006),$V$1006:$AE$1006,0)))),"Fix")))</f>
        <v>0</v>
      </c>
      <c r="F937" s="4">
        <f>IF(OR(INDEX($P$2:$P$1001,MATCH(ROWS($O$2:O937),$O$2:$O$1001,0),1)&gt;=100000,INDEX($V$1005:$AE$1005,1,MATCH(COLUMNS($V$1006:Z1006),$V$1006:$AE$1006,0))&gt;=100000), " ",IF(INDEX($V$2:$AE$1001,MATCH(ROWS($O$2:O937),$O$2:$O$1001,0),MATCH(COLUMNS($V$1006:Z1006),$V$1006:$AE$1006,0)), HYPERLINK("#",""), HYPERLINK(CONCATENATE("#Metadata!", ADDRESS(INDEX($Q$2:$Q$1001,MATCH(ROWS($O$2:O937),$O$2:$O$1001,0),0), INDEX($V$1004:$AE$1004,1,MATCH(COLUMNS($V$1006:Z1006),$V$1006:$AE$1006,0)))),"Fix")))</f>
        <v>0</v>
      </c>
      <c r="G937" s="4">
        <f>IF(OR(INDEX($P$2:$P$1001,MATCH(ROWS($O$2:O937),$O$2:$O$1001,0),1)&gt;=100000,INDEX($V$1005:$AE$1005,1,MATCH(COLUMNS($V$1006:AA1006),$V$1006:$AE$1006,0))&gt;=100000), " ",IF(INDEX($V$2:$AE$1001,MATCH(ROWS($O$2:O937),$O$2:$O$1001,0),MATCH(COLUMNS($V$1006:AA1006),$V$1006:$AE$1006,0)), HYPERLINK("#",""), HYPERLINK(CONCATENATE("#Metadata!", ADDRESS(INDEX($Q$2:$Q$1001,MATCH(ROWS($O$2:O937),$O$2:$O$1001,0),0), INDEX($V$1004:$AE$1004,1,MATCH(COLUMNS($V$1006:AA1006),$V$1006:$AE$1006,0)))),"Fix")))</f>
        <v>0</v>
      </c>
      <c r="H937" s="4">
        <f>IF(OR(INDEX($P$2:$P$1001,MATCH(ROWS($O$2:O937),$O$2:$O$1001,0),1)&gt;=100000,INDEX($V$1005:$AE$1005,1,MATCH(COLUMNS($V$1006:AB1006),$V$1006:$AE$1006,0))&gt;=100000), " ",IF(INDEX($V$2:$AE$1001,MATCH(ROWS($O$2:O937),$O$2:$O$1001,0),MATCH(COLUMNS($V$1006:AB1006),$V$1006:$AE$1006,0)), HYPERLINK("#",""), HYPERLINK(CONCATENATE("#Metadata!", ADDRESS(INDEX($Q$2:$Q$1001,MATCH(ROWS($O$2:O937),$O$2:$O$1001,0),0), INDEX($V$1004:$AE$1004,1,MATCH(COLUMNS($V$1006:AB1006),$V$1006:$AE$1006,0)))),"Fix")))</f>
        <v>0</v>
      </c>
      <c r="I937" s="4">
        <f>IF(OR(INDEX($P$2:$P$1001,MATCH(ROWS($O$2:O937),$O$2:$O$1001,0),1)&gt;=100000,INDEX($V$1005:$AE$1005,1,MATCH(COLUMNS($V$1006:AC1006),$V$1006:$AE$1006,0))&gt;=100000), " ",IF(INDEX($V$2:$AE$1001,MATCH(ROWS($O$2:O937),$O$2:$O$1001,0),MATCH(COLUMNS($V$1006:AC1006),$V$1006:$AE$1006,0)), HYPERLINK("#",""), HYPERLINK(CONCATENATE("#Metadata!", ADDRESS(INDEX($Q$2:$Q$1001,MATCH(ROWS($O$2:O937),$O$2:$O$1001,0),0), INDEX($V$1004:$AE$1004,1,MATCH(COLUMNS($V$1006:AC1006),$V$1006:$AE$1006,0)))),"Fix")))</f>
        <v>0</v>
      </c>
      <c r="J937" s="4">
        <f>IF(OR(INDEX($P$2:$P$1001,MATCH(ROWS($O$2:O937),$O$2:$O$1001,0),1)&gt;=100000,INDEX($V$1005:$AE$1005,1,MATCH(COLUMNS($V$1006:AD1006),$V$1006:$AE$1006,0))&gt;=100000), " ",IF(INDEX($V$2:$AE$1001,MATCH(ROWS($O$2:O937),$O$2:$O$1001,0),MATCH(COLUMNS($V$1006:AD1006),$V$1006:$AE$1006,0)), HYPERLINK("#",""), HYPERLINK(CONCATENATE("#Metadata!", ADDRESS(INDEX($Q$2:$Q$1001,MATCH(ROWS($O$2:O937),$O$2:$O$1001,0),0), INDEX($V$1004:$AE$1004,1,MATCH(COLUMNS($V$1006:AD1006),$V$1006:$AE$1006,0)))),"Fix")))</f>
        <v>0</v>
      </c>
      <c r="K937" s="4">
        <f>IF(OR(INDEX($P$2:$P$1001,MATCH(ROWS($O$2:O937),$O$2:$O$1001,0),1)&gt;=100000,INDEX($V$1005:$AE$1005,1,MATCH(COLUMNS($V$1006:AE1006),$V$1006:$AE$1006,0))&gt;=100000), " ",IF(INDEX($V$2:$AE$1001,MATCH(ROWS($O$2:O937),$O$2:$O$1001,0),MATCH(COLUMNS($V$1006:AE1006),$V$1006:$AE$1006,0)), HYPERLINK("#",""), HYPERLINK(CONCATENATE("#Metadata!", ADDRESS(INDEX($Q$2:$Q$1001,MATCH(ROWS($O$2:O937),$O$2:$O$1001,0),0), INDEX($V$1004:$AE$1004,1,MATCH(COLUMNS($V$1006:AE1006),$V$1006:$AE$1006,0)))),"Fix")))</f>
        <v>0</v>
      </c>
      <c r="O937">
        <v>0</v>
      </c>
      <c r="P937">
        <v>0</v>
      </c>
      <c r="Q937">
        <v>0</v>
      </c>
      <c r="R937">
        <f>IF(S937,TRUE,AND(V937:AE937))</f>
        <v>0</v>
      </c>
      <c r="S937">
        <f>COUNTBLANK(Metadata!B937:K937)=COLUMNS(Metadata!B937:K937)</f>
        <v>0</v>
      </c>
      <c r="T937">
        <v>0</v>
      </c>
      <c r="V937">
        <f>AND(IF(Metadata!B937="",FALSE,TRUE),COUNTIF(Metadata!B:B, Metadata!B937) = 1,NOT(ISERROR(SUMPRODUCT(SEARCH(MID(Metadata!B937,ROW(INDIRECT("1:"&amp;LEN(Metadata!B937))), 1),"0123456789abcdefghijklmnopqrstuvwxyzABCDEFGHIJKLMNOPQRSTUVWXYZ.")))))</f>
        <v>0</v>
      </c>
      <c r="W937">
        <f>AND(IF(Metadata!C937="",FALSE,TRUE),exact(Metadata!C937,"urban biome"))</f>
        <v>0</v>
      </c>
      <c r="X937">
        <f>AND(IF(Metadata!D937="",FALSE,TRUE),exact(Metadata!D937,"animal-associated habitat"))</f>
        <v>0</v>
      </c>
      <c r="Y937">
        <f>OR(AND(IF(Metadata!E937="",FALSE,TRUE),OR(exact(Metadata!E937,"not applicable"),exact(Metadata!E937,"missing: not collected"),exact(Metadata!E937,"missing: not provided"),exact(Metadata!E937,"missing: restricted access"))),AND(IF(Metadata!E937="",FALSE,ISNUMBER(VALUE(Metadata!E937))),Metadata!E937&gt;0))</f>
        <v>0</v>
      </c>
      <c r="Z937">
        <f>AND(IF(Metadata!F937="",FALSE,TRUE),exact(Metadata!F937,"weeks"))</f>
        <v>0</v>
      </c>
      <c r="AA937">
        <f>AND(IF(Metadata!G937="",FALSE,TRUE),exact(Metadata!G937,"mouse"))</f>
        <v>0</v>
      </c>
      <c r="AB937">
        <f>AND(IF(Metadata!H937="",FALSE,TRUE),exact(Metadata!H937,"Mus musculus"))</f>
        <v>0</v>
      </c>
      <c r="AC937">
        <f>AND(IF(Metadata!I937="",FALSE,TRUE),exact(Metadata!I937,"10090"))</f>
        <v>0</v>
      </c>
      <c r="AD937">
        <f>OR(AND(IF(Metadata!J937="",FALSE,TRUE),OR(exact(Metadata!J937,"not applicable"),exact(Metadata!J937,"missing: not collected"),exact(Metadata!J937,"missing: not provided"),exact(Metadata!J937,"missing: restricted access"))),AND(IF(Metadata!J937="",FALSE,ISNUMBER(VALUE(Metadata!J937))),Metadata!J937&gt;0))</f>
        <v>0</v>
      </c>
      <c r="AE937">
        <f>AND(IF(Metadata!K937="",FALSE,TRUE),exact(Metadata!K937,"g"))</f>
        <v>0</v>
      </c>
    </row>
    <row r="938" spans="1:31">
      <c r="A938" s="5">
        <f>IF(B938=" "," ",HYPERLINK(CONCATENATE("#metadata!",ADDRESS(INDEX($Q$2:$Q$1001,MATCH(ROWS($O$2:O938),$O$2:$O$1001,0),0),1)),INDEX($T$2:$T$1001,MATCH(ROWS($O$2:O938),$O$2:$O$1001,0),0)))</f>
        <v>0</v>
      </c>
      <c r="B938" s="4">
        <f>IF(OR(INDEX($P$2:$P$1001,MATCH(ROWS($O$2:O938),$O$2:$O$1001,0),1)&gt;=100000,INDEX($V$1005:$AE$1005,1,MATCH(COLUMNS($V$1006:V1006),$V$1006:$AE$1006,0))&gt;=100000), " ",IF(INDEX($V$2:$AE$1001,MATCH(ROWS($O$2:O938),$O$2:$O$1001,0),MATCH(COLUMNS($V$1006:V1006),$V$1006:$AE$1006,0)), HYPERLINK("#",""), HYPERLINK(CONCATENATE("#Metadata!", ADDRESS(INDEX($Q$2:$Q$1001,MATCH(ROWS($O$2:O938),$O$2:$O$1001,0),0), INDEX($V$1004:$AE$1004,1,MATCH(COLUMNS($V$1006:V1006),$V$1006:$AE$1006,0)))),"Fix")))</f>
        <v>0</v>
      </c>
      <c r="C938" s="4">
        <f>IF(OR(INDEX($P$2:$P$1001,MATCH(ROWS($O$2:O938),$O$2:$O$1001,0),1)&gt;=100000,INDEX($V$1005:$AE$1005,1,MATCH(COLUMNS($V$1006:W1006),$V$1006:$AE$1006,0))&gt;=100000), " ",IF(INDEX($V$2:$AE$1001,MATCH(ROWS($O$2:O938),$O$2:$O$1001,0),MATCH(COLUMNS($V$1006:W1006),$V$1006:$AE$1006,0)), HYPERLINK("#",""), HYPERLINK(CONCATENATE("#Metadata!", ADDRESS(INDEX($Q$2:$Q$1001,MATCH(ROWS($O$2:O938),$O$2:$O$1001,0),0), INDEX($V$1004:$AE$1004,1,MATCH(COLUMNS($V$1006:W1006),$V$1006:$AE$1006,0)))),"Fix")))</f>
        <v>0</v>
      </c>
      <c r="D938" s="4">
        <f>IF(OR(INDEX($P$2:$P$1001,MATCH(ROWS($O$2:O938),$O$2:$O$1001,0),1)&gt;=100000,INDEX($V$1005:$AE$1005,1,MATCH(COLUMNS($V$1006:X1006),$V$1006:$AE$1006,0))&gt;=100000), " ",IF(INDEX($V$2:$AE$1001,MATCH(ROWS($O$2:O938),$O$2:$O$1001,0),MATCH(COLUMNS($V$1006:X1006),$V$1006:$AE$1006,0)), HYPERLINK("#",""), HYPERLINK(CONCATENATE("#Metadata!", ADDRESS(INDEX($Q$2:$Q$1001,MATCH(ROWS($O$2:O938),$O$2:$O$1001,0),0), INDEX($V$1004:$AE$1004,1,MATCH(COLUMNS($V$1006:X1006),$V$1006:$AE$1006,0)))),"Fix")))</f>
        <v>0</v>
      </c>
      <c r="E938" s="4">
        <f>IF(OR(INDEX($P$2:$P$1001,MATCH(ROWS($O$2:O938),$O$2:$O$1001,0),1)&gt;=100000,INDEX($V$1005:$AE$1005,1,MATCH(COLUMNS($V$1006:Y1006),$V$1006:$AE$1006,0))&gt;=100000), " ",IF(INDEX($V$2:$AE$1001,MATCH(ROWS($O$2:O938),$O$2:$O$1001,0),MATCH(COLUMNS($V$1006:Y1006),$V$1006:$AE$1006,0)), HYPERLINK("#",""), HYPERLINK(CONCATENATE("#Metadata!", ADDRESS(INDEX($Q$2:$Q$1001,MATCH(ROWS($O$2:O938),$O$2:$O$1001,0),0), INDEX($V$1004:$AE$1004,1,MATCH(COLUMNS($V$1006:Y1006),$V$1006:$AE$1006,0)))),"Fix")))</f>
        <v>0</v>
      </c>
      <c r="F938" s="4">
        <f>IF(OR(INDEX($P$2:$P$1001,MATCH(ROWS($O$2:O938),$O$2:$O$1001,0),1)&gt;=100000,INDEX($V$1005:$AE$1005,1,MATCH(COLUMNS($V$1006:Z1006),$V$1006:$AE$1006,0))&gt;=100000), " ",IF(INDEX($V$2:$AE$1001,MATCH(ROWS($O$2:O938),$O$2:$O$1001,0),MATCH(COLUMNS($V$1006:Z1006),$V$1006:$AE$1006,0)), HYPERLINK("#",""), HYPERLINK(CONCATENATE("#Metadata!", ADDRESS(INDEX($Q$2:$Q$1001,MATCH(ROWS($O$2:O938),$O$2:$O$1001,0),0), INDEX($V$1004:$AE$1004,1,MATCH(COLUMNS($V$1006:Z1006),$V$1006:$AE$1006,0)))),"Fix")))</f>
        <v>0</v>
      </c>
      <c r="G938" s="4">
        <f>IF(OR(INDEX($P$2:$P$1001,MATCH(ROWS($O$2:O938),$O$2:$O$1001,0),1)&gt;=100000,INDEX($V$1005:$AE$1005,1,MATCH(COLUMNS($V$1006:AA1006),$V$1006:$AE$1006,0))&gt;=100000), " ",IF(INDEX($V$2:$AE$1001,MATCH(ROWS($O$2:O938),$O$2:$O$1001,0),MATCH(COLUMNS($V$1006:AA1006),$V$1006:$AE$1006,0)), HYPERLINK("#",""), HYPERLINK(CONCATENATE("#Metadata!", ADDRESS(INDEX($Q$2:$Q$1001,MATCH(ROWS($O$2:O938),$O$2:$O$1001,0),0), INDEX($V$1004:$AE$1004,1,MATCH(COLUMNS($V$1006:AA1006),$V$1006:$AE$1006,0)))),"Fix")))</f>
        <v>0</v>
      </c>
      <c r="H938" s="4">
        <f>IF(OR(INDEX($P$2:$P$1001,MATCH(ROWS($O$2:O938),$O$2:$O$1001,0),1)&gt;=100000,INDEX($V$1005:$AE$1005,1,MATCH(COLUMNS($V$1006:AB1006),$V$1006:$AE$1006,0))&gt;=100000), " ",IF(INDEX($V$2:$AE$1001,MATCH(ROWS($O$2:O938),$O$2:$O$1001,0),MATCH(COLUMNS($V$1006:AB1006),$V$1006:$AE$1006,0)), HYPERLINK("#",""), HYPERLINK(CONCATENATE("#Metadata!", ADDRESS(INDEX($Q$2:$Q$1001,MATCH(ROWS($O$2:O938),$O$2:$O$1001,0),0), INDEX($V$1004:$AE$1004,1,MATCH(COLUMNS($V$1006:AB1006),$V$1006:$AE$1006,0)))),"Fix")))</f>
        <v>0</v>
      </c>
      <c r="I938" s="4">
        <f>IF(OR(INDEX($P$2:$P$1001,MATCH(ROWS($O$2:O938),$O$2:$O$1001,0),1)&gt;=100000,INDEX($V$1005:$AE$1005,1,MATCH(COLUMNS($V$1006:AC1006),$V$1006:$AE$1006,0))&gt;=100000), " ",IF(INDEX($V$2:$AE$1001,MATCH(ROWS($O$2:O938),$O$2:$O$1001,0),MATCH(COLUMNS($V$1006:AC1006),$V$1006:$AE$1006,0)), HYPERLINK("#",""), HYPERLINK(CONCATENATE("#Metadata!", ADDRESS(INDEX($Q$2:$Q$1001,MATCH(ROWS($O$2:O938),$O$2:$O$1001,0),0), INDEX($V$1004:$AE$1004,1,MATCH(COLUMNS($V$1006:AC1006),$V$1006:$AE$1006,0)))),"Fix")))</f>
        <v>0</v>
      </c>
      <c r="J938" s="4">
        <f>IF(OR(INDEX($P$2:$P$1001,MATCH(ROWS($O$2:O938),$O$2:$O$1001,0),1)&gt;=100000,INDEX($V$1005:$AE$1005,1,MATCH(COLUMNS($V$1006:AD1006),$V$1006:$AE$1006,0))&gt;=100000), " ",IF(INDEX($V$2:$AE$1001,MATCH(ROWS($O$2:O938),$O$2:$O$1001,0),MATCH(COLUMNS($V$1006:AD1006),$V$1006:$AE$1006,0)), HYPERLINK("#",""), HYPERLINK(CONCATENATE("#Metadata!", ADDRESS(INDEX($Q$2:$Q$1001,MATCH(ROWS($O$2:O938),$O$2:$O$1001,0),0), INDEX($V$1004:$AE$1004,1,MATCH(COLUMNS($V$1006:AD1006),$V$1006:$AE$1006,0)))),"Fix")))</f>
        <v>0</v>
      </c>
      <c r="K938" s="4">
        <f>IF(OR(INDEX($P$2:$P$1001,MATCH(ROWS($O$2:O938),$O$2:$O$1001,0),1)&gt;=100000,INDEX($V$1005:$AE$1005,1,MATCH(COLUMNS($V$1006:AE1006),$V$1006:$AE$1006,0))&gt;=100000), " ",IF(INDEX($V$2:$AE$1001,MATCH(ROWS($O$2:O938),$O$2:$O$1001,0),MATCH(COLUMNS($V$1006:AE1006),$V$1006:$AE$1006,0)), HYPERLINK("#",""), HYPERLINK(CONCATENATE("#Metadata!", ADDRESS(INDEX($Q$2:$Q$1001,MATCH(ROWS($O$2:O938),$O$2:$O$1001,0),0), INDEX($V$1004:$AE$1004,1,MATCH(COLUMNS($V$1006:AE1006),$V$1006:$AE$1006,0)))),"Fix")))</f>
        <v>0</v>
      </c>
      <c r="O938">
        <v>0</v>
      </c>
      <c r="P938">
        <v>0</v>
      </c>
      <c r="Q938">
        <v>0</v>
      </c>
      <c r="R938">
        <f>IF(S938,TRUE,AND(V938:AE938))</f>
        <v>0</v>
      </c>
      <c r="S938">
        <f>COUNTBLANK(Metadata!B938:K938)=COLUMNS(Metadata!B938:K938)</f>
        <v>0</v>
      </c>
      <c r="T938">
        <v>0</v>
      </c>
      <c r="V938">
        <f>AND(IF(Metadata!B938="",FALSE,TRUE),COUNTIF(Metadata!B:B, Metadata!B938) = 1,NOT(ISERROR(SUMPRODUCT(SEARCH(MID(Metadata!B938,ROW(INDIRECT("1:"&amp;LEN(Metadata!B938))), 1),"0123456789abcdefghijklmnopqrstuvwxyzABCDEFGHIJKLMNOPQRSTUVWXYZ.")))))</f>
        <v>0</v>
      </c>
      <c r="W938">
        <f>AND(IF(Metadata!C938="",FALSE,TRUE),exact(Metadata!C938,"urban biome"))</f>
        <v>0</v>
      </c>
      <c r="X938">
        <f>AND(IF(Metadata!D938="",FALSE,TRUE),exact(Metadata!D938,"animal-associated habitat"))</f>
        <v>0</v>
      </c>
      <c r="Y938">
        <f>OR(AND(IF(Metadata!E938="",FALSE,TRUE),OR(exact(Metadata!E938,"not applicable"),exact(Metadata!E938,"missing: not collected"),exact(Metadata!E938,"missing: not provided"),exact(Metadata!E938,"missing: restricted access"))),AND(IF(Metadata!E938="",FALSE,ISNUMBER(VALUE(Metadata!E938))),Metadata!E938&gt;0))</f>
        <v>0</v>
      </c>
      <c r="Z938">
        <f>AND(IF(Metadata!F938="",FALSE,TRUE),exact(Metadata!F938,"weeks"))</f>
        <v>0</v>
      </c>
      <c r="AA938">
        <f>AND(IF(Metadata!G938="",FALSE,TRUE),exact(Metadata!G938,"mouse"))</f>
        <v>0</v>
      </c>
      <c r="AB938">
        <f>AND(IF(Metadata!H938="",FALSE,TRUE),exact(Metadata!H938,"Mus musculus"))</f>
        <v>0</v>
      </c>
      <c r="AC938">
        <f>AND(IF(Metadata!I938="",FALSE,TRUE),exact(Metadata!I938,"10090"))</f>
        <v>0</v>
      </c>
      <c r="AD938">
        <f>OR(AND(IF(Metadata!J938="",FALSE,TRUE),OR(exact(Metadata!J938,"not applicable"),exact(Metadata!J938,"missing: not collected"),exact(Metadata!J938,"missing: not provided"),exact(Metadata!J938,"missing: restricted access"))),AND(IF(Metadata!J938="",FALSE,ISNUMBER(VALUE(Metadata!J938))),Metadata!J938&gt;0))</f>
        <v>0</v>
      </c>
      <c r="AE938">
        <f>AND(IF(Metadata!K938="",FALSE,TRUE),exact(Metadata!K938,"g"))</f>
        <v>0</v>
      </c>
    </row>
    <row r="939" spans="1:31">
      <c r="A939" s="5">
        <f>IF(B939=" "," ",HYPERLINK(CONCATENATE("#metadata!",ADDRESS(INDEX($Q$2:$Q$1001,MATCH(ROWS($O$2:O939),$O$2:$O$1001,0),0),1)),INDEX($T$2:$T$1001,MATCH(ROWS($O$2:O939),$O$2:$O$1001,0),0)))</f>
        <v>0</v>
      </c>
      <c r="B939" s="4">
        <f>IF(OR(INDEX($P$2:$P$1001,MATCH(ROWS($O$2:O939),$O$2:$O$1001,0),1)&gt;=100000,INDEX($V$1005:$AE$1005,1,MATCH(COLUMNS($V$1006:V1006),$V$1006:$AE$1006,0))&gt;=100000), " ",IF(INDEX($V$2:$AE$1001,MATCH(ROWS($O$2:O939),$O$2:$O$1001,0),MATCH(COLUMNS($V$1006:V1006),$V$1006:$AE$1006,0)), HYPERLINK("#",""), HYPERLINK(CONCATENATE("#Metadata!", ADDRESS(INDEX($Q$2:$Q$1001,MATCH(ROWS($O$2:O939),$O$2:$O$1001,0),0), INDEX($V$1004:$AE$1004,1,MATCH(COLUMNS($V$1006:V1006),$V$1006:$AE$1006,0)))),"Fix")))</f>
        <v>0</v>
      </c>
      <c r="C939" s="4">
        <f>IF(OR(INDEX($P$2:$P$1001,MATCH(ROWS($O$2:O939),$O$2:$O$1001,0),1)&gt;=100000,INDEX($V$1005:$AE$1005,1,MATCH(COLUMNS($V$1006:W1006),$V$1006:$AE$1006,0))&gt;=100000), " ",IF(INDEX($V$2:$AE$1001,MATCH(ROWS($O$2:O939),$O$2:$O$1001,0),MATCH(COLUMNS($V$1006:W1006),$V$1006:$AE$1006,0)), HYPERLINK("#",""), HYPERLINK(CONCATENATE("#Metadata!", ADDRESS(INDEX($Q$2:$Q$1001,MATCH(ROWS($O$2:O939),$O$2:$O$1001,0),0), INDEX($V$1004:$AE$1004,1,MATCH(COLUMNS($V$1006:W1006),$V$1006:$AE$1006,0)))),"Fix")))</f>
        <v>0</v>
      </c>
      <c r="D939" s="4">
        <f>IF(OR(INDEX($P$2:$P$1001,MATCH(ROWS($O$2:O939),$O$2:$O$1001,0),1)&gt;=100000,INDEX($V$1005:$AE$1005,1,MATCH(COLUMNS($V$1006:X1006),$V$1006:$AE$1006,0))&gt;=100000), " ",IF(INDEX($V$2:$AE$1001,MATCH(ROWS($O$2:O939),$O$2:$O$1001,0),MATCH(COLUMNS($V$1006:X1006),$V$1006:$AE$1006,0)), HYPERLINK("#",""), HYPERLINK(CONCATENATE("#Metadata!", ADDRESS(INDEX($Q$2:$Q$1001,MATCH(ROWS($O$2:O939),$O$2:$O$1001,0),0), INDEX($V$1004:$AE$1004,1,MATCH(COLUMNS($V$1006:X1006),$V$1006:$AE$1006,0)))),"Fix")))</f>
        <v>0</v>
      </c>
      <c r="E939" s="4">
        <f>IF(OR(INDEX($P$2:$P$1001,MATCH(ROWS($O$2:O939),$O$2:$O$1001,0),1)&gt;=100000,INDEX($V$1005:$AE$1005,1,MATCH(COLUMNS($V$1006:Y1006),$V$1006:$AE$1006,0))&gt;=100000), " ",IF(INDEX($V$2:$AE$1001,MATCH(ROWS($O$2:O939),$O$2:$O$1001,0),MATCH(COLUMNS($V$1006:Y1006),$V$1006:$AE$1006,0)), HYPERLINK("#",""), HYPERLINK(CONCATENATE("#Metadata!", ADDRESS(INDEX($Q$2:$Q$1001,MATCH(ROWS($O$2:O939),$O$2:$O$1001,0),0), INDEX($V$1004:$AE$1004,1,MATCH(COLUMNS($V$1006:Y1006),$V$1006:$AE$1006,0)))),"Fix")))</f>
        <v>0</v>
      </c>
      <c r="F939" s="4">
        <f>IF(OR(INDEX($P$2:$P$1001,MATCH(ROWS($O$2:O939),$O$2:$O$1001,0),1)&gt;=100000,INDEX($V$1005:$AE$1005,1,MATCH(COLUMNS($V$1006:Z1006),$V$1006:$AE$1006,0))&gt;=100000), " ",IF(INDEX($V$2:$AE$1001,MATCH(ROWS($O$2:O939),$O$2:$O$1001,0),MATCH(COLUMNS($V$1006:Z1006),$V$1006:$AE$1006,0)), HYPERLINK("#",""), HYPERLINK(CONCATENATE("#Metadata!", ADDRESS(INDEX($Q$2:$Q$1001,MATCH(ROWS($O$2:O939),$O$2:$O$1001,0),0), INDEX($V$1004:$AE$1004,1,MATCH(COLUMNS($V$1006:Z1006),$V$1006:$AE$1006,0)))),"Fix")))</f>
        <v>0</v>
      </c>
      <c r="G939" s="4">
        <f>IF(OR(INDEX($P$2:$P$1001,MATCH(ROWS($O$2:O939),$O$2:$O$1001,0),1)&gt;=100000,INDEX($V$1005:$AE$1005,1,MATCH(COLUMNS($V$1006:AA1006),$V$1006:$AE$1006,0))&gt;=100000), " ",IF(INDEX($V$2:$AE$1001,MATCH(ROWS($O$2:O939),$O$2:$O$1001,0),MATCH(COLUMNS($V$1006:AA1006),$V$1006:$AE$1006,0)), HYPERLINK("#",""), HYPERLINK(CONCATENATE("#Metadata!", ADDRESS(INDEX($Q$2:$Q$1001,MATCH(ROWS($O$2:O939),$O$2:$O$1001,0),0), INDEX($V$1004:$AE$1004,1,MATCH(COLUMNS($V$1006:AA1006),$V$1006:$AE$1006,0)))),"Fix")))</f>
        <v>0</v>
      </c>
      <c r="H939" s="4">
        <f>IF(OR(INDEX($P$2:$P$1001,MATCH(ROWS($O$2:O939),$O$2:$O$1001,0),1)&gt;=100000,INDEX($V$1005:$AE$1005,1,MATCH(COLUMNS($V$1006:AB1006),$V$1006:$AE$1006,0))&gt;=100000), " ",IF(INDEX($V$2:$AE$1001,MATCH(ROWS($O$2:O939),$O$2:$O$1001,0),MATCH(COLUMNS($V$1006:AB1006),$V$1006:$AE$1006,0)), HYPERLINK("#",""), HYPERLINK(CONCATENATE("#Metadata!", ADDRESS(INDEX($Q$2:$Q$1001,MATCH(ROWS($O$2:O939),$O$2:$O$1001,0),0), INDEX($V$1004:$AE$1004,1,MATCH(COLUMNS($V$1006:AB1006),$V$1006:$AE$1006,0)))),"Fix")))</f>
        <v>0</v>
      </c>
      <c r="I939" s="4">
        <f>IF(OR(INDEX($P$2:$P$1001,MATCH(ROWS($O$2:O939),$O$2:$O$1001,0),1)&gt;=100000,INDEX($V$1005:$AE$1005,1,MATCH(COLUMNS($V$1006:AC1006),$V$1006:$AE$1006,0))&gt;=100000), " ",IF(INDEX($V$2:$AE$1001,MATCH(ROWS($O$2:O939),$O$2:$O$1001,0),MATCH(COLUMNS($V$1006:AC1006),$V$1006:$AE$1006,0)), HYPERLINK("#",""), HYPERLINK(CONCATENATE("#Metadata!", ADDRESS(INDEX($Q$2:$Q$1001,MATCH(ROWS($O$2:O939),$O$2:$O$1001,0),0), INDEX($V$1004:$AE$1004,1,MATCH(COLUMNS($V$1006:AC1006),$V$1006:$AE$1006,0)))),"Fix")))</f>
        <v>0</v>
      </c>
      <c r="J939" s="4">
        <f>IF(OR(INDEX($P$2:$P$1001,MATCH(ROWS($O$2:O939),$O$2:$O$1001,0),1)&gt;=100000,INDEX($V$1005:$AE$1005,1,MATCH(COLUMNS($V$1006:AD1006),$V$1006:$AE$1006,0))&gt;=100000), " ",IF(INDEX($V$2:$AE$1001,MATCH(ROWS($O$2:O939),$O$2:$O$1001,0),MATCH(COLUMNS($V$1006:AD1006),$V$1006:$AE$1006,0)), HYPERLINK("#",""), HYPERLINK(CONCATENATE("#Metadata!", ADDRESS(INDEX($Q$2:$Q$1001,MATCH(ROWS($O$2:O939),$O$2:$O$1001,0),0), INDEX($V$1004:$AE$1004,1,MATCH(COLUMNS($V$1006:AD1006),$V$1006:$AE$1006,0)))),"Fix")))</f>
        <v>0</v>
      </c>
      <c r="K939" s="4">
        <f>IF(OR(INDEX($P$2:$P$1001,MATCH(ROWS($O$2:O939),$O$2:$O$1001,0),1)&gt;=100000,INDEX($V$1005:$AE$1005,1,MATCH(COLUMNS($V$1006:AE1006),$V$1006:$AE$1006,0))&gt;=100000), " ",IF(INDEX($V$2:$AE$1001,MATCH(ROWS($O$2:O939),$O$2:$O$1001,0),MATCH(COLUMNS($V$1006:AE1006),$V$1006:$AE$1006,0)), HYPERLINK("#",""), HYPERLINK(CONCATENATE("#Metadata!", ADDRESS(INDEX($Q$2:$Q$1001,MATCH(ROWS($O$2:O939),$O$2:$O$1001,0),0), INDEX($V$1004:$AE$1004,1,MATCH(COLUMNS($V$1006:AE1006),$V$1006:$AE$1006,0)))),"Fix")))</f>
        <v>0</v>
      </c>
      <c r="O939">
        <v>0</v>
      </c>
      <c r="P939">
        <v>0</v>
      </c>
      <c r="Q939">
        <v>0</v>
      </c>
      <c r="R939">
        <f>IF(S939,TRUE,AND(V939:AE939))</f>
        <v>0</v>
      </c>
      <c r="S939">
        <f>COUNTBLANK(Metadata!B939:K939)=COLUMNS(Metadata!B939:K939)</f>
        <v>0</v>
      </c>
      <c r="T939">
        <v>0</v>
      </c>
      <c r="V939">
        <f>AND(IF(Metadata!B939="",FALSE,TRUE),COUNTIF(Metadata!B:B, Metadata!B939) = 1,NOT(ISERROR(SUMPRODUCT(SEARCH(MID(Metadata!B939,ROW(INDIRECT("1:"&amp;LEN(Metadata!B939))), 1),"0123456789abcdefghijklmnopqrstuvwxyzABCDEFGHIJKLMNOPQRSTUVWXYZ.")))))</f>
        <v>0</v>
      </c>
      <c r="W939">
        <f>AND(IF(Metadata!C939="",FALSE,TRUE),exact(Metadata!C939,"urban biome"))</f>
        <v>0</v>
      </c>
      <c r="X939">
        <f>AND(IF(Metadata!D939="",FALSE,TRUE),exact(Metadata!D939,"animal-associated habitat"))</f>
        <v>0</v>
      </c>
      <c r="Y939">
        <f>OR(AND(IF(Metadata!E939="",FALSE,TRUE),OR(exact(Metadata!E939,"not applicable"),exact(Metadata!E939,"missing: not collected"),exact(Metadata!E939,"missing: not provided"),exact(Metadata!E939,"missing: restricted access"))),AND(IF(Metadata!E939="",FALSE,ISNUMBER(VALUE(Metadata!E939))),Metadata!E939&gt;0))</f>
        <v>0</v>
      </c>
      <c r="Z939">
        <f>AND(IF(Metadata!F939="",FALSE,TRUE),exact(Metadata!F939,"weeks"))</f>
        <v>0</v>
      </c>
      <c r="AA939">
        <f>AND(IF(Metadata!G939="",FALSE,TRUE),exact(Metadata!G939,"mouse"))</f>
        <v>0</v>
      </c>
      <c r="AB939">
        <f>AND(IF(Metadata!H939="",FALSE,TRUE),exact(Metadata!H939,"Mus musculus"))</f>
        <v>0</v>
      </c>
      <c r="AC939">
        <f>AND(IF(Metadata!I939="",FALSE,TRUE),exact(Metadata!I939,"10090"))</f>
        <v>0</v>
      </c>
      <c r="AD939">
        <f>OR(AND(IF(Metadata!J939="",FALSE,TRUE),OR(exact(Metadata!J939,"not applicable"),exact(Metadata!J939,"missing: not collected"),exact(Metadata!J939,"missing: not provided"),exact(Metadata!J939,"missing: restricted access"))),AND(IF(Metadata!J939="",FALSE,ISNUMBER(VALUE(Metadata!J939))),Metadata!J939&gt;0))</f>
        <v>0</v>
      </c>
      <c r="AE939">
        <f>AND(IF(Metadata!K939="",FALSE,TRUE),exact(Metadata!K939,"g"))</f>
        <v>0</v>
      </c>
    </row>
    <row r="940" spans="1:31">
      <c r="A940" s="5">
        <f>IF(B940=" "," ",HYPERLINK(CONCATENATE("#metadata!",ADDRESS(INDEX($Q$2:$Q$1001,MATCH(ROWS($O$2:O940),$O$2:$O$1001,0),0),1)),INDEX($T$2:$T$1001,MATCH(ROWS($O$2:O940),$O$2:$O$1001,0),0)))</f>
        <v>0</v>
      </c>
      <c r="B940" s="4">
        <f>IF(OR(INDEX($P$2:$P$1001,MATCH(ROWS($O$2:O940),$O$2:$O$1001,0),1)&gt;=100000,INDEX($V$1005:$AE$1005,1,MATCH(COLUMNS($V$1006:V1006),$V$1006:$AE$1006,0))&gt;=100000), " ",IF(INDEX($V$2:$AE$1001,MATCH(ROWS($O$2:O940),$O$2:$O$1001,0),MATCH(COLUMNS($V$1006:V1006),$V$1006:$AE$1006,0)), HYPERLINK("#",""), HYPERLINK(CONCATENATE("#Metadata!", ADDRESS(INDEX($Q$2:$Q$1001,MATCH(ROWS($O$2:O940),$O$2:$O$1001,0),0), INDEX($V$1004:$AE$1004,1,MATCH(COLUMNS($V$1006:V1006),$V$1006:$AE$1006,0)))),"Fix")))</f>
        <v>0</v>
      </c>
      <c r="C940" s="4">
        <f>IF(OR(INDEX($P$2:$P$1001,MATCH(ROWS($O$2:O940),$O$2:$O$1001,0),1)&gt;=100000,INDEX($V$1005:$AE$1005,1,MATCH(COLUMNS($V$1006:W1006),$V$1006:$AE$1006,0))&gt;=100000), " ",IF(INDEX($V$2:$AE$1001,MATCH(ROWS($O$2:O940),$O$2:$O$1001,0),MATCH(COLUMNS($V$1006:W1006),$V$1006:$AE$1006,0)), HYPERLINK("#",""), HYPERLINK(CONCATENATE("#Metadata!", ADDRESS(INDEX($Q$2:$Q$1001,MATCH(ROWS($O$2:O940),$O$2:$O$1001,0),0), INDEX($V$1004:$AE$1004,1,MATCH(COLUMNS($V$1006:W1006),$V$1006:$AE$1006,0)))),"Fix")))</f>
        <v>0</v>
      </c>
      <c r="D940" s="4">
        <f>IF(OR(INDEX($P$2:$P$1001,MATCH(ROWS($O$2:O940),$O$2:$O$1001,0),1)&gt;=100000,INDEX($V$1005:$AE$1005,1,MATCH(COLUMNS($V$1006:X1006),$V$1006:$AE$1006,0))&gt;=100000), " ",IF(INDEX($V$2:$AE$1001,MATCH(ROWS($O$2:O940),$O$2:$O$1001,0),MATCH(COLUMNS($V$1006:X1006),$V$1006:$AE$1006,0)), HYPERLINK("#",""), HYPERLINK(CONCATENATE("#Metadata!", ADDRESS(INDEX($Q$2:$Q$1001,MATCH(ROWS($O$2:O940),$O$2:$O$1001,0),0), INDEX($V$1004:$AE$1004,1,MATCH(COLUMNS($V$1006:X1006),$V$1006:$AE$1006,0)))),"Fix")))</f>
        <v>0</v>
      </c>
      <c r="E940" s="4">
        <f>IF(OR(INDEX($P$2:$P$1001,MATCH(ROWS($O$2:O940),$O$2:$O$1001,0),1)&gt;=100000,INDEX($V$1005:$AE$1005,1,MATCH(COLUMNS($V$1006:Y1006),$V$1006:$AE$1006,0))&gt;=100000), " ",IF(INDEX($V$2:$AE$1001,MATCH(ROWS($O$2:O940),$O$2:$O$1001,0),MATCH(COLUMNS($V$1006:Y1006),$V$1006:$AE$1006,0)), HYPERLINK("#",""), HYPERLINK(CONCATENATE("#Metadata!", ADDRESS(INDEX($Q$2:$Q$1001,MATCH(ROWS($O$2:O940),$O$2:$O$1001,0),0), INDEX($V$1004:$AE$1004,1,MATCH(COLUMNS($V$1006:Y1006),$V$1006:$AE$1006,0)))),"Fix")))</f>
        <v>0</v>
      </c>
      <c r="F940" s="4">
        <f>IF(OR(INDEX($P$2:$P$1001,MATCH(ROWS($O$2:O940),$O$2:$O$1001,0),1)&gt;=100000,INDEX($V$1005:$AE$1005,1,MATCH(COLUMNS($V$1006:Z1006),$V$1006:$AE$1006,0))&gt;=100000), " ",IF(INDEX($V$2:$AE$1001,MATCH(ROWS($O$2:O940),$O$2:$O$1001,0),MATCH(COLUMNS($V$1006:Z1006),$V$1006:$AE$1006,0)), HYPERLINK("#",""), HYPERLINK(CONCATENATE("#Metadata!", ADDRESS(INDEX($Q$2:$Q$1001,MATCH(ROWS($O$2:O940),$O$2:$O$1001,0),0), INDEX($V$1004:$AE$1004,1,MATCH(COLUMNS($V$1006:Z1006),$V$1006:$AE$1006,0)))),"Fix")))</f>
        <v>0</v>
      </c>
      <c r="G940" s="4">
        <f>IF(OR(INDEX($P$2:$P$1001,MATCH(ROWS($O$2:O940),$O$2:$O$1001,0),1)&gt;=100000,INDEX($V$1005:$AE$1005,1,MATCH(COLUMNS($V$1006:AA1006),$V$1006:$AE$1006,0))&gt;=100000), " ",IF(INDEX($V$2:$AE$1001,MATCH(ROWS($O$2:O940),$O$2:$O$1001,0),MATCH(COLUMNS($V$1006:AA1006),$V$1006:$AE$1006,0)), HYPERLINK("#",""), HYPERLINK(CONCATENATE("#Metadata!", ADDRESS(INDEX($Q$2:$Q$1001,MATCH(ROWS($O$2:O940),$O$2:$O$1001,0),0), INDEX($V$1004:$AE$1004,1,MATCH(COLUMNS($V$1006:AA1006),$V$1006:$AE$1006,0)))),"Fix")))</f>
        <v>0</v>
      </c>
      <c r="H940" s="4">
        <f>IF(OR(INDEX($P$2:$P$1001,MATCH(ROWS($O$2:O940),$O$2:$O$1001,0),1)&gt;=100000,INDEX($V$1005:$AE$1005,1,MATCH(COLUMNS($V$1006:AB1006),$V$1006:$AE$1006,0))&gt;=100000), " ",IF(INDEX($V$2:$AE$1001,MATCH(ROWS($O$2:O940),$O$2:$O$1001,0),MATCH(COLUMNS($V$1006:AB1006),$V$1006:$AE$1006,0)), HYPERLINK("#",""), HYPERLINK(CONCATENATE("#Metadata!", ADDRESS(INDEX($Q$2:$Q$1001,MATCH(ROWS($O$2:O940),$O$2:$O$1001,0),0), INDEX($V$1004:$AE$1004,1,MATCH(COLUMNS($V$1006:AB1006),$V$1006:$AE$1006,0)))),"Fix")))</f>
        <v>0</v>
      </c>
      <c r="I940" s="4">
        <f>IF(OR(INDEX($P$2:$P$1001,MATCH(ROWS($O$2:O940),$O$2:$O$1001,0),1)&gt;=100000,INDEX($V$1005:$AE$1005,1,MATCH(COLUMNS($V$1006:AC1006),$V$1006:$AE$1006,0))&gt;=100000), " ",IF(INDEX($V$2:$AE$1001,MATCH(ROWS($O$2:O940),$O$2:$O$1001,0),MATCH(COLUMNS($V$1006:AC1006),$V$1006:$AE$1006,0)), HYPERLINK("#",""), HYPERLINK(CONCATENATE("#Metadata!", ADDRESS(INDEX($Q$2:$Q$1001,MATCH(ROWS($O$2:O940),$O$2:$O$1001,0),0), INDEX($V$1004:$AE$1004,1,MATCH(COLUMNS($V$1006:AC1006),$V$1006:$AE$1006,0)))),"Fix")))</f>
        <v>0</v>
      </c>
      <c r="J940" s="4">
        <f>IF(OR(INDEX($P$2:$P$1001,MATCH(ROWS($O$2:O940),$O$2:$O$1001,0),1)&gt;=100000,INDEX($V$1005:$AE$1005,1,MATCH(COLUMNS($V$1006:AD1006),$V$1006:$AE$1006,0))&gt;=100000), " ",IF(INDEX($V$2:$AE$1001,MATCH(ROWS($O$2:O940),$O$2:$O$1001,0),MATCH(COLUMNS($V$1006:AD1006),$V$1006:$AE$1006,0)), HYPERLINK("#",""), HYPERLINK(CONCATENATE("#Metadata!", ADDRESS(INDEX($Q$2:$Q$1001,MATCH(ROWS($O$2:O940),$O$2:$O$1001,0),0), INDEX($V$1004:$AE$1004,1,MATCH(COLUMNS($V$1006:AD1006),$V$1006:$AE$1006,0)))),"Fix")))</f>
        <v>0</v>
      </c>
      <c r="K940" s="4">
        <f>IF(OR(INDEX($P$2:$P$1001,MATCH(ROWS($O$2:O940),$O$2:$O$1001,0),1)&gt;=100000,INDEX($V$1005:$AE$1005,1,MATCH(COLUMNS($V$1006:AE1006),$V$1006:$AE$1006,0))&gt;=100000), " ",IF(INDEX($V$2:$AE$1001,MATCH(ROWS($O$2:O940),$O$2:$O$1001,0),MATCH(COLUMNS($V$1006:AE1006),$V$1006:$AE$1006,0)), HYPERLINK("#",""), HYPERLINK(CONCATENATE("#Metadata!", ADDRESS(INDEX($Q$2:$Q$1001,MATCH(ROWS($O$2:O940),$O$2:$O$1001,0),0), INDEX($V$1004:$AE$1004,1,MATCH(COLUMNS($V$1006:AE1006),$V$1006:$AE$1006,0)))),"Fix")))</f>
        <v>0</v>
      </c>
      <c r="O940">
        <v>0</v>
      </c>
      <c r="P940">
        <v>0</v>
      </c>
      <c r="Q940">
        <v>0</v>
      </c>
      <c r="R940">
        <f>IF(S940,TRUE,AND(V940:AE940))</f>
        <v>0</v>
      </c>
      <c r="S940">
        <f>COUNTBLANK(Metadata!B940:K940)=COLUMNS(Metadata!B940:K940)</f>
        <v>0</v>
      </c>
      <c r="T940">
        <v>0</v>
      </c>
      <c r="V940">
        <f>AND(IF(Metadata!B940="",FALSE,TRUE),COUNTIF(Metadata!B:B, Metadata!B940) = 1,NOT(ISERROR(SUMPRODUCT(SEARCH(MID(Metadata!B940,ROW(INDIRECT("1:"&amp;LEN(Metadata!B940))), 1),"0123456789abcdefghijklmnopqrstuvwxyzABCDEFGHIJKLMNOPQRSTUVWXYZ.")))))</f>
        <v>0</v>
      </c>
      <c r="W940">
        <f>AND(IF(Metadata!C940="",FALSE,TRUE),exact(Metadata!C940,"urban biome"))</f>
        <v>0</v>
      </c>
      <c r="X940">
        <f>AND(IF(Metadata!D940="",FALSE,TRUE),exact(Metadata!D940,"animal-associated habitat"))</f>
        <v>0</v>
      </c>
      <c r="Y940">
        <f>OR(AND(IF(Metadata!E940="",FALSE,TRUE),OR(exact(Metadata!E940,"not applicable"),exact(Metadata!E940,"missing: not collected"),exact(Metadata!E940,"missing: not provided"),exact(Metadata!E940,"missing: restricted access"))),AND(IF(Metadata!E940="",FALSE,ISNUMBER(VALUE(Metadata!E940))),Metadata!E940&gt;0))</f>
        <v>0</v>
      </c>
      <c r="Z940">
        <f>AND(IF(Metadata!F940="",FALSE,TRUE),exact(Metadata!F940,"weeks"))</f>
        <v>0</v>
      </c>
      <c r="AA940">
        <f>AND(IF(Metadata!G940="",FALSE,TRUE),exact(Metadata!G940,"mouse"))</f>
        <v>0</v>
      </c>
      <c r="AB940">
        <f>AND(IF(Metadata!H940="",FALSE,TRUE),exact(Metadata!H940,"Mus musculus"))</f>
        <v>0</v>
      </c>
      <c r="AC940">
        <f>AND(IF(Metadata!I940="",FALSE,TRUE),exact(Metadata!I940,"10090"))</f>
        <v>0</v>
      </c>
      <c r="AD940">
        <f>OR(AND(IF(Metadata!J940="",FALSE,TRUE),OR(exact(Metadata!J940,"not applicable"),exact(Metadata!J940,"missing: not collected"),exact(Metadata!J940,"missing: not provided"),exact(Metadata!J940,"missing: restricted access"))),AND(IF(Metadata!J940="",FALSE,ISNUMBER(VALUE(Metadata!J940))),Metadata!J940&gt;0))</f>
        <v>0</v>
      </c>
      <c r="AE940">
        <f>AND(IF(Metadata!K940="",FALSE,TRUE),exact(Metadata!K940,"g"))</f>
        <v>0</v>
      </c>
    </row>
    <row r="941" spans="1:31">
      <c r="A941" s="5">
        <f>IF(B941=" "," ",HYPERLINK(CONCATENATE("#metadata!",ADDRESS(INDEX($Q$2:$Q$1001,MATCH(ROWS($O$2:O941),$O$2:$O$1001,0),0),1)),INDEX($T$2:$T$1001,MATCH(ROWS($O$2:O941),$O$2:$O$1001,0),0)))</f>
        <v>0</v>
      </c>
      <c r="B941" s="4">
        <f>IF(OR(INDEX($P$2:$P$1001,MATCH(ROWS($O$2:O941),$O$2:$O$1001,0),1)&gt;=100000,INDEX($V$1005:$AE$1005,1,MATCH(COLUMNS($V$1006:V1006),$V$1006:$AE$1006,0))&gt;=100000), " ",IF(INDEX($V$2:$AE$1001,MATCH(ROWS($O$2:O941),$O$2:$O$1001,0),MATCH(COLUMNS($V$1006:V1006),$V$1006:$AE$1006,0)), HYPERLINK("#",""), HYPERLINK(CONCATENATE("#Metadata!", ADDRESS(INDEX($Q$2:$Q$1001,MATCH(ROWS($O$2:O941),$O$2:$O$1001,0),0), INDEX($V$1004:$AE$1004,1,MATCH(COLUMNS($V$1006:V1006),$V$1006:$AE$1006,0)))),"Fix")))</f>
        <v>0</v>
      </c>
      <c r="C941" s="4">
        <f>IF(OR(INDEX($P$2:$P$1001,MATCH(ROWS($O$2:O941),$O$2:$O$1001,0),1)&gt;=100000,INDEX($V$1005:$AE$1005,1,MATCH(COLUMNS($V$1006:W1006),$V$1006:$AE$1006,0))&gt;=100000), " ",IF(INDEX($V$2:$AE$1001,MATCH(ROWS($O$2:O941),$O$2:$O$1001,0),MATCH(COLUMNS($V$1006:W1006),$V$1006:$AE$1006,0)), HYPERLINK("#",""), HYPERLINK(CONCATENATE("#Metadata!", ADDRESS(INDEX($Q$2:$Q$1001,MATCH(ROWS($O$2:O941),$O$2:$O$1001,0),0), INDEX($V$1004:$AE$1004,1,MATCH(COLUMNS($V$1006:W1006),$V$1006:$AE$1006,0)))),"Fix")))</f>
        <v>0</v>
      </c>
      <c r="D941" s="4">
        <f>IF(OR(INDEX($P$2:$P$1001,MATCH(ROWS($O$2:O941),$O$2:$O$1001,0),1)&gt;=100000,INDEX($V$1005:$AE$1005,1,MATCH(COLUMNS($V$1006:X1006),$V$1006:$AE$1006,0))&gt;=100000), " ",IF(INDEX($V$2:$AE$1001,MATCH(ROWS($O$2:O941),$O$2:$O$1001,0),MATCH(COLUMNS($V$1006:X1006),$V$1006:$AE$1006,0)), HYPERLINK("#",""), HYPERLINK(CONCATENATE("#Metadata!", ADDRESS(INDEX($Q$2:$Q$1001,MATCH(ROWS($O$2:O941),$O$2:$O$1001,0),0), INDEX($V$1004:$AE$1004,1,MATCH(COLUMNS($V$1006:X1006),$V$1006:$AE$1006,0)))),"Fix")))</f>
        <v>0</v>
      </c>
      <c r="E941" s="4">
        <f>IF(OR(INDEX($P$2:$P$1001,MATCH(ROWS($O$2:O941),$O$2:$O$1001,0),1)&gt;=100000,INDEX($V$1005:$AE$1005,1,MATCH(COLUMNS($V$1006:Y1006),$V$1006:$AE$1006,0))&gt;=100000), " ",IF(INDEX($V$2:$AE$1001,MATCH(ROWS($O$2:O941),$O$2:$O$1001,0),MATCH(COLUMNS($V$1006:Y1006),$V$1006:$AE$1006,0)), HYPERLINK("#",""), HYPERLINK(CONCATENATE("#Metadata!", ADDRESS(INDEX($Q$2:$Q$1001,MATCH(ROWS($O$2:O941),$O$2:$O$1001,0),0), INDEX($V$1004:$AE$1004,1,MATCH(COLUMNS($V$1006:Y1006),$V$1006:$AE$1006,0)))),"Fix")))</f>
        <v>0</v>
      </c>
      <c r="F941" s="4">
        <f>IF(OR(INDEX($P$2:$P$1001,MATCH(ROWS($O$2:O941),$O$2:$O$1001,0),1)&gt;=100000,INDEX($V$1005:$AE$1005,1,MATCH(COLUMNS($V$1006:Z1006),$V$1006:$AE$1006,0))&gt;=100000), " ",IF(INDEX($V$2:$AE$1001,MATCH(ROWS($O$2:O941),$O$2:$O$1001,0),MATCH(COLUMNS($V$1006:Z1006),$V$1006:$AE$1006,0)), HYPERLINK("#",""), HYPERLINK(CONCATENATE("#Metadata!", ADDRESS(INDEX($Q$2:$Q$1001,MATCH(ROWS($O$2:O941),$O$2:$O$1001,0),0), INDEX($V$1004:$AE$1004,1,MATCH(COLUMNS($V$1006:Z1006),$V$1006:$AE$1006,0)))),"Fix")))</f>
        <v>0</v>
      </c>
      <c r="G941" s="4">
        <f>IF(OR(INDEX($P$2:$P$1001,MATCH(ROWS($O$2:O941),$O$2:$O$1001,0),1)&gt;=100000,INDEX($V$1005:$AE$1005,1,MATCH(COLUMNS($V$1006:AA1006),$V$1006:$AE$1006,0))&gt;=100000), " ",IF(INDEX($V$2:$AE$1001,MATCH(ROWS($O$2:O941),$O$2:$O$1001,0),MATCH(COLUMNS($V$1006:AA1006),$V$1006:$AE$1006,0)), HYPERLINK("#",""), HYPERLINK(CONCATENATE("#Metadata!", ADDRESS(INDEX($Q$2:$Q$1001,MATCH(ROWS($O$2:O941),$O$2:$O$1001,0),0), INDEX($V$1004:$AE$1004,1,MATCH(COLUMNS($V$1006:AA1006),$V$1006:$AE$1006,0)))),"Fix")))</f>
        <v>0</v>
      </c>
      <c r="H941" s="4">
        <f>IF(OR(INDEX($P$2:$P$1001,MATCH(ROWS($O$2:O941),$O$2:$O$1001,0),1)&gt;=100000,INDEX($V$1005:$AE$1005,1,MATCH(COLUMNS($V$1006:AB1006),$V$1006:$AE$1006,0))&gt;=100000), " ",IF(INDEX($V$2:$AE$1001,MATCH(ROWS($O$2:O941),$O$2:$O$1001,0),MATCH(COLUMNS($V$1006:AB1006),$V$1006:$AE$1006,0)), HYPERLINK("#",""), HYPERLINK(CONCATENATE("#Metadata!", ADDRESS(INDEX($Q$2:$Q$1001,MATCH(ROWS($O$2:O941),$O$2:$O$1001,0),0), INDEX($V$1004:$AE$1004,1,MATCH(COLUMNS($V$1006:AB1006),$V$1006:$AE$1006,0)))),"Fix")))</f>
        <v>0</v>
      </c>
      <c r="I941" s="4">
        <f>IF(OR(INDEX($P$2:$P$1001,MATCH(ROWS($O$2:O941),$O$2:$O$1001,0),1)&gt;=100000,INDEX($V$1005:$AE$1005,1,MATCH(COLUMNS($V$1006:AC1006),$V$1006:$AE$1006,0))&gt;=100000), " ",IF(INDEX($V$2:$AE$1001,MATCH(ROWS($O$2:O941),$O$2:$O$1001,0),MATCH(COLUMNS($V$1006:AC1006),$V$1006:$AE$1006,0)), HYPERLINK("#",""), HYPERLINK(CONCATENATE("#Metadata!", ADDRESS(INDEX($Q$2:$Q$1001,MATCH(ROWS($O$2:O941),$O$2:$O$1001,0),0), INDEX($V$1004:$AE$1004,1,MATCH(COLUMNS($V$1006:AC1006),$V$1006:$AE$1006,0)))),"Fix")))</f>
        <v>0</v>
      </c>
      <c r="J941" s="4">
        <f>IF(OR(INDEX($P$2:$P$1001,MATCH(ROWS($O$2:O941),$O$2:$O$1001,0),1)&gt;=100000,INDEX($V$1005:$AE$1005,1,MATCH(COLUMNS($V$1006:AD1006),$V$1006:$AE$1006,0))&gt;=100000), " ",IF(INDEX($V$2:$AE$1001,MATCH(ROWS($O$2:O941),$O$2:$O$1001,0),MATCH(COLUMNS($V$1006:AD1006),$V$1006:$AE$1006,0)), HYPERLINK("#",""), HYPERLINK(CONCATENATE("#Metadata!", ADDRESS(INDEX($Q$2:$Q$1001,MATCH(ROWS($O$2:O941),$O$2:$O$1001,0),0), INDEX($V$1004:$AE$1004,1,MATCH(COLUMNS($V$1006:AD1006),$V$1006:$AE$1006,0)))),"Fix")))</f>
        <v>0</v>
      </c>
      <c r="K941" s="4">
        <f>IF(OR(INDEX($P$2:$P$1001,MATCH(ROWS($O$2:O941),$O$2:$O$1001,0),1)&gt;=100000,INDEX($V$1005:$AE$1005,1,MATCH(COLUMNS($V$1006:AE1006),$V$1006:$AE$1006,0))&gt;=100000), " ",IF(INDEX($V$2:$AE$1001,MATCH(ROWS($O$2:O941),$O$2:$O$1001,0),MATCH(COLUMNS($V$1006:AE1006),$V$1006:$AE$1006,0)), HYPERLINK("#",""), HYPERLINK(CONCATENATE("#Metadata!", ADDRESS(INDEX($Q$2:$Q$1001,MATCH(ROWS($O$2:O941),$O$2:$O$1001,0),0), INDEX($V$1004:$AE$1004,1,MATCH(COLUMNS($V$1006:AE1006),$V$1006:$AE$1006,0)))),"Fix")))</f>
        <v>0</v>
      </c>
      <c r="O941">
        <v>0</v>
      </c>
      <c r="P941">
        <v>0</v>
      </c>
      <c r="Q941">
        <v>0</v>
      </c>
      <c r="R941">
        <f>IF(S941,TRUE,AND(V941:AE941))</f>
        <v>0</v>
      </c>
      <c r="S941">
        <f>COUNTBLANK(Metadata!B941:K941)=COLUMNS(Metadata!B941:K941)</f>
        <v>0</v>
      </c>
      <c r="T941">
        <v>0</v>
      </c>
      <c r="V941">
        <f>AND(IF(Metadata!B941="",FALSE,TRUE),COUNTIF(Metadata!B:B, Metadata!B941) = 1,NOT(ISERROR(SUMPRODUCT(SEARCH(MID(Metadata!B941,ROW(INDIRECT("1:"&amp;LEN(Metadata!B941))), 1),"0123456789abcdefghijklmnopqrstuvwxyzABCDEFGHIJKLMNOPQRSTUVWXYZ.")))))</f>
        <v>0</v>
      </c>
      <c r="W941">
        <f>AND(IF(Metadata!C941="",FALSE,TRUE),exact(Metadata!C941,"urban biome"))</f>
        <v>0</v>
      </c>
      <c r="X941">
        <f>AND(IF(Metadata!D941="",FALSE,TRUE),exact(Metadata!D941,"animal-associated habitat"))</f>
        <v>0</v>
      </c>
      <c r="Y941">
        <f>OR(AND(IF(Metadata!E941="",FALSE,TRUE),OR(exact(Metadata!E941,"not applicable"),exact(Metadata!E941,"missing: not collected"),exact(Metadata!E941,"missing: not provided"),exact(Metadata!E941,"missing: restricted access"))),AND(IF(Metadata!E941="",FALSE,ISNUMBER(VALUE(Metadata!E941))),Metadata!E941&gt;0))</f>
        <v>0</v>
      </c>
      <c r="Z941">
        <f>AND(IF(Metadata!F941="",FALSE,TRUE),exact(Metadata!F941,"weeks"))</f>
        <v>0</v>
      </c>
      <c r="AA941">
        <f>AND(IF(Metadata!G941="",FALSE,TRUE),exact(Metadata!G941,"mouse"))</f>
        <v>0</v>
      </c>
      <c r="AB941">
        <f>AND(IF(Metadata!H941="",FALSE,TRUE),exact(Metadata!H941,"Mus musculus"))</f>
        <v>0</v>
      </c>
      <c r="AC941">
        <f>AND(IF(Metadata!I941="",FALSE,TRUE),exact(Metadata!I941,"10090"))</f>
        <v>0</v>
      </c>
      <c r="AD941">
        <f>OR(AND(IF(Metadata!J941="",FALSE,TRUE),OR(exact(Metadata!J941,"not applicable"),exact(Metadata!J941,"missing: not collected"),exact(Metadata!J941,"missing: not provided"),exact(Metadata!J941,"missing: restricted access"))),AND(IF(Metadata!J941="",FALSE,ISNUMBER(VALUE(Metadata!J941))),Metadata!J941&gt;0))</f>
        <v>0</v>
      </c>
      <c r="AE941">
        <f>AND(IF(Metadata!K941="",FALSE,TRUE),exact(Metadata!K941,"g"))</f>
        <v>0</v>
      </c>
    </row>
    <row r="942" spans="1:31">
      <c r="A942" s="5">
        <f>IF(B942=" "," ",HYPERLINK(CONCATENATE("#metadata!",ADDRESS(INDEX($Q$2:$Q$1001,MATCH(ROWS($O$2:O942),$O$2:$O$1001,0),0),1)),INDEX($T$2:$T$1001,MATCH(ROWS($O$2:O942),$O$2:$O$1001,0),0)))</f>
        <v>0</v>
      </c>
      <c r="B942" s="4">
        <f>IF(OR(INDEX($P$2:$P$1001,MATCH(ROWS($O$2:O942),$O$2:$O$1001,0),1)&gt;=100000,INDEX($V$1005:$AE$1005,1,MATCH(COLUMNS($V$1006:V1006),$V$1006:$AE$1006,0))&gt;=100000), " ",IF(INDEX($V$2:$AE$1001,MATCH(ROWS($O$2:O942),$O$2:$O$1001,0),MATCH(COLUMNS($V$1006:V1006),$V$1006:$AE$1006,0)), HYPERLINK("#",""), HYPERLINK(CONCATENATE("#Metadata!", ADDRESS(INDEX($Q$2:$Q$1001,MATCH(ROWS($O$2:O942),$O$2:$O$1001,0),0), INDEX($V$1004:$AE$1004,1,MATCH(COLUMNS($V$1006:V1006),$V$1006:$AE$1006,0)))),"Fix")))</f>
        <v>0</v>
      </c>
      <c r="C942" s="4">
        <f>IF(OR(INDEX($P$2:$P$1001,MATCH(ROWS($O$2:O942),$O$2:$O$1001,0),1)&gt;=100000,INDEX($V$1005:$AE$1005,1,MATCH(COLUMNS($V$1006:W1006),$V$1006:$AE$1006,0))&gt;=100000), " ",IF(INDEX($V$2:$AE$1001,MATCH(ROWS($O$2:O942),$O$2:$O$1001,0),MATCH(COLUMNS($V$1006:W1006),$V$1006:$AE$1006,0)), HYPERLINK("#",""), HYPERLINK(CONCATENATE("#Metadata!", ADDRESS(INDEX($Q$2:$Q$1001,MATCH(ROWS($O$2:O942),$O$2:$O$1001,0),0), INDEX($V$1004:$AE$1004,1,MATCH(COLUMNS($V$1006:W1006),$V$1006:$AE$1006,0)))),"Fix")))</f>
        <v>0</v>
      </c>
      <c r="D942" s="4">
        <f>IF(OR(INDEX($P$2:$P$1001,MATCH(ROWS($O$2:O942),$O$2:$O$1001,0),1)&gt;=100000,INDEX($V$1005:$AE$1005,1,MATCH(COLUMNS($V$1006:X1006),$V$1006:$AE$1006,0))&gt;=100000), " ",IF(INDEX($V$2:$AE$1001,MATCH(ROWS($O$2:O942),$O$2:$O$1001,0),MATCH(COLUMNS($V$1006:X1006),$V$1006:$AE$1006,0)), HYPERLINK("#",""), HYPERLINK(CONCATENATE("#Metadata!", ADDRESS(INDEX($Q$2:$Q$1001,MATCH(ROWS($O$2:O942),$O$2:$O$1001,0),0), INDEX($V$1004:$AE$1004,1,MATCH(COLUMNS($V$1006:X1006),$V$1006:$AE$1006,0)))),"Fix")))</f>
        <v>0</v>
      </c>
      <c r="E942" s="4">
        <f>IF(OR(INDEX($P$2:$P$1001,MATCH(ROWS($O$2:O942),$O$2:$O$1001,0),1)&gt;=100000,INDEX($V$1005:$AE$1005,1,MATCH(COLUMNS($V$1006:Y1006),$V$1006:$AE$1006,0))&gt;=100000), " ",IF(INDEX($V$2:$AE$1001,MATCH(ROWS($O$2:O942),$O$2:$O$1001,0),MATCH(COLUMNS($V$1006:Y1006),$V$1006:$AE$1006,0)), HYPERLINK("#",""), HYPERLINK(CONCATENATE("#Metadata!", ADDRESS(INDEX($Q$2:$Q$1001,MATCH(ROWS($O$2:O942),$O$2:$O$1001,0),0), INDEX($V$1004:$AE$1004,1,MATCH(COLUMNS($V$1006:Y1006),$V$1006:$AE$1006,0)))),"Fix")))</f>
        <v>0</v>
      </c>
      <c r="F942" s="4">
        <f>IF(OR(INDEX($P$2:$P$1001,MATCH(ROWS($O$2:O942),$O$2:$O$1001,0),1)&gt;=100000,INDEX($V$1005:$AE$1005,1,MATCH(COLUMNS($V$1006:Z1006),$V$1006:$AE$1006,0))&gt;=100000), " ",IF(INDEX($V$2:$AE$1001,MATCH(ROWS($O$2:O942),$O$2:$O$1001,0),MATCH(COLUMNS($V$1006:Z1006),$V$1006:$AE$1006,0)), HYPERLINK("#",""), HYPERLINK(CONCATENATE("#Metadata!", ADDRESS(INDEX($Q$2:$Q$1001,MATCH(ROWS($O$2:O942),$O$2:$O$1001,0),0), INDEX($V$1004:$AE$1004,1,MATCH(COLUMNS($V$1006:Z1006),$V$1006:$AE$1006,0)))),"Fix")))</f>
        <v>0</v>
      </c>
      <c r="G942" s="4">
        <f>IF(OR(INDEX($P$2:$P$1001,MATCH(ROWS($O$2:O942),$O$2:$O$1001,0),1)&gt;=100000,INDEX($V$1005:$AE$1005,1,MATCH(COLUMNS($V$1006:AA1006),$V$1006:$AE$1006,0))&gt;=100000), " ",IF(INDEX($V$2:$AE$1001,MATCH(ROWS($O$2:O942),$O$2:$O$1001,0),MATCH(COLUMNS($V$1006:AA1006),$V$1006:$AE$1006,0)), HYPERLINK("#",""), HYPERLINK(CONCATENATE("#Metadata!", ADDRESS(INDEX($Q$2:$Q$1001,MATCH(ROWS($O$2:O942),$O$2:$O$1001,0),0), INDEX($V$1004:$AE$1004,1,MATCH(COLUMNS($V$1006:AA1006),$V$1006:$AE$1006,0)))),"Fix")))</f>
        <v>0</v>
      </c>
      <c r="H942" s="4">
        <f>IF(OR(INDEX($P$2:$P$1001,MATCH(ROWS($O$2:O942),$O$2:$O$1001,0),1)&gt;=100000,INDEX($V$1005:$AE$1005,1,MATCH(COLUMNS($V$1006:AB1006),$V$1006:$AE$1006,0))&gt;=100000), " ",IF(INDEX($V$2:$AE$1001,MATCH(ROWS($O$2:O942),$O$2:$O$1001,0),MATCH(COLUMNS($V$1006:AB1006),$V$1006:$AE$1006,0)), HYPERLINK("#",""), HYPERLINK(CONCATENATE("#Metadata!", ADDRESS(INDEX($Q$2:$Q$1001,MATCH(ROWS($O$2:O942),$O$2:$O$1001,0),0), INDEX($V$1004:$AE$1004,1,MATCH(COLUMNS($V$1006:AB1006),$V$1006:$AE$1006,0)))),"Fix")))</f>
        <v>0</v>
      </c>
      <c r="I942" s="4">
        <f>IF(OR(INDEX($P$2:$P$1001,MATCH(ROWS($O$2:O942),$O$2:$O$1001,0),1)&gt;=100000,INDEX($V$1005:$AE$1005,1,MATCH(COLUMNS($V$1006:AC1006),$V$1006:$AE$1006,0))&gt;=100000), " ",IF(INDEX($V$2:$AE$1001,MATCH(ROWS($O$2:O942),$O$2:$O$1001,0),MATCH(COLUMNS($V$1006:AC1006),$V$1006:$AE$1006,0)), HYPERLINK("#",""), HYPERLINK(CONCATENATE("#Metadata!", ADDRESS(INDEX($Q$2:$Q$1001,MATCH(ROWS($O$2:O942),$O$2:$O$1001,0),0), INDEX($V$1004:$AE$1004,1,MATCH(COLUMNS($V$1006:AC1006),$V$1006:$AE$1006,0)))),"Fix")))</f>
        <v>0</v>
      </c>
      <c r="J942" s="4">
        <f>IF(OR(INDEX($P$2:$P$1001,MATCH(ROWS($O$2:O942),$O$2:$O$1001,0),1)&gt;=100000,INDEX($V$1005:$AE$1005,1,MATCH(COLUMNS($V$1006:AD1006),$V$1006:$AE$1006,0))&gt;=100000), " ",IF(INDEX($V$2:$AE$1001,MATCH(ROWS($O$2:O942),$O$2:$O$1001,0),MATCH(COLUMNS($V$1006:AD1006),$V$1006:$AE$1006,0)), HYPERLINK("#",""), HYPERLINK(CONCATENATE("#Metadata!", ADDRESS(INDEX($Q$2:$Q$1001,MATCH(ROWS($O$2:O942),$O$2:$O$1001,0),0), INDEX($V$1004:$AE$1004,1,MATCH(COLUMNS($V$1006:AD1006),$V$1006:$AE$1006,0)))),"Fix")))</f>
        <v>0</v>
      </c>
      <c r="K942" s="4">
        <f>IF(OR(INDEX($P$2:$P$1001,MATCH(ROWS($O$2:O942),$O$2:$O$1001,0),1)&gt;=100000,INDEX($V$1005:$AE$1005,1,MATCH(COLUMNS($V$1006:AE1006),$V$1006:$AE$1006,0))&gt;=100000), " ",IF(INDEX($V$2:$AE$1001,MATCH(ROWS($O$2:O942),$O$2:$O$1001,0),MATCH(COLUMNS($V$1006:AE1006),$V$1006:$AE$1006,0)), HYPERLINK("#",""), HYPERLINK(CONCATENATE("#Metadata!", ADDRESS(INDEX($Q$2:$Q$1001,MATCH(ROWS($O$2:O942),$O$2:$O$1001,0),0), INDEX($V$1004:$AE$1004,1,MATCH(COLUMNS($V$1006:AE1006),$V$1006:$AE$1006,0)))),"Fix")))</f>
        <v>0</v>
      </c>
      <c r="O942">
        <v>0</v>
      </c>
      <c r="P942">
        <v>0</v>
      </c>
      <c r="Q942">
        <v>0</v>
      </c>
      <c r="R942">
        <f>IF(S942,TRUE,AND(V942:AE942))</f>
        <v>0</v>
      </c>
      <c r="S942">
        <f>COUNTBLANK(Metadata!B942:K942)=COLUMNS(Metadata!B942:K942)</f>
        <v>0</v>
      </c>
      <c r="T942">
        <v>0</v>
      </c>
      <c r="V942">
        <f>AND(IF(Metadata!B942="",FALSE,TRUE),COUNTIF(Metadata!B:B, Metadata!B942) = 1,NOT(ISERROR(SUMPRODUCT(SEARCH(MID(Metadata!B942,ROW(INDIRECT("1:"&amp;LEN(Metadata!B942))), 1),"0123456789abcdefghijklmnopqrstuvwxyzABCDEFGHIJKLMNOPQRSTUVWXYZ.")))))</f>
        <v>0</v>
      </c>
      <c r="W942">
        <f>AND(IF(Metadata!C942="",FALSE,TRUE),exact(Metadata!C942,"urban biome"))</f>
        <v>0</v>
      </c>
      <c r="X942">
        <f>AND(IF(Metadata!D942="",FALSE,TRUE),exact(Metadata!D942,"animal-associated habitat"))</f>
        <v>0</v>
      </c>
      <c r="Y942">
        <f>OR(AND(IF(Metadata!E942="",FALSE,TRUE),OR(exact(Metadata!E942,"not applicable"),exact(Metadata!E942,"missing: not collected"),exact(Metadata!E942,"missing: not provided"),exact(Metadata!E942,"missing: restricted access"))),AND(IF(Metadata!E942="",FALSE,ISNUMBER(VALUE(Metadata!E942))),Metadata!E942&gt;0))</f>
        <v>0</v>
      </c>
      <c r="Z942">
        <f>AND(IF(Metadata!F942="",FALSE,TRUE),exact(Metadata!F942,"weeks"))</f>
        <v>0</v>
      </c>
      <c r="AA942">
        <f>AND(IF(Metadata!G942="",FALSE,TRUE),exact(Metadata!G942,"mouse"))</f>
        <v>0</v>
      </c>
      <c r="AB942">
        <f>AND(IF(Metadata!H942="",FALSE,TRUE),exact(Metadata!H942,"Mus musculus"))</f>
        <v>0</v>
      </c>
      <c r="AC942">
        <f>AND(IF(Metadata!I942="",FALSE,TRUE),exact(Metadata!I942,"10090"))</f>
        <v>0</v>
      </c>
      <c r="AD942">
        <f>OR(AND(IF(Metadata!J942="",FALSE,TRUE),OR(exact(Metadata!J942,"not applicable"),exact(Metadata!J942,"missing: not collected"),exact(Metadata!J942,"missing: not provided"),exact(Metadata!J942,"missing: restricted access"))),AND(IF(Metadata!J942="",FALSE,ISNUMBER(VALUE(Metadata!J942))),Metadata!J942&gt;0))</f>
        <v>0</v>
      </c>
      <c r="AE942">
        <f>AND(IF(Metadata!K942="",FALSE,TRUE),exact(Metadata!K942,"g"))</f>
        <v>0</v>
      </c>
    </row>
    <row r="943" spans="1:31">
      <c r="A943" s="5">
        <f>IF(B943=" "," ",HYPERLINK(CONCATENATE("#metadata!",ADDRESS(INDEX($Q$2:$Q$1001,MATCH(ROWS($O$2:O943),$O$2:$O$1001,0),0),1)),INDEX($T$2:$T$1001,MATCH(ROWS($O$2:O943),$O$2:$O$1001,0),0)))</f>
        <v>0</v>
      </c>
      <c r="B943" s="4">
        <f>IF(OR(INDEX($P$2:$P$1001,MATCH(ROWS($O$2:O943),$O$2:$O$1001,0),1)&gt;=100000,INDEX($V$1005:$AE$1005,1,MATCH(COLUMNS($V$1006:V1006),$V$1006:$AE$1006,0))&gt;=100000), " ",IF(INDEX($V$2:$AE$1001,MATCH(ROWS($O$2:O943),$O$2:$O$1001,0),MATCH(COLUMNS($V$1006:V1006),$V$1006:$AE$1006,0)), HYPERLINK("#",""), HYPERLINK(CONCATENATE("#Metadata!", ADDRESS(INDEX($Q$2:$Q$1001,MATCH(ROWS($O$2:O943),$O$2:$O$1001,0),0), INDEX($V$1004:$AE$1004,1,MATCH(COLUMNS($V$1006:V1006),$V$1006:$AE$1006,0)))),"Fix")))</f>
        <v>0</v>
      </c>
      <c r="C943" s="4">
        <f>IF(OR(INDEX($P$2:$P$1001,MATCH(ROWS($O$2:O943),$O$2:$O$1001,0),1)&gt;=100000,INDEX($V$1005:$AE$1005,1,MATCH(COLUMNS($V$1006:W1006),$V$1006:$AE$1006,0))&gt;=100000), " ",IF(INDEX($V$2:$AE$1001,MATCH(ROWS($O$2:O943),$O$2:$O$1001,0),MATCH(COLUMNS($V$1006:W1006),$V$1006:$AE$1006,0)), HYPERLINK("#",""), HYPERLINK(CONCATENATE("#Metadata!", ADDRESS(INDEX($Q$2:$Q$1001,MATCH(ROWS($O$2:O943),$O$2:$O$1001,0),0), INDEX($V$1004:$AE$1004,1,MATCH(COLUMNS($V$1006:W1006),$V$1006:$AE$1006,0)))),"Fix")))</f>
        <v>0</v>
      </c>
      <c r="D943" s="4">
        <f>IF(OR(INDEX($P$2:$P$1001,MATCH(ROWS($O$2:O943),$O$2:$O$1001,0),1)&gt;=100000,INDEX($V$1005:$AE$1005,1,MATCH(COLUMNS($V$1006:X1006),$V$1006:$AE$1006,0))&gt;=100000), " ",IF(INDEX($V$2:$AE$1001,MATCH(ROWS($O$2:O943),$O$2:$O$1001,0),MATCH(COLUMNS($V$1006:X1006),$V$1006:$AE$1006,0)), HYPERLINK("#",""), HYPERLINK(CONCATENATE("#Metadata!", ADDRESS(INDEX($Q$2:$Q$1001,MATCH(ROWS($O$2:O943),$O$2:$O$1001,0),0), INDEX($V$1004:$AE$1004,1,MATCH(COLUMNS($V$1006:X1006),$V$1006:$AE$1006,0)))),"Fix")))</f>
        <v>0</v>
      </c>
      <c r="E943" s="4">
        <f>IF(OR(INDEX($P$2:$P$1001,MATCH(ROWS($O$2:O943),$O$2:$O$1001,0),1)&gt;=100000,INDEX($V$1005:$AE$1005,1,MATCH(COLUMNS($V$1006:Y1006),$V$1006:$AE$1006,0))&gt;=100000), " ",IF(INDEX($V$2:$AE$1001,MATCH(ROWS($O$2:O943),$O$2:$O$1001,0),MATCH(COLUMNS($V$1006:Y1006),$V$1006:$AE$1006,0)), HYPERLINK("#",""), HYPERLINK(CONCATENATE("#Metadata!", ADDRESS(INDEX($Q$2:$Q$1001,MATCH(ROWS($O$2:O943),$O$2:$O$1001,0),0), INDEX($V$1004:$AE$1004,1,MATCH(COLUMNS($V$1006:Y1006),$V$1006:$AE$1006,0)))),"Fix")))</f>
        <v>0</v>
      </c>
      <c r="F943" s="4">
        <f>IF(OR(INDEX($P$2:$P$1001,MATCH(ROWS($O$2:O943),$O$2:$O$1001,0),1)&gt;=100000,INDEX($V$1005:$AE$1005,1,MATCH(COLUMNS($V$1006:Z1006),$V$1006:$AE$1006,0))&gt;=100000), " ",IF(INDEX($V$2:$AE$1001,MATCH(ROWS($O$2:O943),$O$2:$O$1001,0),MATCH(COLUMNS($V$1006:Z1006),$V$1006:$AE$1006,0)), HYPERLINK("#",""), HYPERLINK(CONCATENATE("#Metadata!", ADDRESS(INDEX($Q$2:$Q$1001,MATCH(ROWS($O$2:O943),$O$2:$O$1001,0),0), INDEX($V$1004:$AE$1004,1,MATCH(COLUMNS($V$1006:Z1006),$V$1006:$AE$1006,0)))),"Fix")))</f>
        <v>0</v>
      </c>
      <c r="G943" s="4">
        <f>IF(OR(INDEX($P$2:$P$1001,MATCH(ROWS($O$2:O943),$O$2:$O$1001,0),1)&gt;=100000,INDEX($V$1005:$AE$1005,1,MATCH(COLUMNS($V$1006:AA1006),$V$1006:$AE$1006,0))&gt;=100000), " ",IF(INDEX($V$2:$AE$1001,MATCH(ROWS($O$2:O943),$O$2:$O$1001,0),MATCH(COLUMNS($V$1006:AA1006),$V$1006:$AE$1006,0)), HYPERLINK("#",""), HYPERLINK(CONCATENATE("#Metadata!", ADDRESS(INDEX($Q$2:$Q$1001,MATCH(ROWS($O$2:O943),$O$2:$O$1001,0),0), INDEX($V$1004:$AE$1004,1,MATCH(COLUMNS($V$1006:AA1006),$V$1006:$AE$1006,0)))),"Fix")))</f>
        <v>0</v>
      </c>
      <c r="H943" s="4">
        <f>IF(OR(INDEX($P$2:$P$1001,MATCH(ROWS($O$2:O943),$O$2:$O$1001,0),1)&gt;=100000,INDEX($V$1005:$AE$1005,1,MATCH(COLUMNS($V$1006:AB1006),$V$1006:$AE$1006,0))&gt;=100000), " ",IF(INDEX($V$2:$AE$1001,MATCH(ROWS($O$2:O943),$O$2:$O$1001,0),MATCH(COLUMNS($V$1006:AB1006),$V$1006:$AE$1006,0)), HYPERLINK("#",""), HYPERLINK(CONCATENATE("#Metadata!", ADDRESS(INDEX($Q$2:$Q$1001,MATCH(ROWS($O$2:O943),$O$2:$O$1001,0),0), INDEX($V$1004:$AE$1004,1,MATCH(COLUMNS($V$1006:AB1006),$V$1006:$AE$1006,0)))),"Fix")))</f>
        <v>0</v>
      </c>
      <c r="I943" s="4">
        <f>IF(OR(INDEX($P$2:$P$1001,MATCH(ROWS($O$2:O943),$O$2:$O$1001,0),1)&gt;=100000,INDEX($V$1005:$AE$1005,1,MATCH(COLUMNS($V$1006:AC1006),$V$1006:$AE$1006,0))&gt;=100000), " ",IF(INDEX($V$2:$AE$1001,MATCH(ROWS($O$2:O943),$O$2:$O$1001,0),MATCH(COLUMNS($V$1006:AC1006),$V$1006:$AE$1006,0)), HYPERLINK("#",""), HYPERLINK(CONCATENATE("#Metadata!", ADDRESS(INDEX($Q$2:$Q$1001,MATCH(ROWS($O$2:O943),$O$2:$O$1001,0),0), INDEX($V$1004:$AE$1004,1,MATCH(COLUMNS($V$1006:AC1006),$V$1006:$AE$1006,0)))),"Fix")))</f>
        <v>0</v>
      </c>
      <c r="J943" s="4">
        <f>IF(OR(INDEX($P$2:$P$1001,MATCH(ROWS($O$2:O943),$O$2:$O$1001,0),1)&gt;=100000,INDEX($V$1005:$AE$1005,1,MATCH(COLUMNS($V$1006:AD1006),$V$1006:$AE$1006,0))&gt;=100000), " ",IF(INDEX($V$2:$AE$1001,MATCH(ROWS($O$2:O943),$O$2:$O$1001,0),MATCH(COLUMNS($V$1006:AD1006),$V$1006:$AE$1006,0)), HYPERLINK("#",""), HYPERLINK(CONCATENATE("#Metadata!", ADDRESS(INDEX($Q$2:$Q$1001,MATCH(ROWS($O$2:O943),$O$2:$O$1001,0),0), INDEX($V$1004:$AE$1004,1,MATCH(COLUMNS($V$1006:AD1006),$V$1006:$AE$1006,0)))),"Fix")))</f>
        <v>0</v>
      </c>
      <c r="K943" s="4">
        <f>IF(OR(INDEX($P$2:$P$1001,MATCH(ROWS($O$2:O943),$O$2:$O$1001,0),1)&gt;=100000,INDEX($V$1005:$AE$1005,1,MATCH(COLUMNS($V$1006:AE1006),$V$1006:$AE$1006,0))&gt;=100000), " ",IF(INDEX($V$2:$AE$1001,MATCH(ROWS($O$2:O943),$O$2:$O$1001,0),MATCH(COLUMNS($V$1006:AE1006),$V$1006:$AE$1006,0)), HYPERLINK("#",""), HYPERLINK(CONCATENATE("#Metadata!", ADDRESS(INDEX($Q$2:$Q$1001,MATCH(ROWS($O$2:O943),$O$2:$O$1001,0),0), INDEX($V$1004:$AE$1004,1,MATCH(COLUMNS($V$1006:AE1006),$V$1006:$AE$1006,0)))),"Fix")))</f>
        <v>0</v>
      </c>
      <c r="O943">
        <v>0</v>
      </c>
      <c r="P943">
        <v>0</v>
      </c>
      <c r="Q943">
        <v>0</v>
      </c>
      <c r="R943">
        <f>IF(S943,TRUE,AND(V943:AE943))</f>
        <v>0</v>
      </c>
      <c r="S943">
        <f>COUNTBLANK(Metadata!B943:K943)=COLUMNS(Metadata!B943:K943)</f>
        <v>0</v>
      </c>
      <c r="T943">
        <v>0</v>
      </c>
      <c r="V943">
        <f>AND(IF(Metadata!B943="",FALSE,TRUE),COUNTIF(Metadata!B:B, Metadata!B943) = 1,NOT(ISERROR(SUMPRODUCT(SEARCH(MID(Metadata!B943,ROW(INDIRECT("1:"&amp;LEN(Metadata!B943))), 1),"0123456789abcdefghijklmnopqrstuvwxyzABCDEFGHIJKLMNOPQRSTUVWXYZ.")))))</f>
        <v>0</v>
      </c>
      <c r="W943">
        <f>AND(IF(Metadata!C943="",FALSE,TRUE),exact(Metadata!C943,"urban biome"))</f>
        <v>0</v>
      </c>
      <c r="X943">
        <f>AND(IF(Metadata!D943="",FALSE,TRUE),exact(Metadata!D943,"animal-associated habitat"))</f>
        <v>0</v>
      </c>
      <c r="Y943">
        <f>OR(AND(IF(Metadata!E943="",FALSE,TRUE),OR(exact(Metadata!E943,"not applicable"),exact(Metadata!E943,"missing: not collected"),exact(Metadata!E943,"missing: not provided"),exact(Metadata!E943,"missing: restricted access"))),AND(IF(Metadata!E943="",FALSE,ISNUMBER(VALUE(Metadata!E943))),Metadata!E943&gt;0))</f>
        <v>0</v>
      </c>
      <c r="Z943">
        <f>AND(IF(Metadata!F943="",FALSE,TRUE),exact(Metadata!F943,"weeks"))</f>
        <v>0</v>
      </c>
      <c r="AA943">
        <f>AND(IF(Metadata!G943="",FALSE,TRUE),exact(Metadata!G943,"mouse"))</f>
        <v>0</v>
      </c>
      <c r="AB943">
        <f>AND(IF(Metadata!H943="",FALSE,TRUE),exact(Metadata!H943,"Mus musculus"))</f>
        <v>0</v>
      </c>
      <c r="AC943">
        <f>AND(IF(Metadata!I943="",FALSE,TRUE),exact(Metadata!I943,"10090"))</f>
        <v>0</v>
      </c>
      <c r="AD943">
        <f>OR(AND(IF(Metadata!J943="",FALSE,TRUE),OR(exact(Metadata!J943,"not applicable"),exact(Metadata!J943,"missing: not collected"),exact(Metadata!J943,"missing: not provided"),exact(Metadata!J943,"missing: restricted access"))),AND(IF(Metadata!J943="",FALSE,ISNUMBER(VALUE(Metadata!J943))),Metadata!J943&gt;0))</f>
        <v>0</v>
      </c>
      <c r="AE943">
        <f>AND(IF(Metadata!K943="",FALSE,TRUE),exact(Metadata!K943,"g"))</f>
        <v>0</v>
      </c>
    </row>
    <row r="944" spans="1:31">
      <c r="A944" s="5">
        <f>IF(B944=" "," ",HYPERLINK(CONCATENATE("#metadata!",ADDRESS(INDEX($Q$2:$Q$1001,MATCH(ROWS($O$2:O944),$O$2:$O$1001,0),0),1)),INDEX($T$2:$T$1001,MATCH(ROWS($O$2:O944),$O$2:$O$1001,0),0)))</f>
        <v>0</v>
      </c>
      <c r="B944" s="4">
        <f>IF(OR(INDEX($P$2:$P$1001,MATCH(ROWS($O$2:O944),$O$2:$O$1001,0),1)&gt;=100000,INDEX($V$1005:$AE$1005,1,MATCH(COLUMNS($V$1006:V1006),$V$1006:$AE$1006,0))&gt;=100000), " ",IF(INDEX($V$2:$AE$1001,MATCH(ROWS($O$2:O944),$O$2:$O$1001,0),MATCH(COLUMNS($V$1006:V1006),$V$1006:$AE$1006,0)), HYPERLINK("#",""), HYPERLINK(CONCATENATE("#Metadata!", ADDRESS(INDEX($Q$2:$Q$1001,MATCH(ROWS($O$2:O944),$O$2:$O$1001,0),0), INDEX($V$1004:$AE$1004,1,MATCH(COLUMNS($V$1006:V1006),$V$1006:$AE$1006,0)))),"Fix")))</f>
        <v>0</v>
      </c>
      <c r="C944" s="4">
        <f>IF(OR(INDEX($P$2:$P$1001,MATCH(ROWS($O$2:O944),$O$2:$O$1001,0),1)&gt;=100000,INDEX($V$1005:$AE$1005,1,MATCH(COLUMNS($V$1006:W1006),$V$1006:$AE$1006,0))&gt;=100000), " ",IF(INDEX($V$2:$AE$1001,MATCH(ROWS($O$2:O944),$O$2:$O$1001,0),MATCH(COLUMNS($V$1006:W1006),$V$1006:$AE$1006,0)), HYPERLINK("#",""), HYPERLINK(CONCATENATE("#Metadata!", ADDRESS(INDEX($Q$2:$Q$1001,MATCH(ROWS($O$2:O944),$O$2:$O$1001,0),0), INDEX($V$1004:$AE$1004,1,MATCH(COLUMNS($V$1006:W1006),$V$1006:$AE$1006,0)))),"Fix")))</f>
        <v>0</v>
      </c>
      <c r="D944" s="4">
        <f>IF(OR(INDEX($P$2:$P$1001,MATCH(ROWS($O$2:O944),$O$2:$O$1001,0),1)&gt;=100000,INDEX($V$1005:$AE$1005,1,MATCH(COLUMNS($V$1006:X1006),$V$1006:$AE$1006,0))&gt;=100000), " ",IF(INDEX($V$2:$AE$1001,MATCH(ROWS($O$2:O944),$O$2:$O$1001,0),MATCH(COLUMNS($V$1006:X1006),$V$1006:$AE$1006,0)), HYPERLINK("#",""), HYPERLINK(CONCATENATE("#Metadata!", ADDRESS(INDEX($Q$2:$Q$1001,MATCH(ROWS($O$2:O944),$O$2:$O$1001,0),0), INDEX($V$1004:$AE$1004,1,MATCH(COLUMNS($V$1006:X1006),$V$1006:$AE$1006,0)))),"Fix")))</f>
        <v>0</v>
      </c>
      <c r="E944" s="4">
        <f>IF(OR(INDEX($P$2:$P$1001,MATCH(ROWS($O$2:O944),$O$2:$O$1001,0),1)&gt;=100000,INDEX($V$1005:$AE$1005,1,MATCH(COLUMNS($V$1006:Y1006),$V$1006:$AE$1006,0))&gt;=100000), " ",IF(INDEX($V$2:$AE$1001,MATCH(ROWS($O$2:O944),$O$2:$O$1001,0),MATCH(COLUMNS($V$1006:Y1006),$V$1006:$AE$1006,0)), HYPERLINK("#",""), HYPERLINK(CONCATENATE("#Metadata!", ADDRESS(INDEX($Q$2:$Q$1001,MATCH(ROWS($O$2:O944),$O$2:$O$1001,0),0), INDEX($V$1004:$AE$1004,1,MATCH(COLUMNS($V$1006:Y1006),$V$1006:$AE$1006,0)))),"Fix")))</f>
        <v>0</v>
      </c>
      <c r="F944" s="4">
        <f>IF(OR(INDEX($P$2:$P$1001,MATCH(ROWS($O$2:O944),$O$2:$O$1001,0),1)&gt;=100000,INDEX($V$1005:$AE$1005,1,MATCH(COLUMNS($V$1006:Z1006),$V$1006:$AE$1006,0))&gt;=100000), " ",IF(INDEX($V$2:$AE$1001,MATCH(ROWS($O$2:O944),$O$2:$O$1001,0),MATCH(COLUMNS($V$1006:Z1006),$V$1006:$AE$1006,0)), HYPERLINK("#",""), HYPERLINK(CONCATENATE("#Metadata!", ADDRESS(INDEX($Q$2:$Q$1001,MATCH(ROWS($O$2:O944),$O$2:$O$1001,0),0), INDEX($V$1004:$AE$1004,1,MATCH(COLUMNS($V$1006:Z1006),$V$1006:$AE$1006,0)))),"Fix")))</f>
        <v>0</v>
      </c>
      <c r="G944" s="4">
        <f>IF(OR(INDEX($P$2:$P$1001,MATCH(ROWS($O$2:O944),$O$2:$O$1001,0),1)&gt;=100000,INDEX($V$1005:$AE$1005,1,MATCH(COLUMNS($V$1006:AA1006),$V$1006:$AE$1006,0))&gt;=100000), " ",IF(INDEX($V$2:$AE$1001,MATCH(ROWS($O$2:O944),$O$2:$O$1001,0),MATCH(COLUMNS($V$1006:AA1006),$V$1006:$AE$1006,0)), HYPERLINK("#",""), HYPERLINK(CONCATENATE("#Metadata!", ADDRESS(INDEX($Q$2:$Q$1001,MATCH(ROWS($O$2:O944),$O$2:$O$1001,0),0), INDEX($V$1004:$AE$1004,1,MATCH(COLUMNS($V$1006:AA1006),$V$1006:$AE$1006,0)))),"Fix")))</f>
        <v>0</v>
      </c>
      <c r="H944" s="4">
        <f>IF(OR(INDEX($P$2:$P$1001,MATCH(ROWS($O$2:O944),$O$2:$O$1001,0),1)&gt;=100000,INDEX($V$1005:$AE$1005,1,MATCH(COLUMNS($V$1006:AB1006),$V$1006:$AE$1006,0))&gt;=100000), " ",IF(INDEX($V$2:$AE$1001,MATCH(ROWS($O$2:O944),$O$2:$O$1001,0),MATCH(COLUMNS($V$1006:AB1006),$V$1006:$AE$1006,0)), HYPERLINK("#",""), HYPERLINK(CONCATENATE("#Metadata!", ADDRESS(INDEX($Q$2:$Q$1001,MATCH(ROWS($O$2:O944),$O$2:$O$1001,0),0), INDEX($V$1004:$AE$1004,1,MATCH(COLUMNS($V$1006:AB1006),$V$1006:$AE$1006,0)))),"Fix")))</f>
        <v>0</v>
      </c>
      <c r="I944" s="4">
        <f>IF(OR(INDEX($P$2:$P$1001,MATCH(ROWS($O$2:O944),$O$2:$O$1001,0),1)&gt;=100000,INDEX($V$1005:$AE$1005,1,MATCH(COLUMNS($V$1006:AC1006),$V$1006:$AE$1006,0))&gt;=100000), " ",IF(INDEX($V$2:$AE$1001,MATCH(ROWS($O$2:O944),$O$2:$O$1001,0),MATCH(COLUMNS($V$1006:AC1006),$V$1006:$AE$1006,0)), HYPERLINK("#",""), HYPERLINK(CONCATENATE("#Metadata!", ADDRESS(INDEX($Q$2:$Q$1001,MATCH(ROWS($O$2:O944),$O$2:$O$1001,0),0), INDEX($V$1004:$AE$1004,1,MATCH(COLUMNS($V$1006:AC1006),$V$1006:$AE$1006,0)))),"Fix")))</f>
        <v>0</v>
      </c>
      <c r="J944" s="4">
        <f>IF(OR(INDEX($P$2:$P$1001,MATCH(ROWS($O$2:O944),$O$2:$O$1001,0),1)&gt;=100000,INDEX($V$1005:$AE$1005,1,MATCH(COLUMNS($V$1006:AD1006),$V$1006:$AE$1006,0))&gt;=100000), " ",IF(INDEX($V$2:$AE$1001,MATCH(ROWS($O$2:O944),$O$2:$O$1001,0),MATCH(COLUMNS($V$1006:AD1006),$V$1006:$AE$1006,0)), HYPERLINK("#",""), HYPERLINK(CONCATENATE("#Metadata!", ADDRESS(INDEX($Q$2:$Q$1001,MATCH(ROWS($O$2:O944),$O$2:$O$1001,0),0), INDEX($V$1004:$AE$1004,1,MATCH(COLUMNS($V$1006:AD1006),$V$1006:$AE$1006,0)))),"Fix")))</f>
        <v>0</v>
      </c>
      <c r="K944" s="4">
        <f>IF(OR(INDEX($P$2:$P$1001,MATCH(ROWS($O$2:O944),$O$2:$O$1001,0),1)&gt;=100000,INDEX($V$1005:$AE$1005,1,MATCH(COLUMNS($V$1006:AE1006),$V$1006:$AE$1006,0))&gt;=100000), " ",IF(INDEX($V$2:$AE$1001,MATCH(ROWS($O$2:O944),$O$2:$O$1001,0),MATCH(COLUMNS($V$1006:AE1006),$V$1006:$AE$1006,0)), HYPERLINK("#",""), HYPERLINK(CONCATENATE("#Metadata!", ADDRESS(INDEX($Q$2:$Q$1001,MATCH(ROWS($O$2:O944),$O$2:$O$1001,0),0), INDEX($V$1004:$AE$1004,1,MATCH(COLUMNS($V$1006:AE1006),$V$1006:$AE$1006,0)))),"Fix")))</f>
        <v>0</v>
      </c>
      <c r="O944">
        <v>0</v>
      </c>
      <c r="P944">
        <v>0</v>
      </c>
      <c r="Q944">
        <v>0</v>
      </c>
      <c r="R944">
        <f>IF(S944,TRUE,AND(V944:AE944))</f>
        <v>0</v>
      </c>
      <c r="S944">
        <f>COUNTBLANK(Metadata!B944:K944)=COLUMNS(Metadata!B944:K944)</f>
        <v>0</v>
      </c>
      <c r="T944">
        <v>0</v>
      </c>
      <c r="V944">
        <f>AND(IF(Metadata!B944="",FALSE,TRUE),COUNTIF(Metadata!B:B, Metadata!B944) = 1,NOT(ISERROR(SUMPRODUCT(SEARCH(MID(Metadata!B944,ROW(INDIRECT("1:"&amp;LEN(Metadata!B944))), 1),"0123456789abcdefghijklmnopqrstuvwxyzABCDEFGHIJKLMNOPQRSTUVWXYZ.")))))</f>
        <v>0</v>
      </c>
      <c r="W944">
        <f>AND(IF(Metadata!C944="",FALSE,TRUE),exact(Metadata!C944,"urban biome"))</f>
        <v>0</v>
      </c>
      <c r="X944">
        <f>AND(IF(Metadata!D944="",FALSE,TRUE),exact(Metadata!D944,"animal-associated habitat"))</f>
        <v>0</v>
      </c>
      <c r="Y944">
        <f>OR(AND(IF(Metadata!E944="",FALSE,TRUE),OR(exact(Metadata!E944,"not applicable"),exact(Metadata!E944,"missing: not collected"),exact(Metadata!E944,"missing: not provided"),exact(Metadata!E944,"missing: restricted access"))),AND(IF(Metadata!E944="",FALSE,ISNUMBER(VALUE(Metadata!E944))),Metadata!E944&gt;0))</f>
        <v>0</v>
      </c>
      <c r="Z944">
        <f>AND(IF(Metadata!F944="",FALSE,TRUE),exact(Metadata!F944,"weeks"))</f>
        <v>0</v>
      </c>
      <c r="AA944">
        <f>AND(IF(Metadata!G944="",FALSE,TRUE),exact(Metadata!G944,"mouse"))</f>
        <v>0</v>
      </c>
      <c r="AB944">
        <f>AND(IF(Metadata!H944="",FALSE,TRUE),exact(Metadata!H944,"Mus musculus"))</f>
        <v>0</v>
      </c>
      <c r="AC944">
        <f>AND(IF(Metadata!I944="",FALSE,TRUE),exact(Metadata!I944,"10090"))</f>
        <v>0</v>
      </c>
      <c r="AD944">
        <f>OR(AND(IF(Metadata!J944="",FALSE,TRUE),OR(exact(Metadata!J944,"not applicable"),exact(Metadata!J944,"missing: not collected"),exact(Metadata!J944,"missing: not provided"),exact(Metadata!J944,"missing: restricted access"))),AND(IF(Metadata!J944="",FALSE,ISNUMBER(VALUE(Metadata!J944))),Metadata!J944&gt;0))</f>
        <v>0</v>
      </c>
      <c r="AE944">
        <f>AND(IF(Metadata!K944="",FALSE,TRUE),exact(Metadata!K944,"g"))</f>
        <v>0</v>
      </c>
    </row>
    <row r="945" spans="1:31">
      <c r="A945" s="5">
        <f>IF(B945=" "," ",HYPERLINK(CONCATENATE("#metadata!",ADDRESS(INDEX($Q$2:$Q$1001,MATCH(ROWS($O$2:O945),$O$2:$O$1001,0),0),1)),INDEX($T$2:$T$1001,MATCH(ROWS($O$2:O945),$O$2:$O$1001,0),0)))</f>
        <v>0</v>
      </c>
      <c r="B945" s="4">
        <f>IF(OR(INDEX($P$2:$P$1001,MATCH(ROWS($O$2:O945),$O$2:$O$1001,0),1)&gt;=100000,INDEX($V$1005:$AE$1005,1,MATCH(COLUMNS($V$1006:V1006),$V$1006:$AE$1006,0))&gt;=100000), " ",IF(INDEX($V$2:$AE$1001,MATCH(ROWS($O$2:O945),$O$2:$O$1001,0),MATCH(COLUMNS($V$1006:V1006),$V$1006:$AE$1006,0)), HYPERLINK("#",""), HYPERLINK(CONCATENATE("#Metadata!", ADDRESS(INDEX($Q$2:$Q$1001,MATCH(ROWS($O$2:O945),$O$2:$O$1001,0),0), INDEX($V$1004:$AE$1004,1,MATCH(COLUMNS($V$1006:V1006),$V$1006:$AE$1006,0)))),"Fix")))</f>
        <v>0</v>
      </c>
      <c r="C945" s="4">
        <f>IF(OR(INDEX($P$2:$P$1001,MATCH(ROWS($O$2:O945),$O$2:$O$1001,0),1)&gt;=100000,INDEX($V$1005:$AE$1005,1,MATCH(COLUMNS($V$1006:W1006),$V$1006:$AE$1006,0))&gt;=100000), " ",IF(INDEX($V$2:$AE$1001,MATCH(ROWS($O$2:O945),$O$2:$O$1001,0),MATCH(COLUMNS($V$1006:W1006),$V$1006:$AE$1006,0)), HYPERLINK("#",""), HYPERLINK(CONCATENATE("#Metadata!", ADDRESS(INDEX($Q$2:$Q$1001,MATCH(ROWS($O$2:O945),$O$2:$O$1001,0),0), INDEX($V$1004:$AE$1004,1,MATCH(COLUMNS($V$1006:W1006),$V$1006:$AE$1006,0)))),"Fix")))</f>
        <v>0</v>
      </c>
      <c r="D945" s="4">
        <f>IF(OR(INDEX($P$2:$P$1001,MATCH(ROWS($O$2:O945),$O$2:$O$1001,0),1)&gt;=100000,INDEX($V$1005:$AE$1005,1,MATCH(COLUMNS($V$1006:X1006),$V$1006:$AE$1006,0))&gt;=100000), " ",IF(INDEX($V$2:$AE$1001,MATCH(ROWS($O$2:O945),$O$2:$O$1001,0),MATCH(COLUMNS($V$1006:X1006),$V$1006:$AE$1006,0)), HYPERLINK("#",""), HYPERLINK(CONCATENATE("#Metadata!", ADDRESS(INDEX($Q$2:$Q$1001,MATCH(ROWS($O$2:O945),$O$2:$O$1001,0),0), INDEX($V$1004:$AE$1004,1,MATCH(COLUMNS($V$1006:X1006),$V$1006:$AE$1006,0)))),"Fix")))</f>
        <v>0</v>
      </c>
      <c r="E945" s="4">
        <f>IF(OR(INDEX($P$2:$P$1001,MATCH(ROWS($O$2:O945),$O$2:$O$1001,0),1)&gt;=100000,INDEX($V$1005:$AE$1005,1,MATCH(COLUMNS($V$1006:Y1006),$V$1006:$AE$1006,0))&gt;=100000), " ",IF(INDEX($V$2:$AE$1001,MATCH(ROWS($O$2:O945),$O$2:$O$1001,0),MATCH(COLUMNS($V$1006:Y1006),$V$1006:$AE$1006,0)), HYPERLINK("#",""), HYPERLINK(CONCATENATE("#Metadata!", ADDRESS(INDEX($Q$2:$Q$1001,MATCH(ROWS($O$2:O945),$O$2:$O$1001,0),0), INDEX($V$1004:$AE$1004,1,MATCH(COLUMNS($V$1006:Y1006),$V$1006:$AE$1006,0)))),"Fix")))</f>
        <v>0</v>
      </c>
      <c r="F945" s="4">
        <f>IF(OR(INDEX($P$2:$P$1001,MATCH(ROWS($O$2:O945),$O$2:$O$1001,0),1)&gt;=100000,INDEX($V$1005:$AE$1005,1,MATCH(COLUMNS($V$1006:Z1006),$V$1006:$AE$1006,0))&gt;=100000), " ",IF(INDEX($V$2:$AE$1001,MATCH(ROWS($O$2:O945),$O$2:$O$1001,0),MATCH(COLUMNS($V$1006:Z1006),$V$1006:$AE$1006,0)), HYPERLINK("#",""), HYPERLINK(CONCATENATE("#Metadata!", ADDRESS(INDEX($Q$2:$Q$1001,MATCH(ROWS($O$2:O945),$O$2:$O$1001,0),0), INDEX($V$1004:$AE$1004,1,MATCH(COLUMNS($V$1006:Z1006),$V$1006:$AE$1006,0)))),"Fix")))</f>
        <v>0</v>
      </c>
      <c r="G945" s="4">
        <f>IF(OR(INDEX($P$2:$P$1001,MATCH(ROWS($O$2:O945),$O$2:$O$1001,0),1)&gt;=100000,INDEX($V$1005:$AE$1005,1,MATCH(COLUMNS($V$1006:AA1006),$V$1006:$AE$1006,0))&gt;=100000), " ",IF(INDEX($V$2:$AE$1001,MATCH(ROWS($O$2:O945),$O$2:$O$1001,0),MATCH(COLUMNS($V$1006:AA1006),$V$1006:$AE$1006,0)), HYPERLINK("#",""), HYPERLINK(CONCATENATE("#Metadata!", ADDRESS(INDEX($Q$2:$Q$1001,MATCH(ROWS($O$2:O945),$O$2:$O$1001,0),0), INDEX($V$1004:$AE$1004,1,MATCH(COLUMNS($V$1006:AA1006),$V$1006:$AE$1006,0)))),"Fix")))</f>
        <v>0</v>
      </c>
      <c r="H945" s="4">
        <f>IF(OR(INDEX($P$2:$P$1001,MATCH(ROWS($O$2:O945),$O$2:$O$1001,0),1)&gt;=100000,INDEX($V$1005:$AE$1005,1,MATCH(COLUMNS($V$1006:AB1006),$V$1006:$AE$1006,0))&gt;=100000), " ",IF(INDEX($V$2:$AE$1001,MATCH(ROWS($O$2:O945),$O$2:$O$1001,0),MATCH(COLUMNS($V$1006:AB1006),$V$1006:$AE$1006,0)), HYPERLINK("#",""), HYPERLINK(CONCATENATE("#Metadata!", ADDRESS(INDEX($Q$2:$Q$1001,MATCH(ROWS($O$2:O945),$O$2:$O$1001,0),0), INDEX($V$1004:$AE$1004,1,MATCH(COLUMNS($V$1006:AB1006),$V$1006:$AE$1006,0)))),"Fix")))</f>
        <v>0</v>
      </c>
      <c r="I945" s="4">
        <f>IF(OR(INDEX($P$2:$P$1001,MATCH(ROWS($O$2:O945),$O$2:$O$1001,0),1)&gt;=100000,INDEX($V$1005:$AE$1005,1,MATCH(COLUMNS($V$1006:AC1006),$V$1006:$AE$1006,0))&gt;=100000), " ",IF(INDEX($V$2:$AE$1001,MATCH(ROWS($O$2:O945),$O$2:$O$1001,0),MATCH(COLUMNS($V$1006:AC1006),$V$1006:$AE$1006,0)), HYPERLINK("#",""), HYPERLINK(CONCATENATE("#Metadata!", ADDRESS(INDEX($Q$2:$Q$1001,MATCH(ROWS($O$2:O945),$O$2:$O$1001,0),0), INDEX($V$1004:$AE$1004,1,MATCH(COLUMNS($V$1006:AC1006),$V$1006:$AE$1006,0)))),"Fix")))</f>
        <v>0</v>
      </c>
      <c r="J945" s="4">
        <f>IF(OR(INDEX($P$2:$P$1001,MATCH(ROWS($O$2:O945),$O$2:$O$1001,0),1)&gt;=100000,INDEX($V$1005:$AE$1005,1,MATCH(COLUMNS($V$1006:AD1006),$V$1006:$AE$1006,0))&gt;=100000), " ",IF(INDEX($V$2:$AE$1001,MATCH(ROWS($O$2:O945),$O$2:$O$1001,0),MATCH(COLUMNS($V$1006:AD1006),$V$1006:$AE$1006,0)), HYPERLINK("#",""), HYPERLINK(CONCATENATE("#Metadata!", ADDRESS(INDEX($Q$2:$Q$1001,MATCH(ROWS($O$2:O945),$O$2:$O$1001,0),0), INDEX($V$1004:$AE$1004,1,MATCH(COLUMNS($V$1006:AD1006),$V$1006:$AE$1006,0)))),"Fix")))</f>
        <v>0</v>
      </c>
      <c r="K945" s="4">
        <f>IF(OR(INDEX($P$2:$P$1001,MATCH(ROWS($O$2:O945),$O$2:$O$1001,0),1)&gt;=100000,INDEX($V$1005:$AE$1005,1,MATCH(COLUMNS($V$1006:AE1006),$V$1006:$AE$1006,0))&gt;=100000), " ",IF(INDEX($V$2:$AE$1001,MATCH(ROWS($O$2:O945),$O$2:$O$1001,0),MATCH(COLUMNS($V$1006:AE1006),$V$1006:$AE$1006,0)), HYPERLINK("#",""), HYPERLINK(CONCATENATE("#Metadata!", ADDRESS(INDEX($Q$2:$Q$1001,MATCH(ROWS($O$2:O945),$O$2:$O$1001,0),0), INDEX($V$1004:$AE$1004,1,MATCH(COLUMNS($V$1006:AE1006),$V$1006:$AE$1006,0)))),"Fix")))</f>
        <v>0</v>
      </c>
      <c r="O945">
        <v>0</v>
      </c>
      <c r="P945">
        <v>0</v>
      </c>
      <c r="Q945">
        <v>0</v>
      </c>
      <c r="R945">
        <f>IF(S945,TRUE,AND(V945:AE945))</f>
        <v>0</v>
      </c>
      <c r="S945">
        <f>COUNTBLANK(Metadata!B945:K945)=COLUMNS(Metadata!B945:K945)</f>
        <v>0</v>
      </c>
      <c r="T945">
        <v>0</v>
      </c>
      <c r="V945">
        <f>AND(IF(Metadata!B945="",FALSE,TRUE),COUNTIF(Metadata!B:B, Metadata!B945) = 1,NOT(ISERROR(SUMPRODUCT(SEARCH(MID(Metadata!B945,ROW(INDIRECT("1:"&amp;LEN(Metadata!B945))), 1),"0123456789abcdefghijklmnopqrstuvwxyzABCDEFGHIJKLMNOPQRSTUVWXYZ.")))))</f>
        <v>0</v>
      </c>
      <c r="W945">
        <f>AND(IF(Metadata!C945="",FALSE,TRUE),exact(Metadata!C945,"urban biome"))</f>
        <v>0</v>
      </c>
      <c r="X945">
        <f>AND(IF(Metadata!D945="",FALSE,TRUE),exact(Metadata!D945,"animal-associated habitat"))</f>
        <v>0</v>
      </c>
      <c r="Y945">
        <f>OR(AND(IF(Metadata!E945="",FALSE,TRUE),OR(exact(Metadata!E945,"not applicable"),exact(Metadata!E945,"missing: not collected"),exact(Metadata!E945,"missing: not provided"),exact(Metadata!E945,"missing: restricted access"))),AND(IF(Metadata!E945="",FALSE,ISNUMBER(VALUE(Metadata!E945))),Metadata!E945&gt;0))</f>
        <v>0</v>
      </c>
      <c r="Z945">
        <f>AND(IF(Metadata!F945="",FALSE,TRUE),exact(Metadata!F945,"weeks"))</f>
        <v>0</v>
      </c>
      <c r="AA945">
        <f>AND(IF(Metadata!G945="",FALSE,TRUE),exact(Metadata!G945,"mouse"))</f>
        <v>0</v>
      </c>
      <c r="AB945">
        <f>AND(IF(Metadata!H945="",FALSE,TRUE),exact(Metadata!H945,"Mus musculus"))</f>
        <v>0</v>
      </c>
      <c r="AC945">
        <f>AND(IF(Metadata!I945="",FALSE,TRUE),exact(Metadata!I945,"10090"))</f>
        <v>0</v>
      </c>
      <c r="AD945">
        <f>OR(AND(IF(Metadata!J945="",FALSE,TRUE),OR(exact(Metadata!J945,"not applicable"),exact(Metadata!J945,"missing: not collected"),exact(Metadata!J945,"missing: not provided"),exact(Metadata!J945,"missing: restricted access"))),AND(IF(Metadata!J945="",FALSE,ISNUMBER(VALUE(Metadata!J945))),Metadata!J945&gt;0))</f>
        <v>0</v>
      </c>
      <c r="AE945">
        <f>AND(IF(Metadata!K945="",FALSE,TRUE),exact(Metadata!K945,"g"))</f>
        <v>0</v>
      </c>
    </row>
    <row r="946" spans="1:31">
      <c r="A946" s="5">
        <f>IF(B946=" "," ",HYPERLINK(CONCATENATE("#metadata!",ADDRESS(INDEX($Q$2:$Q$1001,MATCH(ROWS($O$2:O946),$O$2:$O$1001,0),0),1)),INDEX($T$2:$T$1001,MATCH(ROWS($O$2:O946),$O$2:$O$1001,0),0)))</f>
        <v>0</v>
      </c>
      <c r="B946" s="4">
        <f>IF(OR(INDEX($P$2:$P$1001,MATCH(ROWS($O$2:O946),$O$2:$O$1001,0),1)&gt;=100000,INDEX($V$1005:$AE$1005,1,MATCH(COLUMNS($V$1006:V1006),$V$1006:$AE$1006,0))&gt;=100000), " ",IF(INDEX($V$2:$AE$1001,MATCH(ROWS($O$2:O946),$O$2:$O$1001,0),MATCH(COLUMNS($V$1006:V1006),$V$1006:$AE$1006,0)), HYPERLINK("#",""), HYPERLINK(CONCATENATE("#Metadata!", ADDRESS(INDEX($Q$2:$Q$1001,MATCH(ROWS($O$2:O946),$O$2:$O$1001,0),0), INDEX($V$1004:$AE$1004,1,MATCH(COLUMNS($V$1006:V1006),$V$1006:$AE$1006,0)))),"Fix")))</f>
        <v>0</v>
      </c>
      <c r="C946" s="4">
        <f>IF(OR(INDEX($P$2:$P$1001,MATCH(ROWS($O$2:O946),$O$2:$O$1001,0),1)&gt;=100000,INDEX($V$1005:$AE$1005,1,MATCH(COLUMNS($V$1006:W1006),$V$1006:$AE$1006,0))&gt;=100000), " ",IF(INDEX($V$2:$AE$1001,MATCH(ROWS($O$2:O946),$O$2:$O$1001,0),MATCH(COLUMNS($V$1006:W1006),$V$1006:$AE$1006,0)), HYPERLINK("#",""), HYPERLINK(CONCATENATE("#Metadata!", ADDRESS(INDEX($Q$2:$Q$1001,MATCH(ROWS($O$2:O946),$O$2:$O$1001,0),0), INDEX($V$1004:$AE$1004,1,MATCH(COLUMNS($V$1006:W1006),$V$1006:$AE$1006,0)))),"Fix")))</f>
        <v>0</v>
      </c>
      <c r="D946" s="4">
        <f>IF(OR(INDEX($P$2:$P$1001,MATCH(ROWS($O$2:O946),$O$2:$O$1001,0),1)&gt;=100000,INDEX($V$1005:$AE$1005,1,MATCH(COLUMNS($V$1006:X1006),$V$1006:$AE$1006,0))&gt;=100000), " ",IF(INDEX($V$2:$AE$1001,MATCH(ROWS($O$2:O946),$O$2:$O$1001,0),MATCH(COLUMNS($V$1006:X1006),$V$1006:$AE$1006,0)), HYPERLINK("#",""), HYPERLINK(CONCATENATE("#Metadata!", ADDRESS(INDEX($Q$2:$Q$1001,MATCH(ROWS($O$2:O946),$O$2:$O$1001,0),0), INDEX($V$1004:$AE$1004,1,MATCH(COLUMNS($V$1006:X1006),$V$1006:$AE$1006,0)))),"Fix")))</f>
        <v>0</v>
      </c>
      <c r="E946" s="4">
        <f>IF(OR(INDEX($P$2:$P$1001,MATCH(ROWS($O$2:O946),$O$2:$O$1001,0),1)&gt;=100000,INDEX($V$1005:$AE$1005,1,MATCH(COLUMNS($V$1006:Y1006),$V$1006:$AE$1006,0))&gt;=100000), " ",IF(INDEX($V$2:$AE$1001,MATCH(ROWS($O$2:O946),$O$2:$O$1001,0),MATCH(COLUMNS($V$1006:Y1006),$V$1006:$AE$1006,0)), HYPERLINK("#",""), HYPERLINK(CONCATENATE("#Metadata!", ADDRESS(INDEX($Q$2:$Q$1001,MATCH(ROWS($O$2:O946),$O$2:$O$1001,0),0), INDEX($V$1004:$AE$1004,1,MATCH(COLUMNS($V$1006:Y1006),$V$1006:$AE$1006,0)))),"Fix")))</f>
        <v>0</v>
      </c>
      <c r="F946" s="4">
        <f>IF(OR(INDEX($P$2:$P$1001,MATCH(ROWS($O$2:O946),$O$2:$O$1001,0),1)&gt;=100000,INDEX($V$1005:$AE$1005,1,MATCH(COLUMNS($V$1006:Z1006),$V$1006:$AE$1006,0))&gt;=100000), " ",IF(INDEX($V$2:$AE$1001,MATCH(ROWS($O$2:O946),$O$2:$O$1001,0),MATCH(COLUMNS($V$1006:Z1006),$V$1006:$AE$1006,0)), HYPERLINK("#",""), HYPERLINK(CONCATENATE("#Metadata!", ADDRESS(INDEX($Q$2:$Q$1001,MATCH(ROWS($O$2:O946),$O$2:$O$1001,0),0), INDEX($V$1004:$AE$1004,1,MATCH(COLUMNS($V$1006:Z1006),$V$1006:$AE$1006,0)))),"Fix")))</f>
        <v>0</v>
      </c>
      <c r="G946" s="4">
        <f>IF(OR(INDEX($P$2:$P$1001,MATCH(ROWS($O$2:O946),$O$2:$O$1001,0),1)&gt;=100000,INDEX($V$1005:$AE$1005,1,MATCH(COLUMNS($V$1006:AA1006),$V$1006:$AE$1006,0))&gt;=100000), " ",IF(INDEX($V$2:$AE$1001,MATCH(ROWS($O$2:O946),$O$2:$O$1001,0),MATCH(COLUMNS($V$1006:AA1006),$V$1006:$AE$1006,0)), HYPERLINK("#",""), HYPERLINK(CONCATENATE("#Metadata!", ADDRESS(INDEX($Q$2:$Q$1001,MATCH(ROWS($O$2:O946),$O$2:$O$1001,0),0), INDEX($V$1004:$AE$1004,1,MATCH(COLUMNS($V$1006:AA1006),$V$1006:$AE$1006,0)))),"Fix")))</f>
        <v>0</v>
      </c>
      <c r="H946" s="4">
        <f>IF(OR(INDEX($P$2:$P$1001,MATCH(ROWS($O$2:O946),$O$2:$O$1001,0),1)&gt;=100000,INDEX($V$1005:$AE$1005,1,MATCH(COLUMNS($V$1006:AB1006),$V$1006:$AE$1006,0))&gt;=100000), " ",IF(INDEX($V$2:$AE$1001,MATCH(ROWS($O$2:O946),$O$2:$O$1001,0),MATCH(COLUMNS($V$1006:AB1006),$V$1006:$AE$1006,0)), HYPERLINK("#",""), HYPERLINK(CONCATENATE("#Metadata!", ADDRESS(INDEX($Q$2:$Q$1001,MATCH(ROWS($O$2:O946),$O$2:$O$1001,0),0), INDEX($V$1004:$AE$1004,1,MATCH(COLUMNS($V$1006:AB1006),$V$1006:$AE$1006,0)))),"Fix")))</f>
        <v>0</v>
      </c>
      <c r="I946" s="4">
        <f>IF(OR(INDEX($P$2:$P$1001,MATCH(ROWS($O$2:O946),$O$2:$O$1001,0),1)&gt;=100000,INDEX($V$1005:$AE$1005,1,MATCH(COLUMNS($V$1006:AC1006),$V$1006:$AE$1006,0))&gt;=100000), " ",IF(INDEX($V$2:$AE$1001,MATCH(ROWS($O$2:O946),$O$2:$O$1001,0),MATCH(COLUMNS($V$1006:AC1006),$V$1006:$AE$1006,0)), HYPERLINK("#",""), HYPERLINK(CONCATENATE("#Metadata!", ADDRESS(INDEX($Q$2:$Q$1001,MATCH(ROWS($O$2:O946),$O$2:$O$1001,0),0), INDEX($V$1004:$AE$1004,1,MATCH(COLUMNS($V$1006:AC1006),$V$1006:$AE$1006,0)))),"Fix")))</f>
        <v>0</v>
      </c>
      <c r="J946" s="4">
        <f>IF(OR(INDEX($P$2:$P$1001,MATCH(ROWS($O$2:O946),$O$2:$O$1001,0),1)&gt;=100000,INDEX($V$1005:$AE$1005,1,MATCH(COLUMNS($V$1006:AD1006),$V$1006:$AE$1006,0))&gt;=100000), " ",IF(INDEX($V$2:$AE$1001,MATCH(ROWS($O$2:O946),$O$2:$O$1001,0),MATCH(COLUMNS($V$1006:AD1006),$V$1006:$AE$1006,0)), HYPERLINK("#",""), HYPERLINK(CONCATENATE("#Metadata!", ADDRESS(INDEX($Q$2:$Q$1001,MATCH(ROWS($O$2:O946),$O$2:$O$1001,0),0), INDEX($V$1004:$AE$1004,1,MATCH(COLUMNS($V$1006:AD1006),$V$1006:$AE$1006,0)))),"Fix")))</f>
        <v>0</v>
      </c>
      <c r="K946" s="4">
        <f>IF(OR(INDEX($P$2:$P$1001,MATCH(ROWS($O$2:O946),$O$2:$O$1001,0),1)&gt;=100000,INDEX($V$1005:$AE$1005,1,MATCH(COLUMNS($V$1006:AE1006),$V$1006:$AE$1006,0))&gt;=100000), " ",IF(INDEX($V$2:$AE$1001,MATCH(ROWS($O$2:O946),$O$2:$O$1001,0),MATCH(COLUMNS($V$1006:AE1006),$V$1006:$AE$1006,0)), HYPERLINK("#",""), HYPERLINK(CONCATENATE("#Metadata!", ADDRESS(INDEX($Q$2:$Q$1001,MATCH(ROWS($O$2:O946),$O$2:$O$1001,0),0), INDEX($V$1004:$AE$1004,1,MATCH(COLUMNS($V$1006:AE1006),$V$1006:$AE$1006,0)))),"Fix")))</f>
        <v>0</v>
      </c>
      <c r="O946">
        <v>0</v>
      </c>
      <c r="P946">
        <v>0</v>
      </c>
      <c r="Q946">
        <v>0</v>
      </c>
      <c r="R946">
        <f>IF(S946,TRUE,AND(V946:AE946))</f>
        <v>0</v>
      </c>
      <c r="S946">
        <f>COUNTBLANK(Metadata!B946:K946)=COLUMNS(Metadata!B946:K946)</f>
        <v>0</v>
      </c>
      <c r="T946">
        <v>0</v>
      </c>
      <c r="V946">
        <f>AND(IF(Metadata!B946="",FALSE,TRUE),COUNTIF(Metadata!B:B, Metadata!B946) = 1,NOT(ISERROR(SUMPRODUCT(SEARCH(MID(Metadata!B946,ROW(INDIRECT("1:"&amp;LEN(Metadata!B946))), 1),"0123456789abcdefghijklmnopqrstuvwxyzABCDEFGHIJKLMNOPQRSTUVWXYZ.")))))</f>
        <v>0</v>
      </c>
      <c r="W946">
        <f>AND(IF(Metadata!C946="",FALSE,TRUE),exact(Metadata!C946,"urban biome"))</f>
        <v>0</v>
      </c>
      <c r="X946">
        <f>AND(IF(Metadata!D946="",FALSE,TRUE),exact(Metadata!D946,"animal-associated habitat"))</f>
        <v>0</v>
      </c>
      <c r="Y946">
        <f>OR(AND(IF(Metadata!E946="",FALSE,TRUE),OR(exact(Metadata!E946,"not applicable"),exact(Metadata!E946,"missing: not collected"),exact(Metadata!E946,"missing: not provided"),exact(Metadata!E946,"missing: restricted access"))),AND(IF(Metadata!E946="",FALSE,ISNUMBER(VALUE(Metadata!E946))),Metadata!E946&gt;0))</f>
        <v>0</v>
      </c>
      <c r="Z946">
        <f>AND(IF(Metadata!F946="",FALSE,TRUE),exact(Metadata!F946,"weeks"))</f>
        <v>0</v>
      </c>
      <c r="AA946">
        <f>AND(IF(Metadata!G946="",FALSE,TRUE),exact(Metadata!G946,"mouse"))</f>
        <v>0</v>
      </c>
      <c r="AB946">
        <f>AND(IF(Metadata!H946="",FALSE,TRUE),exact(Metadata!H946,"Mus musculus"))</f>
        <v>0</v>
      </c>
      <c r="AC946">
        <f>AND(IF(Metadata!I946="",FALSE,TRUE),exact(Metadata!I946,"10090"))</f>
        <v>0</v>
      </c>
      <c r="AD946">
        <f>OR(AND(IF(Metadata!J946="",FALSE,TRUE),OR(exact(Metadata!J946,"not applicable"),exact(Metadata!J946,"missing: not collected"),exact(Metadata!J946,"missing: not provided"),exact(Metadata!J946,"missing: restricted access"))),AND(IF(Metadata!J946="",FALSE,ISNUMBER(VALUE(Metadata!J946))),Metadata!J946&gt;0))</f>
        <v>0</v>
      </c>
      <c r="AE946">
        <f>AND(IF(Metadata!K946="",FALSE,TRUE),exact(Metadata!K946,"g"))</f>
        <v>0</v>
      </c>
    </row>
    <row r="947" spans="1:31">
      <c r="A947" s="5">
        <f>IF(B947=" "," ",HYPERLINK(CONCATENATE("#metadata!",ADDRESS(INDEX($Q$2:$Q$1001,MATCH(ROWS($O$2:O947),$O$2:$O$1001,0),0),1)),INDEX($T$2:$T$1001,MATCH(ROWS($O$2:O947),$O$2:$O$1001,0),0)))</f>
        <v>0</v>
      </c>
      <c r="B947" s="4">
        <f>IF(OR(INDEX($P$2:$P$1001,MATCH(ROWS($O$2:O947),$O$2:$O$1001,0),1)&gt;=100000,INDEX($V$1005:$AE$1005,1,MATCH(COLUMNS($V$1006:V1006),$V$1006:$AE$1006,0))&gt;=100000), " ",IF(INDEX($V$2:$AE$1001,MATCH(ROWS($O$2:O947),$O$2:$O$1001,0),MATCH(COLUMNS($V$1006:V1006),$V$1006:$AE$1006,0)), HYPERLINK("#",""), HYPERLINK(CONCATENATE("#Metadata!", ADDRESS(INDEX($Q$2:$Q$1001,MATCH(ROWS($O$2:O947),$O$2:$O$1001,0),0), INDEX($V$1004:$AE$1004,1,MATCH(COLUMNS($V$1006:V1006),$V$1006:$AE$1006,0)))),"Fix")))</f>
        <v>0</v>
      </c>
      <c r="C947" s="4">
        <f>IF(OR(INDEX($P$2:$P$1001,MATCH(ROWS($O$2:O947),$O$2:$O$1001,0),1)&gt;=100000,INDEX($V$1005:$AE$1005,1,MATCH(COLUMNS($V$1006:W1006),$V$1006:$AE$1006,0))&gt;=100000), " ",IF(INDEX($V$2:$AE$1001,MATCH(ROWS($O$2:O947),$O$2:$O$1001,0),MATCH(COLUMNS($V$1006:W1006),$V$1006:$AE$1006,0)), HYPERLINK("#",""), HYPERLINK(CONCATENATE("#Metadata!", ADDRESS(INDEX($Q$2:$Q$1001,MATCH(ROWS($O$2:O947),$O$2:$O$1001,0),0), INDEX($V$1004:$AE$1004,1,MATCH(COLUMNS($V$1006:W1006),$V$1006:$AE$1006,0)))),"Fix")))</f>
        <v>0</v>
      </c>
      <c r="D947" s="4">
        <f>IF(OR(INDEX($P$2:$P$1001,MATCH(ROWS($O$2:O947),$O$2:$O$1001,0),1)&gt;=100000,INDEX($V$1005:$AE$1005,1,MATCH(COLUMNS($V$1006:X1006),$V$1006:$AE$1006,0))&gt;=100000), " ",IF(INDEX($V$2:$AE$1001,MATCH(ROWS($O$2:O947),$O$2:$O$1001,0),MATCH(COLUMNS($V$1006:X1006),$V$1006:$AE$1006,0)), HYPERLINK("#",""), HYPERLINK(CONCATENATE("#Metadata!", ADDRESS(INDEX($Q$2:$Q$1001,MATCH(ROWS($O$2:O947),$O$2:$O$1001,0),0), INDEX($V$1004:$AE$1004,1,MATCH(COLUMNS($V$1006:X1006),$V$1006:$AE$1006,0)))),"Fix")))</f>
        <v>0</v>
      </c>
      <c r="E947" s="4">
        <f>IF(OR(INDEX($P$2:$P$1001,MATCH(ROWS($O$2:O947),$O$2:$O$1001,0),1)&gt;=100000,INDEX($V$1005:$AE$1005,1,MATCH(COLUMNS($V$1006:Y1006),$V$1006:$AE$1006,0))&gt;=100000), " ",IF(INDEX($V$2:$AE$1001,MATCH(ROWS($O$2:O947),$O$2:$O$1001,0),MATCH(COLUMNS($V$1006:Y1006),$V$1006:$AE$1006,0)), HYPERLINK("#",""), HYPERLINK(CONCATENATE("#Metadata!", ADDRESS(INDEX($Q$2:$Q$1001,MATCH(ROWS($O$2:O947),$O$2:$O$1001,0),0), INDEX($V$1004:$AE$1004,1,MATCH(COLUMNS($V$1006:Y1006),$V$1006:$AE$1006,0)))),"Fix")))</f>
        <v>0</v>
      </c>
      <c r="F947" s="4">
        <f>IF(OR(INDEX($P$2:$P$1001,MATCH(ROWS($O$2:O947),$O$2:$O$1001,0),1)&gt;=100000,INDEX($V$1005:$AE$1005,1,MATCH(COLUMNS($V$1006:Z1006),$V$1006:$AE$1006,0))&gt;=100000), " ",IF(INDEX($V$2:$AE$1001,MATCH(ROWS($O$2:O947),$O$2:$O$1001,0),MATCH(COLUMNS($V$1006:Z1006),$V$1006:$AE$1006,0)), HYPERLINK("#",""), HYPERLINK(CONCATENATE("#Metadata!", ADDRESS(INDEX($Q$2:$Q$1001,MATCH(ROWS($O$2:O947),$O$2:$O$1001,0),0), INDEX($V$1004:$AE$1004,1,MATCH(COLUMNS($V$1006:Z1006),$V$1006:$AE$1006,0)))),"Fix")))</f>
        <v>0</v>
      </c>
      <c r="G947" s="4">
        <f>IF(OR(INDEX($P$2:$P$1001,MATCH(ROWS($O$2:O947),$O$2:$O$1001,0),1)&gt;=100000,INDEX($V$1005:$AE$1005,1,MATCH(COLUMNS($V$1006:AA1006),$V$1006:$AE$1006,0))&gt;=100000), " ",IF(INDEX($V$2:$AE$1001,MATCH(ROWS($O$2:O947),$O$2:$O$1001,0),MATCH(COLUMNS($V$1006:AA1006),$V$1006:$AE$1006,0)), HYPERLINK("#",""), HYPERLINK(CONCATENATE("#Metadata!", ADDRESS(INDEX($Q$2:$Q$1001,MATCH(ROWS($O$2:O947),$O$2:$O$1001,0),0), INDEX($V$1004:$AE$1004,1,MATCH(COLUMNS($V$1006:AA1006),$V$1006:$AE$1006,0)))),"Fix")))</f>
        <v>0</v>
      </c>
      <c r="H947" s="4">
        <f>IF(OR(INDEX($P$2:$P$1001,MATCH(ROWS($O$2:O947),$O$2:$O$1001,0),1)&gt;=100000,INDEX($V$1005:$AE$1005,1,MATCH(COLUMNS($V$1006:AB1006),$V$1006:$AE$1006,0))&gt;=100000), " ",IF(INDEX($V$2:$AE$1001,MATCH(ROWS($O$2:O947),$O$2:$O$1001,0),MATCH(COLUMNS($V$1006:AB1006),$V$1006:$AE$1006,0)), HYPERLINK("#",""), HYPERLINK(CONCATENATE("#Metadata!", ADDRESS(INDEX($Q$2:$Q$1001,MATCH(ROWS($O$2:O947),$O$2:$O$1001,0),0), INDEX($V$1004:$AE$1004,1,MATCH(COLUMNS($V$1006:AB1006),$V$1006:$AE$1006,0)))),"Fix")))</f>
        <v>0</v>
      </c>
      <c r="I947" s="4">
        <f>IF(OR(INDEX($P$2:$P$1001,MATCH(ROWS($O$2:O947),$O$2:$O$1001,0),1)&gt;=100000,INDEX($V$1005:$AE$1005,1,MATCH(COLUMNS($V$1006:AC1006),$V$1006:$AE$1006,0))&gt;=100000), " ",IF(INDEX($V$2:$AE$1001,MATCH(ROWS($O$2:O947),$O$2:$O$1001,0),MATCH(COLUMNS($V$1006:AC1006),$V$1006:$AE$1006,0)), HYPERLINK("#",""), HYPERLINK(CONCATENATE("#Metadata!", ADDRESS(INDEX($Q$2:$Q$1001,MATCH(ROWS($O$2:O947),$O$2:$O$1001,0),0), INDEX($V$1004:$AE$1004,1,MATCH(COLUMNS($V$1006:AC1006),$V$1006:$AE$1006,0)))),"Fix")))</f>
        <v>0</v>
      </c>
      <c r="J947" s="4">
        <f>IF(OR(INDEX($P$2:$P$1001,MATCH(ROWS($O$2:O947),$O$2:$O$1001,0),1)&gt;=100000,INDEX($V$1005:$AE$1005,1,MATCH(COLUMNS($V$1006:AD1006),$V$1006:$AE$1006,0))&gt;=100000), " ",IF(INDEX($V$2:$AE$1001,MATCH(ROWS($O$2:O947),$O$2:$O$1001,0),MATCH(COLUMNS($V$1006:AD1006),$V$1006:$AE$1006,0)), HYPERLINK("#",""), HYPERLINK(CONCATENATE("#Metadata!", ADDRESS(INDEX($Q$2:$Q$1001,MATCH(ROWS($O$2:O947),$O$2:$O$1001,0),0), INDEX($V$1004:$AE$1004,1,MATCH(COLUMNS($V$1006:AD1006),$V$1006:$AE$1006,0)))),"Fix")))</f>
        <v>0</v>
      </c>
      <c r="K947" s="4">
        <f>IF(OR(INDEX($P$2:$P$1001,MATCH(ROWS($O$2:O947),$O$2:$O$1001,0),1)&gt;=100000,INDEX($V$1005:$AE$1005,1,MATCH(COLUMNS($V$1006:AE1006),$V$1006:$AE$1006,0))&gt;=100000), " ",IF(INDEX($V$2:$AE$1001,MATCH(ROWS($O$2:O947),$O$2:$O$1001,0),MATCH(COLUMNS($V$1006:AE1006),$V$1006:$AE$1006,0)), HYPERLINK("#",""), HYPERLINK(CONCATENATE("#Metadata!", ADDRESS(INDEX($Q$2:$Q$1001,MATCH(ROWS($O$2:O947),$O$2:$O$1001,0),0), INDEX($V$1004:$AE$1004,1,MATCH(COLUMNS($V$1006:AE1006),$V$1006:$AE$1006,0)))),"Fix")))</f>
        <v>0</v>
      </c>
      <c r="O947">
        <v>0</v>
      </c>
      <c r="P947">
        <v>0</v>
      </c>
      <c r="Q947">
        <v>0</v>
      </c>
      <c r="R947">
        <f>IF(S947,TRUE,AND(V947:AE947))</f>
        <v>0</v>
      </c>
      <c r="S947">
        <f>COUNTBLANK(Metadata!B947:K947)=COLUMNS(Metadata!B947:K947)</f>
        <v>0</v>
      </c>
      <c r="T947">
        <v>0</v>
      </c>
      <c r="V947">
        <f>AND(IF(Metadata!B947="",FALSE,TRUE),COUNTIF(Metadata!B:B, Metadata!B947) = 1,NOT(ISERROR(SUMPRODUCT(SEARCH(MID(Metadata!B947,ROW(INDIRECT("1:"&amp;LEN(Metadata!B947))), 1),"0123456789abcdefghijklmnopqrstuvwxyzABCDEFGHIJKLMNOPQRSTUVWXYZ.")))))</f>
        <v>0</v>
      </c>
      <c r="W947">
        <f>AND(IF(Metadata!C947="",FALSE,TRUE),exact(Metadata!C947,"urban biome"))</f>
        <v>0</v>
      </c>
      <c r="X947">
        <f>AND(IF(Metadata!D947="",FALSE,TRUE),exact(Metadata!D947,"animal-associated habitat"))</f>
        <v>0</v>
      </c>
      <c r="Y947">
        <f>OR(AND(IF(Metadata!E947="",FALSE,TRUE),OR(exact(Metadata!E947,"not applicable"),exact(Metadata!E947,"missing: not collected"),exact(Metadata!E947,"missing: not provided"),exact(Metadata!E947,"missing: restricted access"))),AND(IF(Metadata!E947="",FALSE,ISNUMBER(VALUE(Metadata!E947))),Metadata!E947&gt;0))</f>
        <v>0</v>
      </c>
      <c r="Z947">
        <f>AND(IF(Metadata!F947="",FALSE,TRUE),exact(Metadata!F947,"weeks"))</f>
        <v>0</v>
      </c>
      <c r="AA947">
        <f>AND(IF(Metadata!G947="",FALSE,TRUE),exact(Metadata!G947,"mouse"))</f>
        <v>0</v>
      </c>
      <c r="AB947">
        <f>AND(IF(Metadata!H947="",FALSE,TRUE),exact(Metadata!H947,"Mus musculus"))</f>
        <v>0</v>
      </c>
      <c r="AC947">
        <f>AND(IF(Metadata!I947="",FALSE,TRUE),exact(Metadata!I947,"10090"))</f>
        <v>0</v>
      </c>
      <c r="AD947">
        <f>OR(AND(IF(Metadata!J947="",FALSE,TRUE),OR(exact(Metadata!J947,"not applicable"),exact(Metadata!J947,"missing: not collected"),exact(Metadata!J947,"missing: not provided"),exact(Metadata!J947,"missing: restricted access"))),AND(IF(Metadata!J947="",FALSE,ISNUMBER(VALUE(Metadata!J947))),Metadata!J947&gt;0))</f>
        <v>0</v>
      </c>
      <c r="AE947">
        <f>AND(IF(Metadata!K947="",FALSE,TRUE),exact(Metadata!K947,"g"))</f>
        <v>0</v>
      </c>
    </row>
    <row r="948" spans="1:31">
      <c r="A948" s="5">
        <f>IF(B948=" "," ",HYPERLINK(CONCATENATE("#metadata!",ADDRESS(INDEX($Q$2:$Q$1001,MATCH(ROWS($O$2:O948),$O$2:$O$1001,0),0),1)),INDEX($T$2:$T$1001,MATCH(ROWS($O$2:O948),$O$2:$O$1001,0),0)))</f>
        <v>0</v>
      </c>
      <c r="B948" s="4">
        <f>IF(OR(INDEX($P$2:$P$1001,MATCH(ROWS($O$2:O948),$O$2:$O$1001,0),1)&gt;=100000,INDEX($V$1005:$AE$1005,1,MATCH(COLUMNS($V$1006:V1006),$V$1006:$AE$1006,0))&gt;=100000), " ",IF(INDEX($V$2:$AE$1001,MATCH(ROWS($O$2:O948),$O$2:$O$1001,0),MATCH(COLUMNS($V$1006:V1006),$V$1006:$AE$1006,0)), HYPERLINK("#",""), HYPERLINK(CONCATENATE("#Metadata!", ADDRESS(INDEX($Q$2:$Q$1001,MATCH(ROWS($O$2:O948),$O$2:$O$1001,0),0), INDEX($V$1004:$AE$1004,1,MATCH(COLUMNS($V$1006:V1006),$V$1006:$AE$1006,0)))),"Fix")))</f>
        <v>0</v>
      </c>
      <c r="C948" s="4">
        <f>IF(OR(INDEX($P$2:$P$1001,MATCH(ROWS($O$2:O948),$O$2:$O$1001,0),1)&gt;=100000,INDEX($V$1005:$AE$1005,1,MATCH(COLUMNS($V$1006:W1006),$V$1006:$AE$1006,0))&gt;=100000), " ",IF(INDEX($V$2:$AE$1001,MATCH(ROWS($O$2:O948),$O$2:$O$1001,0),MATCH(COLUMNS($V$1006:W1006),$V$1006:$AE$1006,0)), HYPERLINK("#",""), HYPERLINK(CONCATENATE("#Metadata!", ADDRESS(INDEX($Q$2:$Q$1001,MATCH(ROWS($O$2:O948),$O$2:$O$1001,0),0), INDEX($V$1004:$AE$1004,1,MATCH(COLUMNS($V$1006:W1006),$V$1006:$AE$1006,0)))),"Fix")))</f>
        <v>0</v>
      </c>
      <c r="D948" s="4">
        <f>IF(OR(INDEX($P$2:$P$1001,MATCH(ROWS($O$2:O948),$O$2:$O$1001,0),1)&gt;=100000,INDEX($V$1005:$AE$1005,1,MATCH(COLUMNS($V$1006:X1006),$V$1006:$AE$1006,0))&gt;=100000), " ",IF(INDEX($V$2:$AE$1001,MATCH(ROWS($O$2:O948),$O$2:$O$1001,0),MATCH(COLUMNS($V$1006:X1006),$V$1006:$AE$1006,0)), HYPERLINK("#",""), HYPERLINK(CONCATENATE("#Metadata!", ADDRESS(INDEX($Q$2:$Q$1001,MATCH(ROWS($O$2:O948),$O$2:$O$1001,0),0), INDEX($V$1004:$AE$1004,1,MATCH(COLUMNS($V$1006:X1006),$V$1006:$AE$1006,0)))),"Fix")))</f>
        <v>0</v>
      </c>
      <c r="E948" s="4">
        <f>IF(OR(INDEX($P$2:$P$1001,MATCH(ROWS($O$2:O948),$O$2:$O$1001,0),1)&gt;=100000,INDEX($V$1005:$AE$1005,1,MATCH(COLUMNS($V$1006:Y1006),$V$1006:$AE$1006,0))&gt;=100000), " ",IF(INDEX($V$2:$AE$1001,MATCH(ROWS($O$2:O948),$O$2:$O$1001,0),MATCH(COLUMNS($V$1006:Y1006),$V$1006:$AE$1006,0)), HYPERLINK("#",""), HYPERLINK(CONCATENATE("#Metadata!", ADDRESS(INDEX($Q$2:$Q$1001,MATCH(ROWS($O$2:O948),$O$2:$O$1001,0),0), INDEX($V$1004:$AE$1004,1,MATCH(COLUMNS($V$1006:Y1006),$V$1006:$AE$1006,0)))),"Fix")))</f>
        <v>0</v>
      </c>
      <c r="F948" s="4">
        <f>IF(OR(INDEX($P$2:$P$1001,MATCH(ROWS($O$2:O948),$O$2:$O$1001,0),1)&gt;=100000,INDEX($V$1005:$AE$1005,1,MATCH(COLUMNS($V$1006:Z1006),$V$1006:$AE$1006,0))&gt;=100000), " ",IF(INDEX($V$2:$AE$1001,MATCH(ROWS($O$2:O948),$O$2:$O$1001,0),MATCH(COLUMNS($V$1006:Z1006),$V$1006:$AE$1006,0)), HYPERLINK("#",""), HYPERLINK(CONCATENATE("#Metadata!", ADDRESS(INDEX($Q$2:$Q$1001,MATCH(ROWS($O$2:O948),$O$2:$O$1001,0),0), INDEX($V$1004:$AE$1004,1,MATCH(COLUMNS($V$1006:Z1006),$V$1006:$AE$1006,0)))),"Fix")))</f>
        <v>0</v>
      </c>
      <c r="G948" s="4">
        <f>IF(OR(INDEX($P$2:$P$1001,MATCH(ROWS($O$2:O948),$O$2:$O$1001,0),1)&gt;=100000,INDEX($V$1005:$AE$1005,1,MATCH(COLUMNS($V$1006:AA1006),$V$1006:$AE$1006,0))&gt;=100000), " ",IF(INDEX($V$2:$AE$1001,MATCH(ROWS($O$2:O948),$O$2:$O$1001,0),MATCH(COLUMNS($V$1006:AA1006),$V$1006:$AE$1006,0)), HYPERLINK("#",""), HYPERLINK(CONCATENATE("#Metadata!", ADDRESS(INDEX($Q$2:$Q$1001,MATCH(ROWS($O$2:O948),$O$2:$O$1001,0),0), INDEX($V$1004:$AE$1004,1,MATCH(COLUMNS($V$1006:AA1006),$V$1006:$AE$1006,0)))),"Fix")))</f>
        <v>0</v>
      </c>
      <c r="H948" s="4">
        <f>IF(OR(INDEX($P$2:$P$1001,MATCH(ROWS($O$2:O948),$O$2:$O$1001,0),1)&gt;=100000,INDEX($V$1005:$AE$1005,1,MATCH(COLUMNS($V$1006:AB1006),$V$1006:$AE$1006,0))&gt;=100000), " ",IF(INDEX($V$2:$AE$1001,MATCH(ROWS($O$2:O948),$O$2:$O$1001,0),MATCH(COLUMNS($V$1006:AB1006),$V$1006:$AE$1006,0)), HYPERLINK("#",""), HYPERLINK(CONCATENATE("#Metadata!", ADDRESS(INDEX($Q$2:$Q$1001,MATCH(ROWS($O$2:O948),$O$2:$O$1001,0),0), INDEX($V$1004:$AE$1004,1,MATCH(COLUMNS($V$1006:AB1006),$V$1006:$AE$1006,0)))),"Fix")))</f>
        <v>0</v>
      </c>
      <c r="I948" s="4">
        <f>IF(OR(INDEX($P$2:$P$1001,MATCH(ROWS($O$2:O948),$O$2:$O$1001,0),1)&gt;=100000,INDEX($V$1005:$AE$1005,1,MATCH(COLUMNS($V$1006:AC1006),$V$1006:$AE$1006,0))&gt;=100000), " ",IF(INDEX($V$2:$AE$1001,MATCH(ROWS($O$2:O948),$O$2:$O$1001,0),MATCH(COLUMNS($V$1006:AC1006),$V$1006:$AE$1006,0)), HYPERLINK("#",""), HYPERLINK(CONCATENATE("#Metadata!", ADDRESS(INDEX($Q$2:$Q$1001,MATCH(ROWS($O$2:O948),$O$2:$O$1001,0),0), INDEX($V$1004:$AE$1004,1,MATCH(COLUMNS($V$1006:AC1006),$V$1006:$AE$1006,0)))),"Fix")))</f>
        <v>0</v>
      </c>
      <c r="J948" s="4">
        <f>IF(OR(INDEX($P$2:$P$1001,MATCH(ROWS($O$2:O948),$O$2:$O$1001,0),1)&gt;=100000,INDEX($V$1005:$AE$1005,1,MATCH(COLUMNS($V$1006:AD1006),$V$1006:$AE$1006,0))&gt;=100000), " ",IF(INDEX($V$2:$AE$1001,MATCH(ROWS($O$2:O948),$O$2:$O$1001,0),MATCH(COLUMNS($V$1006:AD1006),$V$1006:$AE$1006,0)), HYPERLINK("#",""), HYPERLINK(CONCATENATE("#Metadata!", ADDRESS(INDEX($Q$2:$Q$1001,MATCH(ROWS($O$2:O948),$O$2:$O$1001,0),0), INDEX($V$1004:$AE$1004,1,MATCH(COLUMNS($V$1006:AD1006),$V$1006:$AE$1006,0)))),"Fix")))</f>
        <v>0</v>
      </c>
      <c r="K948" s="4">
        <f>IF(OR(INDEX($P$2:$P$1001,MATCH(ROWS($O$2:O948),$O$2:$O$1001,0),1)&gt;=100000,INDEX($V$1005:$AE$1005,1,MATCH(COLUMNS($V$1006:AE1006),$V$1006:$AE$1006,0))&gt;=100000), " ",IF(INDEX($V$2:$AE$1001,MATCH(ROWS($O$2:O948),$O$2:$O$1001,0),MATCH(COLUMNS($V$1006:AE1006),$V$1006:$AE$1006,0)), HYPERLINK("#",""), HYPERLINK(CONCATENATE("#Metadata!", ADDRESS(INDEX($Q$2:$Q$1001,MATCH(ROWS($O$2:O948),$O$2:$O$1001,0),0), INDEX($V$1004:$AE$1004,1,MATCH(COLUMNS($V$1006:AE1006),$V$1006:$AE$1006,0)))),"Fix")))</f>
        <v>0</v>
      </c>
      <c r="O948">
        <v>0</v>
      </c>
      <c r="P948">
        <v>0</v>
      </c>
      <c r="Q948">
        <v>0</v>
      </c>
      <c r="R948">
        <f>IF(S948,TRUE,AND(V948:AE948))</f>
        <v>0</v>
      </c>
      <c r="S948">
        <f>COUNTBLANK(Metadata!B948:K948)=COLUMNS(Metadata!B948:K948)</f>
        <v>0</v>
      </c>
      <c r="T948">
        <v>0</v>
      </c>
      <c r="V948">
        <f>AND(IF(Metadata!B948="",FALSE,TRUE),COUNTIF(Metadata!B:B, Metadata!B948) = 1,NOT(ISERROR(SUMPRODUCT(SEARCH(MID(Metadata!B948,ROW(INDIRECT("1:"&amp;LEN(Metadata!B948))), 1),"0123456789abcdefghijklmnopqrstuvwxyzABCDEFGHIJKLMNOPQRSTUVWXYZ.")))))</f>
        <v>0</v>
      </c>
      <c r="W948">
        <f>AND(IF(Metadata!C948="",FALSE,TRUE),exact(Metadata!C948,"urban biome"))</f>
        <v>0</v>
      </c>
      <c r="X948">
        <f>AND(IF(Metadata!D948="",FALSE,TRUE),exact(Metadata!D948,"animal-associated habitat"))</f>
        <v>0</v>
      </c>
      <c r="Y948">
        <f>OR(AND(IF(Metadata!E948="",FALSE,TRUE),OR(exact(Metadata!E948,"not applicable"),exact(Metadata!E948,"missing: not collected"),exact(Metadata!E948,"missing: not provided"),exact(Metadata!E948,"missing: restricted access"))),AND(IF(Metadata!E948="",FALSE,ISNUMBER(VALUE(Metadata!E948))),Metadata!E948&gt;0))</f>
        <v>0</v>
      </c>
      <c r="Z948">
        <f>AND(IF(Metadata!F948="",FALSE,TRUE),exact(Metadata!F948,"weeks"))</f>
        <v>0</v>
      </c>
      <c r="AA948">
        <f>AND(IF(Metadata!G948="",FALSE,TRUE),exact(Metadata!G948,"mouse"))</f>
        <v>0</v>
      </c>
      <c r="AB948">
        <f>AND(IF(Metadata!H948="",FALSE,TRUE),exact(Metadata!H948,"Mus musculus"))</f>
        <v>0</v>
      </c>
      <c r="AC948">
        <f>AND(IF(Metadata!I948="",FALSE,TRUE),exact(Metadata!I948,"10090"))</f>
        <v>0</v>
      </c>
      <c r="AD948">
        <f>OR(AND(IF(Metadata!J948="",FALSE,TRUE),OR(exact(Metadata!J948,"not applicable"),exact(Metadata!J948,"missing: not collected"),exact(Metadata!J948,"missing: not provided"),exact(Metadata!J948,"missing: restricted access"))),AND(IF(Metadata!J948="",FALSE,ISNUMBER(VALUE(Metadata!J948))),Metadata!J948&gt;0))</f>
        <v>0</v>
      </c>
      <c r="AE948">
        <f>AND(IF(Metadata!K948="",FALSE,TRUE),exact(Metadata!K948,"g"))</f>
        <v>0</v>
      </c>
    </row>
    <row r="949" spans="1:31">
      <c r="A949" s="5">
        <f>IF(B949=" "," ",HYPERLINK(CONCATENATE("#metadata!",ADDRESS(INDEX($Q$2:$Q$1001,MATCH(ROWS($O$2:O949),$O$2:$O$1001,0),0),1)),INDEX($T$2:$T$1001,MATCH(ROWS($O$2:O949),$O$2:$O$1001,0),0)))</f>
        <v>0</v>
      </c>
      <c r="B949" s="4">
        <f>IF(OR(INDEX($P$2:$P$1001,MATCH(ROWS($O$2:O949),$O$2:$O$1001,0),1)&gt;=100000,INDEX($V$1005:$AE$1005,1,MATCH(COLUMNS($V$1006:V1006),$V$1006:$AE$1006,0))&gt;=100000), " ",IF(INDEX($V$2:$AE$1001,MATCH(ROWS($O$2:O949),$O$2:$O$1001,0),MATCH(COLUMNS($V$1006:V1006),$V$1006:$AE$1006,0)), HYPERLINK("#",""), HYPERLINK(CONCATENATE("#Metadata!", ADDRESS(INDEX($Q$2:$Q$1001,MATCH(ROWS($O$2:O949),$O$2:$O$1001,0),0), INDEX($V$1004:$AE$1004,1,MATCH(COLUMNS($V$1006:V1006),$V$1006:$AE$1006,0)))),"Fix")))</f>
        <v>0</v>
      </c>
      <c r="C949" s="4">
        <f>IF(OR(INDEX($P$2:$P$1001,MATCH(ROWS($O$2:O949),$O$2:$O$1001,0),1)&gt;=100000,INDEX($V$1005:$AE$1005,1,MATCH(COLUMNS($V$1006:W1006),$V$1006:$AE$1006,0))&gt;=100000), " ",IF(INDEX($V$2:$AE$1001,MATCH(ROWS($O$2:O949),$O$2:$O$1001,0),MATCH(COLUMNS($V$1006:W1006),$V$1006:$AE$1006,0)), HYPERLINK("#",""), HYPERLINK(CONCATENATE("#Metadata!", ADDRESS(INDEX($Q$2:$Q$1001,MATCH(ROWS($O$2:O949),$O$2:$O$1001,0),0), INDEX($V$1004:$AE$1004,1,MATCH(COLUMNS($V$1006:W1006),$V$1006:$AE$1006,0)))),"Fix")))</f>
        <v>0</v>
      </c>
      <c r="D949" s="4">
        <f>IF(OR(INDEX($P$2:$P$1001,MATCH(ROWS($O$2:O949),$O$2:$O$1001,0),1)&gt;=100000,INDEX($V$1005:$AE$1005,1,MATCH(COLUMNS($V$1006:X1006),$V$1006:$AE$1006,0))&gt;=100000), " ",IF(INDEX($V$2:$AE$1001,MATCH(ROWS($O$2:O949),$O$2:$O$1001,0),MATCH(COLUMNS($V$1006:X1006),$V$1006:$AE$1006,0)), HYPERLINK("#",""), HYPERLINK(CONCATENATE("#Metadata!", ADDRESS(INDEX($Q$2:$Q$1001,MATCH(ROWS($O$2:O949),$O$2:$O$1001,0),0), INDEX($V$1004:$AE$1004,1,MATCH(COLUMNS($V$1006:X1006),$V$1006:$AE$1006,0)))),"Fix")))</f>
        <v>0</v>
      </c>
      <c r="E949" s="4">
        <f>IF(OR(INDEX($P$2:$P$1001,MATCH(ROWS($O$2:O949),$O$2:$O$1001,0),1)&gt;=100000,INDEX($V$1005:$AE$1005,1,MATCH(COLUMNS($V$1006:Y1006),$V$1006:$AE$1006,0))&gt;=100000), " ",IF(INDEX($V$2:$AE$1001,MATCH(ROWS($O$2:O949),$O$2:$O$1001,0),MATCH(COLUMNS($V$1006:Y1006),$V$1006:$AE$1006,0)), HYPERLINK("#",""), HYPERLINK(CONCATENATE("#Metadata!", ADDRESS(INDEX($Q$2:$Q$1001,MATCH(ROWS($O$2:O949),$O$2:$O$1001,0),0), INDEX($V$1004:$AE$1004,1,MATCH(COLUMNS($V$1006:Y1006),$V$1006:$AE$1006,0)))),"Fix")))</f>
        <v>0</v>
      </c>
      <c r="F949" s="4">
        <f>IF(OR(INDEX($P$2:$P$1001,MATCH(ROWS($O$2:O949),$O$2:$O$1001,0),1)&gt;=100000,INDEX($V$1005:$AE$1005,1,MATCH(COLUMNS($V$1006:Z1006),$V$1006:$AE$1006,0))&gt;=100000), " ",IF(INDEX($V$2:$AE$1001,MATCH(ROWS($O$2:O949),$O$2:$O$1001,0),MATCH(COLUMNS($V$1006:Z1006),$V$1006:$AE$1006,0)), HYPERLINK("#",""), HYPERLINK(CONCATENATE("#Metadata!", ADDRESS(INDEX($Q$2:$Q$1001,MATCH(ROWS($O$2:O949),$O$2:$O$1001,0),0), INDEX($V$1004:$AE$1004,1,MATCH(COLUMNS($V$1006:Z1006),$V$1006:$AE$1006,0)))),"Fix")))</f>
        <v>0</v>
      </c>
      <c r="G949" s="4">
        <f>IF(OR(INDEX($P$2:$P$1001,MATCH(ROWS($O$2:O949),$O$2:$O$1001,0),1)&gt;=100000,INDEX($V$1005:$AE$1005,1,MATCH(COLUMNS($V$1006:AA1006),$V$1006:$AE$1006,0))&gt;=100000), " ",IF(INDEX($V$2:$AE$1001,MATCH(ROWS($O$2:O949),$O$2:$O$1001,0),MATCH(COLUMNS($V$1006:AA1006),$V$1006:$AE$1006,0)), HYPERLINK("#",""), HYPERLINK(CONCATENATE("#Metadata!", ADDRESS(INDEX($Q$2:$Q$1001,MATCH(ROWS($O$2:O949),$O$2:$O$1001,0),0), INDEX($V$1004:$AE$1004,1,MATCH(COLUMNS($V$1006:AA1006),$V$1006:$AE$1006,0)))),"Fix")))</f>
        <v>0</v>
      </c>
      <c r="H949" s="4">
        <f>IF(OR(INDEX($P$2:$P$1001,MATCH(ROWS($O$2:O949),$O$2:$O$1001,0),1)&gt;=100000,INDEX($V$1005:$AE$1005,1,MATCH(COLUMNS($V$1006:AB1006),$V$1006:$AE$1006,0))&gt;=100000), " ",IF(INDEX($V$2:$AE$1001,MATCH(ROWS($O$2:O949),$O$2:$O$1001,0),MATCH(COLUMNS($V$1006:AB1006),$V$1006:$AE$1006,0)), HYPERLINK("#",""), HYPERLINK(CONCATENATE("#Metadata!", ADDRESS(INDEX($Q$2:$Q$1001,MATCH(ROWS($O$2:O949),$O$2:$O$1001,0),0), INDEX($V$1004:$AE$1004,1,MATCH(COLUMNS($V$1006:AB1006),$V$1006:$AE$1006,0)))),"Fix")))</f>
        <v>0</v>
      </c>
      <c r="I949" s="4">
        <f>IF(OR(INDEX($P$2:$P$1001,MATCH(ROWS($O$2:O949),$O$2:$O$1001,0),1)&gt;=100000,INDEX($V$1005:$AE$1005,1,MATCH(COLUMNS($V$1006:AC1006),$V$1006:$AE$1006,0))&gt;=100000), " ",IF(INDEX($V$2:$AE$1001,MATCH(ROWS($O$2:O949),$O$2:$O$1001,0),MATCH(COLUMNS($V$1006:AC1006),$V$1006:$AE$1006,0)), HYPERLINK("#",""), HYPERLINK(CONCATENATE("#Metadata!", ADDRESS(INDEX($Q$2:$Q$1001,MATCH(ROWS($O$2:O949),$O$2:$O$1001,0),0), INDEX($V$1004:$AE$1004,1,MATCH(COLUMNS($V$1006:AC1006),$V$1006:$AE$1006,0)))),"Fix")))</f>
        <v>0</v>
      </c>
      <c r="J949" s="4">
        <f>IF(OR(INDEX($P$2:$P$1001,MATCH(ROWS($O$2:O949),$O$2:$O$1001,0),1)&gt;=100000,INDEX($V$1005:$AE$1005,1,MATCH(COLUMNS($V$1006:AD1006),$V$1006:$AE$1006,0))&gt;=100000), " ",IF(INDEX($V$2:$AE$1001,MATCH(ROWS($O$2:O949),$O$2:$O$1001,0),MATCH(COLUMNS($V$1006:AD1006),$V$1006:$AE$1006,0)), HYPERLINK("#",""), HYPERLINK(CONCATENATE("#Metadata!", ADDRESS(INDEX($Q$2:$Q$1001,MATCH(ROWS($O$2:O949),$O$2:$O$1001,0),0), INDEX($V$1004:$AE$1004,1,MATCH(COLUMNS($V$1006:AD1006),$V$1006:$AE$1006,0)))),"Fix")))</f>
        <v>0</v>
      </c>
      <c r="K949" s="4">
        <f>IF(OR(INDEX($P$2:$P$1001,MATCH(ROWS($O$2:O949),$O$2:$O$1001,0),1)&gt;=100000,INDEX($V$1005:$AE$1005,1,MATCH(COLUMNS($V$1006:AE1006),$V$1006:$AE$1006,0))&gt;=100000), " ",IF(INDEX($V$2:$AE$1001,MATCH(ROWS($O$2:O949),$O$2:$O$1001,0),MATCH(COLUMNS($V$1006:AE1006),$V$1006:$AE$1006,0)), HYPERLINK("#",""), HYPERLINK(CONCATENATE("#Metadata!", ADDRESS(INDEX($Q$2:$Q$1001,MATCH(ROWS($O$2:O949),$O$2:$O$1001,0),0), INDEX($V$1004:$AE$1004,1,MATCH(COLUMNS($V$1006:AE1006),$V$1006:$AE$1006,0)))),"Fix")))</f>
        <v>0</v>
      </c>
      <c r="O949">
        <v>0</v>
      </c>
      <c r="P949">
        <v>0</v>
      </c>
      <c r="Q949">
        <v>0</v>
      </c>
      <c r="R949">
        <f>IF(S949,TRUE,AND(V949:AE949))</f>
        <v>0</v>
      </c>
      <c r="S949">
        <f>COUNTBLANK(Metadata!B949:K949)=COLUMNS(Metadata!B949:K949)</f>
        <v>0</v>
      </c>
      <c r="T949">
        <v>0</v>
      </c>
      <c r="V949">
        <f>AND(IF(Metadata!B949="",FALSE,TRUE),COUNTIF(Metadata!B:B, Metadata!B949) = 1,NOT(ISERROR(SUMPRODUCT(SEARCH(MID(Metadata!B949,ROW(INDIRECT("1:"&amp;LEN(Metadata!B949))), 1),"0123456789abcdefghijklmnopqrstuvwxyzABCDEFGHIJKLMNOPQRSTUVWXYZ.")))))</f>
        <v>0</v>
      </c>
      <c r="W949">
        <f>AND(IF(Metadata!C949="",FALSE,TRUE),exact(Metadata!C949,"urban biome"))</f>
        <v>0</v>
      </c>
      <c r="X949">
        <f>AND(IF(Metadata!D949="",FALSE,TRUE),exact(Metadata!D949,"animal-associated habitat"))</f>
        <v>0</v>
      </c>
      <c r="Y949">
        <f>OR(AND(IF(Metadata!E949="",FALSE,TRUE),OR(exact(Metadata!E949,"not applicable"),exact(Metadata!E949,"missing: not collected"),exact(Metadata!E949,"missing: not provided"),exact(Metadata!E949,"missing: restricted access"))),AND(IF(Metadata!E949="",FALSE,ISNUMBER(VALUE(Metadata!E949))),Metadata!E949&gt;0))</f>
        <v>0</v>
      </c>
      <c r="Z949">
        <f>AND(IF(Metadata!F949="",FALSE,TRUE),exact(Metadata!F949,"weeks"))</f>
        <v>0</v>
      </c>
      <c r="AA949">
        <f>AND(IF(Metadata!G949="",FALSE,TRUE),exact(Metadata!G949,"mouse"))</f>
        <v>0</v>
      </c>
      <c r="AB949">
        <f>AND(IF(Metadata!H949="",FALSE,TRUE),exact(Metadata!H949,"Mus musculus"))</f>
        <v>0</v>
      </c>
      <c r="AC949">
        <f>AND(IF(Metadata!I949="",FALSE,TRUE),exact(Metadata!I949,"10090"))</f>
        <v>0</v>
      </c>
      <c r="AD949">
        <f>OR(AND(IF(Metadata!J949="",FALSE,TRUE),OR(exact(Metadata!J949,"not applicable"),exact(Metadata!J949,"missing: not collected"),exact(Metadata!J949,"missing: not provided"),exact(Metadata!J949,"missing: restricted access"))),AND(IF(Metadata!J949="",FALSE,ISNUMBER(VALUE(Metadata!J949))),Metadata!J949&gt;0))</f>
        <v>0</v>
      </c>
      <c r="AE949">
        <f>AND(IF(Metadata!K949="",FALSE,TRUE),exact(Metadata!K949,"g"))</f>
        <v>0</v>
      </c>
    </row>
    <row r="950" spans="1:31">
      <c r="A950" s="5">
        <f>IF(B950=" "," ",HYPERLINK(CONCATENATE("#metadata!",ADDRESS(INDEX($Q$2:$Q$1001,MATCH(ROWS($O$2:O950),$O$2:$O$1001,0),0),1)),INDEX($T$2:$T$1001,MATCH(ROWS($O$2:O950),$O$2:$O$1001,0),0)))</f>
        <v>0</v>
      </c>
      <c r="B950" s="4">
        <f>IF(OR(INDEX($P$2:$P$1001,MATCH(ROWS($O$2:O950),$O$2:$O$1001,0),1)&gt;=100000,INDEX($V$1005:$AE$1005,1,MATCH(COLUMNS($V$1006:V1006),$V$1006:$AE$1006,0))&gt;=100000), " ",IF(INDEX($V$2:$AE$1001,MATCH(ROWS($O$2:O950),$O$2:$O$1001,0),MATCH(COLUMNS($V$1006:V1006),$V$1006:$AE$1006,0)), HYPERLINK("#",""), HYPERLINK(CONCATENATE("#Metadata!", ADDRESS(INDEX($Q$2:$Q$1001,MATCH(ROWS($O$2:O950),$O$2:$O$1001,0),0), INDEX($V$1004:$AE$1004,1,MATCH(COLUMNS($V$1006:V1006),$V$1006:$AE$1006,0)))),"Fix")))</f>
        <v>0</v>
      </c>
      <c r="C950" s="4">
        <f>IF(OR(INDEX($P$2:$P$1001,MATCH(ROWS($O$2:O950),$O$2:$O$1001,0),1)&gt;=100000,INDEX($V$1005:$AE$1005,1,MATCH(COLUMNS($V$1006:W1006),$V$1006:$AE$1006,0))&gt;=100000), " ",IF(INDEX($V$2:$AE$1001,MATCH(ROWS($O$2:O950),$O$2:$O$1001,0),MATCH(COLUMNS($V$1006:W1006),$V$1006:$AE$1006,0)), HYPERLINK("#",""), HYPERLINK(CONCATENATE("#Metadata!", ADDRESS(INDEX($Q$2:$Q$1001,MATCH(ROWS($O$2:O950),$O$2:$O$1001,0),0), INDEX($V$1004:$AE$1004,1,MATCH(COLUMNS($V$1006:W1006),$V$1006:$AE$1006,0)))),"Fix")))</f>
        <v>0</v>
      </c>
      <c r="D950" s="4">
        <f>IF(OR(INDEX($P$2:$P$1001,MATCH(ROWS($O$2:O950),$O$2:$O$1001,0),1)&gt;=100000,INDEX($V$1005:$AE$1005,1,MATCH(COLUMNS($V$1006:X1006),$V$1006:$AE$1006,0))&gt;=100000), " ",IF(INDEX($V$2:$AE$1001,MATCH(ROWS($O$2:O950),$O$2:$O$1001,0),MATCH(COLUMNS($V$1006:X1006),$V$1006:$AE$1006,0)), HYPERLINK("#",""), HYPERLINK(CONCATENATE("#Metadata!", ADDRESS(INDEX($Q$2:$Q$1001,MATCH(ROWS($O$2:O950),$O$2:$O$1001,0),0), INDEX($V$1004:$AE$1004,1,MATCH(COLUMNS($V$1006:X1006),$V$1006:$AE$1006,0)))),"Fix")))</f>
        <v>0</v>
      </c>
      <c r="E950" s="4">
        <f>IF(OR(INDEX($P$2:$P$1001,MATCH(ROWS($O$2:O950),$O$2:$O$1001,0),1)&gt;=100000,INDEX($V$1005:$AE$1005,1,MATCH(COLUMNS($V$1006:Y1006),$V$1006:$AE$1006,0))&gt;=100000), " ",IF(INDEX($V$2:$AE$1001,MATCH(ROWS($O$2:O950),$O$2:$O$1001,0),MATCH(COLUMNS($V$1006:Y1006),$V$1006:$AE$1006,0)), HYPERLINK("#",""), HYPERLINK(CONCATENATE("#Metadata!", ADDRESS(INDEX($Q$2:$Q$1001,MATCH(ROWS($O$2:O950),$O$2:$O$1001,0),0), INDEX($V$1004:$AE$1004,1,MATCH(COLUMNS($V$1006:Y1006),$V$1006:$AE$1006,0)))),"Fix")))</f>
        <v>0</v>
      </c>
      <c r="F950" s="4">
        <f>IF(OR(INDEX($P$2:$P$1001,MATCH(ROWS($O$2:O950),$O$2:$O$1001,0),1)&gt;=100000,INDEX($V$1005:$AE$1005,1,MATCH(COLUMNS($V$1006:Z1006),$V$1006:$AE$1006,0))&gt;=100000), " ",IF(INDEX($V$2:$AE$1001,MATCH(ROWS($O$2:O950),$O$2:$O$1001,0),MATCH(COLUMNS($V$1006:Z1006),$V$1006:$AE$1006,0)), HYPERLINK("#",""), HYPERLINK(CONCATENATE("#Metadata!", ADDRESS(INDEX($Q$2:$Q$1001,MATCH(ROWS($O$2:O950),$O$2:$O$1001,0),0), INDEX($V$1004:$AE$1004,1,MATCH(COLUMNS($V$1006:Z1006),$V$1006:$AE$1006,0)))),"Fix")))</f>
        <v>0</v>
      </c>
      <c r="G950" s="4">
        <f>IF(OR(INDEX($P$2:$P$1001,MATCH(ROWS($O$2:O950),$O$2:$O$1001,0),1)&gt;=100000,INDEX($V$1005:$AE$1005,1,MATCH(COLUMNS($V$1006:AA1006),$V$1006:$AE$1006,0))&gt;=100000), " ",IF(INDEX($V$2:$AE$1001,MATCH(ROWS($O$2:O950),$O$2:$O$1001,0),MATCH(COLUMNS($V$1006:AA1006),$V$1006:$AE$1006,0)), HYPERLINK("#",""), HYPERLINK(CONCATENATE("#Metadata!", ADDRESS(INDEX($Q$2:$Q$1001,MATCH(ROWS($O$2:O950),$O$2:$O$1001,0),0), INDEX($V$1004:$AE$1004,1,MATCH(COLUMNS($V$1006:AA1006),$V$1006:$AE$1006,0)))),"Fix")))</f>
        <v>0</v>
      </c>
      <c r="H950" s="4">
        <f>IF(OR(INDEX($P$2:$P$1001,MATCH(ROWS($O$2:O950),$O$2:$O$1001,0),1)&gt;=100000,INDEX($V$1005:$AE$1005,1,MATCH(COLUMNS($V$1006:AB1006),$V$1006:$AE$1006,0))&gt;=100000), " ",IF(INDEX($V$2:$AE$1001,MATCH(ROWS($O$2:O950),$O$2:$O$1001,0),MATCH(COLUMNS($V$1006:AB1006),$V$1006:$AE$1006,0)), HYPERLINK("#",""), HYPERLINK(CONCATENATE("#Metadata!", ADDRESS(INDEX($Q$2:$Q$1001,MATCH(ROWS($O$2:O950),$O$2:$O$1001,0),0), INDEX($V$1004:$AE$1004,1,MATCH(COLUMNS($V$1006:AB1006),$V$1006:$AE$1006,0)))),"Fix")))</f>
        <v>0</v>
      </c>
      <c r="I950" s="4">
        <f>IF(OR(INDEX($P$2:$P$1001,MATCH(ROWS($O$2:O950),$O$2:$O$1001,0),1)&gt;=100000,INDEX($V$1005:$AE$1005,1,MATCH(COLUMNS($V$1006:AC1006),$V$1006:$AE$1006,0))&gt;=100000), " ",IF(INDEX($V$2:$AE$1001,MATCH(ROWS($O$2:O950),$O$2:$O$1001,0),MATCH(COLUMNS($V$1006:AC1006),$V$1006:$AE$1006,0)), HYPERLINK("#",""), HYPERLINK(CONCATENATE("#Metadata!", ADDRESS(INDEX($Q$2:$Q$1001,MATCH(ROWS($O$2:O950),$O$2:$O$1001,0),0), INDEX($V$1004:$AE$1004,1,MATCH(COLUMNS($V$1006:AC1006),$V$1006:$AE$1006,0)))),"Fix")))</f>
        <v>0</v>
      </c>
      <c r="J950" s="4">
        <f>IF(OR(INDEX($P$2:$P$1001,MATCH(ROWS($O$2:O950),$O$2:$O$1001,0),1)&gt;=100000,INDEX($V$1005:$AE$1005,1,MATCH(COLUMNS($V$1006:AD1006),$V$1006:$AE$1006,0))&gt;=100000), " ",IF(INDEX($V$2:$AE$1001,MATCH(ROWS($O$2:O950),$O$2:$O$1001,0),MATCH(COLUMNS($V$1006:AD1006),$V$1006:$AE$1006,0)), HYPERLINK("#",""), HYPERLINK(CONCATENATE("#Metadata!", ADDRESS(INDEX($Q$2:$Q$1001,MATCH(ROWS($O$2:O950),$O$2:$O$1001,0),0), INDEX($V$1004:$AE$1004,1,MATCH(COLUMNS($V$1006:AD1006),$V$1006:$AE$1006,0)))),"Fix")))</f>
        <v>0</v>
      </c>
      <c r="K950" s="4">
        <f>IF(OR(INDEX($P$2:$P$1001,MATCH(ROWS($O$2:O950),$O$2:$O$1001,0),1)&gt;=100000,INDEX($V$1005:$AE$1005,1,MATCH(COLUMNS($V$1006:AE1006),$V$1006:$AE$1006,0))&gt;=100000), " ",IF(INDEX($V$2:$AE$1001,MATCH(ROWS($O$2:O950),$O$2:$O$1001,0),MATCH(COLUMNS($V$1006:AE1006),$V$1006:$AE$1006,0)), HYPERLINK("#",""), HYPERLINK(CONCATENATE("#Metadata!", ADDRESS(INDEX($Q$2:$Q$1001,MATCH(ROWS($O$2:O950),$O$2:$O$1001,0),0), INDEX($V$1004:$AE$1004,1,MATCH(COLUMNS($V$1006:AE1006),$V$1006:$AE$1006,0)))),"Fix")))</f>
        <v>0</v>
      </c>
      <c r="O950">
        <v>0</v>
      </c>
      <c r="P950">
        <v>0</v>
      </c>
      <c r="Q950">
        <v>0</v>
      </c>
      <c r="R950">
        <f>IF(S950,TRUE,AND(V950:AE950))</f>
        <v>0</v>
      </c>
      <c r="S950">
        <f>COUNTBLANK(Metadata!B950:K950)=COLUMNS(Metadata!B950:K950)</f>
        <v>0</v>
      </c>
      <c r="T950">
        <v>0</v>
      </c>
      <c r="V950">
        <f>AND(IF(Metadata!B950="",FALSE,TRUE),COUNTIF(Metadata!B:B, Metadata!B950) = 1,NOT(ISERROR(SUMPRODUCT(SEARCH(MID(Metadata!B950,ROW(INDIRECT("1:"&amp;LEN(Metadata!B950))), 1),"0123456789abcdefghijklmnopqrstuvwxyzABCDEFGHIJKLMNOPQRSTUVWXYZ.")))))</f>
        <v>0</v>
      </c>
      <c r="W950">
        <f>AND(IF(Metadata!C950="",FALSE,TRUE),exact(Metadata!C950,"urban biome"))</f>
        <v>0</v>
      </c>
      <c r="X950">
        <f>AND(IF(Metadata!D950="",FALSE,TRUE),exact(Metadata!D950,"animal-associated habitat"))</f>
        <v>0</v>
      </c>
      <c r="Y950">
        <f>OR(AND(IF(Metadata!E950="",FALSE,TRUE),OR(exact(Metadata!E950,"not applicable"),exact(Metadata!E950,"missing: not collected"),exact(Metadata!E950,"missing: not provided"),exact(Metadata!E950,"missing: restricted access"))),AND(IF(Metadata!E950="",FALSE,ISNUMBER(VALUE(Metadata!E950))),Metadata!E950&gt;0))</f>
        <v>0</v>
      </c>
      <c r="Z950">
        <f>AND(IF(Metadata!F950="",FALSE,TRUE),exact(Metadata!F950,"weeks"))</f>
        <v>0</v>
      </c>
      <c r="AA950">
        <f>AND(IF(Metadata!G950="",FALSE,TRUE),exact(Metadata!G950,"mouse"))</f>
        <v>0</v>
      </c>
      <c r="AB950">
        <f>AND(IF(Metadata!H950="",FALSE,TRUE),exact(Metadata!H950,"Mus musculus"))</f>
        <v>0</v>
      </c>
      <c r="AC950">
        <f>AND(IF(Metadata!I950="",FALSE,TRUE),exact(Metadata!I950,"10090"))</f>
        <v>0</v>
      </c>
      <c r="AD950">
        <f>OR(AND(IF(Metadata!J950="",FALSE,TRUE),OR(exact(Metadata!J950,"not applicable"),exact(Metadata!J950,"missing: not collected"),exact(Metadata!J950,"missing: not provided"),exact(Metadata!J950,"missing: restricted access"))),AND(IF(Metadata!J950="",FALSE,ISNUMBER(VALUE(Metadata!J950))),Metadata!J950&gt;0))</f>
        <v>0</v>
      </c>
      <c r="AE950">
        <f>AND(IF(Metadata!K950="",FALSE,TRUE),exact(Metadata!K950,"g"))</f>
        <v>0</v>
      </c>
    </row>
    <row r="951" spans="1:31">
      <c r="A951" s="5">
        <f>IF(B951=" "," ",HYPERLINK(CONCATENATE("#metadata!",ADDRESS(INDEX($Q$2:$Q$1001,MATCH(ROWS($O$2:O951),$O$2:$O$1001,0),0),1)),INDEX($T$2:$T$1001,MATCH(ROWS($O$2:O951),$O$2:$O$1001,0),0)))</f>
        <v>0</v>
      </c>
      <c r="B951" s="4">
        <f>IF(OR(INDEX($P$2:$P$1001,MATCH(ROWS($O$2:O951),$O$2:$O$1001,0),1)&gt;=100000,INDEX($V$1005:$AE$1005,1,MATCH(COLUMNS($V$1006:V1006),$V$1006:$AE$1006,0))&gt;=100000), " ",IF(INDEX($V$2:$AE$1001,MATCH(ROWS($O$2:O951),$O$2:$O$1001,0),MATCH(COLUMNS($V$1006:V1006),$V$1006:$AE$1006,0)), HYPERLINK("#",""), HYPERLINK(CONCATENATE("#Metadata!", ADDRESS(INDEX($Q$2:$Q$1001,MATCH(ROWS($O$2:O951),$O$2:$O$1001,0),0), INDEX($V$1004:$AE$1004,1,MATCH(COLUMNS($V$1006:V1006),$V$1006:$AE$1006,0)))),"Fix")))</f>
        <v>0</v>
      </c>
      <c r="C951" s="4">
        <f>IF(OR(INDEX($P$2:$P$1001,MATCH(ROWS($O$2:O951),$O$2:$O$1001,0),1)&gt;=100000,INDEX($V$1005:$AE$1005,1,MATCH(COLUMNS($V$1006:W1006),$V$1006:$AE$1006,0))&gt;=100000), " ",IF(INDEX($V$2:$AE$1001,MATCH(ROWS($O$2:O951),$O$2:$O$1001,0),MATCH(COLUMNS($V$1006:W1006),$V$1006:$AE$1006,0)), HYPERLINK("#",""), HYPERLINK(CONCATENATE("#Metadata!", ADDRESS(INDEX($Q$2:$Q$1001,MATCH(ROWS($O$2:O951),$O$2:$O$1001,0),0), INDEX($V$1004:$AE$1004,1,MATCH(COLUMNS($V$1006:W1006),$V$1006:$AE$1006,0)))),"Fix")))</f>
        <v>0</v>
      </c>
      <c r="D951" s="4">
        <f>IF(OR(INDEX($P$2:$P$1001,MATCH(ROWS($O$2:O951),$O$2:$O$1001,0),1)&gt;=100000,INDEX($V$1005:$AE$1005,1,MATCH(COLUMNS($V$1006:X1006),$V$1006:$AE$1006,0))&gt;=100000), " ",IF(INDEX($V$2:$AE$1001,MATCH(ROWS($O$2:O951),$O$2:$O$1001,0),MATCH(COLUMNS($V$1006:X1006),$V$1006:$AE$1006,0)), HYPERLINK("#",""), HYPERLINK(CONCATENATE("#Metadata!", ADDRESS(INDEX($Q$2:$Q$1001,MATCH(ROWS($O$2:O951),$O$2:$O$1001,0),0), INDEX($V$1004:$AE$1004,1,MATCH(COLUMNS($V$1006:X1006),$V$1006:$AE$1006,0)))),"Fix")))</f>
        <v>0</v>
      </c>
      <c r="E951" s="4">
        <f>IF(OR(INDEX($P$2:$P$1001,MATCH(ROWS($O$2:O951),$O$2:$O$1001,0),1)&gt;=100000,INDEX($V$1005:$AE$1005,1,MATCH(COLUMNS($V$1006:Y1006),$V$1006:$AE$1006,0))&gt;=100000), " ",IF(INDEX($V$2:$AE$1001,MATCH(ROWS($O$2:O951),$O$2:$O$1001,0),MATCH(COLUMNS($V$1006:Y1006),$V$1006:$AE$1006,0)), HYPERLINK("#",""), HYPERLINK(CONCATENATE("#Metadata!", ADDRESS(INDEX($Q$2:$Q$1001,MATCH(ROWS($O$2:O951),$O$2:$O$1001,0),0), INDEX($V$1004:$AE$1004,1,MATCH(COLUMNS($V$1006:Y1006),$V$1006:$AE$1006,0)))),"Fix")))</f>
        <v>0</v>
      </c>
      <c r="F951" s="4">
        <f>IF(OR(INDEX($P$2:$P$1001,MATCH(ROWS($O$2:O951),$O$2:$O$1001,0),1)&gt;=100000,INDEX($V$1005:$AE$1005,1,MATCH(COLUMNS($V$1006:Z1006),$V$1006:$AE$1006,0))&gt;=100000), " ",IF(INDEX($V$2:$AE$1001,MATCH(ROWS($O$2:O951),$O$2:$O$1001,0),MATCH(COLUMNS($V$1006:Z1006),$V$1006:$AE$1006,0)), HYPERLINK("#",""), HYPERLINK(CONCATENATE("#Metadata!", ADDRESS(INDEX($Q$2:$Q$1001,MATCH(ROWS($O$2:O951),$O$2:$O$1001,0),0), INDEX($V$1004:$AE$1004,1,MATCH(COLUMNS($V$1006:Z1006),$V$1006:$AE$1006,0)))),"Fix")))</f>
        <v>0</v>
      </c>
      <c r="G951" s="4">
        <f>IF(OR(INDEX($P$2:$P$1001,MATCH(ROWS($O$2:O951),$O$2:$O$1001,0),1)&gt;=100000,INDEX($V$1005:$AE$1005,1,MATCH(COLUMNS($V$1006:AA1006),$V$1006:$AE$1006,0))&gt;=100000), " ",IF(INDEX($V$2:$AE$1001,MATCH(ROWS($O$2:O951),$O$2:$O$1001,0),MATCH(COLUMNS($V$1006:AA1006),$V$1006:$AE$1006,0)), HYPERLINK("#",""), HYPERLINK(CONCATENATE("#Metadata!", ADDRESS(INDEX($Q$2:$Q$1001,MATCH(ROWS($O$2:O951),$O$2:$O$1001,0),0), INDEX($V$1004:$AE$1004,1,MATCH(COLUMNS($V$1006:AA1006),$V$1006:$AE$1006,0)))),"Fix")))</f>
        <v>0</v>
      </c>
      <c r="H951" s="4">
        <f>IF(OR(INDEX($P$2:$P$1001,MATCH(ROWS($O$2:O951),$O$2:$O$1001,0),1)&gt;=100000,INDEX($V$1005:$AE$1005,1,MATCH(COLUMNS($V$1006:AB1006),$V$1006:$AE$1006,0))&gt;=100000), " ",IF(INDEX($V$2:$AE$1001,MATCH(ROWS($O$2:O951),$O$2:$O$1001,0),MATCH(COLUMNS($V$1006:AB1006),$V$1006:$AE$1006,0)), HYPERLINK("#",""), HYPERLINK(CONCATENATE("#Metadata!", ADDRESS(INDEX($Q$2:$Q$1001,MATCH(ROWS($O$2:O951),$O$2:$O$1001,0),0), INDEX($V$1004:$AE$1004,1,MATCH(COLUMNS($V$1006:AB1006),$V$1006:$AE$1006,0)))),"Fix")))</f>
        <v>0</v>
      </c>
      <c r="I951" s="4">
        <f>IF(OR(INDEX($P$2:$P$1001,MATCH(ROWS($O$2:O951),$O$2:$O$1001,0),1)&gt;=100000,INDEX($V$1005:$AE$1005,1,MATCH(COLUMNS($V$1006:AC1006),$V$1006:$AE$1006,0))&gt;=100000), " ",IF(INDEX($V$2:$AE$1001,MATCH(ROWS($O$2:O951),$O$2:$O$1001,0),MATCH(COLUMNS($V$1006:AC1006),$V$1006:$AE$1006,0)), HYPERLINK("#",""), HYPERLINK(CONCATENATE("#Metadata!", ADDRESS(INDEX($Q$2:$Q$1001,MATCH(ROWS($O$2:O951),$O$2:$O$1001,0),0), INDEX($V$1004:$AE$1004,1,MATCH(COLUMNS($V$1006:AC1006),$V$1006:$AE$1006,0)))),"Fix")))</f>
        <v>0</v>
      </c>
      <c r="J951" s="4">
        <f>IF(OR(INDEX($P$2:$P$1001,MATCH(ROWS($O$2:O951),$O$2:$O$1001,0),1)&gt;=100000,INDEX($V$1005:$AE$1005,1,MATCH(COLUMNS($V$1006:AD1006),$V$1006:$AE$1006,0))&gt;=100000), " ",IF(INDEX($V$2:$AE$1001,MATCH(ROWS($O$2:O951),$O$2:$O$1001,0),MATCH(COLUMNS($V$1006:AD1006),$V$1006:$AE$1006,0)), HYPERLINK("#",""), HYPERLINK(CONCATENATE("#Metadata!", ADDRESS(INDEX($Q$2:$Q$1001,MATCH(ROWS($O$2:O951),$O$2:$O$1001,0),0), INDEX($V$1004:$AE$1004,1,MATCH(COLUMNS($V$1006:AD1006),$V$1006:$AE$1006,0)))),"Fix")))</f>
        <v>0</v>
      </c>
      <c r="K951" s="4">
        <f>IF(OR(INDEX($P$2:$P$1001,MATCH(ROWS($O$2:O951),$O$2:$O$1001,0),1)&gt;=100000,INDEX($V$1005:$AE$1005,1,MATCH(COLUMNS($V$1006:AE1006),$V$1006:$AE$1006,0))&gt;=100000), " ",IF(INDEX($V$2:$AE$1001,MATCH(ROWS($O$2:O951),$O$2:$O$1001,0),MATCH(COLUMNS($V$1006:AE1006),$V$1006:$AE$1006,0)), HYPERLINK("#",""), HYPERLINK(CONCATENATE("#Metadata!", ADDRESS(INDEX($Q$2:$Q$1001,MATCH(ROWS($O$2:O951),$O$2:$O$1001,0),0), INDEX($V$1004:$AE$1004,1,MATCH(COLUMNS($V$1006:AE1006),$V$1006:$AE$1006,0)))),"Fix")))</f>
        <v>0</v>
      </c>
      <c r="O951">
        <v>0</v>
      </c>
      <c r="P951">
        <v>0</v>
      </c>
      <c r="Q951">
        <v>0</v>
      </c>
      <c r="R951">
        <f>IF(S951,TRUE,AND(V951:AE951))</f>
        <v>0</v>
      </c>
      <c r="S951">
        <f>COUNTBLANK(Metadata!B951:K951)=COLUMNS(Metadata!B951:K951)</f>
        <v>0</v>
      </c>
      <c r="T951">
        <v>0</v>
      </c>
      <c r="V951">
        <f>AND(IF(Metadata!B951="",FALSE,TRUE),COUNTIF(Metadata!B:B, Metadata!B951) = 1,NOT(ISERROR(SUMPRODUCT(SEARCH(MID(Metadata!B951,ROW(INDIRECT("1:"&amp;LEN(Metadata!B951))), 1),"0123456789abcdefghijklmnopqrstuvwxyzABCDEFGHIJKLMNOPQRSTUVWXYZ.")))))</f>
        <v>0</v>
      </c>
      <c r="W951">
        <f>AND(IF(Metadata!C951="",FALSE,TRUE),exact(Metadata!C951,"urban biome"))</f>
        <v>0</v>
      </c>
      <c r="X951">
        <f>AND(IF(Metadata!D951="",FALSE,TRUE),exact(Metadata!D951,"animal-associated habitat"))</f>
        <v>0</v>
      </c>
      <c r="Y951">
        <f>OR(AND(IF(Metadata!E951="",FALSE,TRUE),OR(exact(Metadata!E951,"not applicable"),exact(Metadata!E951,"missing: not collected"),exact(Metadata!E951,"missing: not provided"),exact(Metadata!E951,"missing: restricted access"))),AND(IF(Metadata!E951="",FALSE,ISNUMBER(VALUE(Metadata!E951))),Metadata!E951&gt;0))</f>
        <v>0</v>
      </c>
      <c r="Z951">
        <f>AND(IF(Metadata!F951="",FALSE,TRUE),exact(Metadata!F951,"weeks"))</f>
        <v>0</v>
      </c>
      <c r="AA951">
        <f>AND(IF(Metadata!G951="",FALSE,TRUE),exact(Metadata!G951,"mouse"))</f>
        <v>0</v>
      </c>
      <c r="AB951">
        <f>AND(IF(Metadata!H951="",FALSE,TRUE),exact(Metadata!H951,"Mus musculus"))</f>
        <v>0</v>
      </c>
      <c r="AC951">
        <f>AND(IF(Metadata!I951="",FALSE,TRUE),exact(Metadata!I951,"10090"))</f>
        <v>0</v>
      </c>
      <c r="AD951">
        <f>OR(AND(IF(Metadata!J951="",FALSE,TRUE),OR(exact(Metadata!J951,"not applicable"),exact(Metadata!J951,"missing: not collected"),exact(Metadata!J951,"missing: not provided"),exact(Metadata!J951,"missing: restricted access"))),AND(IF(Metadata!J951="",FALSE,ISNUMBER(VALUE(Metadata!J951))),Metadata!J951&gt;0))</f>
        <v>0</v>
      </c>
      <c r="AE951">
        <f>AND(IF(Metadata!K951="",FALSE,TRUE),exact(Metadata!K951,"g"))</f>
        <v>0</v>
      </c>
    </row>
    <row r="952" spans="1:31">
      <c r="A952" s="5">
        <f>IF(B952=" "," ",HYPERLINK(CONCATENATE("#metadata!",ADDRESS(INDEX($Q$2:$Q$1001,MATCH(ROWS($O$2:O952),$O$2:$O$1001,0),0),1)),INDEX($T$2:$T$1001,MATCH(ROWS($O$2:O952),$O$2:$O$1001,0),0)))</f>
        <v>0</v>
      </c>
      <c r="B952" s="4">
        <f>IF(OR(INDEX($P$2:$P$1001,MATCH(ROWS($O$2:O952),$O$2:$O$1001,0),1)&gt;=100000,INDEX($V$1005:$AE$1005,1,MATCH(COLUMNS($V$1006:V1006),$V$1006:$AE$1006,0))&gt;=100000), " ",IF(INDEX($V$2:$AE$1001,MATCH(ROWS($O$2:O952),$O$2:$O$1001,0),MATCH(COLUMNS($V$1006:V1006),$V$1006:$AE$1006,0)), HYPERLINK("#",""), HYPERLINK(CONCATENATE("#Metadata!", ADDRESS(INDEX($Q$2:$Q$1001,MATCH(ROWS($O$2:O952),$O$2:$O$1001,0),0), INDEX($V$1004:$AE$1004,1,MATCH(COLUMNS($V$1006:V1006),$V$1006:$AE$1006,0)))),"Fix")))</f>
        <v>0</v>
      </c>
      <c r="C952" s="4">
        <f>IF(OR(INDEX($P$2:$P$1001,MATCH(ROWS($O$2:O952),$O$2:$O$1001,0),1)&gt;=100000,INDEX($V$1005:$AE$1005,1,MATCH(COLUMNS($V$1006:W1006),$V$1006:$AE$1006,0))&gt;=100000), " ",IF(INDEX($V$2:$AE$1001,MATCH(ROWS($O$2:O952),$O$2:$O$1001,0),MATCH(COLUMNS($V$1006:W1006),$V$1006:$AE$1006,0)), HYPERLINK("#",""), HYPERLINK(CONCATENATE("#Metadata!", ADDRESS(INDEX($Q$2:$Q$1001,MATCH(ROWS($O$2:O952),$O$2:$O$1001,0),0), INDEX($V$1004:$AE$1004,1,MATCH(COLUMNS($V$1006:W1006),$V$1006:$AE$1006,0)))),"Fix")))</f>
        <v>0</v>
      </c>
      <c r="D952" s="4">
        <f>IF(OR(INDEX($P$2:$P$1001,MATCH(ROWS($O$2:O952),$O$2:$O$1001,0),1)&gt;=100000,INDEX($V$1005:$AE$1005,1,MATCH(COLUMNS($V$1006:X1006),$V$1006:$AE$1006,0))&gt;=100000), " ",IF(INDEX($V$2:$AE$1001,MATCH(ROWS($O$2:O952),$O$2:$O$1001,0),MATCH(COLUMNS($V$1006:X1006),$V$1006:$AE$1006,0)), HYPERLINK("#",""), HYPERLINK(CONCATENATE("#Metadata!", ADDRESS(INDEX($Q$2:$Q$1001,MATCH(ROWS($O$2:O952),$O$2:$O$1001,0),0), INDEX($V$1004:$AE$1004,1,MATCH(COLUMNS($V$1006:X1006),$V$1006:$AE$1006,0)))),"Fix")))</f>
        <v>0</v>
      </c>
      <c r="E952" s="4">
        <f>IF(OR(INDEX($P$2:$P$1001,MATCH(ROWS($O$2:O952),$O$2:$O$1001,0),1)&gt;=100000,INDEX($V$1005:$AE$1005,1,MATCH(COLUMNS($V$1006:Y1006),$V$1006:$AE$1006,0))&gt;=100000), " ",IF(INDEX($V$2:$AE$1001,MATCH(ROWS($O$2:O952),$O$2:$O$1001,0),MATCH(COLUMNS($V$1006:Y1006),$V$1006:$AE$1006,0)), HYPERLINK("#",""), HYPERLINK(CONCATENATE("#Metadata!", ADDRESS(INDEX($Q$2:$Q$1001,MATCH(ROWS($O$2:O952),$O$2:$O$1001,0),0), INDEX($V$1004:$AE$1004,1,MATCH(COLUMNS($V$1006:Y1006),$V$1006:$AE$1006,0)))),"Fix")))</f>
        <v>0</v>
      </c>
      <c r="F952" s="4">
        <f>IF(OR(INDEX($P$2:$P$1001,MATCH(ROWS($O$2:O952),$O$2:$O$1001,0),1)&gt;=100000,INDEX($V$1005:$AE$1005,1,MATCH(COLUMNS($V$1006:Z1006),$V$1006:$AE$1006,0))&gt;=100000), " ",IF(INDEX($V$2:$AE$1001,MATCH(ROWS($O$2:O952),$O$2:$O$1001,0),MATCH(COLUMNS($V$1006:Z1006),$V$1006:$AE$1006,0)), HYPERLINK("#",""), HYPERLINK(CONCATENATE("#Metadata!", ADDRESS(INDEX($Q$2:$Q$1001,MATCH(ROWS($O$2:O952),$O$2:$O$1001,0),0), INDEX($V$1004:$AE$1004,1,MATCH(COLUMNS($V$1006:Z1006),$V$1006:$AE$1006,0)))),"Fix")))</f>
        <v>0</v>
      </c>
      <c r="G952" s="4">
        <f>IF(OR(INDEX($P$2:$P$1001,MATCH(ROWS($O$2:O952),$O$2:$O$1001,0),1)&gt;=100000,INDEX($V$1005:$AE$1005,1,MATCH(COLUMNS($V$1006:AA1006),$V$1006:$AE$1006,0))&gt;=100000), " ",IF(INDEX($V$2:$AE$1001,MATCH(ROWS($O$2:O952),$O$2:$O$1001,0),MATCH(COLUMNS($V$1006:AA1006),$V$1006:$AE$1006,0)), HYPERLINK("#",""), HYPERLINK(CONCATENATE("#Metadata!", ADDRESS(INDEX($Q$2:$Q$1001,MATCH(ROWS($O$2:O952),$O$2:$O$1001,0),0), INDEX($V$1004:$AE$1004,1,MATCH(COLUMNS($V$1006:AA1006),$V$1006:$AE$1006,0)))),"Fix")))</f>
        <v>0</v>
      </c>
      <c r="H952" s="4">
        <f>IF(OR(INDEX($P$2:$P$1001,MATCH(ROWS($O$2:O952),$O$2:$O$1001,0),1)&gt;=100000,INDEX($V$1005:$AE$1005,1,MATCH(COLUMNS($V$1006:AB1006),$V$1006:$AE$1006,0))&gt;=100000), " ",IF(INDEX($V$2:$AE$1001,MATCH(ROWS($O$2:O952),$O$2:$O$1001,0),MATCH(COLUMNS($V$1006:AB1006),$V$1006:$AE$1006,0)), HYPERLINK("#",""), HYPERLINK(CONCATENATE("#Metadata!", ADDRESS(INDEX($Q$2:$Q$1001,MATCH(ROWS($O$2:O952),$O$2:$O$1001,0),0), INDEX($V$1004:$AE$1004,1,MATCH(COLUMNS($V$1006:AB1006),$V$1006:$AE$1006,0)))),"Fix")))</f>
        <v>0</v>
      </c>
      <c r="I952" s="4">
        <f>IF(OR(INDEX($P$2:$P$1001,MATCH(ROWS($O$2:O952),$O$2:$O$1001,0),1)&gt;=100000,INDEX($V$1005:$AE$1005,1,MATCH(COLUMNS($V$1006:AC1006),$V$1006:$AE$1006,0))&gt;=100000), " ",IF(INDEX($V$2:$AE$1001,MATCH(ROWS($O$2:O952),$O$2:$O$1001,0),MATCH(COLUMNS($V$1006:AC1006),$V$1006:$AE$1006,0)), HYPERLINK("#",""), HYPERLINK(CONCATENATE("#Metadata!", ADDRESS(INDEX($Q$2:$Q$1001,MATCH(ROWS($O$2:O952),$O$2:$O$1001,0),0), INDEX($V$1004:$AE$1004,1,MATCH(COLUMNS($V$1006:AC1006),$V$1006:$AE$1006,0)))),"Fix")))</f>
        <v>0</v>
      </c>
      <c r="J952" s="4">
        <f>IF(OR(INDEX($P$2:$P$1001,MATCH(ROWS($O$2:O952),$O$2:$O$1001,0),1)&gt;=100000,INDEX($V$1005:$AE$1005,1,MATCH(COLUMNS($V$1006:AD1006),$V$1006:$AE$1006,0))&gt;=100000), " ",IF(INDEX($V$2:$AE$1001,MATCH(ROWS($O$2:O952),$O$2:$O$1001,0),MATCH(COLUMNS($V$1006:AD1006),$V$1006:$AE$1006,0)), HYPERLINK("#",""), HYPERLINK(CONCATENATE("#Metadata!", ADDRESS(INDEX($Q$2:$Q$1001,MATCH(ROWS($O$2:O952),$O$2:$O$1001,0),0), INDEX($V$1004:$AE$1004,1,MATCH(COLUMNS($V$1006:AD1006),$V$1006:$AE$1006,0)))),"Fix")))</f>
        <v>0</v>
      </c>
      <c r="K952" s="4">
        <f>IF(OR(INDEX($P$2:$P$1001,MATCH(ROWS($O$2:O952),$O$2:$O$1001,0),1)&gt;=100000,INDEX($V$1005:$AE$1005,1,MATCH(COLUMNS($V$1006:AE1006),$V$1006:$AE$1006,0))&gt;=100000), " ",IF(INDEX($V$2:$AE$1001,MATCH(ROWS($O$2:O952),$O$2:$O$1001,0),MATCH(COLUMNS($V$1006:AE1006),$V$1006:$AE$1006,0)), HYPERLINK("#",""), HYPERLINK(CONCATENATE("#Metadata!", ADDRESS(INDEX($Q$2:$Q$1001,MATCH(ROWS($O$2:O952),$O$2:$O$1001,0),0), INDEX($V$1004:$AE$1004,1,MATCH(COLUMNS($V$1006:AE1006),$V$1006:$AE$1006,0)))),"Fix")))</f>
        <v>0</v>
      </c>
      <c r="O952">
        <v>0</v>
      </c>
      <c r="P952">
        <v>0</v>
      </c>
      <c r="Q952">
        <v>0</v>
      </c>
      <c r="R952">
        <f>IF(S952,TRUE,AND(V952:AE952))</f>
        <v>0</v>
      </c>
      <c r="S952">
        <f>COUNTBLANK(Metadata!B952:K952)=COLUMNS(Metadata!B952:K952)</f>
        <v>0</v>
      </c>
      <c r="T952">
        <v>0</v>
      </c>
      <c r="V952">
        <f>AND(IF(Metadata!B952="",FALSE,TRUE),COUNTIF(Metadata!B:B, Metadata!B952) = 1,NOT(ISERROR(SUMPRODUCT(SEARCH(MID(Metadata!B952,ROW(INDIRECT("1:"&amp;LEN(Metadata!B952))), 1),"0123456789abcdefghijklmnopqrstuvwxyzABCDEFGHIJKLMNOPQRSTUVWXYZ.")))))</f>
        <v>0</v>
      </c>
      <c r="W952">
        <f>AND(IF(Metadata!C952="",FALSE,TRUE),exact(Metadata!C952,"urban biome"))</f>
        <v>0</v>
      </c>
      <c r="X952">
        <f>AND(IF(Metadata!D952="",FALSE,TRUE),exact(Metadata!D952,"animal-associated habitat"))</f>
        <v>0</v>
      </c>
      <c r="Y952">
        <f>OR(AND(IF(Metadata!E952="",FALSE,TRUE),OR(exact(Metadata!E952,"not applicable"),exact(Metadata!E952,"missing: not collected"),exact(Metadata!E952,"missing: not provided"),exact(Metadata!E952,"missing: restricted access"))),AND(IF(Metadata!E952="",FALSE,ISNUMBER(VALUE(Metadata!E952))),Metadata!E952&gt;0))</f>
        <v>0</v>
      </c>
      <c r="Z952">
        <f>AND(IF(Metadata!F952="",FALSE,TRUE),exact(Metadata!F952,"weeks"))</f>
        <v>0</v>
      </c>
      <c r="AA952">
        <f>AND(IF(Metadata!G952="",FALSE,TRUE),exact(Metadata!G952,"mouse"))</f>
        <v>0</v>
      </c>
      <c r="AB952">
        <f>AND(IF(Metadata!H952="",FALSE,TRUE),exact(Metadata!H952,"Mus musculus"))</f>
        <v>0</v>
      </c>
      <c r="AC952">
        <f>AND(IF(Metadata!I952="",FALSE,TRUE),exact(Metadata!I952,"10090"))</f>
        <v>0</v>
      </c>
      <c r="AD952">
        <f>OR(AND(IF(Metadata!J952="",FALSE,TRUE),OR(exact(Metadata!J952,"not applicable"),exact(Metadata!J952,"missing: not collected"),exact(Metadata!J952,"missing: not provided"),exact(Metadata!J952,"missing: restricted access"))),AND(IF(Metadata!J952="",FALSE,ISNUMBER(VALUE(Metadata!J952))),Metadata!J952&gt;0))</f>
        <v>0</v>
      </c>
      <c r="AE952">
        <f>AND(IF(Metadata!K952="",FALSE,TRUE),exact(Metadata!K952,"g"))</f>
        <v>0</v>
      </c>
    </row>
    <row r="953" spans="1:31">
      <c r="A953" s="5">
        <f>IF(B953=" "," ",HYPERLINK(CONCATENATE("#metadata!",ADDRESS(INDEX($Q$2:$Q$1001,MATCH(ROWS($O$2:O953),$O$2:$O$1001,0),0),1)),INDEX($T$2:$T$1001,MATCH(ROWS($O$2:O953),$O$2:$O$1001,0),0)))</f>
        <v>0</v>
      </c>
      <c r="B953" s="4">
        <f>IF(OR(INDEX($P$2:$P$1001,MATCH(ROWS($O$2:O953),$O$2:$O$1001,0),1)&gt;=100000,INDEX($V$1005:$AE$1005,1,MATCH(COLUMNS($V$1006:V1006),$V$1006:$AE$1006,0))&gt;=100000), " ",IF(INDEX($V$2:$AE$1001,MATCH(ROWS($O$2:O953),$O$2:$O$1001,0),MATCH(COLUMNS($V$1006:V1006),$V$1006:$AE$1006,0)), HYPERLINK("#",""), HYPERLINK(CONCATENATE("#Metadata!", ADDRESS(INDEX($Q$2:$Q$1001,MATCH(ROWS($O$2:O953),$O$2:$O$1001,0),0), INDEX($V$1004:$AE$1004,1,MATCH(COLUMNS($V$1006:V1006),$V$1006:$AE$1006,0)))),"Fix")))</f>
        <v>0</v>
      </c>
      <c r="C953" s="4">
        <f>IF(OR(INDEX($P$2:$P$1001,MATCH(ROWS($O$2:O953),$O$2:$O$1001,0),1)&gt;=100000,INDEX($V$1005:$AE$1005,1,MATCH(COLUMNS($V$1006:W1006),$V$1006:$AE$1006,0))&gt;=100000), " ",IF(INDEX($V$2:$AE$1001,MATCH(ROWS($O$2:O953),$O$2:$O$1001,0),MATCH(COLUMNS($V$1006:W1006),$V$1006:$AE$1006,0)), HYPERLINK("#",""), HYPERLINK(CONCATENATE("#Metadata!", ADDRESS(INDEX($Q$2:$Q$1001,MATCH(ROWS($O$2:O953),$O$2:$O$1001,0),0), INDEX($V$1004:$AE$1004,1,MATCH(COLUMNS($V$1006:W1006),$V$1006:$AE$1006,0)))),"Fix")))</f>
        <v>0</v>
      </c>
      <c r="D953" s="4">
        <f>IF(OR(INDEX($P$2:$P$1001,MATCH(ROWS($O$2:O953),$O$2:$O$1001,0),1)&gt;=100000,INDEX($V$1005:$AE$1005,1,MATCH(COLUMNS($V$1006:X1006),$V$1006:$AE$1006,0))&gt;=100000), " ",IF(INDEX($V$2:$AE$1001,MATCH(ROWS($O$2:O953),$O$2:$O$1001,0),MATCH(COLUMNS($V$1006:X1006),$V$1006:$AE$1006,0)), HYPERLINK("#",""), HYPERLINK(CONCATENATE("#Metadata!", ADDRESS(INDEX($Q$2:$Q$1001,MATCH(ROWS($O$2:O953),$O$2:$O$1001,0),0), INDEX($V$1004:$AE$1004,1,MATCH(COLUMNS($V$1006:X1006),$V$1006:$AE$1006,0)))),"Fix")))</f>
        <v>0</v>
      </c>
      <c r="E953" s="4">
        <f>IF(OR(INDEX($P$2:$P$1001,MATCH(ROWS($O$2:O953),$O$2:$O$1001,0),1)&gt;=100000,INDEX($V$1005:$AE$1005,1,MATCH(COLUMNS($V$1006:Y1006),$V$1006:$AE$1006,0))&gt;=100000), " ",IF(INDEX($V$2:$AE$1001,MATCH(ROWS($O$2:O953),$O$2:$O$1001,0),MATCH(COLUMNS($V$1006:Y1006),$V$1006:$AE$1006,0)), HYPERLINK("#",""), HYPERLINK(CONCATENATE("#Metadata!", ADDRESS(INDEX($Q$2:$Q$1001,MATCH(ROWS($O$2:O953),$O$2:$O$1001,0),0), INDEX($V$1004:$AE$1004,1,MATCH(COLUMNS($V$1006:Y1006),$V$1006:$AE$1006,0)))),"Fix")))</f>
        <v>0</v>
      </c>
      <c r="F953" s="4">
        <f>IF(OR(INDEX($P$2:$P$1001,MATCH(ROWS($O$2:O953),$O$2:$O$1001,0),1)&gt;=100000,INDEX($V$1005:$AE$1005,1,MATCH(COLUMNS($V$1006:Z1006),$V$1006:$AE$1006,0))&gt;=100000), " ",IF(INDEX($V$2:$AE$1001,MATCH(ROWS($O$2:O953),$O$2:$O$1001,0),MATCH(COLUMNS($V$1006:Z1006),$V$1006:$AE$1006,0)), HYPERLINK("#",""), HYPERLINK(CONCATENATE("#Metadata!", ADDRESS(INDEX($Q$2:$Q$1001,MATCH(ROWS($O$2:O953),$O$2:$O$1001,0),0), INDEX($V$1004:$AE$1004,1,MATCH(COLUMNS($V$1006:Z1006),$V$1006:$AE$1006,0)))),"Fix")))</f>
        <v>0</v>
      </c>
      <c r="G953" s="4">
        <f>IF(OR(INDEX($P$2:$P$1001,MATCH(ROWS($O$2:O953),$O$2:$O$1001,0),1)&gt;=100000,INDEX($V$1005:$AE$1005,1,MATCH(COLUMNS($V$1006:AA1006),$V$1006:$AE$1006,0))&gt;=100000), " ",IF(INDEX($V$2:$AE$1001,MATCH(ROWS($O$2:O953),$O$2:$O$1001,0),MATCH(COLUMNS($V$1006:AA1006),$V$1006:$AE$1006,0)), HYPERLINK("#",""), HYPERLINK(CONCATENATE("#Metadata!", ADDRESS(INDEX($Q$2:$Q$1001,MATCH(ROWS($O$2:O953),$O$2:$O$1001,0),0), INDEX($V$1004:$AE$1004,1,MATCH(COLUMNS($V$1006:AA1006),$V$1006:$AE$1006,0)))),"Fix")))</f>
        <v>0</v>
      </c>
      <c r="H953" s="4">
        <f>IF(OR(INDEX($P$2:$P$1001,MATCH(ROWS($O$2:O953),$O$2:$O$1001,0),1)&gt;=100000,INDEX($V$1005:$AE$1005,1,MATCH(COLUMNS($V$1006:AB1006),$V$1006:$AE$1006,0))&gt;=100000), " ",IF(INDEX($V$2:$AE$1001,MATCH(ROWS($O$2:O953),$O$2:$O$1001,0),MATCH(COLUMNS($V$1006:AB1006),$V$1006:$AE$1006,0)), HYPERLINK("#",""), HYPERLINK(CONCATENATE("#Metadata!", ADDRESS(INDEX($Q$2:$Q$1001,MATCH(ROWS($O$2:O953),$O$2:$O$1001,0),0), INDEX($V$1004:$AE$1004,1,MATCH(COLUMNS($V$1006:AB1006),$V$1006:$AE$1006,0)))),"Fix")))</f>
        <v>0</v>
      </c>
      <c r="I953" s="4">
        <f>IF(OR(INDEX($P$2:$P$1001,MATCH(ROWS($O$2:O953),$O$2:$O$1001,0),1)&gt;=100000,INDEX($V$1005:$AE$1005,1,MATCH(COLUMNS($V$1006:AC1006),$V$1006:$AE$1006,0))&gt;=100000), " ",IF(INDEX($V$2:$AE$1001,MATCH(ROWS($O$2:O953),$O$2:$O$1001,0),MATCH(COLUMNS($V$1006:AC1006),$V$1006:$AE$1006,0)), HYPERLINK("#",""), HYPERLINK(CONCATENATE("#Metadata!", ADDRESS(INDEX($Q$2:$Q$1001,MATCH(ROWS($O$2:O953),$O$2:$O$1001,0),0), INDEX($V$1004:$AE$1004,1,MATCH(COLUMNS($V$1006:AC1006),$V$1006:$AE$1006,0)))),"Fix")))</f>
        <v>0</v>
      </c>
      <c r="J953" s="4">
        <f>IF(OR(INDEX($P$2:$P$1001,MATCH(ROWS($O$2:O953),$O$2:$O$1001,0),1)&gt;=100000,INDEX($V$1005:$AE$1005,1,MATCH(COLUMNS($V$1006:AD1006),$V$1006:$AE$1006,0))&gt;=100000), " ",IF(INDEX($V$2:$AE$1001,MATCH(ROWS($O$2:O953),$O$2:$O$1001,0),MATCH(COLUMNS($V$1006:AD1006),$V$1006:$AE$1006,0)), HYPERLINK("#",""), HYPERLINK(CONCATENATE("#Metadata!", ADDRESS(INDEX($Q$2:$Q$1001,MATCH(ROWS($O$2:O953),$O$2:$O$1001,0),0), INDEX($V$1004:$AE$1004,1,MATCH(COLUMNS($V$1006:AD1006),$V$1006:$AE$1006,0)))),"Fix")))</f>
        <v>0</v>
      </c>
      <c r="K953" s="4">
        <f>IF(OR(INDEX($P$2:$P$1001,MATCH(ROWS($O$2:O953),$O$2:$O$1001,0),1)&gt;=100000,INDEX($V$1005:$AE$1005,1,MATCH(COLUMNS($V$1006:AE1006),$V$1006:$AE$1006,0))&gt;=100000), " ",IF(INDEX($V$2:$AE$1001,MATCH(ROWS($O$2:O953),$O$2:$O$1001,0),MATCH(COLUMNS($V$1006:AE1006),$V$1006:$AE$1006,0)), HYPERLINK("#",""), HYPERLINK(CONCATENATE("#Metadata!", ADDRESS(INDEX($Q$2:$Q$1001,MATCH(ROWS($O$2:O953),$O$2:$O$1001,0),0), INDEX($V$1004:$AE$1004,1,MATCH(COLUMNS($V$1006:AE1006),$V$1006:$AE$1006,0)))),"Fix")))</f>
        <v>0</v>
      </c>
      <c r="O953">
        <v>0</v>
      </c>
      <c r="P953">
        <v>0</v>
      </c>
      <c r="Q953">
        <v>0</v>
      </c>
      <c r="R953">
        <f>IF(S953,TRUE,AND(V953:AE953))</f>
        <v>0</v>
      </c>
      <c r="S953">
        <f>COUNTBLANK(Metadata!B953:K953)=COLUMNS(Metadata!B953:K953)</f>
        <v>0</v>
      </c>
      <c r="T953">
        <v>0</v>
      </c>
      <c r="V953">
        <f>AND(IF(Metadata!B953="",FALSE,TRUE),COUNTIF(Metadata!B:B, Metadata!B953) = 1,NOT(ISERROR(SUMPRODUCT(SEARCH(MID(Metadata!B953,ROW(INDIRECT("1:"&amp;LEN(Metadata!B953))), 1),"0123456789abcdefghijklmnopqrstuvwxyzABCDEFGHIJKLMNOPQRSTUVWXYZ.")))))</f>
        <v>0</v>
      </c>
      <c r="W953">
        <f>AND(IF(Metadata!C953="",FALSE,TRUE),exact(Metadata!C953,"urban biome"))</f>
        <v>0</v>
      </c>
      <c r="X953">
        <f>AND(IF(Metadata!D953="",FALSE,TRUE),exact(Metadata!D953,"animal-associated habitat"))</f>
        <v>0</v>
      </c>
      <c r="Y953">
        <f>OR(AND(IF(Metadata!E953="",FALSE,TRUE),OR(exact(Metadata!E953,"not applicable"),exact(Metadata!E953,"missing: not collected"),exact(Metadata!E953,"missing: not provided"),exact(Metadata!E953,"missing: restricted access"))),AND(IF(Metadata!E953="",FALSE,ISNUMBER(VALUE(Metadata!E953))),Metadata!E953&gt;0))</f>
        <v>0</v>
      </c>
      <c r="Z953">
        <f>AND(IF(Metadata!F953="",FALSE,TRUE),exact(Metadata!F953,"weeks"))</f>
        <v>0</v>
      </c>
      <c r="AA953">
        <f>AND(IF(Metadata!G953="",FALSE,TRUE),exact(Metadata!G953,"mouse"))</f>
        <v>0</v>
      </c>
      <c r="AB953">
        <f>AND(IF(Metadata!H953="",FALSE,TRUE),exact(Metadata!H953,"Mus musculus"))</f>
        <v>0</v>
      </c>
      <c r="AC953">
        <f>AND(IF(Metadata!I953="",FALSE,TRUE),exact(Metadata!I953,"10090"))</f>
        <v>0</v>
      </c>
      <c r="AD953">
        <f>OR(AND(IF(Metadata!J953="",FALSE,TRUE),OR(exact(Metadata!J953,"not applicable"),exact(Metadata!J953,"missing: not collected"),exact(Metadata!J953,"missing: not provided"),exact(Metadata!J953,"missing: restricted access"))),AND(IF(Metadata!J953="",FALSE,ISNUMBER(VALUE(Metadata!J953))),Metadata!J953&gt;0))</f>
        <v>0</v>
      </c>
      <c r="AE953">
        <f>AND(IF(Metadata!K953="",FALSE,TRUE),exact(Metadata!K953,"g"))</f>
        <v>0</v>
      </c>
    </row>
    <row r="954" spans="1:31">
      <c r="A954" s="5">
        <f>IF(B954=" "," ",HYPERLINK(CONCATENATE("#metadata!",ADDRESS(INDEX($Q$2:$Q$1001,MATCH(ROWS($O$2:O954),$O$2:$O$1001,0),0),1)),INDEX($T$2:$T$1001,MATCH(ROWS($O$2:O954),$O$2:$O$1001,0),0)))</f>
        <v>0</v>
      </c>
      <c r="B954" s="4">
        <f>IF(OR(INDEX($P$2:$P$1001,MATCH(ROWS($O$2:O954),$O$2:$O$1001,0),1)&gt;=100000,INDEX($V$1005:$AE$1005,1,MATCH(COLUMNS($V$1006:V1006),$V$1006:$AE$1006,0))&gt;=100000), " ",IF(INDEX($V$2:$AE$1001,MATCH(ROWS($O$2:O954),$O$2:$O$1001,0),MATCH(COLUMNS($V$1006:V1006),$V$1006:$AE$1006,0)), HYPERLINK("#",""), HYPERLINK(CONCATENATE("#Metadata!", ADDRESS(INDEX($Q$2:$Q$1001,MATCH(ROWS($O$2:O954),$O$2:$O$1001,0),0), INDEX($V$1004:$AE$1004,1,MATCH(COLUMNS($V$1006:V1006),$V$1006:$AE$1006,0)))),"Fix")))</f>
        <v>0</v>
      </c>
      <c r="C954" s="4">
        <f>IF(OR(INDEX($P$2:$P$1001,MATCH(ROWS($O$2:O954),$O$2:$O$1001,0),1)&gt;=100000,INDEX($V$1005:$AE$1005,1,MATCH(COLUMNS($V$1006:W1006),$V$1006:$AE$1006,0))&gt;=100000), " ",IF(INDEX($V$2:$AE$1001,MATCH(ROWS($O$2:O954),$O$2:$O$1001,0),MATCH(COLUMNS($V$1006:W1006),$V$1006:$AE$1006,0)), HYPERLINK("#",""), HYPERLINK(CONCATENATE("#Metadata!", ADDRESS(INDEX($Q$2:$Q$1001,MATCH(ROWS($O$2:O954),$O$2:$O$1001,0),0), INDEX($V$1004:$AE$1004,1,MATCH(COLUMNS($V$1006:W1006),$V$1006:$AE$1006,0)))),"Fix")))</f>
        <v>0</v>
      </c>
      <c r="D954" s="4">
        <f>IF(OR(INDEX($P$2:$P$1001,MATCH(ROWS($O$2:O954),$O$2:$O$1001,0),1)&gt;=100000,INDEX($V$1005:$AE$1005,1,MATCH(COLUMNS($V$1006:X1006),$V$1006:$AE$1006,0))&gt;=100000), " ",IF(INDEX($V$2:$AE$1001,MATCH(ROWS($O$2:O954),$O$2:$O$1001,0),MATCH(COLUMNS($V$1006:X1006),$V$1006:$AE$1006,0)), HYPERLINK("#",""), HYPERLINK(CONCATENATE("#Metadata!", ADDRESS(INDEX($Q$2:$Q$1001,MATCH(ROWS($O$2:O954),$O$2:$O$1001,0),0), INDEX($V$1004:$AE$1004,1,MATCH(COLUMNS($V$1006:X1006),$V$1006:$AE$1006,0)))),"Fix")))</f>
        <v>0</v>
      </c>
      <c r="E954" s="4">
        <f>IF(OR(INDEX($P$2:$P$1001,MATCH(ROWS($O$2:O954),$O$2:$O$1001,0),1)&gt;=100000,INDEX($V$1005:$AE$1005,1,MATCH(COLUMNS($V$1006:Y1006),$V$1006:$AE$1006,0))&gt;=100000), " ",IF(INDEX($V$2:$AE$1001,MATCH(ROWS($O$2:O954),$O$2:$O$1001,0),MATCH(COLUMNS($V$1006:Y1006),$V$1006:$AE$1006,0)), HYPERLINK("#",""), HYPERLINK(CONCATENATE("#Metadata!", ADDRESS(INDEX($Q$2:$Q$1001,MATCH(ROWS($O$2:O954),$O$2:$O$1001,0),0), INDEX($V$1004:$AE$1004,1,MATCH(COLUMNS($V$1006:Y1006),$V$1006:$AE$1006,0)))),"Fix")))</f>
        <v>0</v>
      </c>
      <c r="F954" s="4">
        <f>IF(OR(INDEX($P$2:$P$1001,MATCH(ROWS($O$2:O954),$O$2:$O$1001,0),1)&gt;=100000,INDEX($V$1005:$AE$1005,1,MATCH(COLUMNS($V$1006:Z1006),$V$1006:$AE$1006,0))&gt;=100000), " ",IF(INDEX($V$2:$AE$1001,MATCH(ROWS($O$2:O954),$O$2:$O$1001,0),MATCH(COLUMNS($V$1006:Z1006),$V$1006:$AE$1006,0)), HYPERLINK("#",""), HYPERLINK(CONCATENATE("#Metadata!", ADDRESS(INDEX($Q$2:$Q$1001,MATCH(ROWS($O$2:O954),$O$2:$O$1001,0),0), INDEX($V$1004:$AE$1004,1,MATCH(COLUMNS($V$1006:Z1006),$V$1006:$AE$1006,0)))),"Fix")))</f>
        <v>0</v>
      </c>
      <c r="G954" s="4">
        <f>IF(OR(INDEX($P$2:$P$1001,MATCH(ROWS($O$2:O954),$O$2:$O$1001,0),1)&gt;=100000,INDEX($V$1005:$AE$1005,1,MATCH(COLUMNS($V$1006:AA1006),$V$1006:$AE$1006,0))&gt;=100000), " ",IF(INDEX($V$2:$AE$1001,MATCH(ROWS($O$2:O954),$O$2:$O$1001,0),MATCH(COLUMNS($V$1006:AA1006),$V$1006:$AE$1006,0)), HYPERLINK("#",""), HYPERLINK(CONCATENATE("#Metadata!", ADDRESS(INDEX($Q$2:$Q$1001,MATCH(ROWS($O$2:O954),$O$2:$O$1001,0),0), INDEX($V$1004:$AE$1004,1,MATCH(COLUMNS($V$1006:AA1006),$V$1006:$AE$1006,0)))),"Fix")))</f>
        <v>0</v>
      </c>
      <c r="H954" s="4">
        <f>IF(OR(INDEX($P$2:$P$1001,MATCH(ROWS($O$2:O954),$O$2:$O$1001,0),1)&gt;=100000,INDEX($V$1005:$AE$1005,1,MATCH(COLUMNS($V$1006:AB1006),$V$1006:$AE$1006,0))&gt;=100000), " ",IF(INDEX($V$2:$AE$1001,MATCH(ROWS($O$2:O954),$O$2:$O$1001,0),MATCH(COLUMNS($V$1006:AB1006),$V$1006:$AE$1006,0)), HYPERLINK("#",""), HYPERLINK(CONCATENATE("#Metadata!", ADDRESS(INDEX($Q$2:$Q$1001,MATCH(ROWS($O$2:O954),$O$2:$O$1001,0),0), INDEX($V$1004:$AE$1004,1,MATCH(COLUMNS($V$1006:AB1006),$V$1006:$AE$1006,0)))),"Fix")))</f>
        <v>0</v>
      </c>
      <c r="I954" s="4">
        <f>IF(OR(INDEX($P$2:$P$1001,MATCH(ROWS($O$2:O954),$O$2:$O$1001,0),1)&gt;=100000,INDEX($V$1005:$AE$1005,1,MATCH(COLUMNS($V$1006:AC1006),$V$1006:$AE$1006,0))&gt;=100000), " ",IF(INDEX($V$2:$AE$1001,MATCH(ROWS($O$2:O954),$O$2:$O$1001,0),MATCH(COLUMNS($V$1006:AC1006),$V$1006:$AE$1006,0)), HYPERLINK("#",""), HYPERLINK(CONCATENATE("#Metadata!", ADDRESS(INDEX($Q$2:$Q$1001,MATCH(ROWS($O$2:O954),$O$2:$O$1001,0),0), INDEX($V$1004:$AE$1004,1,MATCH(COLUMNS($V$1006:AC1006),$V$1006:$AE$1006,0)))),"Fix")))</f>
        <v>0</v>
      </c>
      <c r="J954" s="4">
        <f>IF(OR(INDEX($P$2:$P$1001,MATCH(ROWS($O$2:O954),$O$2:$O$1001,0),1)&gt;=100000,INDEX($V$1005:$AE$1005,1,MATCH(COLUMNS($V$1006:AD1006),$V$1006:$AE$1006,0))&gt;=100000), " ",IF(INDEX($V$2:$AE$1001,MATCH(ROWS($O$2:O954),$O$2:$O$1001,0),MATCH(COLUMNS($V$1006:AD1006),$V$1006:$AE$1006,0)), HYPERLINK("#",""), HYPERLINK(CONCATENATE("#Metadata!", ADDRESS(INDEX($Q$2:$Q$1001,MATCH(ROWS($O$2:O954),$O$2:$O$1001,0),0), INDEX($V$1004:$AE$1004,1,MATCH(COLUMNS($V$1006:AD1006),$V$1006:$AE$1006,0)))),"Fix")))</f>
        <v>0</v>
      </c>
      <c r="K954" s="4">
        <f>IF(OR(INDEX($P$2:$P$1001,MATCH(ROWS($O$2:O954),$O$2:$O$1001,0),1)&gt;=100000,INDEX($V$1005:$AE$1005,1,MATCH(COLUMNS($V$1006:AE1006),$V$1006:$AE$1006,0))&gt;=100000), " ",IF(INDEX($V$2:$AE$1001,MATCH(ROWS($O$2:O954),$O$2:$O$1001,0),MATCH(COLUMNS($V$1006:AE1006),$V$1006:$AE$1006,0)), HYPERLINK("#",""), HYPERLINK(CONCATENATE("#Metadata!", ADDRESS(INDEX($Q$2:$Q$1001,MATCH(ROWS($O$2:O954),$O$2:$O$1001,0),0), INDEX($V$1004:$AE$1004,1,MATCH(COLUMNS($V$1006:AE1006),$V$1006:$AE$1006,0)))),"Fix")))</f>
        <v>0</v>
      </c>
      <c r="O954">
        <v>0</v>
      </c>
      <c r="P954">
        <v>0</v>
      </c>
      <c r="Q954">
        <v>0</v>
      </c>
      <c r="R954">
        <f>IF(S954,TRUE,AND(V954:AE954))</f>
        <v>0</v>
      </c>
      <c r="S954">
        <f>COUNTBLANK(Metadata!B954:K954)=COLUMNS(Metadata!B954:K954)</f>
        <v>0</v>
      </c>
      <c r="T954">
        <v>0</v>
      </c>
      <c r="V954">
        <f>AND(IF(Metadata!B954="",FALSE,TRUE),COUNTIF(Metadata!B:B, Metadata!B954) = 1,NOT(ISERROR(SUMPRODUCT(SEARCH(MID(Metadata!B954,ROW(INDIRECT("1:"&amp;LEN(Metadata!B954))), 1),"0123456789abcdefghijklmnopqrstuvwxyzABCDEFGHIJKLMNOPQRSTUVWXYZ.")))))</f>
        <v>0</v>
      </c>
      <c r="W954">
        <f>AND(IF(Metadata!C954="",FALSE,TRUE),exact(Metadata!C954,"urban biome"))</f>
        <v>0</v>
      </c>
      <c r="X954">
        <f>AND(IF(Metadata!D954="",FALSE,TRUE),exact(Metadata!D954,"animal-associated habitat"))</f>
        <v>0</v>
      </c>
      <c r="Y954">
        <f>OR(AND(IF(Metadata!E954="",FALSE,TRUE),OR(exact(Metadata!E954,"not applicable"),exact(Metadata!E954,"missing: not collected"),exact(Metadata!E954,"missing: not provided"),exact(Metadata!E954,"missing: restricted access"))),AND(IF(Metadata!E954="",FALSE,ISNUMBER(VALUE(Metadata!E954))),Metadata!E954&gt;0))</f>
        <v>0</v>
      </c>
      <c r="Z954">
        <f>AND(IF(Metadata!F954="",FALSE,TRUE),exact(Metadata!F954,"weeks"))</f>
        <v>0</v>
      </c>
      <c r="AA954">
        <f>AND(IF(Metadata!G954="",FALSE,TRUE),exact(Metadata!G954,"mouse"))</f>
        <v>0</v>
      </c>
      <c r="AB954">
        <f>AND(IF(Metadata!H954="",FALSE,TRUE),exact(Metadata!H954,"Mus musculus"))</f>
        <v>0</v>
      </c>
      <c r="AC954">
        <f>AND(IF(Metadata!I954="",FALSE,TRUE),exact(Metadata!I954,"10090"))</f>
        <v>0</v>
      </c>
      <c r="AD954">
        <f>OR(AND(IF(Metadata!J954="",FALSE,TRUE),OR(exact(Metadata!J954,"not applicable"),exact(Metadata!J954,"missing: not collected"),exact(Metadata!J954,"missing: not provided"),exact(Metadata!J954,"missing: restricted access"))),AND(IF(Metadata!J954="",FALSE,ISNUMBER(VALUE(Metadata!J954))),Metadata!J954&gt;0))</f>
        <v>0</v>
      </c>
      <c r="AE954">
        <f>AND(IF(Metadata!K954="",FALSE,TRUE),exact(Metadata!K954,"g"))</f>
        <v>0</v>
      </c>
    </row>
    <row r="955" spans="1:31">
      <c r="A955" s="5">
        <f>IF(B955=" "," ",HYPERLINK(CONCATENATE("#metadata!",ADDRESS(INDEX($Q$2:$Q$1001,MATCH(ROWS($O$2:O955),$O$2:$O$1001,0),0),1)),INDEX($T$2:$T$1001,MATCH(ROWS($O$2:O955),$O$2:$O$1001,0),0)))</f>
        <v>0</v>
      </c>
      <c r="B955" s="4">
        <f>IF(OR(INDEX($P$2:$P$1001,MATCH(ROWS($O$2:O955),$O$2:$O$1001,0),1)&gt;=100000,INDEX($V$1005:$AE$1005,1,MATCH(COLUMNS($V$1006:V1006),$V$1006:$AE$1006,0))&gt;=100000), " ",IF(INDEX($V$2:$AE$1001,MATCH(ROWS($O$2:O955),$O$2:$O$1001,0),MATCH(COLUMNS($V$1006:V1006),$V$1006:$AE$1006,0)), HYPERLINK("#",""), HYPERLINK(CONCATENATE("#Metadata!", ADDRESS(INDEX($Q$2:$Q$1001,MATCH(ROWS($O$2:O955),$O$2:$O$1001,0),0), INDEX($V$1004:$AE$1004,1,MATCH(COLUMNS($V$1006:V1006),$V$1006:$AE$1006,0)))),"Fix")))</f>
        <v>0</v>
      </c>
      <c r="C955" s="4">
        <f>IF(OR(INDEX($P$2:$P$1001,MATCH(ROWS($O$2:O955),$O$2:$O$1001,0),1)&gt;=100000,INDEX($V$1005:$AE$1005,1,MATCH(COLUMNS($V$1006:W1006),$V$1006:$AE$1006,0))&gt;=100000), " ",IF(INDEX($V$2:$AE$1001,MATCH(ROWS($O$2:O955),$O$2:$O$1001,0),MATCH(COLUMNS($V$1006:W1006),$V$1006:$AE$1006,0)), HYPERLINK("#",""), HYPERLINK(CONCATENATE("#Metadata!", ADDRESS(INDEX($Q$2:$Q$1001,MATCH(ROWS($O$2:O955),$O$2:$O$1001,0),0), INDEX($V$1004:$AE$1004,1,MATCH(COLUMNS($V$1006:W1006),$V$1006:$AE$1006,0)))),"Fix")))</f>
        <v>0</v>
      </c>
      <c r="D955" s="4">
        <f>IF(OR(INDEX($P$2:$P$1001,MATCH(ROWS($O$2:O955),$O$2:$O$1001,0),1)&gt;=100000,INDEX($V$1005:$AE$1005,1,MATCH(COLUMNS($V$1006:X1006),$V$1006:$AE$1006,0))&gt;=100000), " ",IF(INDEX($V$2:$AE$1001,MATCH(ROWS($O$2:O955),$O$2:$O$1001,0),MATCH(COLUMNS($V$1006:X1006),$V$1006:$AE$1006,0)), HYPERLINK("#",""), HYPERLINK(CONCATENATE("#Metadata!", ADDRESS(INDEX($Q$2:$Q$1001,MATCH(ROWS($O$2:O955),$O$2:$O$1001,0),0), INDEX($V$1004:$AE$1004,1,MATCH(COLUMNS($V$1006:X1006),$V$1006:$AE$1006,0)))),"Fix")))</f>
        <v>0</v>
      </c>
      <c r="E955" s="4">
        <f>IF(OR(INDEX($P$2:$P$1001,MATCH(ROWS($O$2:O955),$O$2:$O$1001,0),1)&gt;=100000,INDEX($V$1005:$AE$1005,1,MATCH(COLUMNS($V$1006:Y1006),$V$1006:$AE$1006,0))&gt;=100000), " ",IF(INDEX($V$2:$AE$1001,MATCH(ROWS($O$2:O955),$O$2:$O$1001,0),MATCH(COLUMNS($V$1006:Y1006),$V$1006:$AE$1006,0)), HYPERLINK("#",""), HYPERLINK(CONCATENATE("#Metadata!", ADDRESS(INDEX($Q$2:$Q$1001,MATCH(ROWS($O$2:O955),$O$2:$O$1001,0),0), INDEX($V$1004:$AE$1004,1,MATCH(COLUMNS($V$1006:Y1006),$V$1006:$AE$1006,0)))),"Fix")))</f>
        <v>0</v>
      </c>
      <c r="F955" s="4">
        <f>IF(OR(INDEX($P$2:$P$1001,MATCH(ROWS($O$2:O955),$O$2:$O$1001,0),1)&gt;=100000,INDEX($V$1005:$AE$1005,1,MATCH(COLUMNS($V$1006:Z1006),$V$1006:$AE$1006,0))&gt;=100000), " ",IF(INDEX($V$2:$AE$1001,MATCH(ROWS($O$2:O955),$O$2:$O$1001,0),MATCH(COLUMNS($V$1006:Z1006),$V$1006:$AE$1006,0)), HYPERLINK("#",""), HYPERLINK(CONCATENATE("#Metadata!", ADDRESS(INDEX($Q$2:$Q$1001,MATCH(ROWS($O$2:O955),$O$2:$O$1001,0),0), INDEX($V$1004:$AE$1004,1,MATCH(COLUMNS($V$1006:Z1006),$V$1006:$AE$1006,0)))),"Fix")))</f>
        <v>0</v>
      </c>
      <c r="G955" s="4">
        <f>IF(OR(INDEX($P$2:$P$1001,MATCH(ROWS($O$2:O955),$O$2:$O$1001,0),1)&gt;=100000,INDEX($V$1005:$AE$1005,1,MATCH(COLUMNS($V$1006:AA1006),$V$1006:$AE$1006,0))&gt;=100000), " ",IF(INDEX($V$2:$AE$1001,MATCH(ROWS($O$2:O955),$O$2:$O$1001,0),MATCH(COLUMNS($V$1006:AA1006),$V$1006:$AE$1006,0)), HYPERLINK("#",""), HYPERLINK(CONCATENATE("#Metadata!", ADDRESS(INDEX($Q$2:$Q$1001,MATCH(ROWS($O$2:O955),$O$2:$O$1001,0),0), INDEX($V$1004:$AE$1004,1,MATCH(COLUMNS($V$1006:AA1006),$V$1006:$AE$1006,0)))),"Fix")))</f>
        <v>0</v>
      </c>
      <c r="H955" s="4">
        <f>IF(OR(INDEX($P$2:$P$1001,MATCH(ROWS($O$2:O955),$O$2:$O$1001,0),1)&gt;=100000,INDEX($V$1005:$AE$1005,1,MATCH(COLUMNS($V$1006:AB1006),$V$1006:$AE$1006,0))&gt;=100000), " ",IF(INDEX($V$2:$AE$1001,MATCH(ROWS($O$2:O955),$O$2:$O$1001,0),MATCH(COLUMNS($V$1006:AB1006),$V$1006:$AE$1006,0)), HYPERLINK("#",""), HYPERLINK(CONCATENATE("#Metadata!", ADDRESS(INDEX($Q$2:$Q$1001,MATCH(ROWS($O$2:O955),$O$2:$O$1001,0),0), INDEX($V$1004:$AE$1004,1,MATCH(COLUMNS($V$1006:AB1006),$V$1006:$AE$1006,0)))),"Fix")))</f>
        <v>0</v>
      </c>
      <c r="I955" s="4">
        <f>IF(OR(INDEX($P$2:$P$1001,MATCH(ROWS($O$2:O955),$O$2:$O$1001,0),1)&gt;=100000,INDEX($V$1005:$AE$1005,1,MATCH(COLUMNS($V$1006:AC1006),$V$1006:$AE$1006,0))&gt;=100000), " ",IF(INDEX($V$2:$AE$1001,MATCH(ROWS($O$2:O955),$O$2:$O$1001,0),MATCH(COLUMNS($V$1006:AC1006),$V$1006:$AE$1006,0)), HYPERLINK("#",""), HYPERLINK(CONCATENATE("#Metadata!", ADDRESS(INDEX($Q$2:$Q$1001,MATCH(ROWS($O$2:O955),$O$2:$O$1001,0),0), INDEX($V$1004:$AE$1004,1,MATCH(COLUMNS($V$1006:AC1006),$V$1006:$AE$1006,0)))),"Fix")))</f>
        <v>0</v>
      </c>
      <c r="J955" s="4">
        <f>IF(OR(INDEX($P$2:$P$1001,MATCH(ROWS($O$2:O955),$O$2:$O$1001,0),1)&gt;=100000,INDEX($V$1005:$AE$1005,1,MATCH(COLUMNS($V$1006:AD1006),$V$1006:$AE$1006,0))&gt;=100000), " ",IF(INDEX($V$2:$AE$1001,MATCH(ROWS($O$2:O955),$O$2:$O$1001,0),MATCH(COLUMNS($V$1006:AD1006),$V$1006:$AE$1006,0)), HYPERLINK("#",""), HYPERLINK(CONCATENATE("#Metadata!", ADDRESS(INDEX($Q$2:$Q$1001,MATCH(ROWS($O$2:O955),$O$2:$O$1001,0),0), INDEX($V$1004:$AE$1004,1,MATCH(COLUMNS($V$1006:AD1006),$V$1006:$AE$1006,0)))),"Fix")))</f>
        <v>0</v>
      </c>
      <c r="K955" s="4">
        <f>IF(OR(INDEX($P$2:$P$1001,MATCH(ROWS($O$2:O955),$O$2:$O$1001,0),1)&gt;=100000,INDEX($V$1005:$AE$1005,1,MATCH(COLUMNS($V$1006:AE1006),$V$1006:$AE$1006,0))&gt;=100000), " ",IF(INDEX($V$2:$AE$1001,MATCH(ROWS($O$2:O955),$O$2:$O$1001,0),MATCH(COLUMNS($V$1006:AE1006),$V$1006:$AE$1006,0)), HYPERLINK("#",""), HYPERLINK(CONCATENATE("#Metadata!", ADDRESS(INDEX($Q$2:$Q$1001,MATCH(ROWS($O$2:O955),$O$2:$O$1001,0),0), INDEX($V$1004:$AE$1004,1,MATCH(COLUMNS($V$1006:AE1006),$V$1006:$AE$1006,0)))),"Fix")))</f>
        <v>0</v>
      </c>
      <c r="O955">
        <v>0</v>
      </c>
      <c r="P955">
        <v>0</v>
      </c>
      <c r="Q955">
        <v>0</v>
      </c>
      <c r="R955">
        <f>IF(S955,TRUE,AND(V955:AE955))</f>
        <v>0</v>
      </c>
      <c r="S955">
        <f>COUNTBLANK(Metadata!B955:K955)=COLUMNS(Metadata!B955:K955)</f>
        <v>0</v>
      </c>
      <c r="T955">
        <v>0</v>
      </c>
      <c r="V955">
        <f>AND(IF(Metadata!B955="",FALSE,TRUE),COUNTIF(Metadata!B:B, Metadata!B955) = 1,NOT(ISERROR(SUMPRODUCT(SEARCH(MID(Metadata!B955,ROW(INDIRECT("1:"&amp;LEN(Metadata!B955))), 1),"0123456789abcdefghijklmnopqrstuvwxyzABCDEFGHIJKLMNOPQRSTUVWXYZ.")))))</f>
        <v>0</v>
      </c>
      <c r="W955">
        <f>AND(IF(Metadata!C955="",FALSE,TRUE),exact(Metadata!C955,"urban biome"))</f>
        <v>0</v>
      </c>
      <c r="X955">
        <f>AND(IF(Metadata!D955="",FALSE,TRUE),exact(Metadata!D955,"animal-associated habitat"))</f>
        <v>0</v>
      </c>
      <c r="Y955">
        <f>OR(AND(IF(Metadata!E955="",FALSE,TRUE),OR(exact(Metadata!E955,"not applicable"),exact(Metadata!E955,"missing: not collected"),exact(Metadata!E955,"missing: not provided"),exact(Metadata!E955,"missing: restricted access"))),AND(IF(Metadata!E955="",FALSE,ISNUMBER(VALUE(Metadata!E955))),Metadata!E955&gt;0))</f>
        <v>0</v>
      </c>
      <c r="Z955">
        <f>AND(IF(Metadata!F955="",FALSE,TRUE),exact(Metadata!F955,"weeks"))</f>
        <v>0</v>
      </c>
      <c r="AA955">
        <f>AND(IF(Metadata!G955="",FALSE,TRUE),exact(Metadata!G955,"mouse"))</f>
        <v>0</v>
      </c>
      <c r="AB955">
        <f>AND(IF(Metadata!H955="",FALSE,TRUE),exact(Metadata!H955,"Mus musculus"))</f>
        <v>0</v>
      </c>
      <c r="AC955">
        <f>AND(IF(Metadata!I955="",FALSE,TRUE),exact(Metadata!I955,"10090"))</f>
        <v>0</v>
      </c>
      <c r="AD955">
        <f>OR(AND(IF(Metadata!J955="",FALSE,TRUE),OR(exact(Metadata!J955,"not applicable"),exact(Metadata!J955,"missing: not collected"),exact(Metadata!J955,"missing: not provided"),exact(Metadata!J955,"missing: restricted access"))),AND(IF(Metadata!J955="",FALSE,ISNUMBER(VALUE(Metadata!J955))),Metadata!J955&gt;0))</f>
        <v>0</v>
      </c>
      <c r="AE955">
        <f>AND(IF(Metadata!K955="",FALSE,TRUE),exact(Metadata!K955,"g"))</f>
        <v>0</v>
      </c>
    </row>
    <row r="956" spans="1:31">
      <c r="A956" s="5">
        <f>IF(B956=" "," ",HYPERLINK(CONCATENATE("#metadata!",ADDRESS(INDEX($Q$2:$Q$1001,MATCH(ROWS($O$2:O956),$O$2:$O$1001,0),0),1)),INDEX($T$2:$T$1001,MATCH(ROWS($O$2:O956),$O$2:$O$1001,0),0)))</f>
        <v>0</v>
      </c>
      <c r="B956" s="4">
        <f>IF(OR(INDEX($P$2:$P$1001,MATCH(ROWS($O$2:O956),$O$2:$O$1001,0),1)&gt;=100000,INDEX($V$1005:$AE$1005,1,MATCH(COLUMNS($V$1006:V1006),$V$1006:$AE$1006,0))&gt;=100000), " ",IF(INDEX($V$2:$AE$1001,MATCH(ROWS($O$2:O956),$O$2:$O$1001,0),MATCH(COLUMNS($V$1006:V1006),$V$1006:$AE$1006,0)), HYPERLINK("#",""), HYPERLINK(CONCATENATE("#Metadata!", ADDRESS(INDEX($Q$2:$Q$1001,MATCH(ROWS($O$2:O956),$O$2:$O$1001,0),0), INDEX($V$1004:$AE$1004,1,MATCH(COLUMNS($V$1006:V1006),$V$1006:$AE$1006,0)))),"Fix")))</f>
        <v>0</v>
      </c>
      <c r="C956" s="4">
        <f>IF(OR(INDEX($P$2:$P$1001,MATCH(ROWS($O$2:O956),$O$2:$O$1001,0),1)&gt;=100000,INDEX($V$1005:$AE$1005,1,MATCH(COLUMNS($V$1006:W1006),$V$1006:$AE$1006,0))&gt;=100000), " ",IF(INDEX($V$2:$AE$1001,MATCH(ROWS($O$2:O956),$O$2:$O$1001,0),MATCH(COLUMNS($V$1006:W1006),$V$1006:$AE$1006,0)), HYPERLINK("#",""), HYPERLINK(CONCATENATE("#Metadata!", ADDRESS(INDEX($Q$2:$Q$1001,MATCH(ROWS($O$2:O956),$O$2:$O$1001,0),0), INDEX($V$1004:$AE$1004,1,MATCH(COLUMNS($V$1006:W1006),$V$1006:$AE$1006,0)))),"Fix")))</f>
        <v>0</v>
      </c>
      <c r="D956" s="4">
        <f>IF(OR(INDEX($P$2:$P$1001,MATCH(ROWS($O$2:O956),$O$2:$O$1001,0),1)&gt;=100000,INDEX($V$1005:$AE$1005,1,MATCH(COLUMNS($V$1006:X1006),$V$1006:$AE$1006,0))&gt;=100000), " ",IF(INDEX($V$2:$AE$1001,MATCH(ROWS($O$2:O956),$O$2:$O$1001,0),MATCH(COLUMNS($V$1006:X1006),$V$1006:$AE$1006,0)), HYPERLINK("#",""), HYPERLINK(CONCATENATE("#Metadata!", ADDRESS(INDEX($Q$2:$Q$1001,MATCH(ROWS($O$2:O956),$O$2:$O$1001,0),0), INDEX($V$1004:$AE$1004,1,MATCH(COLUMNS($V$1006:X1006),$V$1006:$AE$1006,0)))),"Fix")))</f>
        <v>0</v>
      </c>
      <c r="E956" s="4">
        <f>IF(OR(INDEX($P$2:$P$1001,MATCH(ROWS($O$2:O956),$O$2:$O$1001,0),1)&gt;=100000,INDEX($V$1005:$AE$1005,1,MATCH(COLUMNS($V$1006:Y1006),$V$1006:$AE$1006,0))&gt;=100000), " ",IF(INDEX($V$2:$AE$1001,MATCH(ROWS($O$2:O956),$O$2:$O$1001,0),MATCH(COLUMNS($V$1006:Y1006),$V$1006:$AE$1006,0)), HYPERLINK("#",""), HYPERLINK(CONCATENATE("#Metadata!", ADDRESS(INDEX($Q$2:$Q$1001,MATCH(ROWS($O$2:O956),$O$2:$O$1001,0),0), INDEX($V$1004:$AE$1004,1,MATCH(COLUMNS($V$1006:Y1006),$V$1006:$AE$1006,0)))),"Fix")))</f>
        <v>0</v>
      </c>
      <c r="F956" s="4">
        <f>IF(OR(INDEX($P$2:$P$1001,MATCH(ROWS($O$2:O956),$O$2:$O$1001,0),1)&gt;=100000,INDEX($V$1005:$AE$1005,1,MATCH(COLUMNS($V$1006:Z1006),$V$1006:$AE$1006,0))&gt;=100000), " ",IF(INDEX($V$2:$AE$1001,MATCH(ROWS($O$2:O956),$O$2:$O$1001,0),MATCH(COLUMNS($V$1006:Z1006),$V$1006:$AE$1006,0)), HYPERLINK("#",""), HYPERLINK(CONCATENATE("#Metadata!", ADDRESS(INDEX($Q$2:$Q$1001,MATCH(ROWS($O$2:O956),$O$2:$O$1001,0),0), INDEX($V$1004:$AE$1004,1,MATCH(COLUMNS($V$1006:Z1006),$V$1006:$AE$1006,0)))),"Fix")))</f>
        <v>0</v>
      </c>
      <c r="G956" s="4">
        <f>IF(OR(INDEX($P$2:$P$1001,MATCH(ROWS($O$2:O956),$O$2:$O$1001,0),1)&gt;=100000,INDEX($V$1005:$AE$1005,1,MATCH(COLUMNS($V$1006:AA1006),$V$1006:$AE$1006,0))&gt;=100000), " ",IF(INDEX($V$2:$AE$1001,MATCH(ROWS($O$2:O956),$O$2:$O$1001,0),MATCH(COLUMNS($V$1006:AA1006),$V$1006:$AE$1006,0)), HYPERLINK("#",""), HYPERLINK(CONCATENATE("#Metadata!", ADDRESS(INDEX($Q$2:$Q$1001,MATCH(ROWS($O$2:O956),$O$2:$O$1001,0),0), INDEX($V$1004:$AE$1004,1,MATCH(COLUMNS($V$1006:AA1006),$V$1006:$AE$1006,0)))),"Fix")))</f>
        <v>0</v>
      </c>
      <c r="H956" s="4">
        <f>IF(OR(INDEX($P$2:$P$1001,MATCH(ROWS($O$2:O956),$O$2:$O$1001,0),1)&gt;=100000,INDEX($V$1005:$AE$1005,1,MATCH(COLUMNS($V$1006:AB1006),$V$1006:$AE$1006,0))&gt;=100000), " ",IF(INDEX($V$2:$AE$1001,MATCH(ROWS($O$2:O956),$O$2:$O$1001,0),MATCH(COLUMNS($V$1006:AB1006),$V$1006:$AE$1006,0)), HYPERLINK("#",""), HYPERLINK(CONCATENATE("#Metadata!", ADDRESS(INDEX($Q$2:$Q$1001,MATCH(ROWS($O$2:O956),$O$2:$O$1001,0),0), INDEX($V$1004:$AE$1004,1,MATCH(COLUMNS($V$1006:AB1006),$V$1006:$AE$1006,0)))),"Fix")))</f>
        <v>0</v>
      </c>
      <c r="I956" s="4">
        <f>IF(OR(INDEX($P$2:$P$1001,MATCH(ROWS($O$2:O956),$O$2:$O$1001,0),1)&gt;=100000,INDEX($V$1005:$AE$1005,1,MATCH(COLUMNS($V$1006:AC1006),$V$1006:$AE$1006,0))&gt;=100000), " ",IF(INDEX($V$2:$AE$1001,MATCH(ROWS($O$2:O956),$O$2:$O$1001,0),MATCH(COLUMNS($V$1006:AC1006),$V$1006:$AE$1006,0)), HYPERLINK("#",""), HYPERLINK(CONCATENATE("#Metadata!", ADDRESS(INDEX($Q$2:$Q$1001,MATCH(ROWS($O$2:O956),$O$2:$O$1001,0),0), INDEX($V$1004:$AE$1004,1,MATCH(COLUMNS($V$1006:AC1006),$V$1006:$AE$1006,0)))),"Fix")))</f>
        <v>0</v>
      </c>
      <c r="J956" s="4">
        <f>IF(OR(INDEX($P$2:$P$1001,MATCH(ROWS($O$2:O956),$O$2:$O$1001,0),1)&gt;=100000,INDEX($V$1005:$AE$1005,1,MATCH(COLUMNS($V$1006:AD1006),$V$1006:$AE$1006,0))&gt;=100000), " ",IF(INDEX($V$2:$AE$1001,MATCH(ROWS($O$2:O956),$O$2:$O$1001,0),MATCH(COLUMNS($V$1006:AD1006),$V$1006:$AE$1006,0)), HYPERLINK("#",""), HYPERLINK(CONCATENATE("#Metadata!", ADDRESS(INDEX($Q$2:$Q$1001,MATCH(ROWS($O$2:O956),$O$2:$O$1001,0),0), INDEX($V$1004:$AE$1004,1,MATCH(COLUMNS($V$1006:AD1006),$V$1006:$AE$1006,0)))),"Fix")))</f>
        <v>0</v>
      </c>
      <c r="K956" s="4">
        <f>IF(OR(INDEX($P$2:$P$1001,MATCH(ROWS($O$2:O956),$O$2:$O$1001,0),1)&gt;=100000,INDEX($V$1005:$AE$1005,1,MATCH(COLUMNS($V$1006:AE1006),$V$1006:$AE$1006,0))&gt;=100000), " ",IF(INDEX($V$2:$AE$1001,MATCH(ROWS($O$2:O956),$O$2:$O$1001,0),MATCH(COLUMNS($V$1006:AE1006),$V$1006:$AE$1006,0)), HYPERLINK("#",""), HYPERLINK(CONCATENATE("#Metadata!", ADDRESS(INDEX($Q$2:$Q$1001,MATCH(ROWS($O$2:O956),$O$2:$O$1001,0),0), INDEX($V$1004:$AE$1004,1,MATCH(COLUMNS($V$1006:AE1006),$V$1006:$AE$1006,0)))),"Fix")))</f>
        <v>0</v>
      </c>
      <c r="O956">
        <v>0</v>
      </c>
      <c r="P956">
        <v>0</v>
      </c>
      <c r="Q956">
        <v>0</v>
      </c>
      <c r="R956">
        <f>IF(S956,TRUE,AND(V956:AE956))</f>
        <v>0</v>
      </c>
      <c r="S956">
        <f>COUNTBLANK(Metadata!B956:K956)=COLUMNS(Metadata!B956:K956)</f>
        <v>0</v>
      </c>
      <c r="T956">
        <v>0</v>
      </c>
      <c r="V956">
        <f>AND(IF(Metadata!B956="",FALSE,TRUE),COUNTIF(Metadata!B:B, Metadata!B956) = 1,NOT(ISERROR(SUMPRODUCT(SEARCH(MID(Metadata!B956,ROW(INDIRECT("1:"&amp;LEN(Metadata!B956))), 1),"0123456789abcdefghijklmnopqrstuvwxyzABCDEFGHIJKLMNOPQRSTUVWXYZ.")))))</f>
        <v>0</v>
      </c>
      <c r="W956">
        <f>AND(IF(Metadata!C956="",FALSE,TRUE),exact(Metadata!C956,"urban biome"))</f>
        <v>0</v>
      </c>
      <c r="X956">
        <f>AND(IF(Metadata!D956="",FALSE,TRUE),exact(Metadata!D956,"animal-associated habitat"))</f>
        <v>0</v>
      </c>
      <c r="Y956">
        <f>OR(AND(IF(Metadata!E956="",FALSE,TRUE),OR(exact(Metadata!E956,"not applicable"),exact(Metadata!E956,"missing: not collected"),exact(Metadata!E956,"missing: not provided"),exact(Metadata!E956,"missing: restricted access"))),AND(IF(Metadata!E956="",FALSE,ISNUMBER(VALUE(Metadata!E956))),Metadata!E956&gt;0))</f>
        <v>0</v>
      </c>
      <c r="Z956">
        <f>AND(IF(Metadata!F956="",FALSE,TRUE),exact(Metadata!F956,"weeks"))</f>
        <v>0</v>
      </c>
      <c r="AA956">
        <f>AND(IF(Metadata!G956="",FALSE,TRUE),exact(Metadata!G956,"mouse"))</f>
        <v>0</v>
      </c>
      <c r="AB956">
        <f>AND(IF(Metadata!H956="",FALSE,TRUE),exact(Metadata!H956,"Mus musculus"))</f>
        <v>0</v>
      </c>
      <c r="AC956">
        <f>AND(IF(Metadata!I956="",FALSE,TRUE),exact(Metadata!I956,"10090"))</f>
        <v>0</v>
      </c>
      <c r="AD956">
        <f>OR(AND(IF(Metadata!J956="",FALSE,TRUE),OR(exact(Metadata!J956,"not applicable"),exact(Metadata!J956,"missing: not collected"),exact(Metadata!J956,"missing: not provided"),exact(Metadata!J956,"missing: restricted access"))),AND(IF(Metadata!J956="",FALSE,ISNUMBER(VALUE(Metadata!J956))),Metadata!J956&gt;0))</f>
        <v>0</v>
      </c>
      <c r="AE956">
        <f>AND(IF(Metadata!K956="",FALSE,TRUE),exact(Metadata!K956,"g"))</f>
        <v>0</v>
      </c>
    </row>
    <row r="957" spans="1:31">
      <c r="A957" s="5">
        <f>IF(B957=" "," ",HYPERLINK(CONCATENATE("#metadata!",ADDRESS(INDEX($Q$2:$Q$1001,MATCH(ROWS($O$2:O957),$O$2:$O$1001,0),0),1)),INDEX($T$2:$T$1001,MATCH(ROWS($O$2:O957),$O$2:$O$1001,0),0)))</f>
        <v>0</v>
      </c>
      <c r="B957" s="4">
        <f>IF(OR(INDEX($P$2:$P$1001,MATCH(ROWS($O$2:O957),$O$2:$O$1001,0),1)&gt;=100000,INDEX($V$1005:$AE$1005,1,MATCH(COLUMNS($V$1006:V1006),$V$1006:$AE$1006,0))&gt;=100000), " ",IF(INDEX($V$2:$AE$1001,MATCH(ROWS($O$2:O957),$O$2:$O$1001,0),MATCH(COLUMNS($V$1006:V1006),$V$1006:$AE$1006,0)), HYPERLINK("#",""), HYPERLINK(CONCATENATE("#Metadata!", ADDRESS(INDEX($Q$2:$Q$1001,MATCH(ROWS($O$2:O957),$O$2:$O$1001,0),0), INDEX($V$1004:$AE$1004,1,MATCH(COLUMNS($V$1006:V1006),$V$1006:$AE$1006,0)))),"Fix")))</f>
        <v>0</v>
      </c>
      <c r="C957" s="4">
        <f>IF(OR(INDEX($P$2:$P$1001,MATCH(ROWS($O$2:O957),$O$2:$O$1001,0),1)&gt;=100000,INDEX($V$1005:$AE$1005,1,MATCH(COLUMNS($V$1006:W1006),$V$1006:$AE$1006,0))&gt;=100000), " ",IF(INDEX($V$2:$AE$1001,MATCH(ROWS($O$2:O957),$O$2:$O$1001,0),MATCH(COLUMNS($V$1006:W1006),$V$1006:$AE$1006,0)), HYPERLINK("#",""), HYPERLINK(CONCATENATE("#Metadata!", ADDRESS(INDEX($Q$2:$Q$1001,MATCH(ROWS($O$2:O957),$O$2:$O$1001,0),0), INDEX($V$1004:$AE$1004,1,MATCH(COLUMNS($V$1006:W1006),$V$1006:$AE$1006,0)))),"Fix")))</f>
        <v>0</v>
      </c>
      <c r="D957" s="4">
        <f>IF(OR(INDEX($P$2:$P$1001,MATCH(ROWS($O$2:O957),$O$2:$O$1001,0),1)&gt;=100000,INDEX($V$1005:$AE$1005,1,MATCH(COLUMNS($V$1006:X1006),$V$1006:$AE$1006,0))&gt;=100000), " ",IF(INDEX($V$2:$AE$1001,MATCH(ROWS($O$2:O957),$O$2:$O$1001,0),MATCH(COLUMNS($V$1006:X1006),$V$1006:$AE$1006,0)), HYPERLINK("#",""), HYPERLINK(CONCATENATE("#Metadata!", ADDRESS(INDEX($Q$2:$Q$1001,MATCH(ROWS($O$2:O957),$O$2:$O$1001,0),0), INDEX($V$1004:$AE$1004,1,MATCH(COLUMNS($V$1006:X1006),$V$1006:$AE$1006,0)))),"Fix")))</f>
        <v>0</v>
      </c>
      <c r="E957" s="4">
        <f>IF(OR(INDEX($P$2:$P$1001,MATCH(ROWS($O$2:O957),$O$2:$O$1001,0),1)&gt;=100000,INDEX($V$1005:$AE$1005,1,MATCH(COLUMNS($V$1006:Y1006),$V$1006:$AE$1006,0))&gt;=100000), " ",IF(INDEX($V$2:$AE$1001,MATCH(ROWS($O$2:O957),$O$2:$O$1001,0),MATCH(COLUMNS($V$1006:Y1006),$V$1006:$AE$1006,0)), HYPERLINK("#",""), HYPERLINK(CONCATENATE("#Metadata!", ADDRESS(INDEX($Q$2:$Q$1001,MATCH(ROWS($O$2:O957),$O$2:$O$1001,0),0), INDEX($V$1004:$AE$1004,1,MATCH(COLUMNS($V$1006:Y1006),$V$1006:$AE$1006,0)))),"Fix")))</f>
        <v>0</v>
      </c>
      <c r="F957" s="4">
        <f>IF(OR(INDEX($P$2:$P$1001,MATCH(ROWS($O$2:O957),$O$2:$O$1001,0),1)&gt;=100000,INDEX($V$1005:$AE$1005,1,MATCH(COLUMNS($V$1006:Z1006),$V$1006:$AE$1006,0))&gt;=100000), " ",IF(INDEX($V$2:$AE$1001,MATCH(ROWS($O$2:O957),$O$2:$O$1001,0),MATCH(COLUMNS($V$1006:Z1006),$V$1006:$AE$1006,0)), HYPERLINK("#",""), HYPERLINK(CONCATENATE("#Metadata!", ADDRESS(INDEX($Q$2:$Q$1001,MATCH(ROWS($O$2:O957),$O$2:$O$1001,0),0), INDEX($V$1004:$AE$1004,1,MATCH(COLUMNS($V$1006:Z1006),$V$1006:$AE$1006,0)))),"Fix")))</f>
        <v>0</v>
      </c>
      <c r="G957" s="4">
        <f>IF(OR(INDEX($P$2:$P$1001,MATCH(ROWS($O$2:O957),$O$2:$O$1001,0),1)&gt;=100000,INDEX($V$1005:$AE$1005,1,MATCH(COLUMNS($V$1006:AA1006),$V$1006:$AE$1006,0))&gt;=100000), " ",IF(INDEX($V$2:$AE$1001,MATCH(ROWS($O$2:O957),$O$2:$O$1001,0),MATCH(COLUMNS($V$1006:AA1006),$V$1006:$AE$1006,0)), HYPERLINK("#",""), HYPERLINK(CONCATENATE("#Metadata!", ADDRESS(INDEX($Q$2:$Q$1001,MATCH(ROWS($O$2:O957),$O$2:$O$1001,0),0), INDEX($V$1004:$AE$1004,1,MATCH(COLUMNS($V$1006:AA1006),$V$1006:$AE$1006,0)))),"Fix")))</f>
        <v>0</v>
      </c>
      <c r="H957" s="4">
        <f>IF(OR(INDEX($P$2:$P$1001,MATCH(ROWS($O$2:O957),$O$2:$O$1001,0),1)&gt;=100000,INDEX($V$1005:$AE$1005,1,MATCH(COLUMNS($V$1006:AB1006),$V$1006:$AE$1006,0))&gt;=100000), " ",IF(INDEX($V$2:$AE$1001,MATCH(ROWS($O$2:O957),$O$2:$O$1001,0),MATCH(COLUMNS($V$1006:AB1006),$V$1006:$AE$1006,0)), HYPERLINK("#",""), HYPERLINK(CONCATENATE("#Metadata!", ADDRESS(INDEX($Q$2:$Q$1001,MATCH(ROWS($O$2:O957),$O$2:$O$1001,0),0), INDEX($V$1004:$AE$1004,1,MATCH(COLUMNS($V$1006:AB1006),$V$1006:$AE$1006,0)))),"Fix")))</f>
        <v>0</v>
      </c>
      <c r="I957" s="4">
        <f>IF(OR(INDEX($P$2:$P$1001,MATCH(ROWS($O$2:O957),$O$2:$O$1001,0),1)&gt;=100000,INDEX($V$1005:$AE$1005,1,MATCH(COLUMNS($V$1006:AC1006),$V$1006:$AE$1006,0))&gt;=100000), " ",IF(INDEX($V$2:$AE$1001,MATCH(ROWS($O$2:O957),$O$2:$O$1001,0),MATCH(COLUMNS($V$1006:AC1006),$V$1006:$AE$1006,0)), HYPERLINK("#",""), HYPERLINK(CONCATENATE("#Metadata!", ADDRESS(INDEX($Q$2:$Q$1001,MATCH(ROWS($O$2:O957),$O$2:$O$1001,0),0), INDEX($V$1004:$AE$1004,1,MATCH(COLUMNS($V$1006:AC1006),$V$1006:$AE$1006,0)))),"Fix")))</f>
        <v>0</v>
      </c>
      <c r="J957" s="4">
        <f>IF(OR(INDEX($P$2:$P$1001,MATCH(ROWS($O$2:O957),$O$2:$O$1001,0),1)&gt;=100000,INDEX($V$1005:$AE$1005,1,MATCH(COLUMNS($V$1006:AD1006),$V$1006:$AE$1006,0))&gt;=100000), " ",IF(INDEX($V$2:$AE$1001,MATCH(ROWS($O$2:O957),$O$2:$O$1001,0),MATCH(COLUMNS($V$1006:AD1006),$V$1006:$AE$1006,0)), HYPERLINK("#",""), HYPERLINK(CONCATENATE("#Metadata!", ADDRESS(INDEX($Q$2:$Q$1001,MATCH(ROWS($O$2:O957),$O$2:$O$1001,0),0), INDEX($V$1004:$AE$1004,1,MATCH(COLUMNS($V$1006:AD1006),$V$1006:$AE$1006,0)))),"Fix")))</f>
        <v>0</v>
      </c>
      <c r="K957" s="4">
        <f>IF(OR(INDEX($P$2:$P$1001,MATCH(ROWS($O$2:O957),$O$2:$O$1001,0),1)&gt;=100000,INDEX($V$1005:$AE$1005,1,MATCH(COLUMNS($V$1006:AE1006),$V$1006:$AE$1006,0))&gt;=100000), " ",IF(INDEX($V$2:$AE$1001,MATCH(ROWS($O$2:O957),$O$2:$O$1001,0),MATCH(COLUMNS($V$1006:AE1006),$V$1006:$AE$1006,0)), HYPERLINK("#",""), HYPERLINK(CONCATENATE("#Metadata!", ADDRESS(INDEX($Q$2:$Q$1001,MATCH(ROWS($O$2:O957),$O$2:$O$1001,0),0), INDEX($V$1004:$AE$1004,1,MATCH(COLUMNS($V$1006:AE1006),$V$1006:$AE$1006,0)))),"Fix")))</f>
        <v>0</v>
      </c>
      <c r="O957">
        <v>0</v>
      </c>
      <c r="P957">
        <v>0</v>
      </c>
      <c r="Q957">
        <v>0</v>
      </c>
      <c r="R957">
        <f>IF(S957,TRUE,AND(V957:AE957))</f>
        <v>0</v>
      </c>
      <c r="S957">
        <f>COUNTBLANK(Metadata!B957:K957)=COLUMNS(Metadata!B957:K957)</f>
        <v>0</v>
      </c>
      <c r="T957">
        <v>0</v>
      </c>
      <c r="V957">
        <f>AND(IF(Metadata!B957="",FALSE,TRUE),COUNTIF(Metadata!B:B, Metadata!B957) = 1,NOT(ISERROR(SUMPRODUCT(SEARCH(MID(Metadata!B957,ROW(INDIRECT("1:"&amp;LEN(Metadata!B957))), 1),"0123456789abcdefghijklmnopqrstuvwxyzABCDEFGHIJKLMNOPQRSTUVWXYZ.")))))</f>
        <v>0</v>
      </c>
      <c r="W957">
        <f>AND(IF(Metadata!C957="",FALSE,TRUE),exact(Metadata!C957,"urban biome"))</f>
        <v>0</v>
      </c>
      <c r="X957">
        <f>AND(IF(Metadata!D957="",FALSE,TRUE),exact(Metadata!D957,"animal-associated habitat"))</f>
        <v>0</v>
      </c>
      <c r="Y957">
        <f>OR(AND(IF(Metadata!E957="",FALSE,TRUE),OR(exact(Metadata!E957,"not applicable"),exact(Metadata!E957,"missing: not collected"),exact(Metadata!E957,"missing: not provided"),exact(Metadata!E957,"missing: restricted access"))),AND(IF(Metadata!E957="",FALSE,ISNUMBER(VALUE(Metadata!E957))),Metadata!E957&gt;0))</f>
        <v>0</v>
      </c>
      <c r="Z957">
        <f>AND(IF(Metadata!F957="",FALSE,TRUE),exact(Metadata!F957,"weeks"))</f>
        <v>0</v>
      </c>
      <c r="AA957">
        <f>AND(IF(Metadata!G957="",FALSE,TRUE),exact(Metadata!G957,"mouse"))</f>
        <v>0</v>
      </c>
      <c r="AB957">
        <f>AND(IF(Metadata!H957="",FALSE,TRUE),exact(Metadata!H957,"Mus musculus"))</f>
        <v>0</v>
      </c>
      <c r="AC957">
        <f>AND(IF(Metadata!I957="",FALSE,TRUE),exact(Metadata!I957,"10090"))</f>
        <v>0</v>
      </c>
      <c r="AD957">
        <f>OR(AND(IF(Metadata!J957="",FALSE,TRUE),OR(exact(Metadata!J957,"not applicable"),exact(Metadata!J957,"missing: not collected"),exact(Metadata!J957,"missing: not provided"),exact(Metadata!J957,"missing: restricted access"))),AND(IF(Metadata!J957="",FALSE,ISNUMBER(VALUE(Metadata!J957))),Metadata!J957&gt;0))</f>
        <v>0</v>
      </c>
      <c r="AE957">
        <f>AND(IF(Metadata!K957="",FALSE,TRUE),exact(Metadata!K957,"g"))</f>
        <v>0</v>
      </c>
    </row>
    <row r="958" spans="1:31">
      <c r="A958" s="5">
        <f>IF(B958=" "," ",HYPERLINK(CONCATENATE("#metadata!",ADDRESS(INDEX($Q$2:$Q$1001,MATCH(ROWS($O$2:O958),$O$2:$O$1001,0),0),1)),INDEX($T$2:$T$1001,MATCH(ROWS($O$2:O958),$O$2:$O$1001,0),0)))</f>
        <v>0</v>
      </c>
      <c r="B958" s="4">
        <f>IF(OR(INDEX($P$2:$P$1001,MATCH(ROWS($O$2:O958),$O$2:$O$1001,0),1)&gt;=100000,INDEX($V$1005:$AE$1005,1,MATCH(COLUMNS($V$1006:V1006),$V$1006:$AE$1006,0))&gt;=100000), " ",IF(INDEX($V$2:$AE$1001,MATCH(ROWS($O$2:O958),$O$2:$O$1001,0),MATCH(COLUMNS($V$1006:V1006),$V$1006:$AE$1006,0)), HYPERLINK("#",""), HYPERLINK(CONCATENATE("#Metadata!", ADDRESS(INDEX($Q$2:$Q$1001,MATCH(ROWS($O$2:O958),$O$2:$O$1001,0),0), INDEX($V$1004:$AE$1004,1,MATCH(COLUMNS($V$1006:V1006),$V$1006:$AE$1006,0)))),"Fix")))</f>
        <v>0</v>
      </c>
      <c r="C958" s="4">
        <f>IF(OR(INDEX($P$2:$P$1001,MATCH(ROWS($O$2:O958),$O$2:$O$1001,0),1)&gt;=100000,INDEX($V$1005:$AE$1005,1,MATCH(COLUMNS($V$1006:W1006),$V$1006:$AE$1006,0))&gt;=100000), " ",IF(INDEX($V$2:$AE$1001,MATCH(ROWS($O$2:O958),$O$2:$O$1001,0),MATCH(COLUMNS($V$1006:W1006),$V$1006:$AE$1006,0)), HYPERLINK("#",""), HYPERLINK(CONCATENATE("#Metadata!", ADDRESS(INDEX($Q$2:$Q$1001,MATCH(ROWS($O$2:O958),$O$2:$O$1001,0),0), INDEX($V$1004:$AE$1004,1,MATCH(COLUMNS($V$1006:W1006),$V$1006:$AE$1006,0)))),"Fix")))</f>
        <v>0</v>
      </c>
      <c r="D958" s="4">
        <f>IF(OR(INDEX($P$2:$P$1001,MATCH(ROWS($O$2:O958),$O$2:$O$1001,0),1)&gt;=100000,INDEX($V$1005:$AE$1005,1,MATCH(COLUMNS($V$1006:X1006),$V$1006:$AE$1006,0))&gt;=100000), " ",IF(INDEX($V$2:$AE$1001,MATCH(ROWS($O$2:O958),$O$2:$O$1001,0),MATCH(COLUMNS($V$1006:X1006),$V$1006:$AE$1006,0)), HYPERLINK("#",""), HYPERLINK(CONCATENATE("#Metadata!", ADDRESS(INDEX($Q$2:$Q$1001,MATCH(ROWS($O$2:O958),$O$2:$O$1001,0),0), INDEX($V$1004:$AE$1004,1,MATCH(COLUMNS($V$1006:X1006),$V$1006:$AE$1006,0)))),"Fix")))</f>
        <v>0</v>
      </c>
      <c r="E958" s="4">
        <f>IF(OR(INDEX($P$2:$P$1001,MATCH(ROWS($O$2:O958),$O$2:$O$1001,0),1)&gt;=100000,INDEX($V$1005:$AE$1005,1,MATCH(COLUMNS($V$1006:Y1006),$V$1006:$AE$1006,0))&gt;=100000), " ",IF(INDEX($V$2:$AE$1001,MATCH(ROWS($O$2:O958),$O$2:$O$1001,0),MATCH(COLUMNS($V$1006:Y1006),$V$1006:$AE$1006,0)), HYPERLINK("#",""), HYPERLINK(CONCATENATE("#Metadata!", ADDRESS(INDEX($Q$2:$Q$1001,MATCH(ROWS($O$2:O958),$O$2:$O$1001,0),0), INDEX($V$1004:$AE$1004,1,MATCH(COLUMNS($V$1006:Y1006),$V$1006:$AE$1006,0)))),"Fix")))</f>
        <v>0</v>
      </c>
      <c r="F958" s="4">
        <f>IF(OR(INDEX($P$2:$P$1001,MATCH(ROWS($O$2:O958),$O$2:$O$1001,0),1)&gt;=100000,INDEX($V$1005:$AE$1005,1,MATCH(COLUMNS($V$1006:Z1006),$V$1006:$AE$1006,0))&gt;=100000), " ",IF(INDEX($V$2:$AE$1001,MATCH(ROWS($O$2:O958),$O$2:$O$1001,0),MATCH(COLUMNS($V$1006:Z1006),$V$1006:$AE$1006,0)), HYPERLINK("#",""), HYPERLINK(CONCATENATE("#Metadata!", ADDRESS(INDEX($Q$2:$Q$1001,MATCH(ROWS($O$2:O958),$O$2:$O$1001,0),0), INDEX($V$1004:$AE$1004,1,MATCH(COLUMNS($V$1006:Z1006),$V$1006:$AE$1006,0)))),"Fix")))</f>
        <v>0</v>
      </c>
      <c r="G958" s="4">
        <f>IF(OR(INDEX($P$2:$P$1001,MATCH(ROWS($O$2:O958),$O$2:$O$1001,0),1)&gt;=100000,INDEX($V$1005:$AE$1005,1,MATCH(COLUMNS($V$1006:AA1006),$V$1006:$AE$1006,0))&gt;=100000), " ",IF(INDEX($V$2:$AE$1001,MATCH(ROWS($O$2:O958),$O$2:$O$1001,0),MATCH(COLUMNS($V$1006:AA1006),$V$1006:$AE$1006,0)), HYPERLINK("#",""), HYPERLINK(CONCATENATE("#Metadata!", ADDRESS(INDEX($Q$2:$Q$1001,MATCH(ROWS($O$2:O958),$O$2:$O$1001,0),0), INDEX($V$1004:$AE$1004,1,MATCH(COLUMNS($V$1006:AA1006),$V$1006:$AE$1006,0)))),"Fix")))</f>
        <v>0</v>
      </c>
      <c r="H958" s="4">
        <f>IF(OR(INDEX($P$2:$P$1001,MATCH(ROWS($O$2:O958),$O$2:$O$1001,0),1)&gt;=100000,INDEX($V$1005:$AE$1005,1,MATCH(COLUMNS($V$1006:AB1006),$V$1006:$AE$1006,0))&gt;=100000), " ",IF(INDEX($V$2:$AE$1001,MATCH(ROWS($O$2:O958),$O$2:$O$1001,0),MATCH(COLUMNS($V$1006:AB1006),$V$1006:$AE$1006,0)), HYPERLINK("#",""), HYPERLINK(CONCATENATE("#Metadata!", ADDRESS(INDEX($Q$2:$Q$1001,MATCH(ROWS($O$2:O958),$O$2:$O$1001,0),0), INDEX($V$1004:$AE$1004,1,MATCH(COLUMNS($V$1006:AB1006),$V$1006:$AE$1006,0)))),"Fix")))</f>
        <v>0</v>
      </c>
      <c r="I958" s="4">
        <f>IF(OR(INDEX($P$2:$P$1001,MATCH(ROWS($O$2:O958),$O$2:$O$1001,0),1)&gt;=100000,INDEX($V$1005:$AE$1005,1,MATCH(COLUMNS($V$1006:AC1006),$V$1006:$AE$1006,0))&gt;=100000), " ",IF(INDEX($V$2:$AE$1001,MATCH(ROWS($O$2:O958),$O$2:$O$1001,0),MATCH(COLUMNS($V$1006:AC1006),$V$1006:$AE$1006,0)), HYPERLINK("#",""), HYPERLINK(CONCATENATE("#Metadata!", ADDRESS(INDEX($Q$2:$Q$1001,MATCH(ROWS($O$2:O958),$O$2:$O$1001,0),0), INDEX($V$1004:$AE$1004,1,MATCH(COLUMNS($V$1006:AC1006),$V$1006:$AE$1006,0)))),"Fix")))</f>
        <v>0</v>
      </c>
      <c r="J958" s="4">
        <f>IF(OR(INDEX($P$2:$P$1001,MATCH(ROWS($O$2:O958),$O$2:$O$1001,0),1)&gt;=100000,INDEX($V$1005:$AE$1005,1,MATCH(COLUMNS($V$1006:AD1006),$V$1006:$AE$1006,0))&gt;=100000), " ",IF(INDEX($V$2:$AE$1001,MATCH(ROWS($O$2:O958),$O$2:$O$1001,0),MATCH(COLUMNS($V$1006:AD1006),$V$1006:$AE$1006,0)), HYPERLINK("#",""), HYPERLINK(CONCATENATE("#Metadata!", ADDRESS(INDEX($Q$2:$Q$1001,MATCH(ROWS($O$2:O958),$O$2:$O$1001,0),0), INDEX($V$1004:$AE$1004,1,MATCH(COLUMNS($V$1006:AD1006),$V$1006:$AE$1006,0)))),"Fix")))</f>
        <v>0</v>
      </c>
      <c r="K958" s="4">
        <f>IF(OR(INDEX($P$2:$P$1001,MATCH(ROWS($O$2:O958),$O$2:$O$1001,0),1)&gt;=100000,INDEX($V$1005:$AE$1005,1,MATCH(COLUMNS($V$1006:AE1006),$V$1006:$AE$1006,0))&gt;=100000), " ",IF(INDEX($V$2:$AE$1001,MATCH(ROWS($O$2:O958),$O$2:$O$1001,0),MATCH(COLUMNS($V$1006:AE1006),$V$1006:$AE$1006,0)), HYPERLINK("#",""), HYPERLINK(CONCATENATE("#Metadata!", ADDRESS(INDEX($Q$2:$Q$1001,MATCH(ROWS($O$2:O958),$O$2:$O$1001,0),0), INDEX($V$1004:$AE$1004,1,MATCH(COLUMNS($V$1006:AE1006),$V$1006:$AE$1006,0)))),"Fix")))</f>
        <v>0</v>
      </c>
      <c r="O958">
        <v>0</v>
      </c>
      <c r="P958">
        <v>0</v>
      </c>
      <c r="Q958">
        <v>0</v>
      </c>
      <c r="R958">
        <f>IF(S958,TRUE,AND(V958:AE958))</f>
        <v>0</v>
      </c>
      <c r="S958">
        <f>COUNTBLANK(Metadata!B958:K958)=COLUMNS(Metadata!B958:K958)</f>
        <v>0</v>
      </c>
      <c r="T958">
        <v>0</v>
      </c>
      <c r="V958">
        <f>AND(IF(Metadata!B958="",FALSE,TRUE),COUNTIF(Metadata!B:B, Metadata!B958) = 1,NOT(ISERROR(SUMPRODUCT(SEARCH(MID(Metadata!B958,ROW(INDIRECT("1:"&amp;LEN(Metadata!B958))), 1),"0123456789abcdefghijklmnopqrstuvwxyzABCDEFGHIJKLMNOPQRSTUVWXYZ.")))))</f>
        <v>0</v>
      </c>
      <c r="W958">
        <f>AND(IF(Metadata!C958="",FALSE,TRUE),exact(Metadata!C958,"urban biome"))</f>
        <v>0</v>
      </c>
      <c r="X958">
        <f>AND(IF(Metadata!D958="",FALSE,TRUE),exact(Metadata!D958,"animal-associated habitat"))</f>
        <v>0</v>
      </c>
      <c r="Y958">
        <f>OR(AND(IF(Metadata!E958="",FALSE,TRUE),OR(exact(Metadata!E958,"not applicable"),exact(Metadata!E958,"missing: not collected"),exact(Metadata!E958,"missing: not provided"),exact(Metadata!E958,"missing: restricted access"))),AND(IF(Metadata!E958="",FALSE,ISNUMBER(VALUE(Metadata!E958))),Metadata!E958&gt;0))</f>
        <v>0</v>
      </c>
      <c r="Z958">
        <f>AND(IF(Metadata!F958="",FALSE,TRUE),exact(Metadata!F958,"weeks"))</f>
        <v>0</v>
      </c>
      <c r="AA958">
        <f>AND(IF(Metadata!G958="",FALSE,TRUE),exact(Metadata!G958,"mouse"))</f>
        <v>0</v>
      </c>
      <c r="AB958">
        <f>AND(IF(Metadata!H958="",FALSE,TRUE),exact(Metadata!H958,"Mus musculus"))</f>
        <v>0</v>
      </c>
      <c r="AC958">
        <f>AND(IF(Metadata!I958="",FALSE,TRUE),exact(Metadata!I958,"10090"))</f>
        <v>0</v>
      </c>
      <c r="AD958">
        <f>OR(AND(IF(Metadata!J958="",FALSE,TRUE),OR(exact(Metadata!J958,"not applicable"),exact(Metadata!J958,"missing: not collected"),exact(Metadata!J958,"missing: not provided"),exact(Metadata!J958,"missing: restricted access"))),AND(IF(Metadata!J958="",FALSE,ISNUMBER(VALUE(Metadata!J958))),Metadata!J958&gt;0))</f>
        <v>0</v>
      </c>
      <c r="AE958">
        <f>AND(IF(Metadata!K958="",FALSE,TRUE),exact(Metadata!K958,"g"))</f>
        <v>0</v>
      </c>
    </row>
    <row r="959" spans="1:31">
      <c r="A959" s="5">
        <f>IF(B959=" "," ",HYPERLINK(CONCATENATE("#metadata!",ADDRESS(INDEX($Q$2:$Q$1001,MATCH(ROWS($O$2:O959),$O$2:$O$1001,0),0),1)),INDEX($T$2:$T$1001,MATCH(ROWS($O$2:O959),$O$2:$O$1001,0),0)))</f>
        <v>0</v>
      </c>
      <c r="B959" s="4">
        <f>IF(OR(INDEX($P$2:$P$1001,MATCH(ROWS($O$2:O959),$O$2:$O$1001,0),1)&gt;=100000,INDEX($V$1005:$AE$1005,1,MATCH(COLUMNS($V$1006:V1006),$V$1006:$AE$1006,0))&gt;=100000), " ",IF(INDEX($V$2:$AE$1001,MATCH(ROWS($O$2:O959),$O$2:$O$1001,0),MATCH(COLUMNS($V$1006:V1006),$V$1006:$AE$1006,0)), HYPERLINK("#",""), HYPERLINK(CONCATENATE("#Metadata!", ADDRESS(INDEX($Q$2:$Q$1001,MATCH(ROWS($O$2:O959),$O$2:$O$1001,0),0), INDEX($V$1004:$AE$1004,1,MATCH(COLUMNS($V$1006:V1006),$V$1006:$AE$1006,0)))),"Fix")))</f>
        <v>0</v>
      </c>
      <c r="C959" s="4">
        <f>IF(OR(INDEX($P$2:$P$1001,MATCH(ROWS($O$2:O959),$O$2:$O$1001,0),1)&gt;=100000,INDEX($V$1005:$AE$1005,1,MATCH(COLUMNS($V$1006:W1006),$V$1006:$AE$1006,0))&gt;=100000), " ",IF(INDEX($V$2:$AE$1001,MATCH(ROWS($O$2:O959),$O$2:$O$1001,0),MATCH(COLUMNS($V$1006:W1006),$V$1006:$AE$1006,0)), HYPERLINK("#",""), HYPERLINK(CONCATENATE("#Metadata!", ADDRESS(INDEX($Q$2:$Q$1001,MATCH(ROWS($O$2:O959),$O$2:$O$1001,0),0), INDEX($V$1004:$AE$1004,1,MATCH(COLUMNS($V$1006:W1006),$V$1006:$AE$1006,0)))),"Fix")))</f>
        <v>0</v>
      </c>
      <c r="D959" s="4">
        <f>IF(OR(INDEX($P$2:$P$1001,MATCH(ROWS($O$2:O959),$O$2:$O$1001,0),1)&gt;=100000,INDEX($V$1005:$AE$1005,1,MATCH(COLUMNS($V$1006:X1006),$V$1006:$AE$1006,0))&gt;=100000), " ",IF(INDEX($V$2:$AE$1001,MATCH(ROWS($O$2:O959),$O$2:$O$1001,0),MATCH(COLUMNS($V$1006:X1006),$V$1006:$AE$1006,0)), HYPERLINK("#",""), HYPERLINK(CONCATENATE("#Metadata!", ADDRESS(INDEX($Q$2:$Q$1001,MATCH(ROWS($O$2:O959),$O$2:$O$1001,0),0), INDEX($V$1004:$AE$1004,1,MATCH(COLUMNS($V$1006:X1006),$V$1006:$AE$1006,0)))),"Fix")))</f>
        <v>0</v>
      </c>
      <c r="E959" s="4">
        <f>IF(OR(INDEX($P$2:$P$1001,MATCH(ROWS($O$2:O959),$O$2:$O$1001,0),1)&gt;=100000,INDEX($V$1005:$AE$1005,1,MATCH(COLUMNS($V$1006:Y1006),$V$1006:$AE$1006,0))&gt;=100000), " ",IF(INDEX($V$2:$AE$1001,MATCH(ROWS($O$2:O959),$O$2:$O$1001,0),MATCH(COLUMNS($V$1006:Y1006),$V$1006:$AE$1006,0)), HYPERLINK("#",""), HYPERLINK(CONCATENATE("#Metadata!", ADDRESS(INDEX($Q$2:$Q$1001,MATCH(ROWS($O$2:O959),$O$2:$O$1001,0),0), INDEX($V$1004:$AE$1004,1,MATCH(COLUMNS($V$1006:Y1006),$V$1006:$AE$1006,0)))),"Fix")))</f>
        <v>0</v>
      </c>
      <c r="F959" s="4">
        <f>IF(OR(INDEX($P$2:$P$1001,MATCH(ROWS($O$2:O959),$O$2:$O$1001,0),1)&gt;=100000,INDEX($V$1005:$AE$1005,1,MATCH(COLUMNS($V$1006:Z1006),$V$1006:$AE$1006,0))&gt;=100000), " ",IF(INDEX($V$2:$AE$1001,MATCH(ROWS($O$2:O959),$O$2:$O$1001,0),MATCH(COLUMNS($V$1006:Z1006),$V$1006:$AE$1006,0)), HYPERLINK("#",""), HYPERLINK(CONCATENATE("#Metadata!", ADDRESS(INDEX($Q$2:$Q$1001,MATCH(ROWS($O$2:O959),$O$2:$O$1001,0),0), INDEX($V$1004:$AE$1004,1,MATCH(COLUMNS($V$1006:Z1006),$V$1006:$AE$1006,0)))),"Fix")))</f>
        <v>0</v>
      </c>
      <c r="G959" s="4">
        <f>IF(OR(INDEX($P$2:$P$1001,MATCH(ROWS($O$2:O959),$O$2:$O$1001,0),1)&gt;=100000,INDEX($V$1005:$AE$1005,1,MATCH(COLUMNS($V$1006:AA1006),$V$1006:$AE$1006,0))&gt;=100000), " ",IF(INDEX($V$2:$AE$1001,MATCH(ROWS($O$2:O959),$O$2:$O$1001,0),MATCH(COLUMNS($V$1006:AA1006),$V$1006:$AE$1006,0)), HYPERLINK("#",""), HYPERLINK(CONCATENATE("#Metadata!", ADDRESS(INDEX($Q$2:$Q$1001,MATCH(ROWS($O$2:O959),$O$2:$O$1001,0),0), INDEX($V$1004:$AE$1004,1,MATCH(COLUMNS($V$1006:AA1006),$V$1006:$AE$1006,0)))),"Fix")))</f>
        <v>0</v>
      </c>
      <c r="H959" s="4">
        <f>IF(OR(INDEX($P$2:$P$1001,MATCH(ROWS($O$2:O959),$O$2:$O$1001,0),1)&gt;=100000,INDEX($V$1005:$AE$1005,1,MATCH(COLUMNS($V$1006:AB1006),$V$1006:$AE$1006,0))&gt;=100000), " ",IF(INDEX($V$2:$AE$1001,MATCH(ROWS($O$2:O959),$O$2:$O$1001,0),MATCH(COLUMNS($V$1006:AB1006),$V$1006:$AE$1006,0)), HYPERLINK("#",""), HYPERLINK(CONCATENATE("#Metadata!", ADDRESS(INDEX($Q$2:$Q$1001,MATCH(ROWS($O$2:O959),$O$2:$O$1001,0),0), INDEX($V$1004:$AE$1004,1,MATCH(COLUMNS($V$1006:AB1006),$V$1006:$AE$1006,0)))),"Fix")))</f>
        <v>0</v>
      </c>
      <c r="I959" s="4">
        <f>IF(OR(INDEX($P$2:$P$1001,MATCH(ROWS($O$2:O959),$O$2:$O$1001,0),1)&gt;=100000,INDEX($V$1005:$AE$1005,1,MATCH(COLUMNS($V$1006:AC1006),$V$1006:$AE$1006,0))&gt;=100000), " ",IF(INDEX($V$2:$AE$1001,MATCH(ROWS($O$2:O959),$O$2:$O$1001,0),MATCH(COLUMNS($V$1006:AC1006),$V$1006:$AE$1006,0)), HYPERLINK("#",""), HYPERLINK(CONCATENATE("#Metadata!", ADDRESS(INDEX($Q$2:$Q$1001,MATCH(ROWS($O$2:O959),$O$2:$O$1001,0),0), INDEX($V$1004:$AE$1004,1,MATCH(COLUMNS($V$1006:AC1006),$V$1006:$AE$1006,0)))),"Fix")))</f>
        <v>0</v>
      </c>
      <c r="J959" s="4">
        <f>IF(OR(INDEX($P$2:$P$1001,MATCH(ROWS($O$2:O959),$O$2:$O$1001,0),1)&gt;=100000,INDEX($V$1005:$AE$1005,1,MATCH(COLUMNS($V$1006:AD1006),$V$1006:$AE$1006,0))&gt;=100000), " ",IF(INDEX($V$2:$AE$1001,MATCH(ROWS($O$2:O959),$O$2:$O$1001,0),MATCH(COLUMNS($V$1006:AD1006),$V$1006:$AE$1006,0)), HYPERLINK("#",""), HYPERLINK(CONCATENATE("#Metadata!", ADDRESS(INDEX($Q$2:$Q$1001,MATCH(ROWS($O$2:O959),$O$2:$O$1001,0),0), INDEX($V$1004:$AE$1004,1,MATCH(COLUMNS($V$1006:AD1006),$V$1006:$AE$1006,0)))),"Fix")))</f>
        <v>0</v>
      </c>
      <c r="K959" s="4">
        <f>IF(OR(INDEX($P$2:$P$1001,MATCH(ROWS($O$2:O959),$O$2:$O$1001,0),1)&gt;=100000,INDEX($V$1005:$AE$1005,1,MATCH(COLUMNS($V$1006:AE1006),$V$1006:$AE$1006,0))&gt;=100000), " ",IF(INDEX($V$2:$AE$1001,MATCH(ROWS($O$2:O959),$O$2:$O$1001,0),MATCH(COLUMNS($V$1006:AE1006),$V$1006:$AE$1006,0)), HYPERLINK("#",""), HYPERLINK(CONCATENATE("#Metadata!", ADDRESS(INDEX($Q$2:$Q$1001,MATCH(ROWS($O$2:O959),$O$2:$O$1001,0),0), INDEX($V$1004:$AE$1004,1,MATCH(COLUMNS($V$1006:AE1006),$V$1006:$AE$1006,0)))),"Fix")))</f>
        <v>0</v>
      </c>
      <c r="O959">
        <v>0</v>
      </c>
      <c r="P959">
        <v>0</v>
      </c>
      <c r="Q959">
        <v>0</v>
      </c>
      <c r="R959">
        <f>IF(S959,TRUE,AND(V959:AE959))</f>
        <v>0</v>
      </c>
      <c r="S959">
        <f>COUNTBLANK(Metadata!B959:K959)=COLUMNS(Metadata!B959:K959)</f>
        <v>0</v>
      </c>
      <c r="T959">
        <v>0</v>
      </c>
      <c r="V959">
        <f>AND(IF(Metadata!B959="",FALSE,TRUE),COUNTIF(Metadata!B:B, Metadata!B959) = 1,NOT(ISERROR(SUMPRODUCT(SEARCH(MID(Metadata!B959,ROW(INDIRECT("1:"&amp;LEN(Metadata!B959))), 1),"0123456789abcdefghijklmnopqrstuvwxyzABCDEFGHIJKLMNOPQRSTUVWXYZ.")))))</f>
        <v>0</v>
      </c>
      <c r="W959">
        <f>AND(IF(Metadata!C959="",FALSE,TRUE),exact(Metadata!C959,"urban biome"))</f>
        <v>0</v>
      </c>
      <c r="X959">
        <f>AND(IF(Metadata!D959="",FALSE,TRUE),exact(Metadata!D959,"animal-associated habitat"))</f>
        <v>0</v>
      </c>
      <c r="Y959">
        <f>OR(AND(IF(Metadata!E959="",FALSE,TRUE),OR(exact(Metadata!E959,"not applicable"),exact(Metadata!E959,"missing: not collected"),exact(Metadata!E959,"missing: not provided"),exact(Metadata!E959,"missing: restricted access"))),AND(IF(Metadata!E959="",FALSE,ISNUMBER(VALUE(Metadata!E959))),Metadata!E959&gt;0))</f>
        <v>0</v>
      </c>
      <c r="Z959">
        <f>AND(IF(Metadata!F959="",FALSE,TRUE),exact(Metadata!F959,"weeks"))</f>
        <v>0</v>
      </c>
      <c r="AA959">
        <f>AND(IF(Metadata!G959="",FALSE,TRUE),exact(Metadata!G959,"mouse"))</f>
        <v>0</v>
      </c>
      <c r="AB959">
        <f>AND(IF(Metadata!H959="",FALSE,TRUE),exact(Metadata!H959,"Mus musculus"))</f>
        <v>0</v>
      </c>
      <c r="AC959">
        <f>AND(IF(Metadata!I959="",FALSE,TRUE),exact(Metadata!I959,"10090"))</f>
        <v>0</v>
      </c>
      <c r="AD959">
        <f>OR(AND(IF(Metadata!J959="",FALSE,TRUE),OR(exact(Metadata!J959,"not applicable"),exact(Metadata!J959,"missing: not collected"),exact(Metadata!J959,"missing: not provided"),exact(Metadata!J959,"missing: restricted access"))),AND(IF(Metadata!J959="",FALSE,ISNUMBER(VALUE(Metadata!J959))),Metadata!J959&gt;0))</f>
        <v>0</v>
      </c>
      <c r="AE959">
        <f>AND(IF(Metadata!K959="",FALSE,TRUE),exact(Metadata!K959,"g"))</f>
        <v>0</v>
      </c>
    </row>
    <row r="960" spans="1:31">
      <c r="A960" s="5">
        <f>IF(B960=" "," ",HYPERLINK(CONCATENATE("#metadata!",ADDRESS(INDEX($Q$2:$Q$1001,MATCH(ROWS($O$2:O960),$O$2:$O$1001,0),0),1)),INDEX($T$2:$T$1001,MATCH(ROWS($O$2:O960),$O$2:$O$1001,0),0)))</f>
        <v>0</v>
      </c>
      <c r="B960" s="4">
        <f>IF(OR(INDEX($P$2:$P$1001,MATCH(ROWS($O$2:O960),$O$2:$O$1001,0),1)&gt;=100000,INDEX($V$1005:$AE$1005,1,MATCH(COLUMNS($V$1006:V1006),$V$1006:$AE$1006,0))&gt;=100000), " ",IF(INDEX($V$2:$AE$1001,MATCH(ROWS($O$2:O960),$O$2:$O$1001,0),MATCH(COLUMNS($V$1006:V1006),$V$1006:$AE$1006,0)), HYPERLINK("#",""), HYPERLINK(CONCATENATE("#Metadata!", ADDRESS(INDEX($Q$2:$Q$1001,MATCH(ROWS($O$2:O960),$O$2:$O$1001,0),0), INDEX($V$1004:$AE$1004,1,MATCH(COLUMNS($V$1006:V1006),$V$1006:$AE$1006,0)))),"Fix")))</f>
        <v>0</v>
      </c>
      <c r="C960" s="4">
        <f>IF(OR(INDEX($P$2:$P$1001,MATCH(ROWS($O$2:O960),$O$2:$O$1001,0),1)&gt;=100000,INDEX($V$1005:$AE$1005,1,MATCH(COLUMNS($V$1006:W1006),$V$1006:$AE$1006,0))&gt;=100000), " ",IF(INDEX($V$2:$AE$1001,MATCH(ROWS($O$2:O960),$O$2:$O$1001,0),MATCH(COLUMNS($V$1006:W1006),$V$1006:$AE$1006,0)), HYPERLINK("#",""), HYPERLINK(CONCATENATE("#Metadata!", ADDRESS(INDEX($Q$2:$Q$1001,MATCH(ROWS($O$2:O960),$O$2:$O$1001,0),0), INDEX($V$1004:$AE$1004,1,MATCH(COLUMNS($V$1006:W1006),$V$1006:$AE$1006,0)))),"Fix")))</f>
        <v>0</v>
      </c>
      <c r="D960" s="4">
        <f>IF(OR(INDEX($P$2:$P$1001,MATCH(ROWS($O$2:O960),$O$2:$O$1001,0),1)&gt;=100000,INDEX($V$1005:$AE$1005,1,MATCH(COLUMNS($V$1006:X1006),$V$1006:$AE$1006,0))&gt;=100000), " ",IF(INDEX($V$2:$AE$1001,MATCH(ROWS($O$2:O960),$O$2:$O$1001,0),MATCH(COLUMNS($V$1006:X1006),$V$1006:$AE$1006,0)), HYPERLINK("#",""), HYPERLINK(CONCATENATE("#Metadata!", ADDRESS(INDEX($Q$2:$Q$1001,MATCH(ROWS($O$2:O960),$O$2:$O$1001,0),0), INDEX($V$1004:$AE$1004,1,MATCH(COLUMNS($V$1006:X1006),$V$1006:$AE$1006,0)))),"Fix")))</f>
        <v>0</v>
      </c>
      <c r="E960" s="4">
        <f>IF(OR(INDEX($P$2:$P$1001,MATCH(ROWS($O$2:O960),$O$2:$O$1001,0),1)&gt;=100000,INDEX($V$1005:$AE$1005,1,MATCH(COLUMNS($V$1006:Y1006),$V$1006:$AE$1006,0))&gt;=100000), " ",IF(INDEX($V$2:$AE$1001,MATCH(ROWS($O$2:O960),$O$2:$O$1001,0),MATCH(COLUMNS($V$1006:Y1006),$V$1006:$AE$1006,0)), HYPERLINK("#",""), HYPERLINK(CONCATENATE("#Metadata!", ADDRESS(INDEX($Q$2:$Q$1001,MATCH(ROWS($O$2:O960),$O$2:$O$1001,0),0), INDEX($V$1004:$AE$1004,1,MATCH(COLUMNS($V$1006:Y1006),$V$1006:$AE$1006,0)))),"Fix")))</f>
        <v>0</v>
      </c>
      <c r="F960" s="4">
        <f>IF(OR(INDEX($P$2:$P$1001,MATCH(ROWS($O$2:O960),$O$2:$O$1001,0),1)&gt;=100000,INDEX($V$1005:$AE$1005,1,MATCH(COLUMNS($V$1006:Z1006),$V$1006:$AE$1006,0))&gt;=100000), " ",IF(INDEX($V$2:$AE$1001,MATCH(ROWS($O$2:O960),$O$2:$O$1001,0),MATCH(COLUMNS($V$1006:Z1006),$V$1006:$AE$1006,0)), HYPERLINK("#",""), HYPERLINK(CONCATENATE("#Metadata!", ADDRESS(INDEX($Q$2:$Q$1001,MATCH(ROWS($O$2:O960),$O$2:$O$1001,0),0), INDEX($V$1004:$AE$1004,1,MATCH(COLUMNS($V$1006:Z1006),$V$1006:$AE$1006,0)))),"Fix")))</f>
        <v>0</v>
      </c>
      <c r="G960" s="4">
        <f>IF(OR(INDEX($P$2:$P$1001,MATCH(ROWS($O$2:O960),$O$2:$O$1001,0),1)&gt;=100000,INDEX($V$1005:$AE$1005,1,MATCH(COLUMNS($V$1006:AA1006),$V$1006:$AE$1006,0))&gt;=100000), " ",IF(INDEX($V$2:$AE$1001,MATCH(ROWS($O$2:O960),$O$2:$O$1001,0),MATCH(COLUMNS($V$1006:AA1006),$V$1006:$AE$1006,0)), HYPERLINK("#",""), HYPERLINK(CONCATENATE("#Metadata!", ADDRESS(INDEX($Q$2:$Q$1001,MATCH(ROWS($O$2:O960),$O$2:$O$1001,0),0), INDEX($V$1004:$AE$1004,1,MATCH(COLUMNS($V$1006:AA1006),$V$1006:$AE$1006,0)))),"Fix")))</f>
        <v>0</v>
      </c>
      <c r="H960" s="4">
        <f>IF(OR(INDEX($P$2:$P$1001,MATCH(ROWS($O$2:O960),$O$2:$O$1001,0),1)&gt;=100000,INDEX($V$1005:$AE$1005,1,MATCH(COLUMNS($V$1006:AB1006),$V$1006:$AE$1006,0))&gt;=100000), " ",IF(INDEX($V$2:$AE$1001,MATCH(ROWS($O$2:O960),$O$2:$O$1001,0),MATCH(COLUMNS($V$1006:AB1006),$V$1006:$AE$1006,0)), HYPERLINK("#",""), HYPERLINK(CONCATENATE("#Metadata!", ADDRESS(INDEX($Q$2:$Q$1001,MATCH(ROWS($O$2:O960),$O$2:$O$1001,0),0), INDEX($V$1004:$AE$1004,1,MATCH(COLUMNS($V$1006:AB1006),$V$1006:$AE$1006,0)))),"Fix")))</f>
        <v>0</v>
      </c>
      <c r="I960" s="4">
        <f>IF(OR(INDEX($P$2:$P$1001,MATCH(ROWS($O$2:O960),$O$2:$O$1001,0),1)&gt;=100000,INDEX($V$1005:$AE$1005,1,MATCH(COLUMNS($V$1006:AC1006),$V$1006:$AE$1006,0))&gt;=100000), " ",IF(INDEX($V$2:$AE$1001,MATCH(ROWS($O$2:O960),$O$2:$O$1001,0),MATCH(COLUMNS($V$1006:AC1006),$V$1006:$AE$1006,0)), HYPERLINK("#",""), HYPERLINK(CONCATENATE("#Metadata!", ADDRESS(INDEX($Q$2:$Q$1001,MATCH(ROWS($O$2:O960),$O$2:$O$1001,0),0), INDEX($V$1004:$AE$1004,1,MATCH(COLUMNS($V$1006:AC1006),$V$1006:$AE$1006,0)))),"Fix")))</f>
        <v>0</v>
      </c>
      <c r="J960" s="4">
        <f>IF(OR(INDEX($P$2:$P$1001,MATCH(ROWS($O$2:O960),$O$2:$O$1001,0),1)&gt;=100000,INDEX($V$1005:$AE$1005,1,MATCH(COLUMNS($V$1006:AD1006),$V$1006:$AE$1006,0))&gt;=100000), " ",IF(INDEX($V$2:$AE$1001,MATCH(ROWS($O$2:O960),$O$2:$O$1001,0),MATCH(COLUMNS($V$1006:AD1006),$V$1006:$AE$1006,0)), HYPERLINK("#",""), HYPERLINK(CONCATENATE("#Metadata!", ADDRESS(INDEX($Q$2:$Q$1001,MATCH(ROWS($O$2:O960),$O$2:$O$1001,0),0), INDEX($V$1004:$AE$1004,1,MATCH(COLUMNS($V$1006:AD1006),$V$1006:$AE$1006,0)))),"Fix")))</f>
        <v>0</v>
      </c>
      <c r="K960" s="4">
        <f>IF(OR(INDEX($P$2:$P$1001,MATCH(ROWS($O$2:O960),$O$2:$O$1001,0),1)&gt;=100000,INDEX($V$1005:$AE$1005,1,MATCH(COLUMNS($V$1006:AE1006),$V$1006:$AE$1006,0))&gt;=100000), " ",IF(INDEX($V$2:$AE$1001,MATCH(ROWS($O$2:O960),$O$2:$O$1001,0),MATCH(COLUMNS($V$1006:AE1006),$V$1006:$AE$1006,0)), HYPERLINK("#",""), HYPERLINK(CONCATENATE("#Metadata!", ADDRESS(INDEX($Q$2:$Q$1001,MATCH(ROWS($O$2:O960),$O$2:$O$1001,0),0), INDEX($V$1004:$AE$1004,1,MATCH(COLUMNS($V$1006:AE1006),$V$1006:$AE$1006,0)))),"Fix")))</f>
        <v>0</v>
      </c>
      <c r="O960">
        <v>0</v>
      </c>
      <c r="P960">
        <v>0</v>
      </c>
      <c r="Q960">
        <v>0</v>
      </c>
      <c r="R960">
        <f>IF(S960,TRUE,AND(V960:AE960))</f>
        <v>0</v>
      </c>
      <c r="S960">
        <f>COUNTBLANK(Metadata!B960:K960)=COLUMNS(Metadata!B960:K960)</f>
        <v>0</v>
      </c>
      <c r="T960">
        <v>0</v>
      </c>
      <c r="V960">
        <f>AND(IF(Metadata!B960="",FALSE,TRUE),COUNTIF(Metadata!B:B, Metadata!B960) = 1,NOT(ISERROR(SUMPRODUCT(SEARCH(MID(Metadata!B960,ROW(INDIRECT("1:"&amp;LEN(Metadata!B960))), 1),"0123456789abcdefghijklmnopqrstuvwxyzABCDEFGHIJKLMNOPQRSTUVWXYZ.")))))</f>
        <v>0</v>
      </c>
      <c r="W960">
        <f>AND(IF(Metadata!C960="",FALSE,TRUE),exact(Metadata!C960,"urban biome"))</f>
        <v>0</v>
      </c>
      <c r="X960">
        <f>AND(IF(Metadata!D960="",FALSE,TRUE),exact(Metadata!D960,"animal-associated habitat"))</f>
        <v>0</v>
      </c>
      <c r="Y960">
        <f>OR(AND(IF(Metadata!E960="",FALSE,TRUE),OR(exact(Metadata!E960,"not applicable"),exact(Metadata!E960,"missing: not collected"),exact(Metadata!E960,"missing: not provided"),exact(Metadata!E960,"missing: restricted access"))),AND(IF(Metadata!E960="",FALSE,ISNUMBER(VALUE(Metadata!E960))),Metadata!E960&gt;0))</f>
        <v>0</v>
      </c>
      <c r="Z960">
        <f>AND(IF(Metadata!F960="",FALSE,TRUE),exact(Metadata!F960,"weeks"))</f>
        <v>0</v>
      </c>
      <c r="AA960">
        <f>AND(IF(Metadata!G960="",FALSE,TRUE),exact(Metadata!G960,"mouse"))</f>
        <v>0</v>
      </c>
      <c r="AB960">
        <f>AND(IF(Metadata!H960="",FALSE,TRUE),exact(Metadata!H960,"Mus musculus"))</f>
        <v>0</v>
      </c>
      <c r="AC960">
        <f>AND(IF(Metadata!I960="",FALSE,TRUE),exact(Metadata!I960,"10090"))</f>
        <v>0</v>
      </c>
      <c r="AD960">
        <f>OR(AND(IF(Metadata!J960="",FALSE,TRUE),OR(exact(Metadata!J960,"not applicable"),exact(Metadata!J960,"missing: not collected"),exact(Metadata!J960,"missing: not provided"),exact(Metadata!J960,"missing: restricted access"))),AND(IF(Metadata!J960="",FALSE,ISNUMBER(VALUE(Metadata!J960))),Metadata!J960&gt;0))</f>
        <v>0</v>
      </c>
      <c r="AE960">
        <f>AND(IF(Metadata!K960="",FALSE,TRUE),exact(Metadata!K960,"g"))</f>
        <v>0</v>
      </c>
    </row>
    <row r="961" spans="1:31">
      <c r="A961" s="5">
        <f>IF(B961=" "," ",HYPERLINK(CONCATENATE("#metadata!",ADDRESS(INDEX($Q$2:$Q$1001,MATCH(ROWS($O$2:O961),$O$2:$O$1001,0),0),1)),INDEX($T$2:$T$1001,MATCH(ROWS($O$2:O961),$O$2:$O$1001,0),0)))</f>
        <v>0</v>
      </c>
      <c r="B961" s="4">
        <f>IF(OR(INDEX($P$2:$P$1001,MATCH(ROWS($O$2:O961),$O$2:$O$1001,0),1)&gt;=100000,INDEX($V$1005:$AE$1005,1,MATCH(COLUMNS($V$1006:V1006),$V$1006:$AE$1006,0))&gt;=100000), " ",IF(INDEX($V$2:$AE$1001,MATCH(ROWS($O$2:O961),$O$2:$O$1001,0),MATCH(COLUMNS($V$1006:V1006),$V$1006:$AE$1006,0)), HYPERLINK("#",""), HYPERLINK(CONCATENATE("#Metadata!", ADDRESS(INDEX($Q$2:$Q$1001,MATCH(ROWS($O$2:O961),$O$2:$O$1001,0),0), INDEX($V$1004:$AE$1004,1,MATCH(COLUMNS($V$1006:V1006),$V$1006:$AE$1006,0)))),"Fix")))</f>
        <v>0</v>
      </c>
      <c r="C961" s="4">
        <f>IF(OR(INDEX($P$2:$P$1001,MATCH(ROWS($O$2:O961),$O$2:$O$1001,0),1)&gt;=100000,INDEX($V$1005:$AE$1005,1,MATCH(COLUMNS($V$1006:W1006),$V$1006:$AE$1006,0))&gt;=100000), " ",IF(INDEX($V$2:$AE$1001,MATCH(ROWS($O$2:O961),$O$2:$O$1001,0),MATCH(COLUMNS($V$1006:W1006),$V$1006:$AE$1006,0)), HYPERLINK("#",""), HYPERLINK(CONCATENATE("#Metadata!", ADDRESS(INDEX($Q$2:$Q$1001,MATCH(ROWS($O$2:O961),$O$2:$O$1001,0),0), INDEX($V$1004:$AE$1004,1,MATCH(COLUMNS($V$1006:W1006),$V$1006:$AE$1006,0)))),"Fix")))</f>
        <v>0</v>
      </c>
      <c r="D961" s="4">
        <f>IF(OR(INDEX($P$2:$P$1001,MATCH(ROWS($O$2:O961),$O$2:$O$1001,0),1)&gt;=100000,INDEX($V$1005:$AE$1005,1,MATCH(COLUMNS($V$1006:X1006),$V$1006:$AE$1006,0))&gt;=100000), " ",IF(INDEX($V$2:$AE$1001,MATCH(ROWS($O$2:O961),$O$2:$O$1001,0),MATCH(COLUMNS($V$1006:X1006),$V$1006:$AE$1006,0)), HYPERLINK("#",""), HYPERLINK(CONCATENATE("#Metadata!", ADDRESS(INDEX($Q$2:$Q$1001,MATCH(ROWS($O$2:O961),$O$2:$O$1001,0),0), INDEX($V$1004:$AE$1004,1,MATCH(COLUMNS($V$1006:X1006),$V$1006:$AE$1006,0)))),"Fix")))</f>
        <v>0</v>
      </c>
      <c r="E961" s="4">
        <f>IF(OR(INDEX($P$2:$P$1001,MATCH(ROWS($O$2:O961),$O$2:$O$1001,0),1)&gt;=100000,INDEX($V$1005:$AE$1005,1,MATCH(COLUMNS($V$1006:Y1006),$V$1006:$AE$1006,0))&gt;=100000), " ",IF(INDEX($V$2:$AE$1001,MATCH(ROWS($O$2:O961),$O$2:$O$1001,0),MATCH(COLUMNS($V$1006:Y1006),$V$1006:$AE$1006,0)), HYPERLINK("#",""), HYPERLINK(CONCATENATE("#Metadata!", ADDRESS(INDEX($Q$2:$Q$1001,MATCH(ROWS($O$2:O961),$O$2:$O$1001,0),0), INDEX($V$1004:$AE$1004,1,MATCH(COLUMNS($V$1006:Y1006),$V$1006:$AE$1006,0)))),"Fix")))</f>
        <v>0</v>
      </c>
      <c r="F961" s="4">
        <f>IF(OR(INDEX($P$2:$P$1001,MATCH(ROWS($O$2:O961),$O$2:$O$1001,0),1)&gt;=100000,INDEX($V$1005:$AE$1005,1,MATCH(COLUMNS($V$1006:Z1006),$V$1006:$AE$1006,0))&gt;=100000), " ",IF(INDEX($V$2:$AE$1001,MATCH(ROWS($O$2:O961),$O$2:$O$1001,0),MATCH(COLUMNS($V$1006:Z1006),$V$1006:$AE$1006,0)), HYPERLINK("#",""), HYPERLINK(CONCATENATE("#Metadata!", ADDRESS(INDEX($Q$2:$Q$1001,MATCH(ROWS($O$2:O961),$O$2:$O$1001,0),0), INDEX($V$1004:$AE$1004,1,MATCH(COLUMNS($V$1006:Z1006),$V$1006:$AE$1006,0)))),"Fix")))</f>
        <v>0</v>
      </c>
      <c r="G961" s="4">
        <f>IF(OR(INDEX($P$2:$P$1001,MATCH(ROWS($O$2:O961),$O$2:$O$1001,0),1)&gt;=100000,INDEX($V$1005:$AE$1005,1,MATCH(COLUMNS($V$1006:AA1006),$V$1006:$AE$1006,0))&gt;=100000), " ",IF(INDEX($V$2:$AE$1001,MATCH(ROWS($O$2:O961),$O$2:$O$1001,0),MATCH(COLUMNS($V$1006:AA1006),$V$1006:$AE$1006,0)), HYPERLINK("#",""), HYPERLINK(CONCATENATE("#Metadata!", ADDRESS(INDEX($Q$2:$Q$1001,MATCH(ROWS($O$2:O961),$O$2:$O$1001,0),0), INDEX($V$1004:$AE$1004,1,MATCH(COLUMNS($V$1006:AA1006),$V$1006:$AE$1006,0)))),"Fix")))</f>
        <v>0</v>
      </c>
      <c r="H961" s="4">
        <f>IF(OR(INDEX($P$2:$P$1001,MATCH(ROWS($O$2:O961),$O$2:$O$1001,0),1)&gt;=100000,INDEX($V$1005:$AE$1005,1,MATCH(COLUMNS($V$1006:AB1006),$V$1006:$AE$1006,0))&gt;=100000), " ",IF(INDEX($V$2:$AE$1001,MATCH(ROWS($O$2:O961),$O$2:$O$1001,0),MATCH(COLUMNS($V$1006:AB1006),$V$1006:$AE$1006,0)), HYPERLINK("#",""), HYPERLINK(CONCATENATE("#Metadata!", ADDRESS(INDEX($Q$2:$Q$1001,MATCH(ROWS($O$2:O961),$O$2:$O$1001,0),0), INDEX($V$1004:$AE$1004,1,MATCH(COLUMNS($V$1006:AB1006),$V$1006:$AE$1006,0)))),"Fix")))</f>
        <v>0</v>
      </c>
      <c r="I961" s="4">
        <f>IF(OR(INDEX($P$2:$P$1001,MATCH(ROWS($O$2:O961),$O$2:$O$1001,0),1)&gt;=100000,INDEX($V$1005:$AE$1005,1,MATCH(COLUMNS($V$1006:AC1006),$V$1006:$AE$1006,0))&gt;=100000), " ",IF(INDEX($V$2:$AE$1001,MATCH(ROWS($O$2:O961),$O$2:$O$1001,0),MATCH(COLUMNS($V$1006:AC1006),$V$1006:$AE$1006,0)), HYPERLINK("#",""), HYPERLINK(CONCATENATE("#Metadata!", ADDRESS(INDEX($Q$2:$Q$1001,MATCH(ROWS($O$2:O961),$O$2:$O$1001,0),0), INDEX($V$1004:$AE$1004,1,MATCH(COLUMNS($V$1006:AC1006),$V$1006:$AE$1006,0)))),"Fix")))</f>
        <v>0</v>
      </c>
      <c r="J961" s="4">
        <f>IF(OR(INDEX($P$2:$P$1001,MATCH(ROWS($O$2:O961),$O$2:$O$1001,0),1)&gt;=100000,INDEX($V$1005:$AE$1005,1,MATCH(COLUMNS($V$1006:AD1006),$V$1006:$AE$1006,0))&gt;=100000), " ",IF(INDEX($V$2:$AE$1001,MATCH(ROWS($O$2:O961),$O$2:$O$1001,0),MATCH(COLUMNS($V$1006:AD1006),$V$1006:$AE$1006,0)), HYPERLINK("#",""), HYPERLINK(CONCATENATE("#Metadata!", ADDRESS(INDEX($Q$2:$Q$1001,MATCH(ROWS($O$2:O961),$O$2:$O$1001,0),0), INDEX($V$1004:$AE$1004,1,MATCH(COLUMNS($V$1006:AD1006),$V$1006:$AE$1006,0)))),"Fix")))</f>
        <v>0</v>
      </c>
      <c r="K961" s="4">
        <f>IF(OR(INDEX($P$2:$P$1001,MATCH(ROWS($O$2:O961),$O$2:$O$1001,0),1)&gt;=100000,INDEX($V$1005:$AE$1005,1,MATCH(COLUMNS($V$1006:AE1006),$V$1006:$AE$1006,0))&gt;=100000), " ",IF(INDEX($V$2:$AE$1001,MATCH(ROWS($O$2:O961),$O$2:$O$1001,0),MATCH(COLUMNS($V$1006:AE1006),$V$1006:$AE$1006,0)), HYPERLINK("#",""), HYPERLINK(CONCATENATE("#Metadata!", ADDRESS(INDEX($Q$2:$Q$1001,MATCH(ROWS($O$2:O961),$O$2:$O$1001,0),0), INDEX($V$1004:$AE$1004,1,MATCH(COLUMNS($V$1006:AE1006),$V$1006:$AE$1006,0)))),"Fix")))</f>
        <v>0</v>
      </c>
      <c r="O961">
        <v>0</v>
      </c>
      <c r="P961">
        <v>0</v>
      </c>
      <c r="Q961">
        <v>0</v>
      </c>
      <c r="R961">
        <f>IF(S961,TRUE,AND(V961:AE961))</f>
        <v>0</v>
      </c>
      <c r="S961">
        <f>COUNTBLANK(Metadata!B961:K961)=COLUMNS(Metadata!B961:K961)</f>
        <v>0</v>
      </c>
      <c r="T961">
        <v>0</v>
      </c>
      <c r="V961">
        <f>AND(IF(Metadata!B961="",FALSE,TRUE),COUNTIF(Metadata!B:B, Metadata!B961) = 1,NOT(ISERROR(SUMPRODUCT(SEARCH(MID(Metadata!B961,ROW(INDIRECT("1:"&amp;LEN(Metadata!B961))), 1),"0123456789abcdefghijklmnopqrstuvwxyzABCDEFGHIJKLMNOPQRSTUVWXYZ.")))))</f>
        <v>0</v>
      </c>
      <c r="W961">
        <f>AND(IF(Metadata!C961="",FALSE,TRUE),exact(Metadata!C961,"urban biome"))</f>
        <v>0</v>
      </c>
      <c r="X961">
        <f>AND(IF(Metadata!D961="",FALSE,TRUE),exact(Metadata!D961,"animal-associated habitat"))</f>
        <v>0</v>
      </c>
      <c r="Y961">
        <f>OR(AND(IF(Metadata!E961="",FALSE,TRUE),OR(exact(Metadata!E961,"not applicable"),exact(Metadata!E961,"missing: not collected"),exact(Metadata!E961,"missing: not provided"),exact(Metadata!E961,"missing: restricted access"))),AND(IF(Metadata!E961="",FALSE,ISNUMBER(VALUE(Metadata!E961))),Metadata!E961&gt;0))</f>
        <v>0</v>
      </c>
      <c r="Z961">
        <f>AND(IF(Metadata!F961="",FALSE,TRUE),exact(Metadata!F961,"weeks"))</f>
        <v>0</v>
      </c>
      <c r="AA961">
        <f>AND(IF(Metadata!G961="",FALSE,TRUE),exact(Metadata!G961,"mouse"))</f>
        <v>0</v>
      </c>
      <c r="AB961">
        <f>AND(IF(Metadata!H961="",FALSE,TRUE),exact(Metadata!H961,"Mus musculus"))</f>
        <v>0</v>
      </c>
      <c r="AC961">
        <f>AND(IF(Metadata!I961="",FALSE,TRUE),exact(Metadata!I961,"10090"))</f>
        <v>0</v>
      </c>
      <c r="AD961">
        <f>OR(AND(IF(Metadata!J961="",FALSE,TRUE),OR(exact(Metadata!J961,"not applicable"),exact(Metadata!J961,"missing: not collected"),exact(Metadata!J961,"missing: not provided"),exact(Metadata!J961,"missing: restricted access"))),AND(IF(Metadata!J961="",FALSE,ISNUMBER(VALUE(Metadata!J961))),Metadata!J961&gt;0))</f>
        <v>0</v>
      </c>
      <c r="AE961">
        <f>AND(IF(Metadata!K961="",FALSE,TRUE),exact(Metadata!K961,"g"))</f>
        <v>0</v>
      </c>
    </row>
    <row r="962" spans="1:31">
      <c r="A962" s="5">
        <f>IF(B962=" "," ",HYPERLINK(CONCATENATE("#metadata!",ADDRESS(INDEX($Q$2:$Q$1001,MATCH(ROWS($O$2:O962),$O$2:$O$1001,0),0),1)),INDEX($T$2:$T$1001,MATCH(ROWS($O$2:O962),$O$2:$O$1001,0),0)))</f>
        <v>0</v>
      </c>
      <c r="B962" s="4">
        <f>IF(OR(INDEX($P$2:$P$1001,MATCH(ROWS($O$2:O962),$O$2:$O$1001,0),1)&gt;=100000,INDEX($V$1005:$AE$1005,1,MATCH(COLUMNS($V$1006:V1006),$V$1006:$AE$1006,0))&gt;=100000), " ",IF(INDEX($V$2:$AE$1001,MATCH(ROWS($O$2:O962),$O$2:$O$1001,0),MATCH(COLUMNS($V$1006:V1006),$V$1006:$AE$1006,0)), HYPERLINK("#",""), HYPERLINK(CONCATENATE("#Metadata!", ADDRESS(INDEX($Q$2:$Q$1001,MATCH(ROWS($O$2:O962),$O$2:$O$1001,0),0), INDEX($V$1004:$AE$1004,1,MATCH(COLUMNS($V$1006:V1006),$V$1006:$AE$1006,0)))),"Fix")))</f>
        <v>0</v>
      </c>
      <c r="C962" s="4">
        <f>IF(OR(INDEX($P$2:$P$1001,MATCH(ROWS($O$2:O962),$O$2:$O$1001,0),1)&gt;=100000,INDEX($V$1005:$AE$1005,1,MATCH(COLUMNS($V$1006:W1006),$V$1006:$AE$1006,0))&gt;=100000), " ",IF(INDEX($V$2:$AE$1001,MATCH(ROWS($O$2:O962),$O$2:$O$1001,0),MATCH(COLUMNS($V$1006:W1006),$V$1006:$AE$1006,0)), HYPERLINK("#",""), HYPERLINK(CONCATENATE("#Metadata!", ADDRESS(INDEX($Q$2:$Q$1001,MATCH(ROWS($O$2:O962),$O$2:$O$1001,0),0), INDEX($V$1004:$AE$1004,1,MATCH(COLUMNS($V$1006:W1006),$V$1006:$AE$1006,0)))),"Fix")))</f>
        <v>0</v>
      </c>
      <c r="D962" s="4">
        <f>IF(OR(INDEX($P$2:$P$1001,MATCH(ROWS($O$2:O962),$O$2:$O$1001,0),1)&gt;=100000,INDEX($V$1005:$AE$1005,1,MATCH(COLUMNS($V$1006:X1006),$V$1006:$AE$1006,0))&gt;=100000), " ",IF(INDEX($V$2:$AE$1001,MATCH(ROWS($O$2:O962),$O$2:$O$1001,0),MATCH(COLUMNS($V$1006:X1006),$V$1006:$AE$1006,0)), HYPERLINK("#",""), HYPERLINK(CONCATENATE("#Metadata!", ADDRESS(INDEX($Q$2:$Q$1001,MATCH(ROWS($O$2:O962),$O$2:$O$1001,0),0), INDEX($V$1004:$AE$1004,1,MATCH(COLUMNS($V$1006:X1006),$V$1006:$AE$1006,0)))),"Fix")))</f>
        <v>0</v>
      </c>
      <c r="E962" s="4">
        <f>IF(OR(INDEX($P$2:$P$1001,MATCH(ROWS($O$2:O962),$O$2:$O$1001,0),1)&gt;=100000,INDEX($V$1005:$AE$1005,1,MATCH(COLUMNS($V$1006:Y1006),$V$1006:$AE$1006,0))&gt;=100000), " ",IF(INDEX($V$2:$AE$1001,MATCH(ROWS($O$2:O962),$O$2:$O$1001,0),MATCH(COLUMNS($V$1006:Y1006),$V$1006:$AE$1006,0)), HYPERLINK("#",""), HYPERLINK(CONCATENATE("#Metadata!", ADDRESS(INDEX($Q$2:$Q$1001,MATCH(ROWS($O$2:O962),$O$2:$O$1001,0),0), INDEX($V$1004:$AE$1004,1,MATCH(COLUMNS($V$1006:Y1006),$V$1006:$AE$1006,0)))),"Fix")))</f>
        <v>0</v>
      </c>
      <c r="F962" s="4">
        <f>IF(OR(INDEX($P$2:$P$1001,MATCH(ROWS($O$2:O962),$O$2:$O$1001,0),1)&gt;=100000,INDEX($V$1005:$AE$1005,1,MATCH(COLUMNS($V$1006:Z1006),$V$1006:$AE$1006,0))&gt;=100000), " ",IF(INDEX($V$2:$AE$1001,MATCH(ROWS($O$2:O962),$O$2:$O$1001,0),MATCH(COLUMNS($V$1006:Z1006),$V$1006:$AE$1006,0)), HYPERLINK("#",""), HYPERLINK(CONCATENATE("#Metadata!", ADDRESS(INDEX($Q$2:$Q$1001,MATCH(ROWS($O$2:O962),$O$2:$O$1001,0),0), INDEX($V$1004:$AE$1004,1,MATCH(COLUMNS($V$1006:Z1006),$V$1006:$AE$1006,0)))),"Fix")))</f>
        <v>0</v>
      </c>
      <c r="G962" s="4">
        <f>IF(OR(INDEX($P$2:$P$1001,MATCH(ROWS($O$2:O962),$O$2:$O$1001,0),1)&gt;=100000,INDEX($V$1005:$AE$1005,1,MATCH(COLUMNS($V$1006:AA1006),$V$1006:$AE$1006,0))&gt;=100000), " ",IF(INDEX($V$2:$AE$1001,MATCH(ROWS($O$2:O962),$O$2:$O$1001,0),MATCH(COLUMNS($V$1006:AA1006),$V$1006:$AE$1006,0)), HYPERLINK("#",""), HYPERLINK(CONCATENATE("#Metadata!", ADDRESS(INDEX($Q$2:$Q$1001,MATCH(ROWS($O$2:O962),$O$2:$O$1001,0),0), INDEX($V$1004:$AE$1004,1,MATCH(COLUMNS($V$1006:AA1006),$V$1006:$AE$1006,0)))),"Fix")))</f>
        <v>0</v>
      </c>
      <c r="H962" s="4">
        <f>IF(OR(INDEX($P$2:$P$1001,MATCH(ROWS($O$2:O962),$O$2:$O$1001,0),1)&gt;=100000,INDEX($V$1005:$AE$1005,1,MATCH(COLUMNS($V$1006:AB1006),$V$1006:$AE$1006,0))&gt;=100000), " ",IF(INDEX($V$2:$AE$1001,MATCH(ROWS($O$2:O962),$O$2:$O$1001,0),MATCH(COLUMNS($V$1006:AB1006),$V$1006:$AE$1006,0)), HYPERLINK("#",""), HYPERLINK(CONCATENATE("#Metadata!", ADDRESS(INDEX($Q$2:$Q$1001,MATCH(ROWS($O$2:O962),$O$2:$O$1001,0),0), INDEX($V$1004:$AE$1004,1,MATCH(COLUMNS($V$1006:AB1006),$V$1006:$AE$1006,0)))),"Fix")))</f>
        <v>0</v>
      </c>
      <c r="I962" s="4">
        <f>IF(OR(INDEX($P$2:$P$1001,MATCH(ROWS($O$2:O962),$O$2:$O$1001,0),1)&gt;=100000,INDEX($V$1005:$AE$1005,1,MATCH(COLUMNS($V$1006:AC1006),$V$1006:$AE$1006,0))&gt;=100000), " ",IF(INDEX($V$2:$AE$1001,MATCH(ROWS($O$2:O962),$O$2:$O$1001,0),MATCH(COLUMNS($V$1006:AC1006),$V$1006:$AE$1006,0)), HYPERLINK("#",""), HYPERLINK(CONCATENATE("#Metadata!", ADDRESS(INDEX($Q$2:$Q$1001,MATCH(ROWS($O$2:O962),$O$2:$O$1001,0),0), INDEX($V$1004:$AE$1004,1,MATCH(COLUMNS($V$1006:AC1006),$V$1006:$AE$1006,0)))),"Fix")))</f>
        <v>0</v>
      </c>
      <c r="J962" s="4">
        <f>IF(OR(INDEX($P$2:$P$1001,MATCH(ROWS($O$2:O962),$O$2:$O$1001,0),1)&gt;=100000,INDEX($V$1005:$AE$1005,1,MATCH(COLUMNS($V$1006:AD1006),$V$1006:$AE$1006,0))&gt;=100000), " ",IF(INDEX($V$2:$AE$1001,MATCH(ROWS($O$2:O962),$O$2:$O$1001,0),MATCH(COLUMNS($V$1006:AD1006),$V$1006:$AE$1006,0)), HYPERLINK("#",""), HYPERLINK(CONCATENATE("#Metadata!", ADDRESS(INDEX($Q$2:$Q$1001,MATCH(ROWS($O$2:O962),$O$2:$O$1001,0),0), INDEX($V$1004:$AE$1004,1,MATCH(COLUMNS($V$1006:AD1006),$V$1006:$AE$1006,0)))),"Fix")))</f>
        <v>0</v>
      </c>
      <c r="K962" s="4">
        <f>IF(OR(INDEX($P$2:$P$1001,MATCH(ROWS($O$2:O962),$O$2:$O$1001,0),1)&gt;=100000,INDEX($V$1005:$AE$1005,1,MATCH(COLUMNS($V$1006:AE1006),$V$1006:$AE$1006,0))&gt;=100000), " ",IF(INDEX($V$2:$AE$1001,MATCH(ROWS($O$2:O962),$O$2:$O$1001,0),MATCH(COLUMNS($V$1006:AE1006),$V$1006:$AE$1006,0)), HYPERLINK("#",""), HYPERLINK(CONCATENATE("#Metadata!", ADDRESS(INDEX($Q$2:$Q$1001,MATCH(ROWS($O$2:O962),$O$2:$O$1001,0),0), INDEX($V$1004:$AE$1004,1,MATCH(COLUMNS($V$1006:AE1006),$V$1006:$AE$1006,0)))),"Fix")))</f>
        <v>0</v>
      </c>
      <c r="O962">
        <v>0</v>
      </c>
      <c r="P962">
        <v>0</v>
      </c>
      <c r="Q962">
        <v>0</v>
      </c>
      <c r="R962">
        <f>IF(S962,TRUE,AND(V962:AE962))</f>
        <v>0</v>
      </c>
      <c r="S962">
        <f>COUNTBLANK(Metadata!B962:K962)=COLUMNS(Metadata!B962:K962)</f>
        <v>0</v>
      </c>
      <c r="T962">
        <v>0</v>
      </c>
      <c r="V962">
        <f>AND(IF(Metadata!B962="",FALSE,TRUE),COUNTIF(Metadata!B:B, Metadata!B962) = 1,NOT(ISERROR(SUMPRODUCT(SEARCH(MID(Metadata!B962,ROW(INDIRECT("1:"&amp;LEN(Metadata!B962))), 1),"0123456789abcdefghijklmnopqrstuvwxyzABCDEFGHIJKLMNOPQRSTUVWXYZ.")))))</f>
        <v>0</v>
      </c>
      <c r="W962">
        <f>AND(IF(Metadata!C962="",FALSE,TRUE),exact(Metadata!C962,"urban biome"))</f>
        <v>0</v>
      </c>
      <c r="X962">
        <f>AND(IF(Metadata!D962="",FALSE,TRUE),exact(Metadata!D962,"animal-associated habitat"))</f>
        <v>0</v>
      </c>
      <c r="Y962">
        <f>OR(AND(IF(Metadata!E962="",FALSE,TRUE),OR(exact(Metadata!E962,"not applicable"),exact(Metadata!E962,"missing: not collected"),exact(Metadata!E962,"missing: not provided"),exact(Metadata!E962,"missing: restricted access"))),AND(IF(Metadata!E962="",FALSE,ISNUMBER(VALUE(Metadata!E962))),Metadata!E962&gt;0))</f>
        <v>0</v>
      </c>
      <c r="Z962">
        <f>AND(IF(Metadata!F962="",FALSE,TRUE),exact(Metadata!F962,"weeks"))</f>
        <v>0</v>
      </c>
      <c r="AA962">
        <f>AND(IF(Metadata!G962="",FALSE,TRUE),exact(Metadata!G962,"mouse"))</f>
        <v>0</v>
      </c>
      <c r="AB962">
        <f>AND(IF(Metadata!H962="",FALSE,TRUE),exact(Metadata!H962,"Mus musculus"))</f>
        <v>0</v>
      </c>
      <c r="AC962">
        <f>AND(IF(Metadata!I962="",FALSE,TRUE),exact(Metadata!I962,"10090"))</f>
        <v>0</v>
      </c>
      <c r="AD962">
        <f>OR(AND(IF(Metadata!J962="",FALSE,TRUE),OR(exact(Metadata!J962,"not applicable"),exact(Metadata!J962,"missing: not collected"),exact(Metadata!J962,"missing: not provided"),exact(Metadata!J962,"missing: restricted access"))),AND(IF(Metadata!J962="",FALSE,ISNUMBER(VALUE(Metadata!J962))),Metadata!J962&gt;0))</f>
        <v>0</v>
      </c>
      <c r="AE962">
        <f>AND(IF(Metadata!K962="",FALSE,TRUE),exact(Metadata!K962,"g"))</f>
        <v>0</v>
      </c>
    </row>
    <row r="963" spans="1:31">
      <c r="A963" s="5">
        <f>IF(B963=" "," ",HYPERLINK(CONCATENATE("#metadata!",ADDRESS(INDEX($Q$2:$Q$1001,MATCH(ROWS($O$2:O963),$O$2:$O$1001,0),0),1)),INDEX($T$2:$T$1001,MATCH(ROWS($O$2:O963),$O$2:$O$1001,0),0)))</f>
        <v>0</v>
      </c>
      <c r="B963" s="4">
        <f>IF(OR(INDEX($P$2:$P$1001,MATCH(ROWS($O$2:O963),$O$2:$O$1001,0),1)&gt;=100000,INDEX($V$1005:$AE$1005,1,MATCH(COLUMNS($V$1006:V1006),$V$1006:$AE$1006,0))&gt;=100000), " ",IF(INDEX($V$2:$AE$1001,MATCH(ROWS($O$2:O963),$O$2:$O$1001,0),MATCH(COLUMNS($V$1006:V1006),$V$1006:$AE$1006,0)), HYPERLINK("#",""), HYPERLINK(CONCATENATE("#Metadata!", ADDRESS(INDEX($Q$2:$Q$1001,MATCH(ROWS($O$2:O963),$O$2:$O$1001,0),0), INDEX($V$1004:$AE$1004,1,MATCH(COLUMNS($V$1006:V1006),$V$1006:$AE$1006,0)))),"Fix")))</f>
        <v>0</v>
      </c>
      <c r="C963" s="4">
        <f>IF(OR(INDEX($P$2:$P$1001,MATCH(ROWS($O$2:O963),$O$2:$O$1001,0),1)&gt;=100000,INDEX($V$1005:$AE$1005,1,MATCH(COLUMNS($V$1006:W1006),$V$1006:$AE$1006,0))&gt;=100000), " ",IF(INDEX($V$2:$AE$1001,MATCH(ROWS($O$2:O963),$O$2:$O$1001,0),MATCH(COLUMNS($V$1006:W1006),$V$1006:$AE$1006,0)), HYPERLINK("#",""), HYPERLINK(CONCATENATE("#Metadata!", ADDRESS(INDEX($Q$2:$Q$1001,MATCH(ROWS($O$2:O963),$O$2:$O$1001,0),0), INDEX($V$1004:$AE$1004,1,MATCH(COLUMNS($V$1006:W1006),$V$1006:$AE$1006,0)))),"Fix")))</f>
        <v>0</v>
      </c>
      <c r="D963" s="4">
        <f>IF(OR(INDEX($P$2:$P$1001,MATCH(ROWS($O$2:O963),$O$2:$O$1001,0),1)&gt;=100000,INDEX($V$1005:$AE$1005,1,MATCH(COLUMNS($V$1006:X1006),$V$1006:$AE$1006,0))&gt;=100000), " ",IF(INDEX($V$2:$AE$1001,MATCH(ROWS($O$2:O963),$O$2:$O$1001,0),MATCH(COLUMNS($V$1006:X1006),$V$1006:$AE$1006,0)), HYPERLINK("#",""), HYPERLINK(CONCATENATE("#Metadata!", ADDRESS(INDEX($Q$2:$Q$1001,MATCH(ROWS($O$2:O963),$O$2:$O$1001,0),0), INDEX($V$1004:$AE$1004,1,MATCH(COLUMNS($V$1006:X1006),$V$1006:$AE$1006,0)))),"Fix")))</f>
        <v>0</v>
      </c>
      <c r="E963" s="4">
        <f>IF(OR(INDEX($P$2:$P$1001,MATCH(ROWS($O$2:O963),$O$2:$O$1001,0),1)&gt;=100000,INDEX($V$1005:$AE$1005,1,MATCH(COLUMNS($V$1006:Y1006),$V$1006:$AE$1006,0))&gt;=100000), " ",IF(INDEX($V$2:$AE$1001,MATCH(ROWS($O$2:O963),$O$2:$O$1001,0),MATCH(COLUMNS($V$1006:Y1006),$V$1006:$AE$1006,0)), HYPERLINK("#",""), HYPERLINK(CONCATENATE("#Metadata!", ADDRESS(INDEX($Q$2:$Q$1001,MATCH(ROWS($O$2:O963),$O$2:$O$1001,0),0), INDEX($V$1004:$AE$1004,1,MATCH(COLUMNS($V$1006:Y1006),$V$1006:$AE$1006,0)))),"Fix")))</f>
        <v>0</v>
      </c>
      <c r="F963" s="4">
        <f>IF(OR(INDEX($P$2:$P$1001,MATCH(ROWS($O$2:O963),$O$2:$O$1001,0),1)&gt;=100000,INDEX($V$1005:$AE$1005,1,MATCH(COLUMNS($V$1006:Z1006),$V$1006:$AE$1006,0))&gt;=100000), " ",IF(INDEX($V$2:$AE$1001,MATCH(ROWS($O$2:O963),$O$2:$O$1001,0),MATCH(COLUMNS($V$1006:Z1006),$V$1006:$AE$1006,0)), HYPERLINK("#",""), HYPERLINK(CONCATENATE("#Metadata!", ADDRESS(INDEX($Q$2:$Q$1001,MATCH(ROWS($O$2:O963),$O$2:$O$1001,0),0), INDEX($V$1004:$AE$1004,1,MATCH(COLUMNS($V$1006:Z1006),$V$1006:$AE$1006,0)))),"Fix")))</f>
        <v>0</v>
      </c>
      <c r="G963" s="4">
        <f>IF(OR(INDEX($P$2:$P$1001,MATCH(ROWS($O$2:O963),$O$2:$O$1001,0),1)&gt;=100000,INDEX($V$1005:$AE$1005,1,MATCH(COLUMNS($V$1006:AA1006),$V$1006:$AE$1006,0))&gt;=100000), " ",IF(INDEX($V$2:$AE$1001,MATCH(ROWS($O$2:O963),$O$2:$O$1001,0),MATCH(COLUMNS($V$1006:AA1006),$V$1006:$AE$1006,0)), HYPERLINK("#",""), HYPERLINK(CONCATENATE("#Metadata!", ADDRESS(INDEX($Q$2:$Q$1001,MATCH(ROWS($O$2:O963),$O$2:$O$1001,0),0), INDEX($V$1004:$AE$1004,1,MATCH(COLUMNS($V$1006:AA1006),$V$1006:$AE$1006,0)))),"Fix")))</f>
        <v>0</v>
      </c>
      <c r="H963" s="4">
        <f>IF(OR(INDEX($P$2:$P$1001,MATCH(ROWS($O$2:O963),$O$2:$O$1001,0),1)&gt;=100000,INDEX($V$1005:$AE$1005,1,MATCH(COLUMNS($V$1006:AB1006),$V$1006:$AE$1006,0))&gt;=100000), " ",IF(INDEX($V$2:$AE$1001,MATCH(ROWS($O$2:O963),$O$2:$O$1001,0),MATCH(COLUMNS($V$1006:AB1006),$V$1006:$AE$1006,0)), HYPERLINK("#",""), HYPERLINK(CONCATENATE("#Metadata!", ADDRESS(INDEX($Q$2:$Q$1001,MATCH(ROWS($O$2:O963),$O$2:$O$1001,0),0), INDEX($V$1004:$AE$1004,1,MATCH(COLUMNS($V$1006:AB1006),$V$1006:$AE$1006,0)))),"Fix")))</f>
        <v>0</v>
      </c>
      <c r="I963" s="4">
        <f>IF(OR(INDEX($P$2:$P$1001,MATCH(ROWS($O$2:O963),$O$2:$O$1001,0),1)&gt;=100000,INDEX($V$1005:$AE$1005,1,MATCH(COLUMNS($V$1006:AC1006),$V$1006:$AE$1006,0))&gt;=100000), " ",IF(INDEX($V$2:$AE$1001,MATCH(ROWS($O$2:O963),$O$2:$O$1001,0),MATCH(COLUMNS($V$1006:AC1006),$V$1006:$AE$1006,0)), HYPERLINK("#",""), HYPERLINK(CONCATENATE("#Metadata!", ADDRESS(INDEX($Q$2:$Q$1001,MATCH(ROWS($O$2:O963),$O$2:$O$1001,0),0), INDEX($V$1004:$AE$1004,1,MATCH(COLUMNS($V$1006:AC1006),$V$1006:$AE$1006,0)))),"Fix")))</f>
        <v>0</v>
      </c>
      <c r="J963" s="4">
        <f>IF(OR(INDEX($P$2:$P$1001,MATCH(ROWS($O$2:O963),$O$2:$O$1001,0),1)&gt;=100000,INDEX($V$1005:$AE$1005,1,MATCH(COLUMNS($V$1006:AD1006),$V$1006:$AE$1006,0))&gt;=100000), " ",IF(INDEX($V$2:$AE$1001,MATCH(ROWS($O$2:O963),$O$2:$O$1001,0),MATCH(COLUMNS($V$1006:AD1006),$V$1006:$AE$1006,0)), HYPERLINK("#",""), HYPERLINK(CONCATENATE("#Metadata!", ADDRESS(INDEX($Q$2:$Q$1001,MATCH(ROWS($O$2:O963),$O$2:$O$1001,0),0), INDEX($V$1004:$AE$1004,1,MATCH(COLUMNS($V$1006:AD1006),$V$1006:$AE$1006,0)))),"Fix")))</f>
        <v>0</v>
      </c>
      <c r="K963" s="4">
        <f>IF(OR(INDEX($P$2:$P$1001,MATCH(ROWS($O$2:O963),$O$2:$O$1001,0),1)&gt;=100000,INDEX($V$1005:$AE$1005,1,MATCH(COLUMNS($V$1006:AE1006),$V$1006:$AE$1006,0))&gt;=100000), " ",IF(INDEX($V$2:$AE$1001,MATCH(ROWS($O$2:O963),$O$2:$O$1001,0),MATCH(COLUMNS($V$1006:AE1006),$V$1006:$AE$1006,0)), HYPERLINK("#",""), HYPERLINK(CONCATENATE("#Metadata!", ADDRESS(INDEX($Q$2:$Q$1001,MATCH(ROWS($O$2:O963),$O$2:$O$1001,0),0), INDEX($V$1004:$AE$1004,1,MATCH(COLUMNS($V$1006:AE1006),$V$1006:$AE$1006,0)))),"Fix")))</f>
        <v>0</v>
      </c>
      <c r="O963">
        <v>0</v>
      </c>
      <c r="P963">
        <v>0</v>
      </c>
      <c r="Q963">
        <v>0</v>
      </c>
      <c r="R963">
        <f>IF(S963,TRUE,AND(V963:AE963))</f>
        <v>0</v>
      </c>
      <c r="S963">
        <f>COUNTBLANK(Metadata!B963:K963)=COLUMNS(Metadata!B963:K963)</f>
        <v>0</v>
      </c>
      <c r="T963">
        <v>0</v>
      </c>
      <c r="V963">
        <f>AND(IF(Metadata!B963="",FALSE,TRUE),COUNTIF(Metadata!B:B, Metadata!B963) = 1,NOT(ISERROR(SUMPRODUCT(SEARCH(MID(Metadata!B963,ROW(INDIRECT("1:"&amp;LEN(Metadata!B963))), 1),"0123456789abcdefghijklmnopqrstuvwxyzABCDEFGHIJKLMNOPQRSTUVWXYZ.")))))</f>
        <v>0</v>
      </c>
      <c r="W963">
        <f>AND(IF(Metadata!C963="",FALSE,TRUE),exact(Metadata!C963,"urban biome"))</f>
        <v>0</v>
      </c>
      <c r="X963">
        <f>AND(IF(Metadata!D963="",FALSE,TRUE),exact(Metadata!D963,"animal-associated habitat"))</f>
        <v>0</v>
      </c>
      <c r="Y963">
        <f>OR(AND(IF(Metadata!E963="",FALSE,TRUE),OR(exact(Metadata!E963,"not applicable"),exact(Metadata!E963,"missing: not collected"),exact(Metadata!E963,"missing: not provided"),exact(Metadata!E963,"missing: restricted access"))),AND(IF(Metadata!E963="",FALSE,ISNUMBER(VALUE(Metadata!E963))),Metadata!E963&gt;0))</f>
        <v>0</v>
      </c>
      <c r="Z963">
        <f>AND(IF(Metadata!F963="",FALSE,TRUE),exact(Metadata!F963,"weeks"))</f>
        <v>0</v>
      </c>
      <c r="AA963">
        <f>AND(IF(Metadata!G963="",FALSE,TRUE),exact(Metadata!G963,"mouse"))</f>
        <v>0</v>
      </c>
      <c r="AB963">
        <f>AND(IF(Metadata!H963="",FALSE,TRUE),exact(Metadata!H963,"Mus musculus"))</f>
        <v>0</v>
      </c>
      <c r="AC963">
        <f>AND(IF(Metadata!I963="",FALSE,TRUE),exact(Metadata!I963,"10090"))</f>
        <v>0</v>
      </c>
      <c r="AD963">
        <f>OR(AND(IF(Metadata!J963="",FALSE,TRUE),OR(exact(Metadata!J963,"not applicable"),exact(Metadata!J963,"missing: not collected"),exact(Metadata!J963,"missing: not provided"),exact(Metadata!J963,"missing: restricted access"))),AND(IF(Metadata!J963="",FALSE,ISNUMBER(VALUE(Metadata!J963))),Metadata!J963&gt;0))</f>
        <v>0</v>
      </c>
      <c r="AE963">
        <f>AND(IF(Metadata!K963="",FALSE,TRUE),exact(Metadata!K963,"g"))</f>
        <v>0</v>
      </c>
    </row>
    <row r="964" spans="1:31">
      <c r="A964" s="5">
        <f>IF(B964=" "," ",HYPERLINK(CONCATENATE("#metadata!",ADDRESS(INDEX($Q$2:$Q$1001,MATCH(ROWS($O$2:O964),$O$2:$O$1001,0),0),1)),INDEX($T$2:$T$1001,MATCH(ROWS($O$2:O964),$O$2:$O$1001,0),0)))</f>
        <v>0</v>
      </c>
      <c r="B964" s="4">
        <f>IF(OR(INDEX($P$2:$P$1001,MATCH(ROWS($O$2:O964),$O$2:$O$1001,0),1)&gt;=100000,INDEX($V$1005:$AE$1005,1,MATCH(COLUMNS($V$1006:V1006),$V$1006:$AE$1006,0))&gt;=100000), " ",IF(INDEX($V$2:$AE$1001,MATCH(ROWS($O$2:O964),$O$2:$O$1001,0),MATCH(COLUMNS($V$1006:V1006),$V$1006:$AE$1006,0)), HYPERLINK("#",""), HYPERLINK(CONCATENATE("#Metadata!", ADDRESS(INDEX($Q$2:$Q$1001,MATCH(ROWS($O$2:O964),$O$2:$O$1001,0),0), INDEX($V$1004:$AE$1004,1,MATCH(COLUMNS($V$1006:V1006),$V$1006:$AE$1006,0)))),"Fix")))</f>
        <v>0</v>
      </c>
      <c r="C964" s="4">
        <f>IF(OR(INDEX($P$2:$P$1001,MATCH(ROWS($O$2:O964),$O$2:$O$1001,0),1)&gt;=100000,INDEX($V$1005:$AE$1005,1,MATCH(COLUMNS($V$1006:W1006),$V$1006:$AE$1006,0))&gt;=100000), " ",IF(INDEX($V$2:$AE$1001,MATCH(ROWS($O$2:O964),$O$2:$O$1001,0),MATCH(COLUMNS($V$1006:W1006),$V$1006:$AE$1006,0)), HYPERLINK("#",""), HYPERLINK(CONCATENATE("#Metadata!", ADDRESS(INDEX($Q$2:$Q$1001,MATCH(ROWS($O$2:O964),$O$2:$O$1001,0),0), INDEX($V$1004:$AE$1004,1,MATCH(COLUMNS($V$1006:W1006),$V$1006:$AE$1006,0)))),"Fix")))</f>
        <v>0</v>
      </c>
      <c r="D964" s="4">
        <f>IF(OR(INDEX($P$2:$P$1001,MATCH(ROWS($O$2:O964),$O$2:$O$1001,0),1)&gt;=100000,INDEX($V$1005:$AE$1005,1,MATCH(COLUMNS($V$1006:X1006),$V$1006:$AE$1006,0))&gt;=100000), " ",IF(INDEX($V$2:$AE$1001,MATCH(ROWS($O$2:O964),$O$2:$O$1001,0),MATCH(COLUMNS($V$1006:X1006),$V$1006:$AE$1006,0)), HYPERLINK("#",""), HYPERLINK(CONCATENATE("#Metadata!", ADDRESS(INDEX($Q$2:$Q$1001,MATCH(ROWS($O$2:O964),$O$2:$O$1001,0),0), INDEX($V$1004:$AE$1004,1,MATCH(COLUMNS($V$1006:X1006),$V$1006:$AE$1006,0)))),"Fix")))</f>
        <v>0</v>
      </c>
      <c r="E964" s="4">
        <f>IF(OR(INDEX($P$2:$P$1001,MATCH(ROWS($O$2:O964),$O$2:$O$1001,0),1)&gt;=100000,INDEX($V$1005:$AE$1005,1,MATCH(COLUMNS($V$1006:Y1006),$V$1006:$AE$1006,0))&gt;=100000), " ",IF(INDEX($V$2:$AE$1001,MATCH(ROWS($O$2:O964),$O$2:$O$1001,0),MATCH(COLUMNS($V$1006:Y1006),$V$1006:$AE$1006,0)), HYPERLINK("#",""), HYPERLINK(CONCATENATE("#Metadata!", ADDRESS(INDEX($Q$2:$Q$1001,MATCH(ROWS($O$2:O964),$O$2:$O$1001,0),0), INDEX($V$1004:$AE$1004,1,MATCH(COLUMNS($V$1006:Y1006),$V$1006:$AE$1006,0)))),"Fix")))</f>
        <v>0</v>
      </c>
      <c r="F964" s="4">
        <f>IF(OR(INDEX($P$2:$P$1001,MATCH(ROWS($O$2:O964),$O$2:$O$1001,0),1)&gt;=100000,INDEX($V$1005:$AE$1005,1,MATCH(COLUMNS($V$1006:Z1006),$V$1006:$AE$1006,0))&gt;=100000), " ",IF(INDEX($V$2:$AE$1001,MATCH(ROWS($O$2:O964),$O$2:$O$1001,0),MATCH(COLUMNS($V$1006:Z1006),$V$1006:$AE$1006,0)), HYPERLINK("#",""), HYPERLINK(CONCATENATE("#Metadata!", ADDRESS(INDEX($Q$2:$Q$1001,MATCH(ROWS($O$2:O964),$O$2:$O$1001,0),0), INDEX($V$1004:$AE$1004,1,MATCH(COLUMNS($V$1006:Z1006),$V$1006:$AE$1006,0)))),"Fix")))</f>
        <v>0</v>
      </c>
      <c r="G964" s="4">
        <f>IF(OR(INDEX($P$2:$P$1001,MATCH(ROWS($O$2:O964),$O$2:$O$1001,0),1)&gt;=100000,INDEX($V$1005:$AE$1005,1,MATCH(COLUMNS($V$1006:AA1006),$V$1006:$AE$1006,0))&gt;=100000), " ",IF(INDEX($V$2:$AE$1001,MATCH(ROWS($O$2:O964),$O$2:$O$1001,0),MATCH(COLUMNS($V$1006:AA1006),$V$1006:$AE$1006,0)), HYPERLINK("#",""), HYPERLINK(CONCATENATE("#Metadata!", ADDRESS(INDEX($Q$2:$Q$1001,MATCH(ROWS($O$2:O964),$O$2:$O$1001,0),0), INDEX($V$1004:$AE$1004,1,MATCH(COLUMNS($V$1006:AA1006),$V$1006:$AE$1006,0)))),"Fix")))</f>
        <v>0</v>
      </c>
      <c r="H964" s="4">
        <f>IF(OR(INDEX($P$2:$P$1001,MATCH(ROWS($O$2:O964),$O$2:$O$1001,0),1)&gt;=100000,INDEX($V$1005:$AE$1005,1,MATCH(COLUMNS($V$1006:AB1006),$V$1006:$AE$1006,0))&gt;=100000), " ",IF(INDEX($V$2:$AE$1001,MATCH(ROWS($O$2:O964),$O$2:$O$1001,0),MATCH(COLUMNS($V$1006:AB1006),$V$1006:$AE$1006,0)), HYPERLINK("#",""), HYPERLINK(CONCATENATE("#Metadata!", ADDRESS(INDEX($Q$2:$Q$1001,MATCH(ROWS($O$2:O964),$O$2:$O$1001,0),0), INDEX($V$1004:$AE$1004,1,MATCH(COLUMNS($V$1006:AB1006),$V$1006:$AE$1006,0)))),"Fix")))</f>
        <v>0</v>
      </c>
      <c r="I964" s="4">
        <f>IF(OR(INDEX($P$2:$P$1001,MATCH(ROWS($O$2:O964),$O$2:$O$1001,0),1)&gt;=100000,INDEX($V$1005:$AE$1005,1,MATCH(COLUMNS($V$1006:AC1006),$V$1006:$AE$1006,0))&gt;=100000), " ",IF(INDEX($V$2:$AE$1001,MATCH(ROWS($O$2:O964),$O$2:$O$1001,0),MATCH(COLUMNS($V$1006:AC1006),$V$1006:$AE$1006,0)), HYPERLINK("#",""), HYPERLINK(CONCATENATE("#Metadata!", ADDRESS(INDEX($Q$2:$Q$1001,MATCH(ROWS($O$2:O964),$O$2:$O$1001,0),0), INDEX($V$1004:$AE$1004,1,MATCH(COLUMNS($V$1006:AC1006),$V$1006:$AE$1006,0)))),"Fix")))</f>
        <v>0</v>
      </c>
      <c r="J964" s="4">
        <f>IF(OR(INDEX($P$2:$P$1001,MATCH(ROWS($O$2:O964),$O$2:$O$1001,0),1)&gt;=100000,INDEX($V$1005:$AE$1005,1,MATCH(COLUMNS($V$1006:AD1006),$V$1006:$AE$1006,0))&gt;=100000), " ",IF(INDEX($V$2:$AE$1001,MATCH(ROWS($O$2:O964),$O$2:$O$1001,0),MATCH(COLUMNS($V$1006:AD1006),$V$1006:$AE$1006,0)), HYPERLINK("#",""), HYPERLINK(CONCATENATE("#Metadata!", ADDRESS(INDEX($Q$2:$Q$1001,MATCH(ROWS($O$2:O964),$O$2:$O$1001,0),0), INDEX($V$1004:$AE$1004,1,MATCH(COLUMNS($V$1006:AD1006),$V$1006:$AE$1006,0)))),"Fix")))</f>
        <v>0</v>
      </c>
      <c r="K964" s="4">
        <f>IF(OR(INDEX($P$2:$P$1001,MATCH(ROWS($O$2:O964),$O$2:$O$1001,0),1)&gt;=100000,INDEX($V$1005:$AE$1005,1,MATCH(COLUMNS($V$1006:AE1006),$V$1006:$AE$1006,0))&gt;=100000), " ",IF(INDEX($V$2:$AE$1001,MATCH(ROWS($O$2:O964),$O$2:$O$1001,0),MATCH(COLUMNS($V$1006:AE1006),$V$1006:$AE$1006,0)), HYPERLINK("#",""), HYPERLINK(CONCATENATE("#Metadata!", ADDRESS(INDEX($Q$2:$Q$1001,MATCH(ROWS($O$2:O964),$O$2:$O$1001,0),0), INDEX($V$1004:$AE$1004,1,MATCH(COLUMNS($V$1006:AE1006),$V$1006:$AE$1006,0)))),"Fix")))</f>
        <v>0</v>
      </c>
      <c r="O964">
        <v>0</v>
      </c>
      <c r="P964">
        <v>0</v>
      </c>
      <c r="Q964">
        <v>0</v>
      </c>
      <c r="R964">
        <f>IF(S964,TRUE,AND(V964:AE964))</f>
        <v>0</v>
      </c>
      <c r="S964">
        <f>COUNTBLANK(Metadata!B964:K964)=COLUMNS(Metadata!B964:K964)</f>
        <v>0</v>
      </c>
      <c r="T964">
        <v>0</v>
      </c>
      <c r="V964">
        <f>AND(IF(Metadata!B964="",FALSE,TRUE),COUNTIF(Metadata!B:B, Metadata!B964) = 1,NOT(ISERROR(SUMPRODUCT(SEARCH(MID(Metadata!B964,ROW(INDIRECT("1:"&amp;LEN(Metadata!B964))), 1),"0123456789abcdefghijklmnopqrstuvwxyzABCDEFGHIJKLMNOPQRSTUVWXYZ.")))))</f>
        <v>0</v>
      </c>
      <c r="W964">
        <f>AND(IF(Metadata!C964="",FALSE,TRUE),exact(Metadata!C964,"urban biome"))</f>
        <v>0</v>
      </c>
      <c r="X964">
        <f>AND(IF(Metadata!D964="",FALSE,TRUE),exact(Metadata!D964,"animal-associated habitat"))</f>
        <v>0</v>
      </c>
      <c r="Y964">
        <f>OR(AND(IF(Metadata!E964="",FALSE,TRUE),OR(exact(Metadata!E964,"not applicable"),exact(Metadata!E964,"missing: not collected"),exact(Metadata!E964,"missing: not provided"),exact(Metadata!E964,"missing: restricted access"))),AND(IF(Metadata!E964="",FALSE,ISNUMBER(VALUE(Metadata!E964))),Metadata!E964&gt;0))</f>
        <v>0</v>
      </c>
      <c r="Z964">
        <f>AND(IF(Metadata!F964="",FALSE,TRUE),exact(Metadata!F964,"weeks"))</f>
        <v>0</v>
      </c>
      <c r="AA964">
        <f>AND(IF(Metadata!G964="",FALSE,TRUE),exact(Metadata!G964,"mouse"))</f>
        <v>0</v>
      </c>
      <c r="AB964">
        <f>AND(IF(Metadata!H964="",FALSE,TRUE),exact(Metadata!H964,"Mus musculus"))</f>
        <v>0</v>
      </c>
      <c r="AC964">
        <f>AND(IF(Metadata!I964="",FALSE,TRUE),exact(Metadata!I964,"10090"))</f>
        <v>0</v>
      </c>
      <c r="AD964">
        <f>OR(AND(IF(Metadata!J964="",FALSE,TRUE),OR(exact(Metadata!J964,"not applicable"),exact(Metadata!J964,"missing: not collected"),exact(Metadata!J964,"missing: not provided"),exact(Metadata!J964,"missing: restricted access"))),AND(IF(Metadata!J964="",FALSE,ISNUMBER(VALUE(Metadata!J964))),Metadata!J964&gt;0))</f>
        <v>0</v>
      </c>
      <c r="AE964">
        <f>AND(IF(Metadata!K964="",FALSE,TRUE),exact(Metadata!K964,"g"))</f>
        <v>0</v>
      </c>
    </row>
    <row r="965" spans="1:31">
      <c r="A965" s="5">
        <f>IF(B965=" "," ",HYPERLINK(CONCATENATE("#metadata!",ADDRESS(INDEX($Q$2:$Q$1001,MATCH(ROWS($O$2:O965),$O$2:$O$1001,0),0),1)),INDEX($T$2:$T$1001,MATCH(ROWS($O$2:O965),$O$2:$O$1001,0),0)))</f>
        <v>0</v>
      </c>
      <c r="B965" s="4">
        <f>IF(OR(INDEX($P$2:$P$1001,MATCH(ROWS($O$2:O965),$O$2:$O$1001,0),1)&gt;=100000,INDEX($V$1005:$AE$1005,1,MATCH(COLUMNS($V$1006:V1006),$V$1006:$AE$1006,0))&gt;=100000), " ",IF(INDEX($V$2:$AE$1001,MATCH(ROWS($O$2:O965),$O$2:$O$1001,0),MATCH(COLUMNS($V$1006:V1006),$V$1006:$AE$1006,0)), HYPERLINK("#",""), HYPERLINK(CONCATENATE("#Metadata!", ADDRESS(INDEX($Q$2:$Q$1001,MATCH(ROWS($O$2:O965),$O$2:$O$1001,0),0), INDEX($V$1004:$AE$1004,1,MATCH(COLUMNS($V$1006:V1006),$V$1006:$AE$1006,0)))),"Fix")))</f>
        <v>0</v>
      </c>
      <c r="C965" s="4">
        <f>IF(OR(INDEX($P$2:$P$1001,MATCH(ROWS($O$2:O965),$O$2:$O$1001,0),1)&gt;=100000,INDEX($V$1005:$AE$1005,1,MATCH(COLUMNS($V$1006:W1006),$V$1006:$AE$1006,0))&gt;=100000), " ",IF(INDEX($V$2:$AE$1001,MATCH(ROWS($O$2:O965),$O$2:$O$1001,0),MATCH(COLUMNS($V$1006:W1006),$V$1006:$AE$1006,0)), HYPERLINK("#",""), HYPERLINK(CONCATENATE("#Metadata!", ADDRESS(INDEX($Q$2:$Q$1001,MATCH(ROWS($O$2:O965),$O$2:$O$1001,0),0), INDEX($V$1004:$AE$1004,1,MATCH(COLUMNS($V$1006:W1006),$V$1006:$AE$1006,0)))),"Fix")))</f>
        <v>0</v>
      </c>
      <c r="D965" s="4">
        <f>IF(OR(INDEX($P$2:$P$1001,MATCH(ROWS($O$2:O965),$O$2:$O$1001,0),1)&gt;=100000,INDEX($V$1005:$AE$1005,1,MATCH(COLUMNS($V$1006:X1006),$V$1006:$AE$1006,0))&gt;=100000), " ",IF(INDEX($V$2:$AE$1001,MATCH(ROWS($O$2:O965),$O$2:$O$1001,0),MATCH(COLUMNS($V$1006:X1006),$V$1006:$AE$1006,0)), HYPERLINK("#",""), HYPERLINK(CONCATENATE("#Metadata!", ADDRESS(INDEX($Q$2:$Q$1001,MATCH(ROWS($O$2:O965),$O$2:$O$1001,0),0), INDEX($V$1004:$AE$1004,1,MATCH(COLUMNS($V$1006:X1006),$V$1006:$AE$1006,0)))),"Fix")))</f>
        <v>0</v>
      </c>
      <c r="E965" s="4">
        <f>IF(OR(INDEX($P$2:$P$1001,MATCH(ROWS($O$2:O965),$O$2:$O$1001,0),1)&gt;=100000,INDEX($V$1005:$AE$1005,1,MATCH(COLUMNS($V$1006:Y1006),$V$1006:$AE$1006,0))&gt;=100000), " ",IF(INDEX($V$2:$AE$1001,MATCH(ROWS($O$2:O965),$O$2:$O$1001,0),MATCH(COLUMNS($V$1006:Y1006),$V$1006:$AE$1006,0)), HYPERLINK("#",""), HYPERLINK(CONCATENATE("#Metadata!", ADDRESS(INDEX($Q$2:$Q$1001,MATCH(ROWS($O$2:O965),$O$2:$O$1001,0),0), INDEX($V$1004:$AE$1004,1,MATCH(COLUMNS($V$1006:Y1006),$V$1006:$AE$1006,0)))),"Fix")))</f>
        <v>0</v>
      </c>
      <c r="F965" s="4">
        <f>IF(OR(INDEX($P$2:$P$1001,MATCH(ROWS($O$2:O965),$O$2:$O$1001,0),1)&gt;=100000,INDEX($V$1005:$AE$1005,1,MATCH(COLUMNS($V$1006:Z1006),$V$1006:$AE$1006,0))&gt;=100000), " ",IF(INDEX($V$2:$AE$1001,MATCH(ROWS($O$2:O965),$O$2:$O$1001,0),MATCH(COLUMNS($V$1006:Z1006),$V$1006:$AE$1006,0)), HYPERLINK("#",""), HYPERLINK(CONCATENATE("#Metadata!", ADDRESS(INDEX($Q$2:$Q$1001,MATCH(ROWS($O$2:O965),$O$2:$O$1001,0),0), INDEX($V$1004:$AE$1004,1,MATCH(COLUMNS($V$1006:Z1006),$V$1006:$AE$1006,0)))),"Fix")))</f>
        <v>0</v>
      </c>
      <c r="G965" s="4">
        <f>IF(OR(INDEX($P$2:$P$1001,MATCH(ROWS($O$2:O965),$O$2:$O$1001,0),1)&gt;=100000,INDEX($V$1005:$AE$1005,1,MATCH(COLUMNS($V$1006:AA1006),$V$1006:$AE$1006,0))&gt;=100000), " ",IF(INDEX($V$2:$AE$1001,MATCH(ROWS($O$2:O965),$O$2:$O$1001,0),MATCH(COLUMNS($V$1006:AA1006),$V$1006:$AE$1006,0)), HYPERLINK("#",""), HYPERLINK(CONCATENATE("#Metadata!", ADDRESS(INDEX($Q$2:$Q$1001,MATCH(ROWS($O$2:O965),$O$2:$O$1001,0),0), INDEX($V$1004:$AE$1004,1,MATCH(COLUMNS($V$1006:AA1006),$V$1006:$AE$1006,0)))),"Fix")))</f>
        <v>0</v>
      </c>
      <c r="H965" s="4">
        <f>IF(OR(INDEX($P$2:$P$1001,MATCH(ROWS($O$2:O965),$O$2:$O$1001,0),1)&gt;=100000,INDEX($V$1005:$AE$1005,1,MATCH(COLUMNS($V$1006:AB1006),$V$1006:$AE$1006,0))&gt;=100000), " ",IF(INDEX($V$2:$AE$1001,MATCH(ROWS($O$2:O965),$O$2:$O$1001,0),MATCH(COLUMNS($V$1006:AB1006),$V$1006:$AE$1006,0)), HYPERLINK("#",""), HYPERLINK(CONCATENATE("#Metadata!", ADDRESS(INDEX($Q$2:$Q$1001,MATCH(ROWS($O$2:O965),$O$2:$O$1001,0),0), INDEX($V$1004:$AE$1004,1,MATCH(COLUMNS($V$1006:AB1006),$V$1006:$AE$1006,0)))),"Fix")))</f>
        <v>0</v>
      </c>
      <c r="I965" s="4">
        <f>IF(OR(INDEX($P$2:$P$1001,MATCH(ROWS($O$2:O965),$O$2:$O$1001,0),1)&gt;=100000,INDEX($V$1005:$AE$1005,1,MATCH(COLUMNS($V$1006:AC1006),$V$1006:$AE$1006,0))&gt;=100000), " ",IF(INDEX($V$2:$AE$1001,MATCH(ROWS($O$2:O965),$O$2:$O$1001,0),MATCH(COLUMNS($V$1006:AC1006),$V$1006:$AE$1006,0)), HYPERLINK("#",""), HYPERLINK(CONCATENATE("#Metadata!", ADDRESS(INDEX($Q$2:$Q$1001,MATCH(ROWS($O$2:O965),$O$2:$O$1001,0),0), INDEX($V$1004:$AE$1004,1,MATCH(COLUMNS($V$1006:AC1006),$V$1006:$AE$1006,0)))),"Fix")))</f>
        <v>0</v>
      </c>
      <c r="J965" s="4">
        <f>IF(OR(INDEX($P$2:$P$1001,MATCH(ROWS($O$2:O965),$O$2:$O$1001,0),1)&gt;=100000,INDEX($V$1005:$AE$1005,1,MATCH(COLUMNS($V$1006:AD1006),$V$1006:$AE$1006,0))&gt;=100000), " ",IF(INDEX($V$2:$AE$1001,MATCH(ROWS($O$2:O965),$O$2:$O$1001,0),MATCH(COLUMNS($V$1006:AD1006),$V$1006:$AE$1006,0)), HYPERLINK("#",""), HYPERLINK(CONCATENATE("#Metadata!", ADDRESS(INDEX($Q$2:$Q$1001,MATCH(ROWS($O$2:O965),$O$2:$O$1001,0),0), INDEX($V$1004:$AE$1004,1,MATCH(COLUMNS($V$1006:AD1006),$V$1006:$AE$1006,0)))),"Fix")))</f>
        <v>0</v>
      </c>
      <c r="K965" s="4">
        <f>IF(OR(INDEX($P$2:$P$1001,MATCH(ROWS($O$2:O965),$O$2:$O$1001,0),1)&gt;=100000,INDEX($V$1005:$AE$1005,1,MATCH(COLUMNS($V$1006:AE1006),$V$1006:$AE$1006,0))&gt;=100000), " ",IF(INDEX($V$2:$AE$1001,MATCH(ROWS($O$2:O965),$O$2:$O$1001,0),MATCH(COLUMNS($V$1006:AE1006),$V$1006:$AE$1006,0)), HYPERLINK("#",""), HYPERLINK(CONCATENATE("#Metadata!", ADDRESS(INDEX($Q$2:$Q$1001,MATCH(ROWS($O$2:O965),$O$2:$O$1001,0),0), INDEX($V$1004:$AE$1004,1,MATCH(COLUMNS($V$1006:AE1006),$V$1006:$AE$1006,0)))),"Fix")))</f>
        <v>0</v>
      </c>
      <c r="O965">
        <v>0</v>
      </c>
      <c r="P965">
        <v>0</v>
      </c>
      <c r="Q965">
        <v>0</v>
      </c>
      <c r="R965">
        <f>IF(S965,TRUE,AND(V965:AE965))</f>
        <v>0</v>
      </c>
      <c r="S965">
        <f>COUNTBLANK(Metadata!B965:K965)=COLUMNS(Metadata!B965:K965)</f>
        <v>0</v>
      </c>
      <c r="T965">
        <v>0</v>
      </c>
      <c r="V965">
        <f>AND(IF(Metadata!B965="",FALSE,TRUE),COUNTIF(Metadata!B:B, Metadata!B965) = 1,NOT(ISERROR(SUMPRODUCT(SEARCH(MID(Metadata!B965,ROW(INDIRECT("1:"&amp;LEN(Metadata!B965))), 1),"0123456789abcdefghijklmnopqrstuvwxyzABCDEFGHIJKLMNOPQRSTUVWXYZ.")))))</f>
        <v>0</v>
      </c>
      <c r="W965">
        <f>AND(IF(Metadata!C965="",FALSE,TRUE),exact(Metadata!C965,"urban biome"))</f>
        <v>0</v>
      </c>
      <c r="X965">
        <f>AND(IF(Metadata!D965="",FALSE,TRUE),exact(Metadata!D965,"animal-associated habitat"))</f>
        <v>0</v>
      </c>
      <c r="Y965">
        <f>OR(AND(IF(Metadata!E965="",FALSE,TRUE),OR(exact(Metadata!E965,"not applicable"),exact(Metadata!E965,"missing: not collected"),exact(Metadata!E965,"missing: not provided"),exact(Metadata!E965,"missing: restricted access"))),AND(IF(Metadata!E965="",FALSE,ISNUMBER(VALUE(Metadata!E965))),Metadata!E965&gt;0))</f>
        <v>0</v>
      </c>
      <c r="Z965">
        <f>AND(IF(Metadata!F965="",FALSE,TRUE),exact(Metadata!F965,"weeks"))</f>
        <v>0</v>
      </c>
      <c r="AA965">
        <f>AND(IF(Metadata!G965="",FALSE,TRUE),exact(Metadata!G965,"mouse"))</f>
        <v>0</v>
      </c>
      <c r="AB965">
        <f>AND(IF(Metadata!H965="",FALSE,TRUE),exact(Metadata!H965,"Mus musculus"))</f>
        <v>0</v>
      </c>
      <c r="AC965">
        <f>AND(IF(Metadata!I965="",FALSE,TRUE),exact(Metadata!I965,"10090"))</f>
        <v>0</v>
      </c>
      <c r="AD965">
        <f>OR(AND(IF(Metadata!J965="",FALSE,TRUE),OR(exact(Metadata!J965,"not applicable"),exact(Metadata!J965,"missing: not collected"),exact(Metadata!J965,"missing: not provided"),exact(Metadata!J965,"missing: restricted access"))),AND(IF(Metadata!J965="",FALSE,ISNUMBER(VALUE(Metadata!J965))),Metadata!J965&gt;0))</f>
        <v>0</v>
      </c>
      <c r="AE965">
        <f>AND(IF(Metadata!K965="",FALSE,TRUE),exact(Metadata!K965,"g"))</f>
        <v>0</v>
      </c>
    </row>
    <row r="966" spans="1:31">
      <c r="A966" s="5">
        <f>IF(B966=" "," ",HYPERLINK(CONCATENATE("#metadata!",ADDRESS(INDEX($Q$2:$Q$1001,MATCH(ROWS($O$2:O966),$O$2:$O$1001,0),0),1)),INDEX($T$2:$T$1001,MATCH(ROWS($O$2:O966),$O$2:$O$1001,0),0)))</f>
        <v>0</v>
      </c>
      <c r="B966" s="4">
        <f>IF(OR(INDEX($P$2:$P$1001,MATCH(ROWS($O$2:O966),$O$2:$O$1001,0),1)&gt;=100000,INDEX($V$1005:$AE$1005,1,MATCH(COLUMNS($V$1006:V1006),$V$1006:$AE$1006,0))&gt;=100000), " ",IF(INDEX($V$2:$AE$1001,MATCH(ROWS($O$2:O966),$O$2:$O$1001,0),MATCH(COLUMNS($V$1006:V1006),$V$1006:$AE$1006,0)), HYPERLINK("#",""), HYPERLINK(CONCATENATE("#Metadata!", ADDRESS(INDEX($Q$2:$Q$1001,MATCH(ROWS($O$2:O966),$O$2:$O$1001,0),0), INDEX($V$1004:$AE$1004,1,MATCH(COLUMNS($V$1006:V1006),$V$1006:$AE$1006,0)))),"Fix")))</f>
        <v>0</v>
      </c>
      <c r="C966" s="4">
        <f>IF(OR(INDEX($P$2:$P$1001,MATCH(ROWS($O$2:O966),$O$2:$O$1001,0),1)&gt;=100000,INDEX($V$1005:$AE$1005,1,MATCH(COLUMNS($V$1006:W1006),$V$1006:$AE$1006,0))&gt;=100000), " ",IF(INDEX($V$2:$AE$1001,MATCH(ROWS($O$2:O966),$O$2:$O$1001,0),MATCH(COLUMNS($V$1006:W1006),$V$1006:$AE$1006,0)), HYPERLINK("#",""), HYPERLINK(CONCATENATE("#Metadata!", ADDRESS(INDEX($Q$2:$Q$1001,MATCH(ROWS($O$2:O966),$O$2:$O$1001,0),0), INDEX($V$1004:$AE$1004,1,MATCH(COLUMNS($V$1006:W1006),$V$1006:$AE$1006,0)))),"Fix")))</f>
        <v>0</v>
      </c>
      <c r="D966" s="4">
        <f>IF(OR(INDEX($P$2:$P$1001,MATCH(ROWS($O$2:O966),$O$2:$O$1001,0),1)&gt;=100000,INDEX($V$1005:$AE$1005,1,MATCH(COLUMNS($V$1006:X1006),$V$1006:$AE$1006,0))&gt;=100000), " ",IF(INDEX($V$2:$AE$1001,MATCH(ROWS($O$2:O966),$O$2:$O$1001,0),MATCH(COLUMNS($V$1006:X1006),$V$1006:$AE$1006,0)), HYPERLINK("#",""), HYPERLINK(CONCATENATE("#Metadata!", ADDRESS(INDEX($Q$2:$Q$1001,MATCH(ROWS($O$2:O966),$O$2:$O$1001,0),0), INDEX($V$1004:$AE$1004,1,MATCH(COLUMNS($V$1006:X1006),$V$1006:$AE$1006,0)))),"Fix")))</f>
        <v>0</v>
      </c>
      <c r="E966" s="4">
        <f>IF(OR(INDEX($P$2:$P$1001,MATCH(ROWS($O$2:O966),$O$2:$O$1001,0),1)&gt;=100000,INDEX($V$1005:$AE$1005,1,MATCH(COLUMNS($V$1006:Y1006),$V$1006:$AE$1006,0))&gt;=100000), " ",IF(INDEX($V$2:$AE$1001,MATCH(ROWS($O$2:O966),$O$2:$O$1001,0),MATCH(COLUMNS($V$1006:Y1006),$V$1006:$AE$1006,0)), HYPERLINK("#",""), HYPERLINK(CONCATENATE("#Metadata!", ADDRESS(INDEX($Q$2:$Q$1001,MATCH(ROWS($O$2:O966),$O$2:$O$1001,0),0), INDEX($V$1004:$AE$1004,1,MATCH(COLUMNS($V$1006:Y1006),$V$1006:$AE$1006,0)))),"Fix")))</f>
        <v>0</v>
      </c>
      <c r="F966" s="4">
        <f>IF(OR(INDEX($P$2:$P$1001,MATCH(ROWS($O$2:O966),$O$2:$O$1001,0),1)&gt;=100000,INDEX($V$1005:$AE$1005,1,MATCH(COLUMNS($V$1006:Z1006),$V$1006:$AE$1006,0))&gt;=100000), " ",IF(INDEX($V$2:$AE$1001,MATCH(ROWS($O$2:O966),$O$2:$O$1001,0),MATCH(COLUMNS($V$1006:Z1006),$V$1006:$AE$1006,0)), HYPERLINK("#",""), HYPERLINK(CONCATENATE("#Metadata!", ADDRESS(INDEX($Q$2:$Q$1001,MATCH(ROWS($O$2:O966),$O$2:$O$1001,0),0), INDEX($V$1004:$AE$1004,1,MATCH(COLUMNS($V$1006:Z1006),$V$1006:$AE$1006,0)))),"Fix")))</f>
        <v>0</v>
      </c>
      <c r="G966" s="4">
        <f>IF(OR(INDEX($P$2:$P$1001,MATCH(ROWS($O$2:O966),$O$2:$O$1001,0),1)&gt;=100000,INDEX($V$1005:$AE$1005,1,MATCH(COLUMNS($V$1006:AA1006),$V$1006:$AE$1006,0))&gt;=100000), " ",IF(INDEX($V$2:$AE$1001,MATCH(ROWS($O$2:O966),$O$2:$O$1001,0),MATCH(COLUMNS($V$1006:AA1006),$V$1006:$AE$1006,0)), HYPERLINK("#",""), HYPERLINK(CONCATENATE("#Metadata!", ADDRESS(INDEX($Q$2:$Q$1001,MATCH(ROWS($O$2:O966),$O$2:$O$1001,0),0), INDEX($V$1004:$AE$1004,1,MATCH(COLUMNS($V$1006:AA1006),$V$1006:$AE$1006,0)))),"Fix")))</f>
        <v>0</v>
      </c>
      <c r="H966" s="4">
        <f>IF(OR(INDEX($P$2:$P$1001,MATCH(ROWS($O$2:O966),$O$2:$O$1001,0),1)&gt;=100000,INDEX($V$1005:$AE$1005,1,MATCH(COLUMNS($V$1006:AB1006),$V$1006:$AE$1006,0))&gt;=100000), " ",IF(INDEX($V$2:$AE$1001,MATCH(ROWS($O$2:O966),$O$2:$O$1001,0),MATCH(COLUMNS($V$1006:AB1006),$V$1006:$AE$1006,0)), HYPERLINK("#",""), HYPERLINK(CONCATENATE("#Metadata!", ADDRESS(INDEX($Q$2:$Q$1001,MATCH(ROWS($O$2:O966),$O$2:$O$1001,0),0), INDEX($V$1004:$AE$1004,1,MATCH(COLUMNS($V$1006:AB1006),$V$1006:$AE$1006,0)))),"Fix")))</f>
        <v>0</v>
      </c>
      <c r="I966" s="4">
        <f>IF(OR(INDEX($P$2:$P$1001,MATCH(ROWS($O$2:O966),$O$2:$O$1001,0),1)&gt;=100000,INDEX($V$1005:$AE$1005,1,MATCH(COLUMNS($V$1006:AC1006),$V$1006:$AE$1006,0))&gt;=100000), " ",IF(INDEX($V$2:$AE$1001,MATCH(ROWS($O$2:O966),$O$2:$O$1001,0),MATCH(COLUMNS($V$1006:AC1006),$V$1006:$AE$1006,0)), HYPERLINK("#",""), HYPERLINK(CONCATENATE("#Metadata!", ADDRESS(INDEX($Q$2:$Q$1001,MATCH(ROWS($O$2:O966),$O$2:$O$1001,0),0), INDEX($V$1004:$AE$1004,1,MATCH(COLUMNS($V$1006:AC1006),$V$1006:$AE$1006,0)))),"Fix")))</f>
        <v>0</v>
      </c>
      <c r="J966" s="4">
        <f>IF(OR(INDEX($P$2:$P$1001,MATCH(ROWS($O$2:O966),$O$2:$O$1001,0),1)&gt;=100000,INDEX($V$1005:$AE$1005,1,MATCH(COLUMNS($V$1006:AD1006),$V$1006:$AE$1006,0))&gt;=100000), " ",IF(INDEX($V$2:$AE$1001,MATCH(ROWS($O$2:O966),$O$2:$O$1001,0),MATCH(COLUMNS($V$1006:AD1006),$V$1006:$AE$1006,0)), HYPERLINK("#",""), HYPERLINK(CONCATENATE("#Metadata!", ADDRESS(INDEX($Q$2:$Q$1001,MATCH(ROWS($O$2:O966),$O$2:$O$1001,0),0), INDEX($V$1004:$AE$1004,1,MATCH(COLUMNS($V$1006:AD1006),$V$1006:$AE$1006,0)))),"Fix")))</f>
        <v>0</v>
      </c>
      <c r="K966" s="4">
        <f>IF(OR(INDEX($P$2:$P$1001,MATCH(ROWS($O$2:O966),$O$2:$O$1001,0),1)&gt;=100000,INDEX($V$1005:$AE$1005,1,MATCH(COLUMNS($V$1006:AE1006),$V$1006:$AE$1006,0))&gt;=100000), " ",IF(INDEX($V$2:$AE$1001,MATCH(ROWS($O$2:O966),$O$2:$O$1001,0),MATCH(COLUMNS($V$1006:AE1006),$V$1006:$AE$1006,0)), HYPERLINK("#",""), HYPERLINK(CONCATENATE("#Metadata!", ADDRESS(INDEX($Q$2:$Q$1001,MATCH(ROWS($O$2:O966),$O$2:$O$1001,0),0), INDEX($V$1004:$AE$1004,1,MATCH(COLUMNS($V$1006:AE1006),$V$1006:$AE$1006,0)))),"Fix")))</f>
        <v>0</v>
      </c>
      <c r="O966">
        <v>0</v>
      </c>
      <c r="P966">
        <v>0</v>
      </c>
      <c r="Q966">
        <v>0</v>
      </c>
      <c r="R966">
        <f>IF(S966,TRUE,AND(V966:AE966))</f>
        <v>0</v>
      </c>
      <c r="S966">
        <f>COUNTBLANK(Metadata!B966:K966)=COLUMNS(Metadata!B966:K966)</f>
        <v>0</v>
      </c>
      <c r="T966">
        <v>0</v>
      </c>
      <c r="V966">
        <f>AND(IF(Metadata!B966="",FALSE,TRUE),COUNTIF(Metadata!B:B, Metadata!B966) = 1,NOT(ISERROR(SUMPRODUCT(SEARCH(MID(Metadata!B966,ROW(INDIRECT("1:"&amp;LEN(Metadata!B966))), 1),"0123456789abcdefghijklmnopqrstuvwxyzABCDEFGHIJKLMNOPQRSTUVWXYZ.")))))</f>
        <v>0</v>
      </c>
      <c r="W966">
        <f>AND(IF(Metadata!C966="",FALSE,TRUE),exact(Metadata!C966,"urban biome"))</f>
        <v>0</v>
      </c>
      <c r="X966">
        <f>AND(IF(Metadata!D966="",FALSE,TRUE),exact(Metadata!D966,"animal-associated habitat"))</f>
        <v>0</v>
      </c>
      <c r="Y966">
        <f>OR(AND(IF(Metadata!E966="",FALSE,TRUE),OR(exact(Metadata!E966,"not applicable"),exact(Metadata!E966,"missing: not collected"),exact(Metadata!E966,"missing: not provided"),exact(Metadata!E966,"missing: restricted access"))),AND(IF(Metadata!E966="",FALSE,ISNUMBER(VALUE(Metadata!E966))),Metadata!E966&gt;0))</f>
        <v>0</v>
      </c>
      <c r="Z966">
        <f>AND(IF(Metadata!F966="",FALSE,TRUE),exact(Metadata!F966,"weeks"))</f>
        <v>0</v>
      </c>
      <c r="AA966">
        <f>AND(IF(Metadata!G966="",FALSE,TRUE),exact(Metadata!G966,"mouse"))</f>
        <v>0</v>
      </c>
      <c r="AB966">
        <f>AND(IF(Metadata!H966="",FALSE,TRUE),exact(Metadata!H966,"Mus musculus"))</f>
        <v>0</v>
      </c>
      <c r="AC966">
        <f>AND(IF(Metadata!I966="",FALSE,TRUE),exact(Metadata!I966,"10090"))</f>
        <v>0</v>
      </c>
      <c r="AD966">
        <f>OR(AND(IF(Metadata!J966="",FALSE,TRUE),OR(exact(Metadata!J966,"not applicable"),exact(Metadata!J966,"missing: not collected"),exact(Metadata!J966,"missing: not provided"),exact(Metadata!J966,"missing: restricted access"))),AND(IF(Metadata!J966="",FALSE,ISNUMBER(VALUE(Metadata!J966))),Metadata!J966&gt;0))</f>
        <v>0</v>
      </c>
      <c r="AE966">
        <f>AND(IF(Metadata!K966="",FALSE,TRUE),exact(Metadata!K966,"g"))</f>
        <v>0</v>
      </c>
    </row>
    <row r="967" spans="1:31">
      <c r="A967" s="5">
        <f>IF(B967=" "," ",HYPERLINK(CONCATENATE("#metadata!",ADDRESS(INDEX($Q$2:$Q$1001,MATCH(ROWS($O$2:O967),$O$2:$O$1001,0),0),1)),INDEX($T$2:$T$1001,MATCH(ROWS($O$2:O967),$O$2:$O$1001,0),0)))</f>
        <v>0</v>
      </c>
      <c r="B967" s="4">
        <f>IF(OR(INDEX($P$2:$P$1001,MATCH(ROWS($O$2:O967),$O$2:$O$1001,0),1)&gt;=100000,INDEX($V$1005:$AE$1005,1,MATCH(COLUMNS($V$1006:V1006),$V$1006:$AE$1006,0))&gt;=100000), " ",IF(INDEX($V$2:$AE$1001,MATCH(ROWS($O$2:O967),$O$2:$O$1001,0),MATCH(COLUMNS($V$1006:V1006),$V$1006:$AE$1006,0)), HYPERLINK("#",""), HYPERLINK(CONCATENATE("#Metadata!", ADDRESS(INDEX($Q$2:$Q$1001,MATCH(ROWS($O$2:O967),$O$2:$O$1001,0),0), INDEX($V$1004:$AE$1004,1,MATCH(COLUMNS($V$1006:V1006),$V$1006:$AE$1006,0)))),"Fix")))</f>
        <v>0</v>
      </c>
      <c r="C967" s="4">
        <f>IF(OR(INDEX($P$2:$P$1001,MATCH(ROWS($O$2:O967),$O$2:$O$1001,0),1)&gt;=100000,INDEX($V$1005:$AE$1005,1,MATCH(COLUMNS($V$1006:W1006),$V$1006:$AE$1006,0))&gt;=100000), " ",IF(INDEX($V$2:$AE$1001,MATCH(ROWS($O$2:O967),$O$2:$O$1001,0),MATCH(COLUMNS($V$1006:W1006),$V$1006:$AE$1006,0)), HYPERLINK("#",""), HYPERLINK(CONCATENATE("#Metadata!", ADDRESS(INDEX($Q$2:$Q$1001,MATCH(ROWS($O$2:O967),$O$2:$O$1001,0),0), INDEX($V$1004:$AE$1004,1,MATCH(COLUMNS($V$1006:W1006),$V$1006:$AE$1006,0)))),"Fix")))</f>
        <v>0</v>
      </c>
      <c r="D967" s="4">
        <f>IF(OR(INDEX($P$2:$P$1001,MATCH(ROWS($O$2:O967),$O$2:$O$1001,0),1)&gt;=100000,INDEX($V$1005:$AE$1005,1,MATCH(COLUMNS($V$1006:X1006),$V$1006:$AE$1006,0))&gt;=100000), " ",IF(INDEX($V$2:$AE$1001,MATCH(ROWS($O$2:O967),$O$2:$O$1001,0),MATCH(COLUMNS($V$1006:X1006),$V$1006:$AE$1006,0)), HYPERLINK("#",""), HYPERLINK(CONCATENATE("#Metadata!", ADDRESS(INDEX($Q$2:$Q$1001,MATCH(ROWS($O$2:O967),$O$2:$O$1001,0),0), INDEX($V$1004:$AE$1004,1,MATCH(COLUMNS($V$1006:X1006),$V$1006:$AE$1006,0)))),"Fix")))</f>
        <v>0</v>
      </c>
      <c r="E967" s="4">
        <f>IF(OR(INDEX($P$2:$P$1001,MATCH(ROWS($O$2:O967),$O$2:$O$1001,0),1)&gt;=100000,INDEX($V$1005:$AE$1005,1,MATCH(COLUMNS($V$1006:Y1006),$V$1006:$AE$1006,0))&gt;=100000), " ",IF(INDEX($V$2:$AE$1001,MATCH(ROWS($O$2:O967),$O$2:$O$1001,0),MATCH(COLUMNS($V$1006:Y1006),$V$1006:$AE$1006,0)), HYPERLINK("#",""), HYPERLINK(CONCATENATE("#Metadata!", ADDRESS(INDEX($Q$2:$Q$1001,MATCH(ROWS($O$2:O967),$O$2:$O$1001,0),0), INDEX($V$1004:$AE$1004,1,MATCH(COLUMNS($V$1006:Y1006),$V$1006:$AE$1006,0)))),"Fix")))</f>
        <v>0</v>
      </c>
      <c r="F967" s="4">
        <f>IF(OR(INDEX($P$2:$P$1001,MATCH(ROWS($O$2:O967),$O$2:$O$1001,0),1)&gt;=100000,INDEX($V$1005:$AE$1005,1,MATCH(COLUMNS($V$1006:Z1006),$V$1006:$AE$1006,0))&gt;=100000), " ",IF(INDEX($V$2:$AE$1001,MATCH(ROWS($O$2:O967),$O$2:$O$1001,0),MATCH(COLUMNS($V$1006:Z1006),$V$1006:$AE$1006,0)), HYPERLINK("#",""), HYPERLINK(CONCATENATE("#Metadata!", ADDRESS(INDEX($Q$2:$Q$1001,MATCH(ROWS($O$2:O967),$O$2:$O$1001,0),0), INDEX($V$1004:$AE$1004,1,MATCH(COLUMNS($V$1006:Z1006),$V$1006:$AE$1006,0)))),"Fix")))</f>
        <v>0</v>
      </c>
      <c r="G967" s="4">
        <f>IF(OR(INDEX($P$2:$P$1001,MATCH(ROWS($O$2:O967),$O$2:$O$1001,0),1)&gt;=100000,INDEX($V$1005:$AE$1005,1,MATCH(COLUMNS($V$1006:AA1006),$V$1006:$AE$1006,0))&gt;=100000), " ",IF(INDEX($V$2:$AE$1001,MATCH(ROWS($O$2:O967),$O$2:$O$1001,0),MATCH(COLUMNS($V$1006:AA1006),$V$1006:$AE$1006,0)), HYPERLINK("#",""), HYPERLINK(CONCATENATE("#Metadata!", ADDRESS(INDEX($Q$2:$Q$1001,MATCH(ROWS($O$2:O967),$O$2:$O$1001,0),0), INDEX($V$1004:$AE$1004,1,MATCH(COLUMNS($V$1006:AA1006),$V$1006:$AE$1006,0)))),"Fix")))</f>
        <v>0</v>
      </c>
      <c r="H967" s="4">
        <f>IF(OR(INDEX($P$2:$P$1001,MATCH(ROWS($O$2:O967),$O$2:$O$1001,0),1)&gt;=100000,INDEX($V$1005:$AE$1005,1,MATCH(COLUMNS($V$1006:AB1006),$V$1006:$AE$1006,0))&gt;=100000), " ",IF(INDEX($V$2:$AE$1001,MATCH(ROWS($O$2:O967),$O$2:$O$1001,0),MATCH(COLUMNS($V$1006:AB1006),$V$1006:$AE$1006,0)), HYPERLINK("#",""), HYPERLINK(CONCATENATE("#Metadata!", ADDRESS(INDEX($Q$2:$Q$1001,MATCH(ROWS($O$2:O967),$O$2:$O$1001,0),0), INDEX($V$1004:$AE$1004,1,MATCH(COLUMNS($V$1006:AB1006),$V$1006:$AE$1006,0)))),"Fix")))</f>
        <v>0</v>
      </c>
      <c r="I967" s="4">
        <f>IF(OR(INDEX($P$2:$P$1001,MATCH(ROWS($O$2:O967),$O$2:$O$1001,0),1)&gt;=100000,INDEX($V$1005:$AE$1005,1,MATCH(COLUMNS($V$1006:AC1006),$V$1006:$AE$1006,0))&gt;=100000), " ",IF(INDEX($V$2:$AE$1001,MATCH(ROWS($O$2:O967),$O$2:$O$1001,0),MATCH(COLUMNS($V$1006:AC1006),$V$1006:$AE$1006,0)), HYPERLINK("#",""), HYPERLINK(CONCATENATE("#Metadata!", ADDRESS(INDEX($Q$2:$Q$1001,MATCH(ROWS($O$2:O967),$O$2:$O$1001,0),0), INDEX($V$1004:$AE$1004,1,MATCH(COLUMNS($V$1006:AC1006),$V$1006:$AE$1006,0)))),"Fix")))</f>
        <v>0</v>
      </c>
      <c r="J967" s="4">
        <f>IF(OR(INDEX($P$2:$P$1001,MATCH(ROWS($O$2:O967),$O$2:$O$1001,0),1)&gt;=100000,INDEX($V$1005:$AE$1005,1,MATCH(COLUMNS($V$1006:AD1006),$V$1006:$AE$1006,0))&gt;=100000), " ",IF(INDEX($V$2:$AE$1001,MATCH(ROWS($O$2:O967),$O$2:$O$1001,0),MATCH(COLUMNS($V$1006:AD1006),$V$1006:$AE$1006,0)), HYPERLINK("#",""), HYPERLINK(CONCATENATE("#Metadata!", ADDRESS(INDEX($Q$2:$Q$1001,MATCH(ROWS($O$2:O967),$O$2:$O$1001,0),0), INDEX($V$1004:$AE$1004,1,MATCH(COLUMNS($V$1006:AD1006),$V$1006:$AE$1006,0)))),"Fix")))</f>
        <v>0</v>
      </c>
      <c r="K967" s="4">
        <f>IF(OR(INDEX($P$2:$P$1001,MATCH(ROWS($O$2:O967),$O$2:$O$1001,0),1)&gt;=100000,INDEX($V$1005:$AE$1005,1,MATCH(COLUMNS($V$1006:AE1006),$V$1006:$AE$1006,0))&gt;=100000), " ",IF(INDEX($V$2:$AE$1001,MATCH(ROWS($O$2:O967),$O$2:$O$1001,0),MATCH(COLUMNS($V$1006:AE1006),$V$1006:$AE$1006,0)), HYPERLINK("#",""), HYPERLINK(CONCATENATE("#Metadata!", ADDRESS(INDEX($Q$2:$Q$1001,MATCH(ROWS($O$2:O967),$O$2:$O$1001,0),0), INDEX($V$1004:$AE$1004,1,MATCH(COLUMNS($V$1006:AE1006),$V$1006:$AE$1006,0)))),"Fix")))</f>
        <v>0</v>
      </c>
      <c r="O967">
        <v>0</v>
      </c>
      <c r="P967">
        <v>0</v>
      </c>
      <c r="Q967">
        <v>0</v>
      </c>
      <c r="R967">
        <f>IF(S967,TRUE,AND(V967:AE967))</f>
        <v>0</v>
      </c>
      <c r="S967">
        <f>COUNTBLANK(Metadata!B967:K967)=COLUMNS(Metadata!B967:K967)</f>
        <v>0</v>
      </c>
      <c r="T967">
        <v>0</v>
      </c>
      <c r="V967">
        <f>AND(IF(Metadata!B967="",FALSE,TRUE),COUNTIF(Metadata!B:B, Metadata!B967) = 1,NOT(ISERROR(SUMPRODUCT(SEARCH(MID(Metadata!B967,ROW(INDIRECT("1:"&amp;LEN(Metadata!B967))), 1),"0123456789abcdefghijklmnopqrstuvwxyzABCDEFGHIJKLMNOPQRSTUVWXYZ.")))))</f>
        <v>0</v>
      </c>
      <c r="W967">
        <f>AND(IF(Metadata!C967="",FALSE,TRUE),exact(Metadata!C967,"urban biome"))</f>
        <v>0</v>
      </c>
      <c r="X967">
        <f>AND(IF(Metadata!D967="",FALSE,TRUE),exact(Metadata!D967,"animal-associated habitat"))</f>
        <v>0</v>
      </c>
      <c r="Y967">
        <f>OR(AND(IF(Metadata!E967="",FALSE,TRUE),OR(exact(Metadata!E967,"not applicable"),exact(Metadata!E967,"missing: not collected"),exact(Metadata!E967,"missing: not provided"),exact(Metadata!E967,"missing: restricted access"))),AND(IF(Metadata!E967="",FALSE,ISNUMBER(VALUE(Metadata!E967))),Metadata!E967&gt;0))</f>
        <v>0</v>
      </c>
      <c r="Z967">
        <f>AND(IF(Metadata!F967="",FALSE,TRUE),exact(Metadata!F967,"weeks"))</f>
        <v>0</v>
      </c>
      <c r="AA967">
        <f>AND(IF(Metadata!G967="",FALSE,TRUE),exact(Metadata!G967,"mouse"))</f>
        <v>0</v>
      </c>
      <c r="AB967">
        <f>AND(IF(Metadata!H967="",FALSE,TRUE),exact(Metadata!H967,"Mus musculus"))</f>
        <v>0</v>
      </c>
      <c r="AC967">
        <f>AND(IF(Metadata!I967="",FALSE,TRUE),exact(Metadata!I967,"10090"))</f>
        <v>0</v>
      </c>
      <c r="AD967">
        <f>OR(AND(IF(Metadata!J967="",FALSE,TRUE),OR(exact(Metadata!J967,"not applicable"),exact(Metadata!J967,"missing: not collected"),exact(Metadata!J967,"missing: not provided"),exact(Metadata!J967,"missing: restricted access"))),AND(IF(Metadata!J967="",FALSE,ISNUMBER(VALUE(Metadata!J967))),Metadata!J967&gt;0))</f>
        <v>0</v>
      </c>
      <c r="AE967">
        <f>AND(IF(Metadata!K967="",FALSE,TRUE),exact(Metadata!K967,"g"))</f>
        <v>0</v>
      </c>
    </row>
    <row r="968" spans="1:31">
      <c r="A968" s="5">
        <f>IF(B968=" "," ",HYPERLINK(CONCATENATE("#metadata!",ADDRESS(INDEX($Q$2:$Q$1001,MATCH(ROWS($O$2:O968),$O$2:$O$1001,0),0),1)),INDEX($T$2:$T$1001,MATCH(ROWS($O$2:O968),$O$2:$O$1001,0),0)))</f>
        <v>0</v>
      </c>
      <c r="B968" s="4">
        <f>IF(OR(INDEX($P$2:$P$1001,MATCH(ROWS($O$2:O968),$O$2:$O$1001,0),1)&gt;=100000,INDEX($V$1005:$AE$1005,1,MATCH(COLUMNS($V$1006:V1006),$V$1006:$AE$1006,0))&gt;=100000), " ",IF(INDEX($V$2:$AE$1001,MATCH(ROWS($O$2:O968),$O$2:$O$1001,0),MATCH(COLUMNS($V$1006:V1006),$V$1006:$AE$1006,0)), HYPERLINK("#",""), HYPERLINK(CONCATENATE("#Metadata!", ADDRESS(INDEX($Q$2:$Q$1001,MATCH(ROWS($O$2:O968),$O$2:$O$1001,0),0), INDEX($V$1004:$AE$1004,1,MATCH(COLUMNS($V$1006:V1006),$V$1006:$AE$1006,0)))),"Fix")))</f>
        <v>0</v>
      </c>
      <c r="C968" s="4">
        <f>IF(OR(INDEX($P$2:$P$1001,MATCH(ROWS($O$2:O968),$O$2:$O$1001,0),1)&gt;=100000,INDEX($V$1005:$AE$1005,1,MATCH(COLUMNS($V$1006:W1006),$V$1006:$AE$1006,0))&gt;=100000), " ",IF(INDEX($V$2:$AE$1001,MATCH(ROWS($O$2:O968),$O$2:$O$1001,0),MATCH(COLUMNS($V$1006:W1006),$V$1006:$AE$1006,0)), HYPERLINK("#",""), HYPERLINK(CONCATENATE("#Metadata!", ADDRESS(INDEX($Q$2:$Q$1001,MATCH(ROWS($O$2:O968),$O$2:$O$1001,0),0), INDEX($V$1004:$AE$1004,1,MATCH(COLUMNS($V$1006:W1006),$V$1006:$AE$1006,0)))),"Fix")))</f>
        <v>0</v>
      </c>
      <c r="D968" s="4">
        <f>IF(OR(INDEX($P$2:$P$1001,MATCH(ROWS($O$2:O968),$O$2:$O$1001,0),1)&gt;=100000,INDEX($V$1005:$AE$1005,1,MATCH(COLUMNS($V$1006:X1006),$V$1006:$AE$1006,0))&gt;=100000), " ",IF(INDEX($V$2:$AE$1001,MATCH(ROWS($O$2:O968),$O$2:$O$1001,0),MATCH(COLUMNS($V$1006:X1006),$V$1006:$AE$1006,0)), HYPERLINK("#",""), HYPERLINK(CONCATENATE("#Metadata!", ADDRESS(INDEX($Q$2:$Q$1001,MATCH(ROWS($O$2:O968),$O$2:$O$1001,0),0), INDEX($V$1004:$AE$1004,1,MATCH(COLUMNS($V$1006:X1006),$V$1006:$AE$1006,0)))),"Fix")))</f>
        <v>0</v>
      </c>
      <c r="E968" s="4">
        <f>IF(OR(INDEX($P$2:$P$1001,MATCH(ROWS($O$2:O968),$O$2:$O$1001,0),1)&gt;=100000,INDEX($V$1005:$AE$1005,1,MATCH(COLUMNS($V$1006:Y1006),$V$1006:$AE$1006,0))&gt;=100000), " ",IF(INDEX($V$2:$AE$1001,MATCH(ROWS($O$2:O968),$O$2:$O$1001,0),MATCH(COLUMNS($V$1006:Y1006),$V$1006:$AE$1006,0)), HYPERLINK("#",""), HYPERLINK(CONCATENATE("#Metadata!", ADDRESS(INDEX($Q$2:$Q$1001,MATCH(ROWS($O$2:O968),$O$2:$O$1001,0),0), INDEX($V$1004:$AE$1004,1,MATCH(COLUMNS($V$1006:Y1006),$V$1006:$AE$1006,0)))),"Fix")))</f>
        <v>0</v>
      </c>
      <c r="F968" s="4">
        <f>IF(OR(INDEX($P$2:$P$1001,MATCH(ROWS($O$2:O968),$O$2:$O$1001,0),1)&gt;=100000,INDEX($V$1005:$AE$1005,1,MATCH(COLUMNS($V$1006:Z1006),$V$1006:$AE$1006,0))&gt;=100000), " ",IF(INDEX($V$2:$AE$1001,MATCH(ROWS($O$2:O968),$O$2:$O$1001,0),MATCH(COLUMNS($V$1006:Z1006),$V$1006:$AE$1006,0)), HYPERLINK("#",""), HYPERLINK(CONCATENATE("#Metadata!", ADDRESS(INDEX($Q$2:$Q$1001,MATCH(ROWS($O$2:O968),$O$2:$O$1001,0),0), INDEX($V$1004:$AE$1004,1,MATCH(COLUMNS($V$1006:Z1006),$V$1006:$AE$1006,0)))),"Fix")))</f>
        <v>0</v>
      </c>
      <c r="G968" s="4">
        <f>IF(OR(INDEX($P$2:$P$1001,MATCH(ROWS($O$2:O968),$O$2:$O$1001,0),1)&gt;=100000,INDEX($V$1005:$AE$1005,1,MATCH(COLUMNS($V$1006:AA1006),$V$1006:$AE$1006,0))&gt;=100000), " ",IF(INDEX($V$2:$AE$1001,MATCH(ROWS($O$2:O968),$O$2:$O$1001,0),MATCH(COLUMNS($V$1006:AA1006),$V$1006:$AE$1006,0)), HYPERLINK("#",""), HYPERLINK(CONCATENATE("#Metadata!", ADDRESS(INDEX($Q$2:$Q$1001,MATCH(ROWS($O$2:O968),$O$2:$O$1001,0),0), INDEX($V$1004:$AE$1004,1,MATCH(COLUMNS($V$1006:AA1006),$V$1006:$AE$1006,0)))),"Fix")))</f>
        <v>0</v>
      </c>
      <c r="H968" s="4">
        <f>IF(OR(INDEX($P$2:$P$1001,MATCH(ROWS($O$2:O968),$O$2:$O$1001,0),1)&gt;=100000,INDEX($V$1005:$AE$1005,1,MATCH(COLUMNS($V$1006:AB1006),$V$1006:$AE$1006,0))&gt;=100000), " ",IF(INDEX($V$2:$AE$1001,MATCH(ROWS($O$2:O968),$O$2:$O$1001,0),MATCH(COLUMNS($V$1006:AB1006),$V$1006:$AE$1006,0)), HYPERLINK("#",""), HYPERLINK(CONCATENATE("#Metadata!", ADDRESS(INDEX($Q$2:$Q$1001,MATCH(ROWS($O$2:O968),$O$2:$O$1001,0),0), INDEX($V$1004:$AE$1004,1,MATCH(COLUMNS($V$1006:AB1006),$V$1006:$AE$1006,0)))),"Fix")))</f>
        <v>0</v>
      </c>
      <c r="I968" s="4">
        <f>IF(OR(INDEX($P$2:$P$1001,MATCH(ROWS($O$2:O968),$O$2:$O$1001,0),1)&gt;=100000,INDEX($V$1005:$AE$1005,1,MATCH(COLUMNS($V$1006:AC1006),$V$1006:$AE$1006,0))&gt;=100000), " ",IF(INDEX($V$2:$AE$1001,MATCH(ROWS($O$2:O968),$O$2:$O$1001,0),MATCH(COLUMNS($V$1006:AC1006),$V$1006:$AE$1006,0)), HYPERLINK("#",""), HYPERLINK(CONCATENATE("#Metadata!", ADDRESS(INDEX($Q$2:$Q$1001,MATCH(ROWS($O$2:O968),$O$2:$O$1001,0),0), INDEX($V$1004:$AE$1004,1,MATCH(COLUMNS($V$1006:AC1006),$V$1006:$AE$1006,0)))),"Fix")))</f>
        <v>0</v>
      </c>
      <c r="J968" s="4">
        <f>IF(OR(INDEX($P$2:$P$1001,MATCH(ROWS($O$2:O968),$O$2:$O$1001,0),1)&gt;=100000,INDEX($V$1005:$AE$1005,1,MATCH(COLUMNS($V$1006:AD1006),$V$1006:$AE$1006,0))&gt;=100000), " ",IF(INDEX($V$2:$AE$1001,MATCH(ROWS($O$2:O968),$O$2:$O$1001,0),MATCH(COLUMNS($V$1006:AD1006),$V$1006:$AE$1006,0)), HYPERLINK("#",""), HYPERLINK(CONCATENATE("#Metadata!", ADDRESS(INDEX($Q$2:$Q$1001,MATCH(ROWS($O$2:O968),$O$2:$O$1001,0),0), INDEX($V$1004:$AE$1004,1,MATCH(COLUMNS($V$1006:AD1006),$V$1006:$AE$1006,0)))),"Fix")))</f>
        <v>0</v>
      </c>
      <c r="K968" s="4">
        <f>IF(OR(INDEX($P$2:$P$1001,MATCH(ROWS($O$2:O968),$O$2:$O$1001,0),1)&gt;=100000,INDEX($V$1005:$AE$1005,1,MATCH(COLUMNS($V$1006:AE1006),$V$1006:$AE$1006,0))&gt;=100000), " ",IF(INDEX($V$2:$AE$1001,MATCH(ROWS($O$2:O968),$O$2:$O$1001,0),MATCH(COLUMNS($V$1006:AE1006),$V$1006:$AE$1006,0)), HYPERLINK("#",""), HYPERLINK(CONCATENATE("#Metadata!", ADDRESS(INDEX($Q$2:$Q$1001,MATCH(ROWS($O$2:O968),$O$2:$O$1001,0),0), INDEX($V$1004:$AE$1004,1,MATCH(COLUMNS($V$1006:AE1006),$V$1006:$AE$1006,0)))),"Fix")))</f>
        <v>0</v>
      </c>
      <c r="O968">
        <v>0</v>
      </c>
      <c r="P968">
        <v>0</v>
      </c>
      <c r="Q968">
        <v>0</v>
      </c>
      <c r="R968">
        <f>IF(S968,TRUE,AND(V968:AE968))</f>
        <v>0</v>
      </c>
      <c r="S968">
        <f>COUNTBLANK(Metadata!B968:K968)=COLUMNS(Metadata!B968:K968)</f>
        <v>0</v>
      </c>
      <c r="T968">
        <v>0</v>
      </c>
      <c r="V968">
        <f>AND(IF(Metadata!B968="",FALSE,TRUE),COUNTIF(Metadata!B:B, Metadata!B968) = 1,NOT(ISERROR(SUMPRODUCT(SEARCH(MID(Metadata!B968,ROW(INDIRECT("1:"&amp;LEN(Metadata!B968))), 1),"0123456789abcdefghijklmnopqrstuvwxyzABCDEFGHIJKLMNOPQRSTUVWXYZ.")))))</f>
        <v>0</v>
      </c>
      <c r="W968">
        <f>AND(IF(Metadata!C968="",FALSE,TRUE),exact(Metadata!C968,"urban biome"))</f>
        <v>0</v>
      </c>
      <c r="X968">
        <f>AND(IF(Metadata!D968="",FALSE,TRUE),exact(Metadata!D968,"animal-associated habitat"))</f>
        <v>0</v>
      </c>
      <c r="Y968">
        <f>OR(AND(IF(Metadata!E968="",FALSE,TRUE),OR(exact(Metadata!E968,"not applicable"),exact(Metadata!E968,"missing: not collected"),exact(Metadata!E968,"missing: not provided"),exact(Metadata!E968,"missing: restricted access"))),AND(IF(Metadata!E968="",FALSE,ISNUMBER(VALUE(Metadata!E968))),Metadata!E968&gt;0))</f>
        <v>0</v>
      </c>
      <c r="Z968">
        <f>AND(IF(Metadata!F968="",FALSE,TRUE),exact(Metadata!F968,"weeks"))</f>
        <v>0</v>
      </c>
      <c r="AA968">
        <f>AND(IF(Metadata!G968="",FALSE,TRUE),exact(Metadata!G968,"mouse"))</f>
        <v>0</v>
      </c>
      <c r="AB968">
        <f>AND(IF(Metadata!H968="",FALSE,TRUE),exact(Metadata!H968,"Mus musculus"))</f>
        <v>0</v>
      </c>
      <c r="AC968">
        <f>AND(IF(Metadata!I968="",FALSE,TRUE),exact(Metadata!I968,"10090"))</f>
        <v>0</v>
      </c>
      <c r="AD968">
        <f>OR(AND(IF(Metadata!J968="",FALSE,TRUE),OR(exact(Metadata!J968,"not applicable"),exact(Metadata!J968,"missing: not collected"),exact(Metadata!J968,"missing: not provided"),exact(Metadata!J968,"missing: restricted access"))),AND(IF(Metadata!J968="",FALSE,ISNUMBER(VALUE(Metadata!J968))),Metadata!J968&gt;0))</f>
        <v>0</v>
      </c>
      <c r="AE968">
        <f>AND(IF(Metadata!K968="",FALSE,TRUE),exact(Metadata!K968,"g"))</f>
        <v>0</v>
      </c>
    </row>
    <row r="969" spans="1:31">
      <c r="A969" s="5">
        <f>IF(B969=" "," ",HYPERLINK(CONCATENATE("#metadata!",ADDRESS(INDEX($Q$2:$Q$1001,MATCH(ROWS($O$2:O969),$O$2:$O$1001,0),0),1)),INDEX($T$2:$T$1001,MATCH(ROWS($O$2:O969),$O$2:$O$1001,0),0)))</f>
        <v>0</v>
      </c>
      <c r="B969" s="4">
        <f>IF(OR(INDEX($P$2:$P$1001,MATCH(ROWS($O$2:O969),$O$2:$O$1001,0),1)&gt;=100000,INDEX($V$1005:$AE$1005,1,MATCH(COLUMNS($V$1006:V1006),$V$1006:$AE$1006,0))&gt;=100000), " ",IF(INDEX($V$2:$AE$1001,MATCH(ROWS($O$2:O969),$O$2:$O$1001,0),MATCH(COLUMNS($V$1006:V1006),$V$1006:$AE$1006,0)), HYPERLINK("#",""), HYPERLINK(CONCATENATE("#Metadata!", ADDRESS(INDEX($Q$2:$Q$1001,MATCH(ROWS($O$2:O969),$O$2:$O$1001,0),0), INDEX($V$1004:$AE$1004,1,MATCH(COLUMNS($V$1006:V1006),$V$1006:$AE$1006,0)))),"Fix")))</f>
        <v>0</v>
      </c>
      <c r="C969" s="4">
        <f>IF(OR(INDEX($P$2:$P$1001,MATCH(ROWS($O$2:O969),$O$2:$O$1001,0),1)&gt;=100000,INDEX($V$1005:$AE$1005,1,MATCH(COLUMNS($V$1006:W1006),$V$1006:$AE$1006,0))&gt;=100000), " ",IF(INDEX($V$2:$AE$1001,MATCH(ROWS($O$2:O969),$O$2:$O$1001,0),MATCH(COLUMNS($V$1006:W1006),$V$1006:$AE$1006,0)), HYPERLINK("#",""), HYPERLINK(CONCATENATE("#Metadata!", ADDRESS(INDEX($Q$2:$Q$1001,MATCH(ROWS($O$2:O969),$O$2:$O$1001,0),0), INDEX($V$1004:$AE$1004,1,MATCH(COLUMNS($V$1006:W1006),$V$1006:$AE$1006,0)))),"Fix")))</f>
        <v>0</v>
      </c>
      <c r="D969" s="4">
        <f>IF(OR(INDEX($P$2:$P$1001,MATCH(ROWS($O$2:O969),$O$2:$O$1001,0),1)&gt;=100000,INDEX($V$1005:$AE$1005,1,MATCH(COLUMNS($V$1006:X1006),$V$1006:$AE$1006,0))&gt;=100000), " ",IF(INDEX($V$2:$AE$1001,MATCH(ROWS($O$2:O969),$O$2:$O$1001,0),MATCH(COLUMNS($V$1006:X1006),$V$1006:$AE$1006,0)), HYPERLINK("#",""), HYPERLINK(CONCATENATE("#Metadata!", ADDRESS(INDEX($Q$2:$Q$1001,MATCH(ROWS($O$2:O969),$O$2:$O$1001,0),0), INDEX($V$1004:$AE$1004,1,MATCH(COLUMNS($V$1006:X1006),$V$1006:$AE$1006,0)))),"Fix")))</f>
        <v>0</v>
      </c>
      <c r="E969" s="4">
        <f>IF(OR(INDEX($P$2:$P$1001,MATCH(ROWS($O$2:O969),$O$2:$O$1001,0),1)&gt;=100000,INDEX($V$1005:$AE$1005,1,MATCH(COLUMNS($V$1006:Y1006),$V$1006:$AE$1006,0))&gt;=100000), " ",IF(INDEX($V$2:$AE$1001,MATCH(ROWS($O$2:O969),$O$2:$O$1001,0),MATCH(COLUMNS($V$1006:Y1006),$V$1006:$AE$1006,0)), HYPERLINK("#",""), HYPERLINK(CONCATENATE("#Metadata!", ADDRESS(INDEX($Q$2:$Q$1001,MATCH(ROWS($O$2:O969),$O$2:$O$1001,0),0), INDEX($V$1004:$AE$1004,1,MATCH(COLUMNS($V$1006:Y1006),$V$1006:$AE$1006,0)))),"Fix")))</f>
        <v>0</v>
      </c>
      <c r="F969" s="4">
        <f>IF(OR(INDEX($P$2:$P$1001,MATCH(ROWS($O$2:O969),$O$2:$O$1001,0),1)&gt;=100000,INDEX($V$1005:$AE$1005,1,MATCH(COLUMNS($V$1006:Z1006),$V$1006:$AE$1006,0))&gt;=100000), " ",IF(INDEX($V$2:$AE$1001,MATCH(ROWS($O$2:O969),$O$2:$O$1001,0),MATCH(COLUMNS($V$1006:Z1006),$V$1006:$AE$1006,0)), HYPERLINK("#",""), HYPERLINK(CONCATENATE("#Metadata!", ADDRESS(INDEX($Q$2:$Q$1001,MATCH(ROWS($O$2:O969),$O$2:$O$1001,0),0), INDEX($V$1004:$AE$1004,1,MATCH(COLUMNS($V$1006:Z1006),$V$1006:$AE$1006,0)))),"Fix")))</f>
        <v>0</v>
      </c>
      <c r="G969" s="4">
        <f>IF(OR(INDEX($P$2:$P$1001,MATCH(ROWS($O$2:O969),$O$2:$O$1001,0),1)&gt;=100000,INDEX($V$1005:$AE$1005,1,MATCH(COLUMNS($V$1006:AA1006),$V$1006:$AE$1006,0))&gt;=100000), " ",IF(INDEX($V$2:$AE$1001,MATCH(ROWS($O$2:O969),$O$2:$O$1001,0),MATCH(COLUMNS($V$1006:AA1006),$V$1006:$AE$1006,0)), HYPERLINK("#",""), HYPERLINK(CONCATENATE("#Metadata!", ADDRESS(INDEX($Q$2:$Q$1001,MATCH(ROWS($O$2:O969),$O$2:$O$1001,0),0), INDEX($V$1004:$AE$1004,1,MATCH(COLUMNS($V$1006:AA1006),$V$1006:$AE$1006,0)))),"Fix")))</f>
        <v>0</v>
      </c>
      <c r="H969" s="4">
        <f>IF(OR(INDEX($P$2:$P$1001,MATCH(ROWS($O$2:O969),$O$2:$O$1001,0),1)&gt;=100000,INDEX($V$1005:$AE$1005,1,MATCH(COLUMNS($V$1006:AB1006),$V$1006:$AE$1006,0))&gt;=100000), " ",IF(INDEX($V$2:$AE$1001,MATCH(ROWS($O$2:O969),$O$2:$O$1001,0),MATCH(COLUMNS($V$1006:AB1006),$V$1006:$AE$1006,0)), HYPERLINK("#",""), HYPERLINK(CONCATENATE("#Metadata!", ADDRESS(INDEX($Q$2:$Q$1001,MATCH(ROWS($O$2:O969),$O$2:$O$1001,0),0), INDEX($V$1004:$AE$1004,1,MATCH(COLUMNS($V$1006:AB1006),$V$1006:$AE$1006,0)))),"Fix")))</f>
        <v>0</v>
      </c>
      <c r="I969" s="4">
        <f>IF(OR(INDEX($P$2:$P$1001,MATCH(ROWS($O$2:O969),$O$2:$O$1001,0),1)&gt;=100000,INDEX($V$1005:$AE$1005,1,MATCH(COLUMNS($V$1006:AC1006),$V$1006:$AE$1006,0))&gt;=100000), " ",IF(INDEX($V$2:$AE$1001,MATCH(ROWS($O$2:O969),$O$2:$O$1001,0),MATCH(COLUMNS($V$1006:AC1006),$V$1006:$AE$1006,0)), HYPERLINK("#",""), HYPERLINK(CONCATENATE("#Metadata!", ADDRESS(INDEX($Q$2:$Q$1001,MATCH(ROWS($O$2:O969),$O$2:$O$1001,0),0), INDEX($V$1004:$AE$1004,1,MATCH(COLUMNS($V$1006:AC1006),$V$1006:$AE$1006,0)))),"Fix")))</f>
        <v>0</v>
      </c>
      <c r="J969" s="4">
        <f>IF(OR(INDEX($P$2:$P$1001,MATCH(ROWS($O$2:O969),$O$2:$O$1001,0),1)&gt;=100000,INDEX($V$1005:$AE$1005,1,MATCH(COLUMNS($V$1006:AD1006),$V$1006:$AE$1006,0))&gt;=100000), " ",IF(INDEX($V$2:$AE$1001,MATCH(ROWS($O$2:O969),$O$2:$O$1001,0),MATCH(COLUMNS($V$1006:AD1006),$V$1006:$AE$1006,0)), HYPERLINK("#",""), HYPERLINK(CONCATENATE("#Metadata!", ADDRESS(INDEX($Q$2:$Q$1001,MATCH(ROWS($O$2:O969),$O$2:$O$1001,0),0), INDEX($V$1004:$AE$1004,1,MATCH(COLUMNS($V$1006:AD1006),$V$1006:$AE$1006,0)))),"Fix")))</f>
        <v>0</v>
      </c>
      <c r="K969" s="4">
        <f>IF(OR(INDEX($P$2:$P$1001,MATCH(ROWS($O$2:O969),$O$2:$O$1001,0),1)&gt;=100000,INDEX($V$1005:$AE$1005,1,MATCH(COLUMNS($V$1006:AE1006),$V$1006:$AE$1006,0))&gt;=100000), " ",IF(INDEX($V$2:$AE$1001,MATCH(ROWS($O$2:O969),$O$2:$O$1001,0),MATCH(COLUMNS($V$1006:AE1006),$V$1006:$AE$1006,0)), HYPERLINK("#",""), HYPERLINK(CONCATENATE("#Metadata!", ADDRESS(INDEX($Q$2:$Q$1001,MATCH(ROWS($O$2:O969),$O$2:$O$1001,0),0), INDEX($V$1004:$AE$1004,1,MATCH(COLUMNS($V$1006:AE1006),$V$1006:$AE$1006,0)))),"Fix")))</f>
        <v>0</v>
      </c>
      <c r="O969">
        <v>0</v>
      </c>
      <c r="P969">
        <v>0</v>
      </c>
      <c r="Q969">
        <v>0</v>
      </c>
      <c r="R969">
        <f>IF(S969,TRUE,AND(V969:AE969))</f>
        <v>0</v>
      </c>
      <c r="S969">
        <f>COUNTBLANK(Metadata!B969:K969)=COLUMNS(Metadata!B969:K969)</f>
        <v>0</v>
      </c>
      <c r="T969">
        <v>0</v>
      </c>
      <c r="V969">
        <f>AND(IF(Metadata!B969="",FALSE,TRUE),COUNTIF(Metadata!B:B, Metadata!B969) = 1,NOT(ISERROR(SUMPRODUCT(SEARCH(MID(Metadata!B969,ROW(INDIRECT("1:"&amp;LEN(Metadata!B969))), 1),"0123456789abcdefghijklmnopqrstuvwxyzABCDEFGHIJKLMNOPQRSTUVWXYZ.")))))</f>
        <v>0</v>
      </c>
      <c r="W969">
        <f>AND(IF(Metadata!C969="",FALSE,TRUE),exact(Metadata!C969,"urban biome"))</f>
        <v>0</v>
      </c>
      <c r="X969">
        <f>AND(IF(Metadata!D969="",FALSE,TRUE),exact(Metadata!D969,"animal-associated habitat"))</f>
        <v>0</v>
      </c>
      <c r="Y969">
        <f>OR(AND(IF(Metadata!E969="",FALSE,TRUE),OR(exact(Metadata!E969,"not applicable"),exact(Metadata!E969,"missing: not collected"),exact(Metadata!E969,"missing: not provided"),exact(Metadata!E969,"missing: restricted access"))),AND(IF(Metadata!E969="",FALSE,ISNUMBER(VALUE(Metadata!E969))),Metadata!E969&gt;0))</f>
        <v>0</v>
      </c>
      <c r="Z969">
        <f>AND(IF(Metadata!F969="",FALSE,TRUE),exact(Metadata!F969,"weeks"))</f>
        <v>0</v>
      </c>
      <c r="AA969">
        <f>AND(IF(Metadata!G969="",FALSE,TRUE),exact(Metadata!G969,"mouse"))</f>
        <v>0</v>
      </c>
      <c r="AB969">
        <f>AND(IF(Metadata!H969="",FALSE,TRUE),exact(Metadata!H969,"Mus musculus"))</f>
        <v>0</v>
      </c>
      <c r="AC969">
        <f>AND(IF(Metadata!I969="",FALSE,TRUE),exact(Metadata!I969,"10090"))</f>
        <v>0</v>
      </c>
      <c r="AD969">
        <f>OR(AND(IF(Metadata!J969="",FALSE,TRUE),OR(exact(Metadata!J969,"not applicable"),exact(Metadata!J969,"missing: not collected"),exact(Metadata!J969,"missing: not provided"),exact(Metadata!J969,"missing: restricted access"))),AND(IF(Metadata!J969="",FALSE,ISNUMBER(VALUE(Metadata!J969))),Metadata!J969&gt;0))</f>
        <v>0</v>
      </c>
      <c r="AE969">
        <f>AND(IF(Metadata!K969="",FALSE,TRUE),exact(Metadata!K969,"g"))</f>
        <v>0</v>
      </c>
    </row>
    <row r="970" spans="1:31">
      <c r="A970" s="5">
        <f>IF(B970=" "," ",HYPERLINK(CONCATENATE("#metadata!",ADDRESS(INDEX($Q$2:$Q$1001,MATCH(ROWS($O$2:O970),$O$2:$O$1001,0),0),1)),INDEX($T$2:$T$1001,MATCH(ROWS($O$2:O970),$O$2:$O$1001,0),0)))</f>
        <v>0</v>
      </c>
      <c r="B970" s="4">
        <f>IF(OR(INDEX($P$2:$P$1001,MATCH(ROWS($O$2:O970),$O$2:$O$1001,0),1)&gt;=100000,INDEX($V$1005:$AE$1005,1,MATCH(COLUMNS($V$1006:V1006),$V$1006:$AE$1006,0))&gt;=100000), " ",IF(INDEX($V$2:$AE$1001,MATCH(ROWS($O$2:O970),$O$2:$O$1001,0),MATCH(COLUMNS($V$1006:V1006),$V$1006:$AE$1006,0)), HYPERLINK("#",""), HYPERLINK(CONCATENATE("#Metadata!", ADDRESS(INDEX($Q$2:$Q$1001,MATCH(ROWS($O$2:O970),$O$2:$O$1001,0),0), INDEX($V$1004:$AE$1004,1,MATCH(COLUMNS($V$1006:V1006),$V$1006:$AE$1006,0)))),"Fix")))</f>
        <v>0</v>
      </c>
      <c r="C970" s="4">
        <f>IF(OR(INDEX($P$2:$P$1001,MATCH(ROWS($O$2:O970),$O$2:$O$1001,0),1)&gt;=100000,INDEX($V$1005:$AE$1005,1,MATCH(COLUMNS($V$1006:W1006),$V$1006:$AE$1006,0))&gt;=100000), " ",IF(INDEX($V$2:$AE$1001,MATCH(ROWS($O$2:O970),$O$2:$O$1001,0),MATCH(COLUMNS($V$1006:W1006),$V$1006:$AE$1006,0)), HYPERLINK("#",""), HYPERLINK(CONCATENATE("#Metadata!", ADDRESS(INDEX($Q$2:$Q$1001,MATCH(ROWS($O$2:O970),$O$2:$O$1001,0),0), INDEX($V$1004:$AE$1004,1,MATCH(COLUMNS($V$1006:W1006),$V$1006:$AE$1006,0)))),"Fix")))</f>
        <v>0</v>
      </c>
      <c r="D970" s="4">
        <f>IF(OR(INDEX($P$2:$P$1001,MATCH(ROWS($O$2:O970),$O$2:$O$1001,0),1)&gt;=100000,INDEX($V$1005:$AE$1005,1,MATCH(COLUMNS($V$1006:X1006),$V$1006:$AE$1006,0))&gt;=100000), " ",IF(INDEX($V$2:$AE$1001,MATCH(ROWS($O$2:O970),$O$2:$O$1001,0),MATCH(COLUMNS($V$1006:X1006),$V$1006:$AE$1006,0)), HYPERLINK("#",""), HYPERLINK(CONCATENATE("#Metadata!", ADDRESS(INDEX($Q$2:$Q$1001,MATCH(ROWS($O$2:O970),$O$2:$O$1001,0),0), INDEX($V$1004:$AE$1004,1,MATCH(COLUMNS($V$1006:X1006),$V$1006:$AE$1006,0)))),"Fix")))</f>
        <v>0</v>
      </c>
      <c r="E970" s="4">
        <f>IF(OR(INDEX($P$2:$P$1001,MATCH(ROWS($O$2:O970),$O$2:$O$1001,0),1)&gt;=100000,INDEX($V$1005:$AE$1005,1,MATCH(COLUMNS($V$1006:Y1006),$V$1006:$AE$1006,0))&gt;=100000), " ",IF(INDEX($V$2:$AE$1001,MATCH(ROWS($O$2:O970),$O$2:$O$1001,0),MATCH(COLUMNS($V$1006:Y1006),$V$1006:$AE$1006,0)), HYPERLINK("#",""), HYPERLINK(CONCATENATE("#Metadata!", ADDRESS(INDEX($Q$2:$Q$1001,MATCH(ROWS($O$2:O970),$O$2:$O$1001,0),0), INDEX($V$1004:$AE$1004,1,MATCH(COLUMNS($V$1006:Y1006),$V$1006:$AE$1006,0)))),"Fix")))</f>
        <v>0</v>
      </c>
      <c r="F970" s="4">
        <f>IF(OR(INDEX($P$2:$P$1001,MATCH(ROWS($O$2:O970),$O$2:$O$1001,0),1)&gt;=100000,INDEX($V$1005:$AE$1005,1,MATCH(COLUMNS($V$1006:Z1006),$V$1006:$AE$1006,0))&gt;=100000), " ",IF(INDEX($V$2:$AE$1001,MATCH(ROWS($O$2:O970),$O$2:$O$1001,0),MATCH(COLUMNS($V$1006:Z1006),$V$1006:$AE$1006,0)), HYPERLINK("#",""), HYPERLINK(CONCATENATE("#Metadata!", ADDRESS(INDEX($Q$2:$Q$1001,MATCH(ROWS($O$2:O970),$O$2:$O$1001,0),0), INDEX($V$1004:$AE$1004,1,MATCH(COLUMNS($V$1006:Z1006),$V$1006:$AE$1006,0)))),"Fix")))</f>
        <v>0</v>
      </c>
      <c r="G970" s="4">
        <f>IF(OR(INDEX($P$2:$P$1001,MATCH(ROWS($O$2:O970),$O$2:$O$1001,0),1)&gt;=100000,INDEX($V$1005:$AE$1005,1,MATCH(COLUMNS($V$1006:AA1006),$V$1006:$AE$1006,0))&gt;=100000), " ",IF(INDEX($V$2:$AE$1001,MATCH(ROWS($O$2:O970),$O$2:$O$1001,0),MATCH(COLUMNS($V$1006:AA1006),$V$1006:$AE$1006,0)), HYPERLINK("#",""), HYPERLINK(CONCATENATE("#Metadata!", ADDRESS(INDEX($Q$2:$Q$1001,MATCH(ROWS($O$2:O970),$O$2:$O$1001,0),0), INDEX($V$1004:$AE$1004,1,MATCH(COLUMNS($V$1006:AA1006),$V$1006:$AE$1006,0)))),"Fix")))</f>
        <v>0</v>
      </c>
      <c r="H970" s="4">
        <f>IF(OR(INDEX($P$2:$P$1001,MATCH(ROWS($O$2:O970),$O$2:$O$1001,0),1)&gt;=100000,INDEX($V$1005:$AE$1005,1,MATCH(COLUMNS($V$1006:AB1006),$V$1006:$AE$1006,0))&gt;=100000), " ",IF(INDEX($V$2:$AE$1001,MATCH(ROWS($O$2:O970),$O$2:$O$1001,0),MATCH(COLUMNS($V$1006:AB1006),$V$1006:$AE$1006,0)), HYPERLINK("#",""), HYPERLINK(CONCATENATE("#Metadata!", ADDRESS(INDEX($Q$2:$Q$1001,MATCH(ROWS($O$2:O970),$O$2:$O$1001,0),0), INDEX($V$1004:$AE$1004,1,MATCH(COLUMNS($V$1006:AB1006),$V$1006:$AE$1006,0)))),"Fix")))</f>
        <v>0</v>
      </c>
      <c r="I970" s="4">
        <f>IF(OR(INDEX($P$2:$P$1001,MATCH(ROWS($O$2:O970),$O$2:$O$1001,0),1)&gt;=100000,INDEX($V$1005:$AE$1005,1,MATCH(COLUMNS($V$1006:AC1006),$V$1006:$AE$1006,0))&gt;=100000), " ",IF(INDEX($V$2:$AE$1001,MATCH(ROWS($O$2:O970),$O$2:$O$1001,0),MATCH(COLUMNS($V$1006:AC1006),$V$1006:$AE$1006,0)), HYPERLINK("#",""), HYPERLINK(CONCATENATE("#Metadata!", ADDRESS(INDEX($Q$2:$Q$1001,MATCH(ROWS($O$2:O970),$O$2:$O$1001,0),0), INDEX($V$1004:$AE$1004,1,MATCH(COLUMNS($V$1006:AC1006),$V$1006:$AE$1006,0)))),"Fix")))</f>
        <v>0</v>
      </c>
      <c r="J970" s="4">
        <f>IF(OR(INDEX($P$2:$P$1001,MATCH(ROWS($O$2:O970),$O$2:$O$1001,0),1)&gt;=100000,INDEX($V$1005:$AE$1005,1,MATCH(COLUMNS($V$1006:AD1006),$V$1006:$AE$1006,0))&gt;=100000), " ",IF(INDEX($V$2:$AE$1001,MATCH(ROWS($O$2:O970),$O$2:$O$1001,0),MATCH(COLUMNS($V$1006:AD1006),$V$1006:$AE$1006,0)), HYPERLINK("#",""), HYPERLINK(CONCATENATE("#Metadata!", ADDRESS(INDEX($Q$2:$Q$1001,MATCH(ROWS($O$2:O970),$O$2:$O$1001,0),0), INDEX($V$1004:$AE$1004,1,MATCH(COLUMNS($V$1006:AD1006),$V$1006:$AE$1006,0)))),"Fix")))</f>
        <v>0</v>
      </c>
      <c r="K970" s="4">
        <f>IF(OR(INDEX($P$2:$P$1001,MATCH(ROWS($O$2:O970),$O$2:$O$1001,0),1)&gt;=100000,INDEX($V$1005:$AE$1005,1,MATCH(COLUMNS($V$1006:AE1006),$V$1006:$AE$1006,0))&gt;=100000), " ",IF(INDEX($V$2:$AE$1001,MATCH(ROWS($O$2:O970),$O$2:$O$1001,0),MATCH(COLUMNS($V$1006:AE1006),$V$1006:$AE$1006,0)), HYPERLINK("#",""), HYPERLINK(CONCATENATE("#Metadata!", ADDRESS(INDEX($Q$2:$Q$1001,MATCH(ROWS($O$2:O970),$O$2:$O$1001,0),0), INDEX($V$1004:$AE$1004,1,MATCH(COLUMNS($V$1006:AE1006),$V$1006:$AE$1006,0)))),"Fix")))</f>
        <v>0</v>
      </c>
      <c r="O970">
        <v>0</v>
      </c>
      <c r="P970">
        <v>0</v>
      </c>
      <c r="Q970">
        <v>0</v>
      </c>
      <c r="R970">
        <f>IF(S970,TRUE,AND(V970:AE970))</f>
        <v>0</v>
      </c>
      <c r="S970">
        <f>COUNTBLANK(Metadata!B970:K970)=COLUMNS(Metadata!B970:K970)</f>
        <v>0</v>
      </c>
      <c r="T970">
        <v>0</v>
      </c>
      <c r="V970">
        <f>AND(IF(Metadata!B970="",FALSE,TRUE),COUNTIF(Metadata!B:B, Metadata!B970) = 1,NOT(ISERROR(SUMPRODUCT(SEARCH(MID(Metadata!B970,ROW(INDIRECT("1:"&amp;LEN(Metadata!B970))), 1),"0123456789abcdefghijklmnopqrstuvwxyzABCDEFGHIJKLMNOPQRSTUVWXYZ.")))))</f>
        <v>0</v>
      </c>
      <c r="W970">
        <f>AND(IF(Metadata!C970="",FALSE,TRUE),exact(Metadata!C970,"urban biome"))</f>
        <v>0</v>
      </c>
      <c r="X970">
        <f>AND(IF(Metadata!D970="",FALSE,TRUE),exact(Metadata!D970,"animal-associated habitat"))</f>
        <v>0</v>
      </c>
      <c r="Y970">
        <f>OR(AND(IF(Metadata!E970="",FALSE,TRUE),OR(exact(Metadata!E970,"not applicable"),exact(Metadata!E970,"missing: not collected"),exact(Metadata!E970,"missing: not provided"),exact(Metadata!E970,"missing: restricted access"))),AND(IF(Metadata!E970="",FALSE,ISNUMBER(VALUE(Metadata!E970))),Metadata!E970&gt;0))</f>
        <v>0</v>
      </c>
      <c r="Z970">
        <f>AND(IF(Metadata!F970="",FALSE,TRUE),exact(Metadata!F970,"weeks"))</f>
        <v>0</v>
      </c>
      <c r="AA970">
        <f>AND(IF(Metadata!G970="",FALSE,TRUE),exact(Metadata!G970,"mouse"))</f>
        <v>0</v>
      </c>
      <c r="AB970">
        <f>AND(IF(Metadata!H970="",FALSE,TRUE),exact(Metadata!H970,"Mus musculus"))</f>
        <v>0</v>
      </c>
      <c r="AC970">
        <f>AND(IF(Metadata!I970="",FALSE,TRUE),exact(Metadata!I970,"10090"))</f>
        <v>0</v>
      </c>
      <c r="AD970">
        <f>OR(AND(IF(Metadata!J970="",FALSE,TRUE),OR(exact(Metadata!J970,"not applicable"),exact(Metadata!J970,"missing: not collected"),exact(Metadata!J970,"missing: not provided"),exact(Metadata!J970,"missing: restricted access"))),AND(IF(Metadata!J970="",FALSE,ISNUMBER(VALUE(Metadata!J970))),Metadata!J970&gt;0))</f>
        <v>0</v>
      </c>
      <c r="AE970">
        <f>AND(IF(Metadata!K970="",FALSE,TRUE),exact(Metadata!K970,"g"))</f>
        <v>0</v>
      </c>
    </row>
    <row r="971" spans="1:31">
      <c r="A971" s="5">
        <f>IF(B971=" "," ",HYPERLINK(CONCATENATE("#metadata!",ADDRESS(INDEX($Q$2:$Q$1001,MATCH(ROWS($O$2:O971),$O$2:$O$1001,0),0),1)),INDEX($T$2:$T$1001,MATCH(ROWS($O$2:O971),$O$2:$O$1001,0),0)))</f>
        <v>0</v>
      </c>
      <c r="B971" s="4">
        <f>IF(OR(INDEX($P$2:$P$1001,MATCH(ROWS($O$2:O971),$O$2:$O$1001,0),1)&gt;=100000,INDEX($V$1005:$AE$1005,1,MATCH(COLUMNS($V$1006:V1006),$V$1006:$AE$1006,0))&gt;=100000), " ",IF(INDEX($V$2:$AE$1001,MATCH(ROWS($O$2:O971),$O$2:$O$1001,0),MATCH(COLUMNS($V$1006:V1006),$V$1006:$AE$1006,0)), HYPERLINK("#",""), HYPERLINK(CONCATENATE("#Metadata!", ADDRESS(INDEX($Q$2:$Q$1001,MATCH(ROWS($O$2:O971),$O$2:$O$1001,0),0), INDEX($V$1004:$AE$1004,1,MATCH(COLUMNS($V$1006:V1006),$V$1006:$AE$1006,0)))),"Fix")))</f>
        <v>0</v>
      </c>
      <c r="C971" s="4">
        <f>IF(OR(INDEX($P$2:$P$1001,MATCH(ROWS($O$2:O971),$O$2:$O$1001,0),1)&gt;=100000,INDEX($V$1005:$AE$1005,1,MATCH(COLUMNS($V$1006:W1006),$V$1006:$AE$1006,0))&gt;=100000), " ",IF(INDEX($V$2:$AE$1001,MATCH(ROWS($O$2:O971),$O$2:$O$1001,0),MATCH(COLUMNS($V$1006:W1006),$V$1006:$AE$1006,0)), HYPERLINK("#",""), HYPERLINK(CONCATENATE("#Metadata!", ADDRESS(INDEX($Q$2:$Q$1001,MATCH(ROWS($O$2:O971),$O$2:$O$1001,0),0), INDEX($V$1004:$AE$1004,1,MATCH(COLUMNS($V$1006:W1006),$V$1006:$AE$1006,0)))),"Fix")))</f>
        <v>0</v>
      </c>
      <c r="D971" s="4">
        <f>IF(OR(INDEX($P$2:$P$1001,MATCH(ROWS($O$2:O971),$O$2:$O$1001,0),1)&gt;=100000,INDEX($V$1005:$AE$1005,1,MATCH(COLUMNS($V$1006:X1006),$V$1006:$AE$1006,0))&gt;=100000), " ",IF(INDEX($V$2:$AE$1001,MATCH(ROWS($O$2:O971),$O$2:$O$1001,0),MATCH(COLUMNS($V$1006:X1006),$V$1006:$AE$1006,0)), HYPERLINK("#",""), HYPERLINK(CONCATENATE("#Metadata!", ADDRESS(INDEX($Q$2:$Q$1001,MATCH(ROWS($O$2:O971),$O$2:$O$1001,0),0), INDEX($V$1004:$AE$1004,1,MATCH(COLUMNS($V$1006:X1006),$V$1006:$AE$1006,0)))),"Fix")))</f>
        <v>0</v>
      </c>
      <c r="E971" s="4">
        <f>IF(OR(INDEX($P$2:$P$1001,MATCH(ROWS($O$2:O971),$O$2:$O$1001,0),1)&gt;=100000,INDEX($V$1005:$AE$1005,1,MATCH(COLUMNS($V$1006:Y1006),$V$1006:$AE$1006,0))&gt;=100000), " ",IF(INDEX($V$2:$AE$1001,MATCH(ROWS($O$2:O971),$O$2:$O$1001,0),MATCH(COLUMNS($V$1006:Y1006),$V$1006:$AE$1006,0)), HYPERLINK("#",""), HYPERLINK(CONCATENATE("#Metadata!", ADDRESS(INDEX($Q$2:$Q$1001,MATCH(ROWS($O$2:O971),$O$2:$O$1001,0),0), INDEX($V$1004:$AE$1004,1,MATCH(COLUMNS($V$1006:Y1006),$V$1006:$AE$1006,0)))),"Fix")))</f>
        <v>0</v>
      </c>
      <c r="F971" s="4">
        <f>IF(OR(INDEX($P$2:$P$1001,MATCH(ROWS($O$2:O971),$O$2:$O$1001,0),1)&gt;=100000,INDEX($V$1005:$AE$1005,1,MATCH(COLUMNS($V$1006:Z1006),$V$1006:$AE$1006,0))&gt;=100000), " ",IF(INDEX($V$2:$AE$1001,MATCH(ROWS($O$2:O971),$O$2:$O$1001,0),MATCH(COLUMNS($V$1006:Z1006),$V$1006:$AE$1006,0)), HYPERLINK("#",""), HYPERLINK(CONCATENATE("#Metadata!", ADDRESS(INDEX($Q$2:$Q$1001,MATCH(ROWS($O$2:O971),$O$2:$O$1001,0),0), INDEX($V$1004:$AE$1004,1,MATCH(COLUMNS($V$1006:Z1006),$V$1006:$AE$1006,0)))),"Fix")))</f>
        <v>0</v>
      </c>
      <c r="G971" s="4">
        <f>IF(OR(INDEX($P$2:$P$1001,MATCH(ROWS($O$2:O971),$O$2:$O$1001,0),1)&gt;=100000,INDEX($V$1005:$AE$1005,1,MATCH(COLUMNS($V$1006:AA1006),$V$1006:$AE$1006,0))&gt;=100000), " ",IF(INDEX($V$2:$AE$1001,MATCH(ROWS($O$2:O971),$O$2:$O$1001,0),MATCH(COLUMNS($V$1006:AA1006),$V$1006:$AE$1006,0)), HYPERLINK("#",""), HYPERLINK(CONCATENATE("#Metadata!", ADDRESS(INDEX($Q$2:$Q$1001,MATCH(ROWS($O$2:O971),$O$2:$O$1001,0),0), INDEX($V$1004:$AE$1004,1,MATCH(COLUMNS($V$1006:AA1006),$V$1006:$AE$1006,0)))),"Fix")))</f>
        <v>0</v>
      </c>
      <c r="H971" s="4">
        <f>IF(OR(INDEX($P$2:$P$1001,MATCH(ROWS($O$2:O971),$O$2:$O$1001,0),1)&gt;=100000,INDEX($V$1005:$AE$1005,1,MATCH(COLUMNS($V$1006:AB1006),$V$1006:$AE$1006,0))&gt;=100000), " ",IF(INDEX($V$2:$AE$1001,MATCH(ROWS($O$2:O971),$O$2:$O$1001,0),MATCH(COLUMNS($V$1006:AB1006),$V$1006:$AE$1006,0)), HYPERLINK("#",""), HYPERLINK(CONCATENATE("#Metadata!", ADDRESS(INDEX($Q$2:$Q$1001,MATCH(ROWS($O$2:O971),$O$2:$O$1001,0),0), INDEX($V$1004:$AE$1004,1,MATCH(COLUMNS($V$1006:AB1006),$V$1006:$AE$1006,0)))),"Fix")))</f>
        <v>0</v>
      </c>
      <c r="I971" s="4">
        <f>IF(OR(INDEX($P$2:$P$1001,MATCH(ROWS($O$2:O971),$O$2:$O$1001,0),1)&gt;=100000,INDEX($V$1005:$AE$1005,1,MATCH(COLUMNS($V$1006:AC1006),$V$1006:$AE$1006,0))&gt;=100000), " ",IF(INDEX($V$2:$AE$1001,MATCH(ROWS($O$2:O971),$O$2:$O$1001,0),MATCH(COLUMNS($V$1006:AC1006),$V$1006:$AE$1006,0)), HYPERLINK("#",""), HYPERLINK(CONCATENATE("#Metadata!", ADDRESS(INDEX($Q$2:$Q$1001,MATCH(ROWS($O$2:O971),$O$2:$O$1001,0),0), INDEX($V$1004:$AE$1004,1,MATCH(COLUMNS($V$1006:AC1006),$V$1006:$AE$1006,0)))),"Fix")))</f>
        <v>0</v>
      </c>
      <c r="J971" s="4">
        <f>IF(OR(INDEX($P$2:$P$1001,MATCH(ROWS($O$2:O971),$O$2:$O$1001,0),1)&gt;=100000,INDEX($V$1005:$AE$1005,1,MATCH(COLUMNS($V$1006:AD1006),$V$1006:$AE$1006,0))&gt;=100000), " ",IF(INDEX($V$2:$AE$1001,MATCH(ROWS($O$2:O971),$O$2:$O$1001,0),MATCH(COLUMNS($V$1006:AD1006),$V$1006:$AE$1006,0)), HYPERLINK("#",""), HYPERLINK(CONCATENATE("#Metadata!", ADDRESS(INDEX($Q$2:$Q$1001,MATCH(ROWS($O$2:O971),$O$2:$O$1001,0),0), INDEX($V$1004:$AE$1004,1,MATCH(COLUMNS($V$1006:AD1006),$V$1006:$AE$1006,0)))),"Fix")))</f>
        <v>0</v>
      </c>
      <c r="K971" s="4">
        <f>IF(OR(INDEX($P$2:$P$1001,MATCH(ROWS($O$2:O971),$O$2:$O$1001,0),1)&gt;=100000,INDEX($V$1005:$AE$1005,1,MATCH(COLUMNS($V$1006:AE1006),$V$1006:$AE$1006,0))&gt;=100000), " ",IF(INDEX($V$2:$AE$1001,MATCH(ROWS($O$2:O971),$O$2:$O$1001,0),MATCH(COLUMNS($V$1006:AE1006),$V$1006:$AE$1006,0)), HYPERLINK("#",""), HYPERLINK(CONCATENATE("#Metadata!", ADDRESS(INDEX($Q$2:$Q$1001,MATCH(ROWS($O$2:O971),$O$2:$O$1001,0),0), INDEX($V$1004:$AE$1004,1,MATCH(COLUMNS($V$1006:AE1006),$V$1006:$AE$1006,0)))),"Fix")))</f>
        <v>0</v>
      </c>
      <c r="O971">
        <v>0</v>
      </c>
      <c r="P971">
        <v>0</v>
      </c>
      <c r="Q971">
        <v>0</v>
      </c>
      <c r="R971">
        <f>IF(S971,TRUE,AND(V971:AE971))</f>
        <v>0</v>
      </c>
      <c r="S971">
        <f>COUNTBLANK(Metadata!B971:K971)=COLUMNS(Metadata!B971:K971)</f>
        <v>0</v>
      </c>
      <c r="T971">
        <v>0</v>
      </c>
      <c r="V971">
        <f>AND(IF(Metadata!B971="",FALSE,TRUE),COUNTIF(Metadata!B:B, Metadata!B971) = 1,NOT(ISERROR(SUMPRODUCT(SEARCH(MID(Metadata!B971,ROW(INDIRECT("1:"&amp;LEN(Metadata!B971))), 1),"0123456789abcdefghijklmnopqrstuvwxyzABCDEFGHIJKLMNOPQRSTUVWXYZ.")))))</f>
        <v>0</v>
      </c>
      <c r="W971">
        <f>AND(IF(Metadata!C971="",FALSE,TRUE),exact(Metadata!C971,"urban biome"))</f>
        <v>0</v>
      </c>
      <c r="X971">
        <f>AND(IF(Metadata!D971="",FALSE,TRUE),exact(Metadata!D971,"animal-associated habitat"))</f>
        <v>0</v>
      </c>
      <c r="Y971">
        <f>OR(AND(IF(Metadata!E971="",FALSE,TRUE),OR(exact(Metadata!E971,"not applicable"),exact(Metadata!E971,"missing: not collected"),exact(Metadata!E971,"missing: not provided"),exact(Metadata!E971,"missing: restricted access"))),AND(IF(Metadata!E971="",FALSE,ISNUMBER(VALUE(Metadata!E971))),Metadata!E971&gt;0))</f>
        <v>0</v>
      </c>
      <c r="Z971">
        <f>AND(IF(Metadata!F971="",FALSE,TRUE),exact(Metadata!F971,"weeks"))</f>
        <v>0</v>
      </c>
      <c r="AA971">
        <f>AND(IF(Metadata!G971="",FALSE,TRUE),exact(Metadata!G971,"mouse"))</f>
        <v>0</v>
      </c>
      <c r="AB971">
        <f>AND(IF(Metadata!H971="",FALSE,TRUE),exact(Metadata!H971,"Mus musculus"))</f>
        <v>0</v>
      </c>
      <c r="AC971">
        <f>AND(IF(Metadata!I971="",FALSE,TRUE),exact(Metadata!I971,"10090"))</f>
        <v>0</v>
      </c>
      <c r="AD971">
        <f>OR(AND(IF(Metadata!J971="",FALSE,TRUE),OR(exact(Metadata!J971,"not applicable"),exact(Metadata!J971,"missing: not collected"),exact(Metadata!J971,"missing: not provided"),exact(Metadata!J971,"missing: restricted access"))),AND(IF(Metadata!J971="",FALSE,ISNUMBER(VALUE(Metadata!J971))),Metadata!J971&gt;0))</f>
        <v>0</v>
      </c>
      <c r="AE971">
        <f>AND(IF(Metadata!K971="",FALSE,TRUE),exact(Metadata!K971,"g"))</f>
        <v>0</v>
      </c>
    </row>
    <row r="972" spans="1:31">
      <c r="A972" s="5">
        <f>IF(B972=" "," ",HYPERLINK(CONCATENATE("#metadata!",ADDRESS(INDEX($Q$2:$Q$1001,MATCH(ROWS($O$2:O972),$O$2:$O$1001,0),0),1)),INDEX($T$2:$T$1001,MATCH(ROWS($O$2:O972),$O$2:$O$1001,0),0)))</f>
        <v>0</v>
      </c>
      <c r="B972" s="4">
        <f>IF(OR(INDEX($P$2:$P$1001,MATCH(ROWS($O$2:O972),$O$2:$O$1001,0),1)&gt;=100000,INDEX($V$1005:$AE$1005,1,MATCH(COLUMNS($V$1006:V1006),$V$1006:$AE$1006,0))&gt;=100000), " ",IF(INDEX($V$2:$AE$1001,MATCH(ROWS($O$2:O972),$O$2:$O$1001,0),MATCH(COLUMNS($V$1006:V1006),$V$1006:$AE$1006,0)), HYPERLINK("#",""), HYPERLINK(CONCATENATE("#Metadata!", ADDRESS(INDEX($Q$2:$Q$1001,MATCH(ROWS($O$2:O972),$O$2:$O$1001,0),0), INDEX($V$1004:$AE$1004,1,MATCH(COLUMNS($V$1006:V1006),$V$1006:$AE$1006,0)))),"Fix")))</f>
        <v>0</v>
      </c>
      <c r="C972" s="4">
        <f>IF(OR(INDEX($P$2:$P$1001,MATCH(ROWS($O$2:O972),$O$2:$O$1001,0),1)&gt;=100000,INDEX($V$1005:$AE$1005,1,MATCH(COLUMNS($V$1006:W1006),$V$1006:$AE$1006,0))&gt;=100000), " ",IF(INDEX($V$2:$AE$1001,MATCH(ROWS($O$2:O972),$O$2:$O$1001,0),MATCH(COLUMNS($V$1006:W1006),$V$1006:$AE$1006,0)), HYPERLINK("#",""), HYPERLINK(CONCATENATE("#Metadata!", ADDRESS(INDEX($Q$2:$Q$1001,MATCH(ROWS($O$2:O972),$O$2:$O$1001,0),0), INDEX($V$1004:$AE$1004,1,MATCH(COLUMNS($V$1006:W1006),$V$1006:$AE$1006,0)))),"Fix")))</f>
        <v>0</v>
      </c>
      <c r="D972" s="4">
        <f>IF(OR(INDEX($P$2:$P$1001,MATCH(ROWS($O$2:O972),$O$2:$O$1001,0),1)&gt;=100000,INDEX($V$1005:$AE$1005,1,MATCH(COLUMNS($V$1006:X1006),$V$1006:$AE$1006,0))&gt;=100000), " ",IF(INDEX($V$2:$AE$1001,MATCH(ROWS($O$2:O972),$O$2:$O$1001,0),MATCH(COLUMNS($V$1006:X1006),$V$1006:$AE$1006,0)), HYPERLINK("#",""), HYPERLINK(CONCATENATE("#Metadata!", ADDRESS(INDEX($Q$2:$Q$1001,MATCH(ROWS($O$2:O972),$O$2:$O$1001,0),0), INDEX($V$1004:$AE$1004,1,MATCH(COLUMNS($V$1006:X1006),$V$1006:$AE$1006,0)))),"Fix")))</f>
        <v>0</v>
      </c>
      <c r="E972" s="4">
        <f>IF(OR(INDEX($P$2:$P$1001,MATCH(ROWS($O$2:O972),$O$2:$O$1001,0),1)&gt;=100000,INDEX($V$1005:$AE$1005,1,MATCH(COLUMNS($V$1006:Y1006),$V$1006:$AE$1006,0))&gt;=100000), " ",IF(INDEX($V$2:$AE$1001,MATCH(ROWS($O$2:O972),$O$2:$O$1001,0),MATCH(COLUMNS($V$1006:Y1006),$V$1006:$AE$1006,0)), HYPERLINK("#",""), HYPERLINK(CONCATENATE("#Metadata!", ADDRESS(INDEX($Q$2:$Q$1001,MATCH(ROWS($O$2:O972),$O$2:$O$1001,0),0), INDEX($V$1004:$AE$1004,1,MATCH(COLUMNS($V$1006:Y1006),$V$1006:$AE$1006,0)))),"Fix")))</f>
        <v>0</v>
      </c>
      <c r="F972" s="4">
        <f>IF(OR(INDEX($P$2:$P$1001,MATCH(ROWS($O$2:O972),$O$2:$O$1001,0),1)&gt;=100000,INDEX($V$1005:$AE$1005,1,MATCH(COLUMNS($V$1006:Z1006),$V$1006:$AE$1006,0))&gt;=100000), " ",IF(INDEX($V$2:$AE$1001,MATCH(ROWS($O$2:O972),$O$2:$O$1001,0),MATCH(COLUMNS($V$1006:Z1006),$V$1006:$AE$1006,0)), HYPERLINK("#",""), HYPERLINK(CONCATENATE("#Metadata!", ADDRESS(INDEX($Q$2:$Q$1001,MATCH(ROWS($O$2:O972),$O$2:$O$1001,0),0), INDEX($V$1004:$AE$1004,1,MATCH(COLUMNS($V$1006:Z1006),$V$1006:$AE$1006,0)))),"Fix")))</f>
        <v>0</v>
      </c>
      <c r="G972" s="4">
        <f>IF(OR(INDEX($P$2:$P$1001,MATCH(ROWS($O$2:O972),$O$2:$O$1001,0),1)&gt;=100000,INDEX($V$1005:$AE$1005,1,MATCH(COLUMNS($V$1006:AA1006),$V$1006:$AE$1006,0))&gt;=100000), " ",IF(INDEX($V$2:$AE$1001,MATCH(ROWS($O$2:O972),$O$2:$O$1001,0),MATCH(COLUMNS($V$1006:AA1006),$V$1006:$AE$1006,0)), HYPERLINK("#",""), HYPERLINK(CONCATENATE("#Metadata!", ADDRESS(INDEX($Q$2:$Q$1001,MATCH(ROWS($O$2:O972),$O$2:$O$1001,0),0), INDEX($V$1004:$AE$1004,1,MATCH(COLUMNS($V$1006:AA1006),$V$1006:$AE$1006,0)))),"Fix")))</f>
        <v>0</v>
      </c>
      <c r="H972" s="4">
        <f>IF(OR(INDEX($P$2:$P$1001,MATCH(ROWS($O$2:O972),$O$2:$O$1001,0),1)&gt;=100000,INDEX($V$1005:$AE$1005,1,MATCH(COLUMNS($V$1006:AB1006),$V$1006:$AE$1006,0))&gt;=100000), " ",IF(INDEX($V$2:$AE$1001,MATCH(ROWS($O$2:O972),$O$2:$O$1001,0),MATCH(COLUMNS($V$1006:AB1006),$V$1006:$AE$1006,0)), HYPERLINK("#",""), HYPERLINK(CONCATENATE("#Metadata!", ADDRESS(INDEX($Q$2:$Q$1001,MATCH(ROWS($O$2:O972),$O$2:$O$1001,0),0), INDEX($V$1004:$AE$1004,1,MATCH(COLUMNS($V$1006:AB1006),$V$1006:$AE$1006,0)))),"Fix")))</f>
        <v>0</v>
      </c>
      <c r="I972" s="4">
        <f>IF(OR(INDEX($P$2:$P$1001,MATCH(ROWS($O$2:O972),$O$2:$O$1001,0),1)&gt;=100000,INDEX($V$1005:$AE$1005,1,MATCH(COLUMNS($V$1006:AC1006),$V$1006:$AE$1006,0))&gt;=100000), " ",IF(INDEX($V$2:$AE$1001,MATCH(ROWS($O$2:O972),$O$2:$O$1001,0),MATCH(COLUMNS($V$1006:AC1006),$V$1006:$AE$1006,0)), HYPERLINK("#",""), HYPERLINK(CONCATENATE("#Metadata!", ADDRESS(INDEX($Q$2:$Q$1001,MATCH(ROWS($O$2:O972),$O$2:$O$1001,0),0), INDEX($V$1004:$AE$1004,1,MATCH(COLUMNS($V$1006:AC1006),$V$1006:$AE$1006,0)))),"Fix")))</f>
        <v>0</v>
      </c>
      <c r="J972" s="4">
        <f>IF(OR(INDEX($P$2:$P$1001,MATCH(ROWS($O$2:O972),$O$2:$O$1001,0),1)&gt;=100000,INDEX($V$1005:$AE$1005,1,MATCH(COLUMNS($V$1006:AD1006),$V$1006:$AE$1006,0))&gt;=100000), " ",IF(INDEX($V$2:$AE$1001,MATCH(ROWS($O$2:O972),$O$2:$O$1001,0),MATCH(COLUMNS($V$1006:AD1006),$V$1006:$AE$1006,0)), HYPERLINK("#",""), HYPERLINK(CONCATENATE("#Metadata!", ADDRESS(INDEX($Q$2:$Q$1001,MATCH(ROWS($O$2:O972),$O$2:$O$1001,0),0), INDEX($V$1004:$AE$1004,1,MATCH(COLUMNS($V$1006:AD1006),$V$1006:$AE$1006,0)))),"Fix")))</f>
        <v>0</v>
      </c>
      <c r="K972" s="4">
        <f>IF(OR(INDEX($P$2:$P$1001,MATCH(ROWS($O$2:O972),$O$2:$O$1001,0),1)&gt;=100000,INDEX($V$1005:$AE$1005,1,MATCH(COLUMNS($V$1006:AE1006),$V$1006:$AE$1006,0))&gt;=100000), " ",IF(INDEX($V$2:$AE$1001,MATCH(ROWS($O$2:O972),$O$2:$O$1001,0),MATCH(COLUMNS($V$1006:AE1006),$V$1006:$AE$1006,0)), HYPERLINK("#",""), HYPERLINK(CONCATENATE("#Metadata!", ADDRESS(INDEX($Q$2:$Q$1001,MATCH(ROWS($O$2:O972),$O$2:$O$1001,0),0), INDEX($V$1004:$AE$1004,1,MATCH(COLUMNS($V$1006:AE1006),$V$1006:$AE$1006,0)))),"Fix")))</f>
        <v>0</v>
      </c>
      <c r="O972">
        <v>0</v>
      </c>
      <c r="P972">
        <v>0</v>
      </c>
      <c r="Q972">
        <v>0</v>
      </c>
      <c r="R972">
        <f>IF(S972,TRUE,AND(V972:AE972))</f>
        <v>0</v>
      </c>
      <c r="S972">
        <f>COUNTBLANK(Metadata!B972:K972)=COLUMNS(Metadata!B972:K972)</f>
        <v>0</v>
      </c>
      <c r="T972">
        <v>0</v>
      </c>
      <c r="V972">
        <f>AND(IF(Metadata!B972="",FALSE,TRUE),COUNTIF(Metadata!B:B, Metadata!B972) = 1,NOT(ISERROR(SUMPRODUCT(SEARCH(MID(Metadata!B972,ROW(INDIRECT("1:"&amp;LEN(Metadata!B972))), 1),"0123456789abcdefghijklmnopqrstuvwxyzABCDEFGHIJKLMNOPQRSTUVWXYZ.")))))</f>
        <v>0</v>
      </c>
      <c r="W972">
        <f>AND(IF(Metadata!C972="",FALSE,TRUE),exact(Metadata!C972,"urban biome"))</f>
        <v>0</v>
      </c>
      <c r="X972">
        <f>AND(IF(Metadata!D972="",FALSE,TRUE),exact(Metadata!D972,"animal-associated habitat"))</f>
        <v>0</v>
      </c>
      <c r="Y972">
        <f>OR(AND(IF(Metadata!E972="",FALSE,TRUE),OR(exact(Metadata!E972,"not applicable"),exact(Metadata!E972,"missing: not collected"),exact(Metadata!E972,"missing: not provided"),exact(Metadata!E972,"missing: restricted access"))),AND(IF(Metadata!E972="",FALSE,ISNUMBER(VALUE(Metadata!E972))),Metadata!E972&gt;0))</f>
        <v>0</v>
      </c>
      <c r="Z972">
        <f>AND(IF(Metadata!F972="",FALSE,TRUE),exact(Metadata!F972,"weeks"))</f>
        <v>0</v>
      </c>
      <c r="AA972">
        <f>AND(IF(Metadata!G972="",FALSE,TRUE),exact(Metadata!G972,"mouse"))</f>
        <v>0</v>
      </c>
      <c r="AB972">
        <f>AND(IF(Metadata!H972="",FALSE,TRUE),exact(Metadata!H972,"Mus musculus"))</f>
        <v>0</v>
      </c>
      <c r="AC972">
        <f>AND(IF(Metadata!I972="",FALSE,TRUE),exact(Metadata!I972,"10090"))</f>
        <v>0</v>
      </c>
      <c r="AD972">
        <f>OR(AND(IF(Metadata!J972="",FALSE,TRUE),OR(exact(Metadata!J972,"not applicable"),exact(Metadata!J972,"missing: not collected"),exact(Metadata!J972,"missing: not provided"),exact(Metadata!J972,"missing: restricted access"))),AND(IF(Metadata!J972="",FALSE,ISNUMBER(VALUE(Metadata!J972))),Metadata!J972&gt;0))</f>
        <v>0</v>
      </c>
      <c r="AE972">
        <f>AND(IF(Metadata!K972="",FALSE,TRUE),exact(Metadata!K972,"g"))</f>
        <v>0</v>
      </c>
    </row>
    <row r="973" spans="1:31">
      <c r="A973" s="5">
        <f>IF(B973=" "," ",HYPERLINK(CONCATENATE("#metadata!",ADDRESS(INDEX($Q$2:$Q$1001,MATCH(ROWS($O$2:O973),$O$2:$O$1001,0),0),1)),INDEX($T$2:$T$1001,MATCH(ROWS($O$2:O973),$O$2:$O$1001,0),0)))</f>
        <v>0</v>
      </c>
      <c r="B973" s="4">
        <f>IF(OR(INDEX($P$2:$P$1001,MATCH(ROWS($O$2:O973),$O$2:$O$1001,0),1)&gt;=100000,INDEX($V$1005:$AE$1005,1,MATCH(COLUMNS($V$1006:V1006),$V$1006:$AE$1006,0))&gt;=100000), " ",IF(INDEX($V$2:$AE$1001,MATCH(ROWS($O$2:O973),$O$2:$O$1001,0),MATCH(COLUMNS($V$1006:V1006),$V$1006:$AE$1006,0)), HYPERLINK("#",""), HYPERLINK(CONCATENATE("#Metadata!", ADDRESS(INDEX($Q$2:$Q$1001,MATCH(ROWS($O$2:O973),$O$2:$O$1001,0),0), INDEX($V$1004:$AE$1004,1,MATCH(COLUMNS($V$1006:V1006),$V$1006:$AE$1006,0)))),"Fix")))</f>
        <v>0</v>
      </c>
      <c r="C973" s="4">
        <f>IF(OR(INDEX($P$2:$P$1001,MATCH(ROWS($O$2:O973),$O$2:$O$1001,0),1)&gt;=100000,INDEX($V$1005:$AE$1005,1,MATCH(COLUMNS($V$1006:W1006),$V$1006:$AE$1006,0))&gt;=100000), " ",IF(INDEX($V$2:$AE$1001,MATCH(ROWS($O$2:O973),$O$2:$O$1001,0),MATCH(COLUMNS($V$1006:W1006),$V$1006:$AE$1006,0)), HYPERLINK("#",""), HYPERLINK(CONCATENATE("#Metadata!", ADDRESS(INDEX($Q$2:$Q$1001,MATCH(ROWS($O$2:O973),$O$2:$O$1001,0),0), INDEX($V$1004:$AE$1004,1,MATCH(COLUMNS($V$1006:W1006),$V$1006:$AE$1006,0)))),"Fix")))</f>
        <v>0</v>
      </c>
      <c r="D973" s="4">
        <f>IF(OR(INDEX($P$2:$P$1001,MATCH(ROWS($O$2:O973),$O$2:$O$1001,0),1)&gt;=100000,INDEX($V$1005:$AE$1005,1,MATCH(COLUMNS($V$1006:X1006),$V$1006:$AE$1006,0))&gt;=100000), " ",IF(INDEX($V$2:$AE$1001,MATCH(ROWS($O$2:O973),$O$2:$O$1001,0),MATCH(COLUMNS($V$1006:X1006),$V$1006:$AE$1006,0)), HYPERLINK("#",""), HYPERLINK(CONCATENATE("#Metadata!", ADDRESS(INDEX($Q$2:$Q$1001,MATCH(ROWS($O$2:O973),$O$2:$O$1001,0),0), INDEX($V$1004:$AE$1004,1,MATCH(COLUMNS($V$1006:X1006),$V$1006:$AE$1006,0)))),"Fix")))</f>
        <v>0</v>
      </c>
      <c r="E973" s="4">
        <f>IF(OR(INDEX($P$2:$P$1001,MATCH(ROWS($O$2:O973),$O$2:$O$1001,0),1)&gt;=100000,INDEX($V$1005:$AE$1005,1,MATCH(COLUMNS($V$1006:Y1006),$V$1006:$AE$1006,0))&gt;=100000), " ",IF(INDEX($V$2:$AE$1001,MATCH(ROWS($O$2:O973),$O$2:$O$1001,0),MATCH(COLUMNS($V$1006:Y1006),$V$1006:$AE$1006,0)), HYPERLINK("#",""), HYPERLINK(CONCATENATE("#Metadata!", ADDRESS(INDEX($Q$2:$Q$1001,MATCH(ROWS($O$2:O973),$O$2:$O$1001,0),0), INDEX($V$1004:$AE$1004,1,MATCH(COLUMNS($V$1006:Y1006),$V$1006:$AE$1006,0)))),"Fix")))</f>
        <v>0</v>
      </c>
      <c r="F973" s="4">
        <f>IF(OR(INDEX($P$2:$P$1001,MATCH(ROWS($O$2:O973),$O$2:$O$1001,0),1)&gt;=100000,INDEX($V$1005:$AE$1005,1,MATCH(COLUMNS($V$1006:Z1006),$V$1006:$AE$1006,0))&gt;=100000), " ",IF(INDEX($V$2:$AE$1001,MATCH(ROWS($O$2:O973),$O$2:$O$1001,0),MATCH(COLUMNS($V$1006:Z1006),$V$1006:$AE$1006,0)), HYPERLINK("#",""), HYPERLINK(CONCATENATE("#Metadata!", ADDRESS(INDEX($Q$2:$Q$1001,MATCH(ROWS($O$2:O973),$O$2:$O$1001,0),0), INDEX($V$1004:$AE$1004,1,MATCH(COLUMNS($V$1006:Z1006),$V$1006:$AE$1006,0)))),"Fix")))</f>
        <v>0</v>
      </c>
      <c r="G973" s="4">
        <f>IF(OR(INDEX($P$2:$P$1001,MATCH(ROWS($O$2:O973),$O$2:$O$1001,0),1)&gt;=100000,INDEX($V$1005:$AE$1005,1,MATCH(COLUMNS($V$1006:AA1006),$V$1006:$AE$1006,0))&gt;=100000), " ",IF(INDEX($V$2:$AE$1001,MATCH(ROWS($O$2:O973),$O$2:$O$1001,0),MATCH(COLUMNS($V$1006:AA1006),$V$1006:$AE$1006,0)), HYPERLINK("#",""), HYPERLINK(CONCATENATE("#Metadata!", ADDRESS(INDEX($Q$2:$Q$1001,MATCH(ROWS($O$2:O973),$O$2:$O$1001,0),0), INDEX($V$1004:$AE$1004,1,MATCH(COLUMNS($V$1006:AA1006),$V$1006:$AE$1006,0)))),"Fix")))</f>
        <v>0</v>
      </c>
      <c r="H973" s="4">
        <f>IF(OR(INDEX($P$2:$P$1001,MATCH(ROWS($O$2:O973),$O$2:$O$1001,0),1)&gt;=100000,INDEX($V$1005:$AE$1005,1,MATCH(COLUMNS($V$1006:AB1006),$V$1006:$AE$1006,0))&gt;=100000), " ",IF(INDEX($V$2:$AE$1001,MATCH(ROWS($O$2:O973),$O$2:$O$1001,0),MATCH(COLUMNS($V$1006:AB1006),$V$1006:$AE$1006,0)), HYPERLINK("#",""), HYPERLINK(CONCATENATE("#Metadata!", ADDRESS(INDEX($Q$2:$Q$1001,MATCH(ROWS($O$2:O973),$O$2:$O$1001,0),0), INDEX($V$1004:$AE$1004,1,MATCH(COLUMNS($V$1006:AB1006),$V$1006:$AE$1006,0)))),"Fix")))</f>
        <v>0</v>
      </c>
      <c r="I973" s="4">
        <f>IF(OR(INDEX($P$2:$P$1001,MATCH(ROWS($O$2:O973),$O$2:$O$1001,0),1)&gt;=100000,INDEX($V$1005:$AE$1005,1,MATCH(COLUMNS($V$1006:AC1006),$V$1006:$AE$1006,0))&gt;=100000), " ",IF(INDEX($V$2:$AE$1001,MATCH(ROWS($O$2:O973),$O$2:$O$1001,0),MATCH(COLUMNS($V$1006:AC1006),$V$1006:$AE$1006,0)), HYPERLINK("#",""), HYPERLINK(CONCATENATE("#Metadata!", ADDRESS(INDEX($Q$2:$Q$1001,MATCH(ROWS($O$2:O973),$O$2:$O$1001,0),0), INDEX($V$1004:$AE$1004,1,MATCH(COLUMNS($V$1006:AC1006),$V$1006:$AE$1006,0)))),"Fix")))</f>
        <v>0</v>
      </c>
      <c r="J973" s="4">
        <f>IF(OR(INDEX($P$2:$P$1001,MATCH(ROWS($O$2:O973),$O$2:$O$1001,0),1)&gt;=100000,INDEX($V$1005:$AE$1005,1,MATCH(COLUMNS($V$1006:AD1006),$V$1006:$AE$1006,0))&gt;=100000), " ",IF(INDEX($V$2:$AE$1001,MATCH(ROWS($O$2:O973),$O$2:$O$1001,0),MATCH(COLUMNS($V$1006:AD1006),$V$1006:$AE$1006,0)), HYPERLINK("#",""), HYPERLINK(CONCATENATE("#Metadata!", ADDRESS(INDEX($Q$2:$Q$1001,MATCH(ROWS($O$2:O973),$O$2:$O$1001,0),0), INDEX($V$1004:$AE$1004,1,MATCH(COLUMNS($V$1006:AD1006),$V$1006:$AE$1006,0)))),"Fix")))</f>
        <v>0</v>
      </c>
      <c r="K973" s="4">
        <f>IF(OR(INDEX($P$2:$P$1001,MATCH(ROWS($O$2:O973),$O$2:$O$1001,0),1)&gt;=100000,INDEX($V$1005:$AE$1005,1,MATCH(COLUMNS($V$1006:AE1006),$V$1006:$AE$1006,0))&gt;=100000), " ",IF(INDEX($V$2:$AE$1001,MATCH(ROWS($O$2:O973),$O$2:$O$1001,0),MATCH(COLUMNS($V$1006:AE1006),$V$1006:$AE$1006,0)), HYPERLINK("#",""), HYPERLINK(CONCATENATE("#Metadata!", ADDRESS(INDEX($Q$2:$Q$1001,MATCH(ROWS($O$2:O973),$O$2:$O$1001,0),0), INDEX($V$1004:$AE$1004,1,MATCH(COLUMNS($V$1006:AE1006),$V$1006:$AE$1006,0)))),"Fix")))</f>
        <v>0</v>
      </c>
      <c r="O973">
        <v>0</v>
      </c>
      <c r="P973">
        <v>0</v>
      </c>
      <c r="Q973">
        <v>0</v>
      </c>
      <c r="R973">
        <f>IF(S973,TRUE,AND(V973:AE973))</f>
        <v>0</v>
      </c>
      <c r="S973">
        <f>COUNTBLANK(Metadata!B973:K973)=COLUMNS(Metadata!B973:K973)</f>
        <v>0</v>
      </c>
      <c r="T973">
        <v>0</v>
      </c>
      <c r="V973">
        <f>AND(IF(Metadata!B973="",FALSE,TRUE),COUNTIF(Metadata!B:B, Metadata!B973) = 1,NOT(ISERROR(SUMPRODUCT(SEARCH(MID(Metadata!B973,ROW(INDIRECT("1:"&amp;LEN(Metadata!B973))), 1),"0123456789abcdefghijklmnopqrstuvwxyzABCDEFGHIJKLMNOPQRSTUVWXYZ.")))))</f>
        <v>0</v>
      </c>
      <c r="W973">
        <f>AND(IF(Metadata!C973="",FALSE,TRUE),exact(Metadata!C973,"urban biome"))</f>
        <v>0</v>
      </c>
      <c r="X973">
        <f>AND(IF(Metadata!D973="",FALSE,TRUE),exact(Metadata!D973,"animal-associated habitat"))</f>
        <v>0</v>
      </c>
      <c r="Y973">
        <f>OR(AND(IF(Metadata!E973="",FALSE,TRUE),OR(exact(Metadata!E973,"not applicable"),exact(Metadata!E973,"missing: not collected"),exact(Metadata!E973,"missing: not provided"),exact(Metadata!E973,"missing: restricted access"))),AND(IF(Metadata!E973="",FALSE,ISNUMBER(VALUE(Metadata!E973))),Metadata!E973&gt;0))</f>
        <v>0</v>
      </c>
      <c r="Z973">
        <f>AND(IF(Metadata!F973="",FALSE,TRUE),exact(Metadata!F973,"weeks"))</f>
        <v>0</v>
      </c>
      <c r="AA973">
        <f>AND(IF(Metadata!G973="",FALSE,TRUE),exact(Metadata!G973,"mouse"))</f>
        <v>0</v>
      </c>
      <c r="AB973">
        <f>AND(IF(Metadata!H973="",FALSE,TRUE),exact(Metadata!H973,"Mus musculus"))</f>
        <v>0</v>
      </c>
      <c r="AC973">
        <f>AND(IF(Metadata!I973="",FALSE,TRUE),exact(Metadata!I973,"10090"))</f>
        <v>0</v>
      </c>
      <c r="AD973">
        <f>OR(AND(IF(Metadata!J973="",FALSE,TRUE),OR(exact(Metadata!J973,"not applicable"),exact(Metadata!J973,"missing: not collected"),exact(Metadata!J973,"missing: not provided"),exact(Metadata!J973,"missing: restricted access"))),AND(IF(Metadata!J973="",FALSE,ISNUMBER(VALUE(Metadata!J973))),Metadata!J973&gt;0))</f>
        <v>0</v>
      </c>
      <c r="AE973">
        <f>AND(IF(Metadata!K973="",FALSE,TRUE),exact(Metadata!K973,"g"))</f>
        <v>0</v>
      </c>
    </row>
    <row r="974" spans="1:31">
      <c r="A974" s="5">
        <f>IF(B974=" "," ",HYPERLINK(CONCATENATE("#metadata!",ADDRESS(INDEX($Q$2:$Q$1001,MATCH(ROWS($O$2:O974),$O$2:$O$1001,0),0),1)),INDEX($T$2:$T$1001,MATCH(ROWS($O$2:O974),$O$2:$O$1001,0),0)))</f>
        <v>0</v>
      </c>
      <c r="B974" s="4">
        <f>IF(OR(INDEX($P$2:$P$1001,MATCH(ROWS($O$2:O974),$O$2:$O$1001,0),1)&gt;=100000,INDEX($V$1005:$AE$1005,1,MATCH(COLUMNS($V$1006:V1006),$V$1006:$AE$1006,0))&gt;=100000), " ",IF(INDEX($V$2:$AE$1001,MATCH(ROWS($O$2:O974),$O$2:$O$1001,0),MATCH(COLUMNS($V$1006:V1006),$V$1006:$AE$1006,0)), HYPERLINK("#",""), HYPERLINK(CONCATENATE("#Metadata!", ADDRESS(INDEX($Q$2:$Q$1001,MATCH(ROWS($O$2:O974),$O$2:$O$1001,0),0), INDEX($V$1004:$AE$1004,1,MATCH(COLUMNS($V$1006:V1006),$V$1006:$AE$1006,0)))),"Fix")))</f>
        <v>0</v>
      </c>
      <c r="C974" s="4">
        <f>IF(OR(INDEX($P$2:$P$1001,MATCH(ROWS($O$2:O974),$O$2:$O$1001,0),1)&gt;=100000,INDEX($V$1005:$AE$1005,1,MATCH(COLUMNS($V$1006:W1006),$V$1006:$AE$1006,0))&gt;=100000), " ",IF(INDEX($V$2:$AE$1001,MATCH(ROWS($O$2:O974),$O$2:$O$1001,0),MATCH(COLUMNS($V$1006:W1006),$V$1006:$AE$1006,0)), HYPERLINK("#",""), HYPERLINK(CONCATENATE("#Metadata!", ADDRESS(INDEX($Q$2:$Q$1001,MATCH(ROWS($O$2:O974),$O$2:$O$1001,0),0), INDEX($V$1004:$AE$1004,1,MATCH(COLUMNS($V$1006:W1006),$V$1006:$AE$1006,0)))),"Fix")))</f>
        <v>0</v>
      </c>
      <c r="D974" s="4">
        <f>IF(OR(INDEX($P$2:$P$1001,MATCH(ROWS($O$2:O974),$O$2:$O$1001,0),1)&gt;=100000,INDEX($V$1005:$AE$1005,1,MATCH(COLUMNS($V$1006:X1006),$V$1006:$AE$1006,0))&gt;=100000), " ",IF(INDEX($V$2:$AE$1001,MATCH(ROWS($O$2:O974),$O$2:$O$1001,0),MATCH(COLUMNS($V$1006:X1006),$V$1006:$AE$1006,0)), HYPERLINK("#",""), HYPERLINK(CONCATENATE("#Metadata!", ADDRESS(INDEX($Q$2:$Q$1001,MATCH(ROWS($O$2:O974),$O$2:$O$1001,0),0), INDEX($V$1004:$AE$1004,1,MATCH(COLUMNS($V$1006:X1006),$V$1006:$AE$1006,0)))),"Fix")))</f>
        <v>0</v>
      </c>
      <c r="E974" s="4">
        <f>IF(OR(INDEX($P$2:$P$1001,MATCH(ROWS($O$2:O974),$O$2:$O$1001,0),1)&gt;=100000,INDEX($V$1005:$AE$1005,1,MATCH(COLUMNS($V$1006:Y1006),$V$1006:$AE$1006,0))&gt;=100000), " ",IF(INDEX($V$2:$AE$1001,MATCH(ROWS($O$2:O974),$O$2:$O$1001,0),MATCH(COLUMNS($V$1006:Y1006),$V$1006:$AE$1006,0)), HYPERLINK("#",""), HYPERLINK(CONCATENATE("#Metadata!", ADDRESS(INDEX($Q$2:$Q$1001,MATCH(ROWS($O$2:O974),$O$2:$O$1001,0),0), INDEX($V$1004:$AE$1004,1,MATCH(COLUMNS($V$1006:Y1006),$V$1006:$AE$1006,0)))),"Fix")))</f>
        <v>0</v>
      </c>
      <c r="F974" s="4">
        <f>IF(OR(INDEX($P$2:$P$1001,MATCH(ROWS($O$2:O974),$O$2:$O$1001,0),1)&gt;=100000,INDEX($V$1005:$AE$1005,1,MATCH(COLUMNS($V$1006:Z1006),$V$1006:$AE$1006,0))&gt;=100000), " ",IF(INDEX($V$2:$AE$1001,MATCH(ROWS($O$2:O974),$O$2:$O$1001,0),MATCH(COLUMNS($V$1006:Z1006),$V$1006:$AE$1006,0)), HYPERLINK("#",""), HYPERLINK(CONCATENATE("#Metadata!", ADDRESS(INDEX($Q$2:$Q$1001,MATCH(ROWS($O$2:O974),$O$2:$O$1001,0),0), INDEX($V$1004:$AE$1004,1,MATCH(COLUMNS($V$1006:Z1006),$V$1006:$AE$1006,0)))),"Fix")))</f>
        <v>0</v>
      </c>
      <c r="G974" s="4">
        <f>IF(OR(INDEX($P$2:$P$1001,MATCH(ROWS($O$2:O974),$O$2:$O$1001,0),1)&gt;=100000,INDEX($V$1005:$AE$1005,1,MATCH(COLUMNS($V$1006:AA1006),$V$1006:$AE$1006,0))&gt;=100000), " ",IF(INDEX($V$2:$AE$1001,MATCH(ROWS($O$2:O974),$O$2:$O$1001,0),MATCH(COLUMNS($V$1006:AA1006),$V$1006:$AE$1006,0)), HYPERLINK("#",""), HYPERLINK(CONCATENATE("#Metadata!", ADDRESS(INDEX($Q$2:$Q$1001,MATCH(ROWS($O$2:O974),$O$2:$O$1001,0),0), INDEX($V$1004:$AE$1004,1,MATCH(COLUMNS($V$1006:AA1006),$V$1006:$AE$1006,0)))),"Fix")))</f>
        <v>0</v>
      </c>
      <c r="H974" s="4">
        <f>IF(OR(INDEX($P$2:$P$1001,MATCH(ROWS($O$2:O974),$O$2:$O$1001,0),1)&gt;=100000,INDEX($V$1005:$AE$1005,1,MATCH(COLUMNS($V$1006:AB1006),$V$1006:$AE$1006,0))&gt;=100000), " ",IF(INDEX($V$2:$AE$1001,MATCH(ROWS($O$2:O974),$O$2:$O$1001,0),MATCH(COLUMNS($V$1006:AB1006),$V$1006:$AE$1006,0)), HYPERLINK("#",""), HYPERLINK(CONCATENATE("#Metadata!", ADDRESS(INDEX($Q$2:$Q$1001,MATCH(ROWS($O$2:O974),$O$2:$O$1001,0),0), INDEX($V$1004:$AE$1004,1,MATCH(COLUMNS($V$1006:AB1006),$V$1006:$AE$1006,0)))),"Fix")))</f>
        <v>0</v>
      </c>
      <c r="I974" s="4">
        <f>IF(OR(INDEX($P$2:$P$1001,MATCH(ROWS($O$2:O974),$O$2:$O$1001,0),1)&gt;=100000,INDEX($V$1005:$AE$1005,1,MATCH(COLUMNS($V$1006:AC1006),$V$1006:$AE$1006,0))&gt;=100000), " ",IF(INDEX($V$2:$AE$1001,MATCH(ROWS($O$2:O974),$O$2:$O$1001,0),MATCH(COLUMNS($V$1006:AC1006),$V$1006:$AE$1006,0)), HYPERLINK("#",""), HYPERLINK(CONCATENATE("#Metadata!", ADDRESS(INDEX($Q$2:$Q$1001,MATCH(ROWS($O$2:O974),$O$2:$O$1001,0),0), INDEX($V$1004:$AE$1004,1,MATCH(COLUMNS($V$1006:AC1006),$V$1006:$AE$1006,0)))),"Fix")))</f>
        <v>0</v>
      </c>
      <c r="J974" s="4">
        <f>IF(OR(INDEX($P$2:$P$1001,MATCH(ROWS($O$2:O974),$O$2:$O$1001,0),1)&gt;=100000,INDEX($V$1005:$AE$1005,1,MATCH(COLUMNS($V$1006:AD1006),$V$1006:$AE$1006,0))&gt;=100000), " ",IF(INDEX($V$2:$AE$1001,MATCH(ROWS($O$2:O974),$O$2:$O$1001,0),MATCH(COLUMNS($V$1006:AD1006),$V$1006:$AE$1006,0)), HYPERLINK("#",""), HYPERLINK(CONCATENATE("#Metadata!", ADDRESS(INDEX($Q$2:$Q$1001,MATCH(ROWS($O$2:O974),$O$2:$O$1001,0),0), INDEX($V$1004:$AE$1004,1,MATCH(COLUMNS($V$1006:AD1006),$V$1006:$AE$1006,0)))),"Fix")))</f>
        <v>0</v>
      </c>
      <c r="K974" s="4">
        <f>IF(OR(INDEX($P$2:$P$1001,MATCH(ROWS($O$2:O974),$O$2:$O$1001,0),1)&gt;=100000,INDEX($V$1005:$AE$1005,1,MATCH(COLUMNS($V$1006:AE1006),$V$1006:$AE$1006,0))&gt;=100000), " ",IF(INDEX($V$2:$AE$1001,MATCH(ROWS($O$2:O974),$O$2:$O$1001,0),MATCH(COLUMNS($V$1006:AE1006),$V$1006:$AE$1006,0)), HYPERLINK("#",""), HYPERLINK(CONCATENATE("#Metadata!", ADDRESS(INDEX($Q$2:$Q$1001,MATCH(ROWS($O$2:O974),$O$2:$O$1001,0),0), INDEX($V$1004:$AE$1004,1,MATCH(COLUMNS($V$1006:AE1006),$V$1006:$AE$1006,0)))),"Fix")))</f>
        <v>0</v>
      </c>
      <c r="O974">
        <v>0</v>
      </c>
      <c r="P974">
        <v>0</v>
      </c>
      <c r="Q974">
        <v>0</v>
      </c>
      <c r="R974">
        <f>IF(S974,TRUE,AND(V974:AE974))</f>
        <v>0</v>
      </c>
      <c r="S974">
        <f>COUNTBLANK(Metadata!B974:K974)=COLUMNS(Metadata!B974:K974)</f>
        <v>0</v>
      </c>
      <c r="T974">
        <v>0</v>
      </c>
      <c r="V974">
        <f>AND(IF(Metadata!B974="",FALSE,TRUE),COUNTIF(Metadata!B:B, Metadata!B974) = 1,NOT(ISERROR(SUMPRODUCT(SEARCH(MID(Metadata!B974,ROW(INDIRECT("1:"&amp;LEN(Metadata!B974))), 1),"0123456789abcdefghijklmnopqrstuvwxyzABCDEFGHIJKLMNOPQRSTUVWXYZ.")))))</f>
        <v>0</v>
      </c>
      <c r="W974">
        <f>AND(IF(Metadata!C974="",FALSE,TRUE),exact(Metadata!C974,"urban biome"))</f>
        <v>0</v>
      </c>
      <c r="X974">
        <f>AND(IF(Metadata!D974="",FALSE,TRUE),exact(Metadata!D974,"animal-associated habitat"))</f>
        <v>0</v>
      </c>
      <c r="Y974">
        <f>OR(AND(IF(Metadata!E974="",FALSE,TRUE),OR(exact(Metadata!E974,"not applicable"),exact(Metadata!E974,"missing: not collected"),exact(Metadata!E974,"missing: not provided"),exact(Metadata!E974,"missing: restricted access"))),AND(IF(Metadata!E974="",FALSE,ISNUMBER(VALUE(Metadata!E974))),Metadata!E974&gt;0))</f>
        <v>0</v>
      </c>
      <c r="Z974">
        <f>AND(IF(Metadata!F974="",FALSE,TRUE),exact(Metadata!F974,"weeks"))</f>
        <v>0</v>
      </c>
      <c r="AA974">
        <f>AND(IF(Metadata!G974="",FALSE,TRUE),exact(Metadata!G974,"mouse"))</f>
        <v>0</v>
      </c>
      <c r="AB974">
        <f>AND(IF(Metadata!H974="",FALSE,TRUE),exact(Metadata!H974,"Mus musculus"))</f>
        <v>0</v>
      </c>
      <c r="AC974">
        <f>AND(IF(Metadata!I974="",FALSE,TRUE),exact(Metadata!I974,"10090"))</f>
        <v>0</v>
      </c>
      <c r="AD974">
        <f>OR(AND(IF(Metadata!J974="",FALSE,TRUE),OR(exact(Metadata!J974,"not applicable"),exact(Metadata!J974,"missing: not collected"),exact(Metadata!J974,"missing: not provided"),exact(Metadata!J974,"missing: restricted access"))),AND(IF(Metadata!J974="",FALSE,ISNUMBER(VALUE(Metadata!J974))),Metadata!J974&gt;0))</f>
        <v>0</v>
      </c>
      <c r="AE974">
        <f>AND(IF(Metadata!K974="",FALSE,TRUE),exact(Metadata!K974,"g"))</f>
        <v>0</v>
      </c>
    </row>
    <row r="975" spans="1:31">
      <c r="A975" s="5">
        <f>IF(B975=" "," ",HYPERLINK(CONCATENATE("#metadata!",ADDRESS(INDEX($Q$2:$Q$1001,MATCH(ROWS($O$2:O975),$O$2:$O$1001,0),0),1)),INDEX($T$2:$T$1001,MATCH(ROWS($O$2:O975),$O$2:$O$1001,0),0)))</f>
        <v>0</v>
      </c>
      <c r="B975" s="4">
        <f>IF(OR(INDEX($P$2:$P$1001,MATCH(ROWS($O$2:O975),$O$2:$O$1001,0),1)&gt;=100000,INDEX($V$1005:$AE$1005,1,MATCH(COLUMNS($V$1006:V1006),$V$1006:$AE$1006,0))&gt;=100000), " ",IF(INDEX($V$2:$AE$1001,MATCH(ROWS($O$2:O975),$O$2:$O$1001,0),MATCH(COLUMNS($V$1006:V1006),$V$1006:$AE$1006,0)), HYPERLINK("#",""), HYPERLINK(CONCATENATE("#Metadata!", ADDRESS(INDEX($Q$2:$Q$1001,MATCH(ROWS($O$2:O975),$O$2:$O$1001,0),0), INDEX($V$1004:$AE$1004,1,MATCH(COLUMNS($V$1006:V1006),$V$1006:$AE$1006,0)))),"Fix")))</f>
        <v>0</v>
      </c>
      <c r="C975" s="4">
        <f>IF(OR(INDEX($P$2:$P$1001,MATCH(ROWS($O$2:O975),$O$2:$O$1001,0),1)&gt;=100000,INDEX($V$1005:$AE$1005,1,MATCH(COLUMNS($V$1006:W1006),$V$1006:$AE$1006,0))&gt;=100000), " ",IF(INDEX($V$2:$AE$1001,MATCH(ROWS($O$2:O975),$O$2:$O$1001,0),MATCH(COLUMNS($V$1006:W1006),$V$1006:$AE$1006,0)), HYPERLINK("#",""), HYPERLINK(CONCATENATE("#Metadata!", ADDRESS(INDEX($Q$2:$Q$1001,MATCH(ROWS($O$2:O975),$O$2:$O$1001,0),0), INDEX($V$1004:$AE$1004,1,MATCH(COLUMNS($V$1006:W1006),$V$1006:$AE$1006,0)))),"Fix")))</f>
        <v>0</v>
      </c>
      <c r="D975" s="4">
        <f>IF(OR(INDEX($P$2:$P$1001,MATCH(ROWS($O$2:O975),$O$2:$O$1001,0),1)&gt;=100000,INDEX($V$1005:$AE$1005,1,MATCH(COLUMNS($V$1006:X1006),$V$1006:$AE$1006,0))&gt;=100000), " ",IF(INDEX($V$2:$AE$1001,MATCH(ROWS($O$2:O975),$O$2:$O$1001,0),MATCH(COLUMNS($V$1006:X1006),$V$1006:$AE$1006,0)), HYPERLINK("#",""), HYPERLINK(CONCATENATE("#Metadata!", ADDRESS(INDEX($Q$2:$Q$1001,MATCH(ROWS($O$2:O975),$O$2:$O$1001,0),0), INDEX($V$1004:$AE$1004,1,MATCH(COLUMNS($V$1006:X1006),$V$1006:$AE$1006,0)))),"Fix")))</f>
        <v>0</v>
      </c>
      <c r="E975" s="4">
        <f>IF(OR(INDEX($P$2:$P$1001,MATCH(ROWS($O$2:O975),$O$2:$O$1001,0),1)&gt;=100000,INDEX($V$1005:$AE$1005,1,MATCH(COLUMNS($V$1006:Y1006),$V$1006:$AE$1006,0))&gt;=100000), " ",IF(INDEX($V$2:$AE$1001,MATCH(ROWS($O$2:O975),$O$2:$O$1001,0),MATCH(COLUMNS($V$1006:Y1006),$V$1006:$AE$1006,0)), HYPERLINK("#",""), HYPERLINK(CONCATENATE("#Metadata!", ADDRESS(INDEX($Q$2:$Q$1001,MATCH(ROWS($O$2:O975),$O$2:$O$1001,0),0), INDEX($V$1004:$AE$1004,1,MATCH(COLUMNS($V$1006:Y1006),$V$1006:$AE$1006,0)))),"Fix")))</f>
        <v>0</v>
      </c>
      <c r="F975" s="4">
        <f>IF(OR(INDEX($P$2:$P$1001,MATCH(ROWS($O$2:O975),$O$2:$O$1001,0),1)&gt;=100000,INDEX($V$1005:$AE$1005,1,MATCH(COLUMNS($V$1006:Z1006),$V$1006:$AE$1006,0))&gt;=100000), " ",IF(INDEX($V$2:$AE$1001,MATCH(ROWS($O$2:O975),$O$2:$O$1001,0),MATCH(COLUMNS($V$1006:Z1006),$V$1006:$AE$1006,0)), HYPERLINK("#",""), HYPERLINK(CONCATENATE("#Metadata!", ADDRESS(INDEX($Q$2:$Q$1001,MATCH(ROWS($O$2:O975),$O$2:$O$1001,0),0), INDEX($V$1004:$AE$1004,1,MATCH(COLUMNS($V$1006:Z1006),$V$1006:$AE$1006,0)))),"Fix")))</f>
        <v>0</v>
      </c>
      <c r="G975" s="4">
        <f>IF(OR(INDEX($P$2:$P$1001,MATCH(ROWS($O$2:O975),$O$2:$O$1001,0),1)&gt;=100000,INDEX($V$1005:$AE$1005,1,MATCH(COLUMNS($V$1006:AA1006),$V$1006:$AE$1006,0))&gt;=100000), " ",IF(INDEX($V$2:$AE$1001,MATCH(ROWS($O$2:O975),$O$2:$O$1001,0),MATCH(COLUMNS($V$1006:AA1006),$V$1006:$AE$1006,0)), HYPERLINK("#",""), HYPERLINK(CONCATENATE("#Metadata!", ADDRESS(INDEX($Q$2:$Q$1001,MATCH(ROWS($O$2:O975),$O$2:$O$1001,0),0), INDEX($V$1004:$AE$1004,1,MATCH(COLUMNS($V$1006:AA1006),$V$1006:$AE$1006,0)))),"Fix")))</f>
        <v>0</v>
      </c>
      <c r="H975" s="4">
        <f>IF(OR(INDEX($P$2:$P$1001,MATCH(ROWS($O$2:O975),$O$2:$O$1001,0),1)&gt;=100000,INDEX($V$1005:$AE$1005,1,MATCH(COLUMNS($V$1006:AB1006),$V$1006:$AE$1006,0))&gt;=100000), " ",IF(INDEX($V$2:$AE$1001,MATCH(ROWS($O$2:O975),$O$2:$O$1001,0),MATCH(COLUMNS($V$1006:AB1006),$V$1006:$AE$1006,0)), HYPERLINK("#",""), HYPERLINK(CONCATENATE("#Metadata!", ADDRESS(INDEX($Q$2:$Q$1001,MATCH(ROWS($O$2:O975),$O$2:$O$1001,0),0), INDEX($V$1004:$AE$1004,1,MATCH(COLUMNS($V$1006:AB1006),$V$1006:$AE$1006,0)))),"Fix")))</f>
        <v>0</v>
      </c>
      <c r="I975" s="4">
        <f>IF(OR(INDEX($P$2:$P$1001,MATCH(ROWS($O$2:O975),$O$2:$O$1001,0),1)&gt;=100000,INDEX($V$1005:$AE$1005,1,MATCH(COLUMNS($V$1006:AC1006),$V$1006:$AE$1006,0))&gt;=100000), " ",IF(INDEX($V$2:$AE$1001,MATCH(ROWS($O$2:O975),$O$2:$O$1001,0),MATCH(COLUMNS($V$1006:AC1006),$V$1006:$AE$1006,0)), HYPERLINK("#",""), HYPERLINK(CONCATENATE("#Metadata!", ADDRESS(INDEX($Q$2:$Q$1001,MATCH(ROWS($O$2:O975),$O$2:$O$1001,0),0), INDEX($V$1004:$AE$1004,1,MATCH(COLUMNS($V$1006:AC1006),$V$1006:$AE$1006,0)))),"Fix")))</f>
        <v>0</v>
      </c>
      <c r="J975" s="4">
        <f>IF(OR(INDEX($P$2:$P$1001,MATCH(ROWS($O$2:O975),$O$2:$O$1001,0),1)&gt;=100000,INDEX($V$1005:$AE$1005,1,MATCH(COLUMNS($V$1006:AD1006),$V$1006:$AE$1006,0))&gt;=100000), " ",IF(INDEX($V$2:$AE$1001,MATCH(ROWS($O$2:O975),$O$2:$O$1001,0),MATCH(COLUMNS($V$1006:AD1006),$V$1006:$AE$1006,0)), HYPERLINK("#",""), HYPERLINK(CONCATENATE("#Metadata!", ADDRESS(INDEX($Q$2:$Q$1001,MATCH(ROWS($O$2:O975),$O$2:$O$1001,0),0), INDEX($V$1004:$AE$1004,1,MATCH(COLUMNS($V$1006:AD1006),$V$1006:$AE$1006,0)))),"Fix")))</f>
        <v>0</v>
      </c>
      <c r="K975" s="4">
        <f>IF(OR(INDEX($P$2:$P$1001,MATCH(ROWS($O$2:O975),$O$2:$O$1001,0),1)&gt;=100000,INDEX($V$1005:$AE$1005,1,MATCH(COLUMNS($V$1006:AE1006),$V$1006:$AE$1006,0))&gt;=100000), " ",IF(INDEX($V$2:$AE$1001,MATCH(ROWS($O$2:O975),$O$2:$O$1001,0),MATCH(COLUMNS($V$1006:AE1006),$V$1006:$AE$1006,0)), HYPERLINK("#",""), HYPERLINK(CONCATENATE("#Metadata!", ADDRESS(INDEX($Q$2:$Q$1001,MATCH(ROWS($O$2:O975),$O$2:$O$1001,0),0), INDEX($V$1004:$AE$1004,1,MATCH(COLUMNS($V$1006:AE1006),$V$1006:$AE$1006,0)))),"Fix")))</f>
        <v>0</v>
      </c>
      <c r="O975">
        <v>0</v>
      </c>
      <c r="P975">
        <v>0</v>
      </c>
      <c r="Q975">
        <v>0</v>
      </c>
      <c r="R975">
        <f>IF(S975,TRUE,AND(V975:AE975))</f>
        <v>0</v>
      </c>
      <c r="S975">
        <f>COUNTBLANK(Metadata!B975:K975)=COLUMNS(Metadata!B975:K975)</f>
        <v>0</v>
      </c>
      <c r="T975">
        <v>0</v>
      </c>
      <c r="V975">
        <f>AND(IF(Metadata!B975="",FALSE,TRUE),COUNTIF(Metadata!B:B, Metadata!B975) = 1,NOT(ISERROR(SUMPRODUCT(SEARCH(MID(Metadata!B975,ROW(INDIRECT("1:"&amp;LEN(Metadata!B975))), 1),"0123456789abcdefghijklmnopqrstuvwxyzABCDEFGHIJKLMNOPQRSTUVWXYZ.")))))</f>
        <v>0</v>
      </c>
      <c r="W975">
        <f>AND(IF(Metadata!C975="",FALSE,TRUE),exact(Metadata!C975,"urban biome"))</f>
        <v>0</v>
      </c>
      <c r="X975">
        <f>AND(IF(Metadata!D975="",FALSE,TRUE),exact(Metadata!D975,"animal-associated habitat"))</f>
        <v>0</v>
      </c>
      <c r="Y975">
        <f>OR(AND(IF(Metadata!E975="",FALSE,TRUE),OR(exact(Metadata!E975,"not applicable"),exact(Metadata!E975,"missing: not collected"),exact(Metadata!E975,"missing: not provided"),exact(Metadata!E975,"missing: restricted access"))),AND(IF(Metadata!E975="",FALSE,ISNUMBER(VALUE(Metadata!E975))),Metadata!E975&gt;0))</f>
        <v>0</v>
      </c>
      <c r="Z975">
        <f>AND(IF(Metadata!F975="",FALSE,TRUE),exact(Metadata!F975,"weeks"))</f>
        <v>0</v>
      </c>
      <c r="AA975">
        <f>AND(IF(Metadata!G975="",FALSE,TRUE),exact(Metadata!G975,"mouse"))</f>
        <v>0</v>
      </c>
      <c r="AB975">
        <f>AND(IF(Metadata!H975="",FALSE,TRUE),exact(Metadata!H975,"Mus musculus"))</f>
        <v>0</v>
      </c>
      <c r="AC975">
        <f>AND(IF(Metadata!I975="",FALSE,TRUE),exact(Metadata!I975,"10090"))</f>
        <v>0</v>
      </c>
      <c r="AD975">
        <f>OR(AND(IF(Metadata!J975="",FALSE,TRUE),OR(exact(Metadata!J975,"not applicable"),exact(Metadata!J975,"missing: not collected"),exact(Metadata!J975,"missing: not provided"),exact(Metadata!J975,"missing: restricted access"))),AND(IF(Metadata!J975="",FALSE,ISNUMBER(VALUE(Metadata!J975))),Metadata!J975&gt;0))</f>
        <v>0</v>
      </c>
      <c r="AE975">
        <f>AND(IF(Metadata!K975="",FALSE,TRUE),exact(Metadata!K975,"g"))</f>
        <v>0</v>
      </c>
    </row>
    <row r="976" spans="1:31">
      <c r="A976" s="5">
        <f>IF(B976=" "," ",HYPERLINK(CONCATENATE("#metadata!",ADDRESS(INDEX($Q$2:$Q$1001,MATCH(ROWS($O$2:O976),$O$2:$O$1001,0),0),1)),INDEX($T$2:$T$1001,MATCH(ROWS($O$2:O976),$O$2:$O$1001,0),0)))</f>
        <v>0</v>
      </c>
      <c r="B976" s="4">
        <f>IF(OR(INDEX($P$2:$P$1001,MATCH(ROWS($O$2:O976),$O$2:$O$1001,0),1)&gt;=100000,INDEX($V$1005:$AE$1005,1,MATCH(COLUMNS($V$1006:V1006),$V$1006:$AE$1006,0))&gt;=100000), " ",IF(INDEX($V$2:$AE$1001,MATCH(ROWS($O$2:O976),$O$2:$O$1001,0),MATCH(COLUMNS($V$1006:V1006),$V$1006:$AE$1006,0)), HYPERLINK("#",""), HYPERLINK(CONCATENATE("#Metadata!", ADDRESS(INDEX($Q$2:$Q$1001,MATCH(ROWS($O$2:O976),$O$2:$O$1001,0),0), INDEX($V$1004:$AE$1004,1,MATCH(COLUMNS($V$1006:V1006),$V$1006:$AE$1006,0)))),"Fix")))</f>
        <v>0</v>
      </c>
      <c r="C976" s="4">
        <f>IF(OR(INDEX($P$2:$P$1001,MATCH(ROWS($O$2:O976),$O$2:$O$1001,0),1)&gt;=100000,INDEX($V$1005:$AE$1005,1,MATCH(COLUMNS($V$1006:W1006),$V$1006:$AE$1006,0))&gt;=100000), " ",IF(INDEX($V$2:$AE$1001,MATCH(ROWS($O$2:O976),$O$2:$O$1001,0),MATCH(COLUMNS($V$1006:W1006),$V$1006:$AE$1006,0)), HYPERLINK("#",""), HYPERLINK(CONCATENATE("#Metadata!", ADDRESS(INDEX($Q$2:$Q$1001,MATCH(ROWS($O$2:O976),$O$2:$O$1001,0),0), INDEX($V$1004:$AE$1004,1,MATCH(COLUMNS($V$1006:W1006),$V$1006:$AE$1006,0)))),"Fix")))</f>
        <v>0</v>
      </c>
      <c r="D976" s="4">
        <f>IF(OR(INDEX($P$2:$P$1001,MATCH(ROWS($O$2:O976),$O$2:$O$1001,0),1)&gt;=100000,INDEX($V$1005:$AE$1005,1,MATCH(COLUMNS($V$1006:X1006),$V$1006:$AE$1006,0))&gt;=100000), " ",IF(INDEX($V$2:$AE$1001,MATCH(ROWS($O$2:O976),$O$2:$O$1001,0),MATCH(COLUMNS($V$1006:X1006),$V$1006:$AE$1006,0)), HYPERLINK("#",""), HYPERLINK(CONCATENATE("#Metadata!", ADDRESS(INDEX($Q$2:$Q$1001,MATCH(ROWS($O$2:O976),$O$2:$O$1001,0),0), INDEX($V$1004:$AE$1004,1,MATCH(COLUMNS($V$1006:X1006),$V$1006:$AE$1006,0)))),"Fix")))</f>
        <v>0</v>
      </c>
      <c r="E976" s="4">
        <f>IF(OR(INDEX($P$2:$P$1001,MATCH(ROWS($O$2:O976),$O$2:$O$1001,0),1)&gt;=100000,INDEX($V$1005:$AE$1005,1,MATCH(COLUMNS($V$1006:Y1006),$V$1006:$AE$1006,0))&gt;=100000), " ",IF(INDEX($V$2:$AE$1001,MATCH(ROWS($O$2:O976),$O$2:$O$1001,0),MATCH(COLUMNS($V$1006:Y1006),$V$1006:$AE$1006,0)), HYPERLINK("#",""), HYPERLINK(CONCATENATE("#Metadata!", ADDRESS(INDEX($Q$2:$Q$1001,MATCH(ROWS($O$2:O976),$O$2:$O$1001,0),0), INDEX($V$1004:$AE$1004,1,MATCH(COLUMNS($V$1006:Y1006),$V$1006:$AE$1006,0)))),"Fix")))</f>
        <v>0</v>
      </c>
      <c r="F976" s="4">
        <f>IF(OR(INDEX($P$2:$P$1001,MATCH(ROWS($O$2:O976),$O$2:$O$1001,0),1)&gt;=100000,INDEX($V$1005:$AE$1005,1,MATCH(COLUMNS($V$1006:Z1006),$V$1006:$AE$1006,0))&gt;=100000), " ",IF(INDEX($V$2:$AE$1001,MATCH(ROWS($O$2:O976),$O$2:$O$1001,0),MATCH(COLUMNS($V$1006:Z1006),$V$1006:$AE$1006,0)), HYPERLINK("#",""), HYPERLINK(CONCATENATE("#Metadata!", ADDRESS(INDEX($Q$2:$Q$1001,MATCH(ROWS($O$2:O976),$O$2:$O$1001,0),0), INDEX($V$1004:$AE$1004,1,MATCH(COLUMNS($V$1006:Z1006),$V$1006:$AE$1006,0)))),"Fix")))</f>
        <v>0</v>
      </c>
      <c r="G976" s="4">
        <f>IF(OR(INDEX($P$2:$P$1001,MATCH(ROWS($O$2:O976),$O$2:$O$1001,0),1)&gt;=100000,INDEX($V$1005:$AE$1005,1,MATCH(COLUMNS($V$1006:AA1006),$V$1006:$AE$1006,0))&gt;=100000), " ",IF(INDEX($V$2:$AE$1001,MATCH(ROWS($O$2:O976),$O$2:$O$1001,0),MATCH(COLUMNS($V$1006:AA1006),$V$1006:$AE$1006,0)), HYPERLINK("#",""), HYPERLINK(CONCATENATE("#Metadata!", ADDRESS(INDEX($Q$2:$Q$1001,MATCH(ROWS($O$2:O976),$O$2:$O$1001,0),0), INDEX($V$1004:$AE$1004,1,MATCH(COLUMNS($V$1006:AA1006),$V$1006:$AE$1006,0)))),"Fix")))</f>
        <v>0</v>
      </c>
      <c r="H976" s="4">
        <f>IF(OR(INDEX($P$2:$P$1001,MATCH(ROWS($O$2:O976),$O$2:$O$1001,0),1)&gt;=100000,INDEX($V$1005:$AE$1005,1,MATCH(COLUMNS($V$1006:AB1006),$V$1006:$AE$1006,0))&gt;=100000), " ",IF(INDEX($V$2:$AE$1001,MATCH(ROWS($O$2:O976),$O$2:$O$1001,0),MATCH(COLUMNS($V$1006:AB1006),$V$1006:$AE$1006,0)), HYPERLINK("#",""), HYPERLINK(CONCATENATE("#Metadata!", ADDRESS(INDEX($Q$2:$Q$1001,MATCH(ROWS($O$2:O976),$O$2:$O$1001,0),0), INDEX($V$1004:$AE$1004,1,MATCH(COLUMNS($V$1006:AB1006),$V$1006:$AE$1006,0)))),"Fix")))</f>
        <v>0</v>
      </c>
      <c r="I976" s="4">
        <f>IF(OR(INDEX($P$2:$P$1001,MATCH(ROWS($O$2:O976),$O$2:$O$1001,0),1)&gt;=100000,INDEX($V$1005:$AE$1005,1,MATCH(COLUMNS($V$1006:AC1006),$V$1006:$AE$1006,0))&gt;=100000), " ",IF(INDEX($V$2:$AE$1001,MATCH(ROWS($O$2:O976),$O$2:$O$1001,0),MATCH(COLUMNS($V$1006:AC1006),$V$1006:$AE$1006,0)), HYPERLINK("#",""), HYPERLINK(CONCATENATE("#Metadata!", ADDRESS(INDEX($Q$2:$Q$1001,MATCH(ROWS($O$2:O976),$O$2:$O$1001,0),0), INDEX($V$1004:$AE$1004,1,MATCH(COLUMNS($V$1006:AC1006),$V$1006:$AE$1006,0)))),"Fix")))</f>
        <v>0</v>
      </c>
      <c r="J976" s="4">
        <f>IF(OR(INDEX($P$2:$P$1001,MATCH(ROWS($O$2:O976),$O$2:$O$1001,0),1)&gt;=100000,INDEX($V$1005:$AE$1005,1,MATCH(COLUMNS($V$1006:AD1006),$V$1006:$AE$1006,0))&gt;=100000), " ",IF(INDEX($V$2:$AE$1001,MATCH(ROWS($O$2:O976),$O$2:$O$1001,0),MATCH(COLUMNS($V$1006:AD1006),$V$1006:$AE$1006,0)), HYPERLINK("#",""), HYPERLINK(CONCATENATE("#Metadata!", ADDRESS(INDEX($Q$2:$Q$1001,MATCH(ROWS($O$2:O976),$O$2:$O$1001,0),0), INDEX($V$1004:$AE$1004,1,MATCH(COLUMNS($V$1006:AD1006),$V$1006:$AE$1006,0)))),"Fix")))</f>
        <v>0</v>
      </c>
      <c r="K976" s="4">
        <f>IF(OR(INDEX($P$2:$P$1001,MATCH(ROWS($O$2:O976),$O$2:$O$1001,0),1)&gt;=100000,INDEX($V$1005:$AE$1005,1,MATCH(COLUMNS($V$1006:AE1006),$V$1006:$AE$1006,0))&gt;=100000), " ",IF(INDEX($V$2:$AE$1001,MATCH(ROWS($O$2:O976),$O$2:$O$1001,0),MATCH(COLUMNS($V$1006:AE1006),$V$1006:$AE$1006,0)), HYPERLINK("#",""), HYPERLINK(CONCATENATE("#Metadata!", ADDRESS(INDEX($Q$2:$Q$1001,MATCH(ROWS($O$2:O976),$O$2:$O$1001,0),0), INDEX($V$1004:$AE$1004,1,MATCH(COLUMNS($V$1006:AE1006),$V$1006:$AE$1006,0)))),"Fix")))</f>
        <v>0</v>
      </c>
      <c r="O976">
        <v>0</v>
      </c>
      <c r="P976">
        <v>0</v>
      </c>
      <c r="Q976">
        <v>0</v>
      </c>
      <c r="R976">
        <f>IF(S976,TRUE,AND(V976:AE976))</f>
        <v>0</v>
      </c>
      <c r="S976">
        <f>COUNTBLANK(Metadata!B976:K976)=COLUMNS(Metadata!B976:K976)</f>
        <v>0</v>
      </c>
      <c r="T976">
        <v>0</v>
      </c>
      <c r="V976">
        <f>AND(IF(Metadata!B976="",FALSE,TRUE),COUNTIF(Metadata!B:B, Metadata!B976) = 1,NOT(ISERROR(SUMPRODUCT(SEARCH(MID(Metadata!B976,ROW(INDIRECT("1:"&amp;LEN(Metadata!B976))), 1),"0123456789abcdefghijklmnopqrstuvwxyzABCDEFGHIJKLMNOPQRSTUVWXYZ.")))))</f>
        <v>0</v>
      </c>
      <c r="W976">
        <f>AND(IF(Metadata!C976="",FALSE,TRUE),exact(Metadata!C976,"urban biome"))</f>
        <v>0</v>
      </c>
      <c r="X976">
        <f>AND(IF(Metadata!D976="",FALSE,TRUE),exact(Metadata!D976,"animal-associated habitat"))</f>
        <v>0</v>
      </c>
      <c r="Y976">
        <f>OR(AND(IF(Metadata!E976="",FALSE,TRUE),OR(exact(Metadata!E976,"not applicable"),exact(Metadata!E976,"missing: not collected"),exact(Metadata!E976,"missing: not provided"),exact(Metadata!E976,"missing: restricted access"))),AND(IF(Metadata!E976="",FALSE,ISNUMBER(VALUE(Metadata!E976))),Metadata!E976&gt;0))</f>
        <v>0</v>
      </c>
      <c r="Z976">
        <f>AND(IF(Metadata!F976="",FALSE,TRUE),exact(Metadata!F976,"weeks"))</f>
        <v>0</v>
      </c>
      <c r="AA976">
        <f>AND(IF(Metadata!G976="",FALSE,TRUE),exact(Metadata!G976,"mouse"))</f>
        <v>0</v>
      </c>
      <c r="AB976">
        <f>AND(IF(Metadata!H976="",FALSE,TRUE),exact(Metadata!H976,"Mus musculus"))</f>
        <v>0</v>
      </c>
      <c r="AC976">
        <f>AND(IF(Metadata!I976="",FALSE,TRUE),exact(Metadata!I976,"10090"))</f>
        <v>0</v>
      </c>
      <c r="AD976">
        <f>OR(AND(IF(Metadata!J976="",FALSE,TRUE),OR(exact(Metadata!J976,"not applicable"),exact(Metadata!J976,"missing: not collected"),exact(Metadata!J976,"missing: not provided"),exact(Metadata!J976,"missing: restricted access"))),AND(IF(Metadata!J976="",FALSE,ISNUMBER(VALUE(Metadata!J976))),Metadata!J976&gt;0))</f>
        <v>0</v>
      </c>
      <c r="AE976">
        <f>AND(IF(Metadata!K976="",FALSE,TRUE),exact(Metadata!K976,"g"))</f>
        <v>0</v>
      </c>
    </row>
    <row r="977" spans="1:31">
      <c r="A977" s="5">
        <f>IF(B977=" "," ",HYPERLINK(CONCATENATE("#metadata!",ADDRESS(INDEX($Q$2:$Q$1001,MATCH(ROWS($O$2:O977),$O$2:$O$1001,0),0),1)),INDEX($T$2:$T$1001,MATCH(ROWS($O$2:O977),$O$2:$O$1001,0),0)))</f>
        <v>0</v>
      </c>
      <c r="B977" s="4">
        <f>IF(OR(INDEX($P$2:$P$1001,MATCH(ROWS($O$2:O977),$O$2:$O$1001,0),1)&gt;=100000,INDEX($V$1005:$AE$1005,1,MATCH(COLUMNS($V$1006:V1006),$V$1006:$AE$1006,0))&gt;=100000), " ",IF(INDEX($V$2:$AE$1001,MATCH(ROWS($O$2:O977),$O$2:$O$1001,0),MATCH(COLUMNS($V$1006:V1006),$V$1006:$AE$1006,0)), HYPERLINK("#",""), HYPERLINK(CONCATENATE("#Metadata!", ADDRESS(INDEX($Q$2:$Q$1001,MATCH(ROWS($O$2:O977),$O$2:$O$1001,0),0), INDEX($V$1004:$AE$1004,1,MATCH(COLUMNS($V$1006:V1006),$V$1006:$AE$1006,0)))),"Fix")))</f>
        <v>0</v>
      </c>
      <c r="C977" s="4">
        <f>IF(OR(INDEX($P$2:$P$1001,MATCH(ROWS($O$2:O977),$O$2:$O$1001,0),1)&gt;=100000,INDEX($V$1005:$AE$1005,1,MATCH(COLUMNS($V$1006:W1006),$V$1006:$AE$1006,0))&gt;=100000), " ",IF(INDEX($V$2:$AE$1001,MATCH(ROWS($O$2:O977),$O$2:$O$1001,0),MATCH(COLUMNS($V$1006:W1006),$V$1006:$AE$1006,0)), HYPERLINK("#",""), HYPERLINK(CONCATENATE("#Metadata!", ADDRESS(INDEX($Q$2:$Q$1001,MATCH(ROWS($O$2:O977),$O$2:$O$1001,0),0), INDEX($V$1004:$AE$1004,1,MATCH(COLUMNS($V$1006:W1006),$V$1006:$AE$1006,0)))),"Fix")))</f>
        <v>0</v>
      </c>
      <c r="D977" s="4">
        <f>IF(OR(INDEX($P$2:$P$1001,MATCH(ROWS($O$2:O977),$O$2:$O$1001,0),1)&gt;=100000,INDEX($V$1005:$AE$1005,1,MATCH(COLUMNS($V$1006:X1006),$V$1006:$AE$1006,0))&gt;=100000), " ",IF(INDEX($V$2:$AE$1001,MATCH(ROWS($O$2:O977),$O$2:$O$1001,0),MATCH(COLUMNS($V$1006:X1006),$V$1006:$AE$1006,0)), HYPERLINK("#",""), HYPERLINK(CONCATENATE("#Metadata!", ADDRESS(INDEX($Q$2:$Q$1001,MATCH(ROWS($O$2:O977),$O$2:$O$1001,0),0), INDEX($V$1004:$AE$1004,1,MATCH(COLUMNS($V$1006:X1006),$V$1006:$AE$1006,0)))),"Fix")))</f>
        <v>0</v>
      </c>
      <c r="E977" s="4">
        <f>IF(OR(INDEX($P$2:$P$1001,MATCH(ROWS($O$2:O977),$O$2:$O$1001,0),1)&gt;=100000,INDEX($V$1005:$AE$1005,1,MATCH(COLUMNS($V$1006:Y1006),$V$1006:$AE$1006,0))&gt;=100000), " ",IF(INDEX($V$2:$AE$1001,MATCH(ROWS($O$2:O977),$O$2:$O$1001,0),MATCH(COLUMNS($V$1006:Y1006),$V$1006:$AE$1006,0)), HYPERLINK("#",""), HYPERLINK(CONCATENATE("#Metadata!", ADDRESS(INDEX($Q$2:$Q$1001,MATCH(ROWS($O$2:O977),$O$2:$O$1001,0),0), INDEX($V$1004:$AE$1004,1,MATCH(COLUMNS($V$1006:Y1006),$V$1006:$AE$1006,0)))),"Fix")))</f>
        <v>0</v>
      </c>
      <c r="F977" s="4">
        <f>IF(OR(INDEX($P$2:$P$1001,MATCH(ROWS($O$2:O977),$O$2:$O$1001,0),1)&gt;=100000,INDEX($V$1005:$AE$1005,1,MATCH(COLUMNS($V$1006:Z1006),$V$1006:$AE$1006,0))&gt;=100000), " ",IF(INDEX($V$2:$AE$1001,MATCH(ROWS($O$2:O977),$O$2:$O$1001,0),MATCH(COLUMNS($V$1006:Z1006),$V$1006:$AE$1006,0)), HYPERLINK("#",""), HYPERLINK(CONCATENATE("#Metadata!", ADDRESS(INDEX($Q$2:$Q$1001,MATCH(ROWS($O$2:O977),$O$2:$O$1001,0),0), INDEX($V$1004:$AE$1004,1,MATCH(COLUMNS($V$1006:Z1006),$V$1006:$AE$1006,0)))),"Fix")))</f>
        <v>0</v>
      </c>
      <c r="G977" s="4">
        <f>IF(OR(INDEX($P$2:$P$1001,MATCH(ROWS($O$2:O977),$O$2:$O$1001,0),1)&gt;=100000,INDEX($V$1005:$AE$1005,1,MATCH(COLUMNS($V$1006:AA1006),$V$1006:$AE$1006,0))&gt;=100000), " ",IF(INDEX($V$2:$AE$1001,MATCH(ROWS($O$2:O977),$O$2:$O$1001,0),MATCH(COLUMNS($V$1006:AA1006),$V$1006:$AE$1006,0)), HYPERLINK("#",""), HYPERLINK(CONCATENATE("#Metadata!", ADDRESS(INDEX($Q$2:$Q$1001,MATCH(ROWS($O$2:O977),$O$2:$O$1001,0),0), INDEX($V$1004:$AE$1004,1,MATCH(COLUMNS($V$1006:AA1006),$V$1006:$AE$1006,0)))),"Fix")))</f>
        <v>0</v>
      </c>
      <c r="H977" s="4">
        <f>IF(OR(INDEX($P$2:$P$1001,MATCH(ROWS($O$2:O977),$O$2:$O$1001,0),1)&gt;=100000,INDEX($V$1005:$AE$1005,1,MATCH(COLUMNS($V$1006:AB1006),$V$1006:$AE$1006,0))&gt;=100000), " ",IF(INDEX($V$2:$AE$1001,MATCH(ROWS($O$2:O977),$O$2:$O$1001,0),MATCH(COLUMNS($V$1006:AB1006),$V$1006:$AE$1006,0)), HYPERLINK("#",""), HYPERLINK(CONCATENATE("#Metadata!", ADDRESS(INDEX($Q$2:$Q$1001,MATCH(ROWS($O$2:O977),$O$2:$O$1001,0),0), INDEX($V$1004:$AE$1004,1,MATCH(COLUMNS($V$1006:AB1006),$V$1006:$AE$1006,0)))),"Fix")))</f>
        <v>0</v>
      </c>
      <c r="I977" s="4">
        <f>IF(OR(INDEX($P$2:$P$1001,MATCH(ROWS($O$2:O977),$O$2:$O$1001,0),1)&gt;=100000,INDEX($V$1005:$AE$1005,1,MATCH(COLUMNS($V$1006:AC1006),$V$1006:$AE$1006,0))&gt;=100000), " ",IF(INDEX($V$2:$AE$1001,MATCH(ROWS($O$2:O977),$O$2:$O$1001,0),MATCH(COLUMNS($V$1006:AC1006),$V$1006:$AE$1006,0)), HYPERLINK("#",""), HYPERLINK(CONCATENATE("#Metadata!", ADDRESS(INDEX($Q$2:$Q$1001,MATCH(ROWS($O$2:O977),$O$2:$O$1001,0),0), INDEX($V$1004:$AE$1004,1,MATCH(COLUMNS($V$1006:AC1006),$V$1006:$AE$1006,0)))),"Fix")))</f>
        <v>0</v>
      </c>
      <c r="J977" s="4">
        <f>IF(OR(INDEX($P$2:$P$1001,MATCH(ROWS($O$2:O977),$O$2:$O$1001,0),1)&gt;=100000,INDEX($V$1005:$AE$1005,1,MATCH(COLUMNS($V$1006:AD1006),$V$1006:$AE$1006,0))&gt;=100000), " ",IF(INDEX($V$2:$AE$1001,MATCH(ROWS($O$2:O977),$O$2:$O$1001,0),MATCH(COLUMNS($V$1006:AD1006),$V$1006:$AE$1006,0)), HYPERLINK("#",""), HYPERLINK(CONCATENATE("#Metadata!", ADDRESS(INDEX($Q$2:$Q$1001,MATCH(ROWS($O$2:O977),$O$2:$O$1001,0),0), INDEX($V$1004:$AE$1004,1,MATCH(COLUMNS($V$1006:AD1006),$V$1006:$AE$1006,0)))),"Fix")))</f>
        <v>0</v>
      </c>
      <c r="K977" s="4">
        <f>IF(OR(INDEX($P$2:$P$1001,MATCH(ROWS($O$2:O977),$O$2:$O$1001,0),1)&gt;=100000,INDEX($V$1005:$AE$1005,1,MATCH(COLUMNS($V$1006:AE1006),$V$1006:$AE$1006,0))&gt;=100000), " ",IF(INDEX($V$2:$AE$1001,MATCH(ROWS($O$2:O977),$O$2:$O$1001,0),MATCH(COLUMNS($V$1006:AE1006),$V$1006:$AE$1006,0)), HYPERLINK("#",""), HYPERLINK(CONCATENATE("#Metadata!", ADDRESS(INDEX($Q$2:$Q$1001,MATCH(ROWS($O$2:O977),$O$2:$O$1001,0),0), INDEX($V$1004:$AE$1004,1,MATCH(COLUMNS($V$1006:AE1006),$V$1006:$AE$1006,0)))),"Fix")))</f>
        <v>0</v>
      </c>
      <c r="O977">
        <v>0</v>
      </c>
      <c r="P977">
        <v>0</v>
      </c>
      <c r="Q977">
        <v>0</v>
      </c>
      <c r="R977">
        <f>IF(S977,TRUE,AND(V977:AE977))</f>
        <v>0</v>
      </c>
      <c r="S977">
        <f>COUNTBLANK(Metadata!B977:K977)=COLUMNS(Metadata!B977:K977)</f>
        <v>0</v>
      </c>
      <c r="T977">
        <v>0</v>
      </c>
      <c r="V977">
        <f>AND(IF(Metadata!B977="",FALSE,TRUE),COUNTIF(Metadata!B:B, Metadata!B977) = 1,NOT(ISERROR(SUMPRODUCT(SEARCH(MID(Metadata!B977,ROW(INDIRECT("1:"&amp;LEN(Metadata!B977))), 1),"0123456789abcdefghijklmnopqrstuvwxyzABCDEFGHIJKLMNOPQRSTUVWXYZ.")))))</f>
        <v>0</v>
      </c>
      <c r="W977">
        <f>AND(IF(Metadata!C977="",FALSE,TRUE),exact(Metadata!C977,"urban biome"))</f>
        <v>0</v>
      </c>
      <c r="X977">
        <f>AND(IF(Metadata!D977="",FALSE,TRUE),exact(Metadata!D977,"animal-associated habitat"))</f>
        <v>0</v>
      </c>
      <c r="Y977">
        <f>OR(AND(IF(Metadata!E977="",FALSE,TRUE),OR(exact(Metadata!E977,"not applicable"),exact(Metadata!E977,"missing: not collected"),exact(Metadata!E977,"missing: not provided"),exact(Metadata!E977,"missing: restricted access"))),AND(IF(Metadata!E977="",FALSE,ISNUMBER(VALUE(Metadata!E977))),Metadata!E977&gt;0))</f>
        <v>0</v>
      </c>
      <c r="Z977">
        <f>AND(IF(Metadata!F977="",FALSE,TRUE),exact(Metadata!F977,"weeks"))</f>
        <v>0</v>
      </c>
      <c r="AA977">
        <f>AND(IF(Metadata!G977="",FALSE,TRUE),exact(Metadata!G977,"mouse"))</f>
        <v>0</v>
      </c>
      <c r="AB977">
        <f>AND(IF(Metadata!H977="",FALSE,TRUE),exact(Metadata!H977,"Mus musculus"))</f>
        <v>0</v>
      </c>
      <c r="AC977">
        <f>AND(IF(Metadata!I977="",FALSE,TRUE),exact(Metadata!I977,"10090"))</f>
        <v>0</v>
      </c>
      <c r="AD977">
        <f>OR(AND(IF(Metadata!J977="",FALSE,TRUE),OR(exact(Metadata!J977,"not applicable"),exact(Metadata!J977,"missing: not collected"),exact(Metadata!J977,"missing: not provided"),exact(Metadata!J977,"missing: restricted access"))),AND(IF(Metadata!J977="",FALSE,ISNUMBER(VALUE(Metadata!J977))),Metadata!J977&gt;0))</f>
        <v>0</v>
      </c>
      <c r="AE977">
        <f>AND(IF(Metadata!K977="",FALSE,TRUE),exact(Metadata!K977,"g"))</f>
        <v>0</v>
      </c>
    </row>
    <row r="978" spans="1:31">
      <c r="A978" s="5">
        <f>IF(B978=" "," ",HYPERLINK(CONCATENATE("#metadata!",ADDRESS(INDEX($Q$2:$Q$1001,MATCH(ROWS($O$2:O978),$O$2:$O$1001,0),0),1)),INDEX($T$2:$T$1001,MATCH(ROWS($O$2:O978),$O$2:$O$1001,0),0)))</f>
        <v>0</v>
      </c>
      <c r="B978" s="4">
        <f>IF(OR(INDEX($P$2:$P$1001,MATCH(ROWS($O$2:O978),$O$2:$O$1001,0),1)&gt;=100000,INDEX($V$1005:$AE$1005,1,MATCH(COLUMNS($V$1006:V1006),$V$1006:$AE$1006,0))&gt;=100000), " ",IF(INDEX($V$2:$AE$1001,MATCH(ROWS($O$2:O978),$O$2:$O$1001,0),MATCH(COLUMNS($V$1006:V1006),$V$1006:$AE$1006,0)), HYPERLINK("#",""), HYPERLINK(CONCATENATE("#Metadata!", ADDRESS(INDEX($Q$2:$Q$1001,MATCH(ROWS($O$2:O978),$O$2:$O$1001,0),0), INDEX($V$1004:$AE$1004,1,MATCH(COLUMNS($V$1006:V1006),$V$1006:$AE$1006,0)))),"Fix")))</f>
        <v>0</v>
      </c>
      <c r="C978" s="4">
        <f>IF(OR(INDEX($P$2:$P$1001,MATCH(ROWS($O$2:O978),$O$2:$O$1001,0),1)&gt;=100000,INDEX($V$1005:$AE$1005,1,MATCH(COLUMNS($V$1006:W1006),$V$1006:$AE$1006,0))&gt;=100000), " ",IF(INDEX($V$2:$AE$1001,MATCH(ROWS($O$2:O978),$O$2:$O$1001,0),MATCH(COLUMNS($V$1006:W1006),$V$1006:$AE$1006,0)), HYPERLINK("#",""), HYPERLINK(CONCATENATE("#Metadata!", ADDRESS(INDEX($Q$2:$Q$1001,MATCH(ROWS($O$2:O978),$O$2:$O$1001,0),0), INDEX($V$1004:$AE$1004,1,MATCH(COLUMNS($V$1006:W1006),$V$1006:$AE$1006,0)))),"Fix")))</f>
        <v>0</v>
      </c>
      <c r="D978" s="4">
        <f>IF(OR(INDEX($P$2:$P$1001,MATCH(ROWS($O$2:O978),$O$2:$O$1001,0),1)&gt;=100000,INDEX($V$1005:$AE$1005,1,MATCH(COLUMNS($V$1006:X1006),$V$1006:$AE$1006,0))&gt;=100000), " ",IF(INDEX($V$2:$AE$1001,MATCH(ROWS($O$2:O978),$O$2:$O$1001,0),MATCH(COLUMNS($V$1006:X1006),$V$1006:$AE$1006,0)), HYPERLINK("#",""), HYPERLINK(CONCATENATE("#Metadata!", ADDRESS(INDEX($Q$2:$Q$1001,MATCH(ROWS($O$2:O978),$O$2:$O$1001,0),0), INDEX($V$1004:$AE$1004,1,MATCH(COLUMNS($V$1006:X1006),$V$1006:$AE$1006,0)))),"Fix")))</f>
        <v>0</v>
      </c>
      <c r="E978" s="4">
        <f>IF(OR(INDEX($P$2:$P$1001,MATCH(ROWS($O$2:O978),$O$2:$O$1001,0),1)&gt;=100000,INDEX($V$1005:$AE$1005,1,MATCH(COLUMNS($V$1006:Y1006),$V$1006:$AE$1006,0))&gt;=100000), " ",IF(INDEX($V$2:$AE$1001,MATCH(ROWS($O$2:O978),$O$2:$O$1001,0),MATCH(COLUMNS($V$1006:Y1006),$V$1006:$AE$1006,0)), HYPERLINK("#",""), HYPERLINK(CONCATENATE("#Metadata!", ADDRESS(INDEX($Q$2:$Q$1001,MATCH(ROWS($O$2:O978),$O$2:$O$1001,0),0), INDEX($V$1004:$AE$1004,1,MATCH(COLUMNS($V$1006:Y1006),$V$1006:$AE$1006,0)))),"Fix")))</f>
        <v>0</v>
      </c>
      <c r="F978" s="4">
        <f>IF(OR(INDEX($P$2:$P$1001,MATCH(ROWS($O$2:O978),$O$2:$O$1001,0),1)&gt;=100000,INDEX($V$1005:$AE$1005,1,MATCH(COLUMNS($V$1006:Z1006),$V$1006:$AE$1006,0))&gt;=100000), " ",IF(INDEX($V$2:$AE$1001,MATCH(ROWS($O$2:O978),$O$2:$O$1001,0),MATCH(COLUMNS($V$1006:Z1006),$V$1006:$AE$1006,0)), HYPERLINK("#",""), HYPERLINK(CONCATENATE("#Metadata!", ADDRESS(INDEX($Q$2:$Q$1001,MATCH(ROWS($O$2:O978),$O$2:$O$1001,0),0), INDEX($V$1004:$AE$1004,1,MATCH(COLUMNS($V$1006:Z1006),$V$1006:$AE$1006,0)))),"Fix")))</f>
        <v>0</v>
      </c>
      <c r="G978" s="4">
        <f>IF(OR(INDEX($P$2:$P$1001,MATCH(ROWS($O$2:O978),$O$2:$O$1001,0),1)&gt;=100000,INDEX($V$1005:$AE$1005,1,MATCH(COLUMNS($V$1006:AA1006),$V$1006:$AE$1006,0))&gt;=100000), " ",IF(INDEX($V$2:$AE$1001,MATCH(ROWS($O$2:O978),$O$2:$O$1001,0),MATCH(COLUMNS($V$1006:AA1006),$V$1006:$AE$1006,0)), HYPERLINK("#",""), HYPERLINK(CONCATENATE("#Metadata!", ADDRESS(INDEX($Q$2:$Q$1001,MATCH(ROWS($O$2:O978),$O$2:$O$1001,0),0), INDEX($V$1004:$AE$1004,1,MATCH(COLUMNS($V$1006:AA1006),$V$1006:$AE$1006,0)))),"Fix")))</f>
        <v>0</v>
      </c>
      <c r="H978" s="4">
        <f>IF(OR(INDEX($P$2:$P$1001,MATCH(ROWS($O$2:O978),$O$2:$O$1001,0),1)&gt;=100000,INDEX($V$1005:$AE$1005,1,MATCH(COLUMNS($V$1006:AB1006),$V$1006:$AE$1006,0))&gt;=100000), " ",IF(INDEX($V$2:$AE$1001,MATCH(ROWS($O$2:O978),$O$2:$O$1001,0),MATCH(COLUMNS($V$1006:AB1006),$V$1006:$AE$1006,0)), HYPERLINK("#",""), HYPERLINK(CONCATENATE("#Metadata!", ADDRESS(INDEX($Q$2:$Q$1001,MATCH(ROWS($O$2:O978),$O$2:$O$1001,0),0), INDEX($V$1004:$AE$1004,1,MATCH(COLUMNS($V$1006:AB1006),$V$1006:$AE$1006,0)))),"Fix")))</f>
        <v>0</v>
      </c>
      <c r="I978" s="4">
        <f>IF(OR(INDEX($P$2:$P$1001,MATCH(ROWS($O$2:O978),$O$2:$O$1001,0),1)&gt;=100000,INDEX($V$1005:$AE$1005,1,MATCH(COLUMNS($V$1006:AC1006),$V$1006:$AE$1006,0))&gt;=100000), " ",IF(INDEX($V$2:$AE$1001,MATCH(ROWS($O$2:O978),$O$2:$O$1001,0),MATCH(COLUMNS($V$1006:AC1006),$V$1006:$AE$1006,0)), HYPERLINK("#",""), HYPERLINK(CONCATENATE("#Metadata!", ADDRESS(INDEX($Q$2:$Q$1001,MATCH(ROWS($O$2:O978),$O$2:$O$1001,0),0), INDEX($V$1004:$AE$1004,1,MATCH(COLUMNS($V$1006:AC1006),$V$1006:$AE$1006,0)))),"Fix")))</f>
        <v>0</v>
      </c>
      <c r="J978" s="4">
        <f>IF(OR(INDEX($P$2:$P$1001,MATCH(ROWS($O$2:O978),$O$2:$O$1001,0),1)&gt;=100000,INDEX($V$1005:$AE$1005,1,MATCH(COLUMNS($V$1006:AD1006),$V$1006:$AE$1006,0))&gt;=100000), " ",IF(INDEX($V$2:$AE$1001,MATCH(ROWS($O$2:O978),$O$2:$O$1001,0),MATCH(COLUMNS($V$1006:AD1006),$V$1006:$AE$1006,0)), HYPERLINK("#",""), HYPERLINK(CONCATENATE("#Metadata!", ADDRESS(INDEX($Q$2:$Q$1001,MATCH(ROWS($O$2:O978),$O$2:$O$1001,0),0), INDEX($V$1004:$AE$1004,1,MATCH(COLUMNS($V$1006:AD1006),$V$1006:$AE$1006,0)))),"Fix")))</f>
        <v>0</v>
      </c>
      <c r="K978" s="4">
        <f>IF(OR(INDEX($P$2:$P$1001,MATCH(ROWS($O$2:O978),$O$2:$O$1001,0),1)&gt;=100000,INDEX($V$1005:$AE$1005,1,MATCH(COLUMNS($V$1006:AE1006),$V$1006:$AE$1006,0))&gt;=100000), " ",IF(INDEX($V$2:$AE$1001,MATCH(ROWS($O$2:O978),$O$2:$O$1001,0),MATCH(COLUMNS($V$1006:AE1006),$V$1006:$AE$1006,0)), HYPERLINK("#",""), HYPERLINK(CONCATENATE("#Metadata!", ADDRESS(INDEX($Q$2:$Q$1001,MATCH(ROWS($O$2:O978),$O$2:$O$1001,0),0), INDEX($V$1004:$AE$1004,1,MATCH(COLUMNS($V$1006:AE1006),$V$1006:$AE$1006,0)))),"Fix")))</f>
        <v>0</v>
      </c>
      <c r="O978">
        <v>0</v>
      </c>
      <c r="P978">
        <v>0</v>
      </c>
      <c r="Q978">
        <v>0</v>
      </c>
      <c r="R978">
        <f>IF(S978,TRUE,AND(V978:AE978))</f>
        <v>0</v>
      </c>
      <c r="S978">
        <f>COUNTBLANK(Metadata!B978:K978)=COLUMNS(Metadata!B978:K978)</f>
        <v>0</v>
      </c>
      <c r="T978">
        <v>0</v>
      </c>
      <c r="V978">
        <f>AND(IF(Metadata!B978="",FALSE,TRUE),COUNTIF(Metadata!B:B, Metadata!B978) = 1,NOT(ISERROR(SUMPRODUCT(SEARCH(MID(Metadata!B978,ROW(INDIRECT("1:"&amp;LEN(Metadata!B978))), 1),"0123456789abcdefghijklmnopqrstuvwxyzABCDEFGHIJKLMNOPQRSTUVWXYZ.")))))</f>
        <v>0</v>
      </c>
      <c r="W978">
        <f>AND(IF(Metadata!C978="",FALSE,TRUE),exact(Metadata!C978,"urban biome"))</f>
        <v>0</v>
      </c>
      <c r="X978">
        <f>AND(IF(Metadata!D978="",FALSE,TRUE),exact(Metadata!D978,"animal-associated habitat"))</f>
        <v>0</v>
      </c>
      <c r="Y978">
        <f>OR(AND(IF(Metadata!E978="",FALSE,TRUE),OR(exact(Metadata!E978,"not applicable"),exact(Metadata!E978,"missing: not collected"),exact(Metadata!E978,"missing: not provided"),exact(Metadata!E978,"missing: restricted access"))),AND(IF(Metadata!E978="",FALSE,ISNUMBER(VALUE(Metadata!E978))),Metadata!E978&gt;0))</f>
        <v>0</v>
      </c>
      <c r="Z978">
        <f>AND(IF(Metadata!F978="",FALSE,TRUE),exact(Metadata!F978,"weeks"))</f>
        <v>0</v>
      </c>
      <c r="AA978">
        <f>AND(IF(Metadata!G978="",FALSE,TRUE),exact(Metadata!G978,"mouse"))</f>
        <v>0</v>
      </c>
      <c r="AB978">
        <f>AND(IF(Metadata!H978="",FALSE,TRUE),exact(Metadata!H978,"Mus musculus"))</f>
        <v>0</v>
      </c>
      <c r="AC978">
        <f>AND(IF(Metadata!I978="",FALSE,TRUE),exact(Metadata!I978,"10090"))</f>
        <v>0</v>
      </c>
      <c r="AD978">
        <f>OR(AND(IF(Metadata!J978="",FALSE,TRUE),OR(exact(Metadata!J978,"not applicable"),exact(Metadata!J978,"missing: not collected"),exact(Metadata!J978,"missing: not provided"),exact(Metadata!J978,"missing: restricted access"))),AND(IF(Metadata!J978="",FALSE,ISNUMBER(VALUE(Metadata!J978))),Metadata!J978&gt;0))</f>
        <v>0</v>
      </c>
      <c r="AE978">
        <f>AND(IF(Metadata!K978="",FALSE,TRUE),exact(Metadata!K978,"g"))</f>
        <v>0</v>
      </c>
    </row>
    <row r="979" spans="1:31">
      <c r="A979" s="5">
        <f>IF(B979=" "," ",HYPERLINK(CONCATENATE("#metadata!",ADDRESS(INDEX($Q$2:$Q$1001,MATCH(ROWS($O$2:O979),$O$2:$O$1001,0),0),1)),INDEX($T$2:$T$1001,MATCH(ROWS($O$2:O979),$O$2:$O$1001,0),0)))</f>
        <v>0</v>
      </c>
      <c r="B979" s="4">
        <f>IF(OR(INDEX($P$2:$P$1001,MATCH(ROWS($O$2:O979),$O$2:$O$1001,0),1)&gt;=100000,INDEX($V$1005:$AE$1005,1,MATCH(COLUMNS($V$1006:V1006),$V$1006:$AE$1006,0))&gt;=100000), " ",IF(INDEX($V$2:$AE$1001,MATCH(ROWS($O$2:O979),$O$2:$O$1001,0),MATCH(COLUMNS($V$1006:V1006),$V$1006:$AE$1006,0)), HYPERLINK("#",""), HYPERLINK(CONCATENATE("#Metadata!", ADDRESS(INDEX($Q$2:$Q$1001,MATCH(ROWS($O$2:O979),$O$2:$O$1001,0),0), INDEX($V$1004:$AE$1004,1,MATCH(COLUMNS($V$1006:V1006),$V$1006:$AE$1006,0)))),"Fix")))</f>
        <v>0</v>
      </c>
      <c r="C979" s="4">
        <f>IF(OR(INDEX($P$2:$P$1001,MATCH(ROWS($O$2:O979),$O$2:$O$1001,0),1)&gt;=100000,INDEX($V$1005:$AE$1005,1,MATCH(COLUMNS($V$1006:W1006),$V$1006:$AE$1006,0))&gt;=100000), " ",IF(INDEX($V$2:$AE$1001,MATCH(ROWS($O$2:O979),$O$2:$O$1001,0),MATCH(COLUMNS($V$1006:W1006),$V$1006:$AE$1006,0)), HYPERLINK("#",""), HYPERLINK(CONCATENATE("#Metadata!", ADDRESS(INDEX($Q$2:$Q$1001,MATCH(ROWS($O$2:O979),$O$2:$O$1001,0),0), INDEX($V$1004:$AE$1004,1,MATCH(COLUMNS($V$1006:W1006),$V$1006:$AE$1006,0)))),"Fix")))</f>
        <v>0</v>
      </c>
      <c r="D979" s="4">
        <f>IF(OR(INDEX($P$2:$P$1001,MATCH(ROWS($O$2:O979),$O$2:$O$1001,0),1)&gt;=100000,INDEX($V$1005:$AE$1005,1,MATCH(COLUMNS($V$1006:X1006),$V$1006:$AE$1006,0))&gt;=100000), " ",IF(INDEX($V$2:$AE$1001,MATCH(ROWS($O$2:O979),$O$2:$O$1001,0),MATCH(COLUMNS($V$1006:X1006),$V$1006:$AE$1006,0)), HYPERLINK("#",""), HYPERLINK(CONCATENATE("#Metadata!", ADDRESS(INDEX($Q$2:$Q$1001,MATCH(ROWS($O$2:O979),$O$2:$O$1001,0),0), INDEX($V$1004:$AE$1004,1,MATCH(COLUMNS($V$1006:X1006),$V$1006:$AE$1006,0)))),"Fix")))</f>
        <v>0</v>
      </c>
      <c r="E979" s="4">
        <f>IF(OR(INDEX($P$2:$P$1001,MATCH(ROWS($O$2:O979),$O$2:$O$1001,0),1)&gt;=100000,INDEX($V$1005:$AE$1005,1,MATCH(COLUMNS($V$1006:Y1006),$V$1006:$AE$1006,0))&gt;=100000), " ",IF(INDEX($V$2:$AE$1001,MATCH(ROWS($O$2:O979),$O$2:$O$1001,0),MATCH(COLUMNS($V$1006:Y1006),$V$1006:$AE$1006,0)), HYPERLINK("#",""), HYPERLINK(CONCATENATE("#Metadata!", ADDRESS(INDEX($Q$2:$Q$1001,MATCH(ROWS($O$2:O979),$O$2:$O$1001,0),0), INDEX($V$1004:$AE$1004,1,MATCH(COLUMNS($V$1006:Y1006),$V$1006:$AE$1006,0)))),"Fix")))</f>
        <v>0</v>
      </c>
      <c r="F979" s="4">
        <f>IF(OR(INDEX($P$2:$P$1001,MATCH(ROWS($O$2:O979),$O$2:$O$1001,0),1)&gt;=100000,INDEX($V$1005:$AE$1005,1,MATCH(COLUMNS($V$1006:Z1006),$V$1006:$AE$1006,0))&gt;=100000), " ",IF(INDEX($V$2:$AE$1001,MATCH(ROWS($O$2:O979),$O$2:$O$1001,0),MATCH(COLUMNS($V$1006:Z1006),$V$1006:$AE$1006,0)), HYPERLINK("#",""), HYPERLINK(CONCATENATE("#Metadata!", ADDRESS(INDEX($Q$2:$Q$1001,MATCH(ROWS($O$2:O979),$O$2:$O$1001,0),0), INDEX($V$1004:$AE$1004,1,MATCH(COLUMNS($V$1006:Z1006),$V$1006:$AE$1006,0)))),"Fix")))</f>
        <v>0</v>
      </c>
      <c r="G979" s="4">
        <f>IF(OR(INDEX($P$2:$P$1001,MATCH(ROWS($O$2:O979),$O$2:$O$1001,0),1)&gt;=100000,INDEX($V$1005:$AE$1005,1,MATCH(COLUMNS($V$1006:AA1006),$V$1006:$AE$1006,0))&gt;=100000), " ",IF(INDEX($V$2:$AE$1001,MATCH(ROWS($O$2:O979),$O$2:$O$1001,0),MATCH(COLUMNS($V$1006:AA1006),$V$1006:$AE$1006,0)), HYPERLINK("#",""), HYPERLINK(CONCATENATE("#Metadata!", ADDRESS(INDEX($Q$2:$Q$1001,MATCH(ROWS($O$2:O979),$O$2:$O$1001,0),0), INDEX($V$1004:$AE$1004,1,MATCH(COLUMNS($V$1006:AA1006),$V$1006:$AE$1006,0)))),"Fix")))</f>
        <v>0</v>
      </c>
      <c r="H979" s="4">
        <f>IF(OR(INDEX($P$2:$P$1001,MATCH(ROWS($O$2:O979),$O$2:$O$1001,0),1)&gt;=100000,INDEX($V$1005:$AE$1005,1,MATCH(COLUMNS($V$1006:AB1006),$V$1006:$AE$1006,0))&gt;=100000), " ",IF(INDEX($V$2:$AE$1001,MATCH(ROWS($O$2:O979),$O$2:$O$1001,0),MATCH(COLUMNS($V$1006:AB1006),$V$1006:$AE$1006,0)), HYPERLINK("#",""), HYPERLINK(CONCATENATE("#Metadata!", ADDRESS(INDEX($Q$2:$Q$1001,MATCH(ROWS($O$2:O979),$O$2:$O$1001,0),0), INDEX($V$1004:$AE$1004,1,MATCH(COLUMNS($V$1006:AB1006),$V$1006:$AE$1006,0)))),"Fix")))</f>
        <v>0</v>
      </c>
      <c r="I979" s="4">
        <f>IF(OR(INDEX($P$2:$P$1001,MATCH(ROWS($O$2:O979),$O$2:$O$1001,0),1)&gt;=100000,INDEX($V$1005:$AE$1005,1,MATCH(COLUMNS($V$1006:AC1006),$V$1006:$AE$1006,0))&gt;=100000), " ",IF(INDEX($V$2:$AE$1001,MATCH(ROWS($O$2:O979),$O$2:$O$1001,0),MATCH(COLUMNS($V$1006:AC1006),$V$1006:$AE$1006,0)), HYPERLINK("#",""), HYPERLINK(CONCATENATE("#Metadata!", ADDRESS(INDEX($Q$2:$Q$1001,MATCH(ROWS($O$2:O979),$O$2:$O$1001,0),0), INDEX($V$1004:$AE$1004,1,MATCH(COLUMNS($V$1006:AC1006),$V$1006:$AE$1006,0)))),"Fix")))</f>
        <v>0</v>
      </c>
      <c r="J979" s="4">
        <f>IF(OR(INDEX($P$2:$P$1001,MATCH(ROWS($O$2:O979),$O$2:$O$1001,0),1)&gt;=100000,INDEX($V$1005:$AE$1005,1,MATCH(COLUMNS($V$1006:AD1006),$V$1006:$AE$1006,0))&gt;=100000), " ",IF(INDEX($V$2:$AE$1001,MATCH(ROWS($O$2:O979),$O$2:$O$1001,0),MATCH(COLUMNS($V$1006:AD1006),$V$1006:$AE$1006,0)), HYPERLINK("#",""), HYPERLINK(CONCATENATE("#Metadata!", ADDRESS(INDEX($Q$2:$Q$1001,MATCH(ROWS($O$2:O979),$O$2:$O$1001,0),0), INDEX($V$1004:$AE$1004,1,MATCH(COLUMNS($V$1006:AD1006),$V$1006:$AE$1006,0)))),"Fix")))</f>
        <v>0</v>
      </c>
      <c r="K979" s="4">
        <f>IF(OR(INDEX($P$2:$P$1001,MATCH(ROWS($O$2:O979),$O$2:$O$1001,0),1)&gt;=100000,INDEX($V$1005:$AE$1005,1,MATCH(COLUMNS($V$1006:AE1006),$V$1006:$AE$1006,0))&gt;=100000), " ",IF(INDEX($V$2:$AE$1001,MATCH(ROWS($O$2:O979),$O$2:$O$1001,0),MATCH(COLUMNS($V$1006:AE1006),$V$1006:$AE$1006,0)), HYPERLINK("#",""), HYPERLINK(CONCATENATE("#Metadata!", ADDRESS(INDEX($Q$2:$Q$1001,MATCH(ROWS($O$2:O979),$O$2:$O$1001,0),0), INDEX($V$1004:$AE$1004,1,MATCH(COLUMNS($V$1006:AE1006),$V$1006:$AE$1006,0)))),"Fix")))</f>
        <v>0</v>
      </c>
      <c r="O979">
        <v>0</v>
      </c>
      <c r="P979">
        <v>0</v>
      </c>
      <c r="Q979">
        <v>0</v>
      </c>
      <c r="R979">
        <f>IF(S979,TRUE,AND(V979:AE979))</f>
        <v>0</v>
      </c>
      <c r="S979">
        <f>COUNTBLANK(Metadata!B979:K979)=COLUMNS(Metadata!B979:K979)</f>
        <v>0</v>
      </c>
      <c r="T979">
        <v>0</v>
      </c>
      <c r="V979">
        <f>AND(IF(Metadata!B979="",FALSE,TRUE),COUNTIF(Metadata!B:B, Metadata!B979) = 1,NOT(ISERROR(SUMPRODUCT(SEARCH(MID(Metadata!B979,ROW(INDIRECT("1:"&amp;LEN(Metadata!B979))), 1),"0123456789abcdefghijklmnopqrstuvwxyzABCDEFGHIJKLMNOPQRSTUVWXYZ.")))))</f>
        <v>0</v>
      </c>
      <c r="W979">
        <f>AND(IF(Metadata!C979="",FALSE,TRUE),exact(Metadata!C979,"urban biome"))</f>
        <v>0</v>
      </c>
      <c r="X979">
        <f>AND(IF(Metadata!D979="",FALSE,TRUE),exact(Metadata!D979,"animal-associated habitat"))</f>
        <v>0</v>
      </c>
      <c r="Y979">
        <f>OR(AND(IF(Metadata!E979="",FALSE,TRUE),OR(exact(Metadata!E979,"not applicable"),exact(Metadata!E979,"missing: not collected"),exact(Metadata!E979,"missing: not provided"),exact(Metadata!E979,"missing: restricted access"))),AND(IF(Metadata!E979="",FALSE,ISNUMBER(VALUE(Metadata!E979))),Metadata!E979&gt;0))</f>
        <v>0</v>
      </c>
      <c r="Z979">
        <f>AND(IF(Metadata!F979="",FALSE,TRUE),exact(Metadata!F979,"weeks"))</f>
        <v>0</v>
      </c>
      <c r="AA979">
        <f>AND(IF(Metadata!G979="",FALSE,TRUE),exact(Metadata!G979,"mouse"))</f>
        <v>0</v>
      </c>
      <c r="AB979">
        <f>AND(IF(Metadata!H979="",FALSE,TRUE),exact(Metadata!H979,"Mus musculus"))</f>
        <v>0</v>
      </c>
      <c r="AC979">
        <f>AND(IF(Metadata!I979="",FALSE,TRUE),exact(Metadata!I979,"10090"))</f>
        <v>0</v>
      </c>
      <c r="AD979">
        <f>OR(AND(IF(Metadata!J979="",FALSE,TRUE),OR(exact(Metadata!J979,"not applicable"),exact(Metadata!J979,"missing: not collected"),exact(Metadata!J979,"missing: not provided"),exact(Metadata!J979,"missing: restricted access"))),AND(IF(Metadata!J979="",FALSE,ISNUMBER(VALUE(Metadata!J979))),Metadata!J979&gt;0))</f>
        <v>0</v>
      </c>
      <c r="AE979">
        <f>AND(IF(Metadata!K979="",FALSE,TRUE),exact(Metadata!K979,"g"))</f>
        <v>0</v>
      </c>
    </row>
    <row r="980" spans="1:31">
      <c r="A980" s="5">
        <f>IF(B980=" "," ",HYPERLINK(CONCATENATE("#metadata!",ADDRESS(INDEX($Q$2:$Q$1001,MATCH(ROWS($O$2:O980),$O$2:$O$1001,0),0),1)),INDEX($T$2:$T$1001,MATCH(ROWS($O$2:O980),$O$2:$O$1001,0),0)))</f>
        <v>0</v>
      </c>
      <c r="B980" s="4">
        <f>IF(OR(INDEX($P$2:$P$1001,MATCH(ROWS($O$2:O980),$O$2:$O$1001,0),1)&gt;=100000,INDEX($V$1005:$AE$1005,1,MATCH(COLUMNS($V$1006:V1006),$V$1006:$AE$1006,0))&gt;=100000), " ",IF(INDEX($V$2:$AE$1001,MATCH(ROWS($O$2:O980),$O$2:$O$1001,0),MATCH(COLUMNS($V$1006:V1006),$V$1006:$AE$1006,0)), HYPERLINK("#",""), HYPERLINK(CONCATENATE("#Metadata!", ADDRESS(INDEX($Q$2:$Q$1001,MATCH(ROWS($O$2:O980),$O$2:$O$1001,0),0), INDEX($V$1004:$AE$1004,1,MATCH(COLUMNS($V$1006:V1006),$V$1006:$AE$1006,0)))),"Fix")))</f>
        <v>0</v>
      </c>
      <c r="C980" s="4">
        <f>IF(OR(INDEX($P$2:$P$1001,MATCH(ROWS($O$2:O980),$O$2:$O$1001,0),1)&gt;=100000,INDEX($V$1005:$AE$1005,1,MATCH(COLUMNS($V$1006:W1006),$V$1006:$AE$1006,0))&gt;=100000), " ",IF(INDEX($V$2:$AE$1001,MATCH(ROWS($O$2:O980),$O$2:$O$1001,0),MATCH(COLUMNS($V$1006:W1006),$V$1006:$AE$1006,0)), HYPERLINK("#",""), HYPERLINK(CONCATENATE("#Metadata!", ADDRESS(INDEX($Q$2:$Q$1001,MATCH(ROWS($O$2:O980),$O$2:$O$1001,0),0), INDEX($V$1004:$AE$1004,1,MATCH(COLUMNS($V$1006:W1006),$V$1006:$AE$1006,0)))),"Fix")))</f>
        <v>0</v>
      </c>
      <c r="D980" s="4">
        <f>IF(OR(INDEX($P$2:$P$1001,MATCH(ROWS($O$2:O980),$O$2:$O$1001,0),1)&gt;=100000,INDEX($V$1005:$AE$1005,1,MATCH(COLUMNS($V$1006:X1006),$V$1006:$AE$1006,0))&gt;=100000), " ",IF(INDEX($V$2:$AE$1001,MATCH(ROWS($O$2:O980),$O$2:$O$1001,0),MATCH(COLUMNS($V$1006:X1006),$V$1006:$AE$1006,0)), HYPERLINK("#",""), HYPERLINK(CONCATENATE("#Metadata!", ADDRESS(INDEX($Q$2:$Q$1001,MATCH(ROWS($O$2:O980),$O$2:$O$1001,0),0), INDEX($V$1004:$AE$1004,1,MATCH(COLUMNS($V$1006:X1006),$V$1006:$AE$1006,0)))),"Fix")))</f>
        <v>0</v>
      </c>
      <c r="E980" s="4">
        <f>IF(OR(INDEX($P$2:$P$1001,MATCH(ROWS($O$2:O980),$O$2:$O$1001,0),1)&gt;=100000,INDEX($V$1005:$AE$1005,1,MATCH(COLUMNS($V$1006:Y1006),$V$1006:$AE$1006,0))&gt;=100000), " ",IF(INDEX($V$2:$AE$1001,MATCH(ROWS($O$2:O980),$O$2:$O$1001,0),MATCH(COLUMNS($V$1006:Y1006),$V$1006:$AE$1006,0)), HYPERLINK("#",""), HYPERLINK(CONCATENATE("#Metadata!", ADDRESS(INDEX($Q$2:$Q$1001,MATCH(ROWS($O$2:O980),$O$2:$O$1001,0),0), INDEX($V$1004:$AE$1004,1,MATCH(COLUMNS($V$1006:Y1006),$V$1006:$AE$1006,0)))),"Fix")))</f>
        <v>0</v>
      </c>
      <c r="F980" s="4">
        <f>IF(OR(INDEX($P$2:$P$1001,MATCH(ROWS($O$2:O980),$O$2:$O$1001,0),1)&gt;=100000,INDEX($V$1005:$AE$1005,1,MATCH(COLUMNS($V$1006:Z1006),$V$1006:$AE$1006,0))&gt;=100000), " ",IF(INDEX($V$2:$AE$1001,MATCH(ROWS($O$2:O980),$O$2:$O$1001,0),MATCH(COLUMNS($V$1006:Z1006),$V$1006:$AE$1006,0)), HYPERLINK("#",""), HYPERLINK(CONCATENATE("#Metadata!", ADDRESS(INDEX($Q$2:$Q$1001,MATCH(ROWS($O$2:O980),$O$2:$O$1001,0),0), INDEX($V$1004:$AE$1004,1,MATCH(COLUMNS($V$1006:Z1006),$V$1006:$AE$1006,0)))),"Fix")))</f>
        <v>0</v>
      </c>
      <c r="G980" s="4">
        <f>IF(OR(INDEX($P$2:$P$1001,MATCH(ROWS($O$2:O980),$O$2:$O$1001,0),1)&gt;=100000,INDEX($V$1005:$AE$1005,1,MATCH(COLUMNS($V$1006:AA1006),$V$1006:$AE$1006,0))&gt;=100000), " ",IF(INDEX($V$2:$AE$1001,MATCH(ROWS($O$2:O980),$O$2:$O$1001,0),MATCH(COLUMNS($V$1006:AA1006),$V$1006:$AE$1006,0)), HYPERLINK("#",""), HYPERLINK(CONCATENATE("#Metadata!", ADDRESS(INDEX($Q$2:$Q$1001,MATCH(ROWS($O$2:O980),$O$2:$O$1001,0),0), INDEX($V$1004:$AE$1004,1,MATCH(COLUMNS($V$1006:AA1006),$V$1006:$AE$1006,0)))),"Fix")))</f>
        <v>0</v>
      </c>
      <c r="H980" s="4">
        <f>IF(OR(INDEX($P$2:$P$1001,MATCH(ROWS($O$2:O980),$O$2:$O$1001,0),1)&gt;=100000,INDEX($V$1005:$AE$1005,1,MATCH(COLUMNS($V$1006:AB1006),$V$1006:$AE$1006,0))&gt;=100000), " ",IF(INDEX($V$2:$AE$1001,MATCH(ROWS($O$2:O980),$O$2:$O$1001,0),MATCH(COLUMNS($V$1006:AB1006),$V$1006:$AE$1006,0)), HYPERLINK("#",""), HYPERLINK(CONCATENATE("#Metadata!", ADDRESS(INDEX($Q$2:$Q$1001,MATCH(ROWS($O$2:O980),$O$2:$O$1001,0),0), INDEX($V$1004:$AE$1004,1,MATCH(COLUMNS($V$1006:AB1006),$V$1006:$AE$1006,0)))),"Fix")))</f>
        <v>0</v>
      </c>
      <c r="I980" s="4">
        <f>IF(OR(INDEX($P$2:$P$1001,MATCH(ROWS($O$2:O980),$O$2:$O$1001,0),1)&gt;=100000,INDEX($V$1005:$AE$1005,1,MATCH(COLUMNS($V$1006:AC1006),$V$1006:$AE$1006,0))&gt;=100000), " ",IF(INDEX($V$2:$AE$1001,MATCH(ROWS($O$2:O980),$O$2:$O$1001,0),MATCH(COLUMNS($V$1006:AC1006),$V$1006:$AE$1006,0)), HYPERLINK("#",""), HYPERLINK(CONCATENATE("#Metadata!", ADDRESS(INDEX($Q$2:$Q$1001,MATCH(ROWS($O$2:O980),$O$2:$O$1001,0),0), INDEX($V$1004:$AE$1004,1,MATCH(COLUMNS($V$1006:AC1006),$V$1006:$AE$1006,0)))),"Fix")))</f>
        <v>0</v>
      </c>
      <c r="J980" s="4">
        <f>IF(OR(INDEX($P$2:$P$1001,MATCH(ROWS($O$2:O980),$O$2:$O$1001,0),1)&gt;=100000,INDEX($V$1005:$AE$1005,1,MATCH(COLUMNS($V$1006:AD1006),$V$1006:$AE$1006,0))&gt;=100000), " ",IF(INDEX($V$2:$AE$1001,MATCH(ROWS($O$2:O980),$O$2:$O$1001,0),MATCH(COLUMNS($V$1006:AD1006),$V$1006:$AE$1006,0)), HYPERLINK("#",""), HYPERLINK(CONCATENATE("#Metadata!", ADDRESS(INDEX($Q$2:$Q$1001,MATCH(ROWS($O$2:O980),$O$2:$O$1001,0),0), INDEX($V$1004:$AE$1004,1,MATCH(COLUMNS($V$1006:AD1006),$V$1006:$AE$1006,0)))),"Fix")))</f>
        <v>0</v>
      </c>
      <c r="K980" s="4">
        <f>IF(OR(INDEX($P$2:$P$1001,MATCH(ROWS($O$2:O980),$O$2:$O$1001,0),1)&gt;=100000,INDEX($V$1005:$AE$1005,1,MATCH(COLUMNS($V$1006:AE1006),$V$1006:$AE$1006,0))&gt;=100000), " ",IF(INDEX($V$2:$AE$1001,MATCH(ROWS($O$2:O980),$O$2:$O$1001,0),MATCH(COLUMNS($V$1006:AE1006),$V$1006:$AE$1006,0)), HYPERLINK("#",""), HYPERLINK(CONCATENATE("#Metadata!", ADDRESS(INDEX($Q$2:$Q$1001,MATCH(ROWS($O$2:O980),$O$2:$O$1001,0),0), INDEX($V$1004:$AE$1004,1,MATCH(COLUMNS($V$1006:AE1006),$V$1006:$AE$1006,0)))),"Fix")))</f>
        <v>0</v>
      </c>
      <c r="O980">
        <v>0</v>
      </c>
      <c r="P980">
        <v>0</v>
      </c>
      <c r="Q980">
        <v>0</v>
      </c>
      <c r="R980">
        <f>IF(S980,TRUE,AND(V980:AE980))</f>
        <v>0</v>
      </c>
      <c r="S980">
        <f>COUNTBLANK(Metadata!B980:K980)=COLUMNS(Metadata!B980:K980)</f>
        <v>0</v>
      </c>
      <c r="T980">
        <v>0</v>
      </c>
      <c r="V980">
        <f>AND(IF(Metadata!B980="",FALSE,TRUE),COUNTIF(Metadata!B:B, Metadata!B980) = 1,NOT(ISERROR(SUMPRODUCT(SEARCH(MID(Metadata!B980,ROW(INDIRECT("1:"&amp;LEN(Metadata!B980))), 1),"0123456789abcdefghijklmnopqrstuvwxyzABCDEFGHIJKLMNOPQRSTUVWXYZ.")))))</f>
        <v>0</v>
      </c>
      <c r="W980">
        <f>AND(IF(Metadata!C980="",FALSE,TRUE),exact(Metadata!C980,"urban biome"))</f>
        <v>0</v>
      </c>
      <c r="X980">
        <f>AND(IF(Metadata!D980="",FALSE,TRUE),exact(Metadata!D980,"animal-associated habitat"))</f>
        <v>0</v>
      </c>
      <c r="Y980">
        <f>OR(AND(IF(Metadata!E980="",FALSE,TRUE),OR(exact(Metadata!E980,"not applicable"),exact(Metadata!E980,"missing: not collected"),exact(Metadata!E980,"missing: not provided"),exact(Metadata!E980,"missing: restricted access"))),AND(IF(Metadata!E980="",FALSE,ISNUMBER(VALUE(Metadata!E980))),Metadata!E980&gt;0))</f>
        <v>0</v>
      </c>
      <c r="Z980">
        <f>AND(IF(Metadata!F980="",FALSE,TRUE),exact(Metadata!F980,"weeks"))</f>
        <v>0</v>
      </c>
      <c r="AA980">
        <f>AND(IF(Metadata!G980="",FALSE,TRUE),exact(Metadata!G980,"mouse"))</f>
        <v>0</v>
      </c>
      <c r="AB980">
        <f>AND(IF(Metadata!H980="",FALSE,TRUE),exact(Metadata!H980,"Mus musculus"))</f>
        <v>0</v>
      </c>
      <c r="AC980">
        <f>AND(IF(Metadata!I980="",FALSE,TRUE),exact(Metadata!I980,"10090"))</f>
        <v>0</v>
      </c>
      <c r="AD980">
        <f>OR(AND(IF(Metadata!J980="",FALSE,TRUE),OR(exact(Metadata!J980,"not applicable"),exact(Metadata!J980,"missing: not collected"),exact(Metadata!J980,"missing: not provided"),exact(Metadata!J980,"missing: restricted access"))),AND(IF(Metadata!J980="",FALSE,ISNUMBER(VALUE(Metadata!J980))),Metadata!J980&gt;0))</f>
        <v>0</v>
      </c>
      <c r="AE980">
        <f>AND(IF(Metadata!K980="",FALSE,TRUE),exact(Metadata!K980,"g"))</f>
        <v>0</v>
      </c>
    </row>
    <row r="981" spans="1:31">
      <c r="A981" s="5">
        <f>IF(B981=" "," ",HYPERLINK(CONCATENATE("#metadata!",ADDRESS(INDEX($Q$2:$Q$1001,MATCH(ROWS($O$2:O981),$O$2:$O$1001,0),0),1)),INDEX($T$2:$T$1001,MATCH(ROWS($O$2:O981),$O$2:$O$1001,0),0)))</f>
        <v>0</v>
      </c>
      <c r="B981" s="4">
        <f>IF(OR(INDEX($P$2:$P$1001,MATCH(ROWS($O$2:O981),$O$2:$O$1001,0),1)&gt;=100000,INDEX($V$1005:$AE$1005,1,MATCH(COLUMNS($V$1006:V1006),$V$1006:$AE$1006,0))&gt;=100000), " ",IF(INDEX($V$2:$AE$1001,MATCH(ROWS($O$2:O981),$O$2:$O$1001,0),MATCH(COLUMNS($V$1006:V1006),$V$1006:$AE$1006,0)), HYPERLINK("#",""), HYPERLINK(CONCATENATE("#Metadata!", ADDRESS(INDEX($Q$2:$Q$1001,MATCH(ROWS($O$2:O981),$O$2:$O$1001,0),0), INDEX($V$1004:$AE$1004,1,MATCH(COLUMNS($V$1006:V1006),$V$1006:$AE$1006,0)))),"Fix")))</f>
        <v>0</v>
      </c>
      <c r="C981" s="4">
        <f>IF(OR(INDEX($P$2:$P$1001,MATCH(ROWS($O$2:O981),$O$2:$O$1001,0),1)&gt;=100000,INDEX($V$1005:$AE$1005,1,MATCH(COLUMNS($V$1006:W1006),$V$1006:$AE$1006,0))&gt;=100000), " ",IF(INDEX($V$2:$AE$1001,MATCH(ROWS($O$2:O981),$O$2:$O$1001,0),MATCH(COLUMNS($V$1006:W1006),$V$1006:$AE$1006,0)), HYPERLINK("#",""), HYPERLINK(CONCATENATE("#Metadata!", ADDRESS(INDEX($Q$2:$Q$1001,MATCH(ROWS($O$2:O981),$O$2:$O$1001,0),0), INDEX($V$1004:$AE$1004,1,MATCH(COLUMNS($V$1006:W1006),$V$1006:$AE$1006,0)))),"Fix")))</f>
        <v>0</v>
      </c>
      <c r="D981" s="4">
        <f>IF(OR(INDEX($P$2:$P$1001,MATCH(ROWS($O$2:O981),$O$2:$O$1001,0),1)&gt;=100000,INDEX($V$1005:$AE$1005,1,MATCH(COLUMNS($V$1006:X1006),$V$1006:$AE$1006,0))&gt;=100000), " ",IF(INDEX($V$2:$AE$1001,MATCH(ROWS($O$2:O981),$O$2:$O$1001,0),MATCH(COLUMNS($V$1006:X1006),$V$1006:$AE$1006,0)), HYPERLINK("#",""), HYPERLINK(CONCATENATE("#Metadata!", ADDRESS(INDEX($Q$2:$Q$1001,MATCH(ROWS($O$2:O981),$O$2:$O$1001,0),0), INDEX($V$1004:$AE$1004,1,MATCH(COLUMNS($V$1006:X1006),$V$1006:$AE$1006,0)))),"Fix")))</f>
        <v>0</v>
      </c>
      <c r="E981" s="4">
        <f>IF(OR(INDEX($P$2:$P$1001,MATCH(ROWS($O$2:O981),$O$2:$O$1001,0),1)&gt;=100000,INDEX($V$1005:$AE$1005,1,MATCH(COLUMNS($V$1006:Y1006),$V$1006:$AE$1006,0))&gt;=100000), " ",IF(INDEX($V$2:$AE$1001,MATCH(ROWS($O$2:O981),$O$2:$O$1001,0),MATCH(COLUMNS($V$1006:Y1006),$V$1006:$AE$1006,0)), HYPERLINK("#",""), HYPERLINK(CONCATENATE("#Metadata!", ADDRESS(INDEX($Q$2:$Q$1001,MATCH(ROWS($O$2:O981),$O$2:$O$1001,0),0), INDEX($V$1004:$AE$1004,1,MATCH(COLUMNS($V$1006:Y1006),$V$1006:$AE$1006,0)))),"Fix")))</f>
        <v>0</v>
      </c>
      <c r="F981" s="4">
        <f>IF(OR(INDEX($P$2:$P$1001,MATCH(ROWS($O$2:O981),$O$2:$O$1001,0),1)&gt;=100000,INDEX($V$1005:$AE$1005,1,MATCH(COLUMNS($V$1006:Z1006),$V$1006:$AE$1006,0))&gt;=100000), " ",IF(INDEX($V$2:$AE$1001,MATCH(ROWS($O$2:O981),$O$2:$O$1001,0),MATCH(COLUMNS($V$1006:Z1006),$V$1006:$AE$1006,0)), HYPERLINK("#",""), HYPERLINK(CONCATENATE("#Metadata!", ADDRESS(INDEX($Q$2:$Q$1001,MATCH(ROWS($O$2:O981),$O$2:$O$1001,0),0), INDEX($V$1004:$AE$1004,1,MATCH(COLUMNS($V$1006:Z1006),$V$1006:$AE$1006,0)))),"Fix")))</f>
        <v>0</v>
      </c>
      <c r="G981" s="4">
        <f>IF(OR(INDEX($P$2:$P$1001,MATCH(ROWS($O$2:O981),$O$2:$O$1001,0),1)&gt;=100000,INDEX($V$1005:$AE$1005,1,MATCH(COLUMNS($V$1006:AA1006),$V$1006:$AE$1006,0))&gt;=100000), " ",IF(INDEX($V$2:$AE$1001,MATCH(ROWS($O$2:O981),$O$2:$O$1001,0),MATCH(COLUMNS($V$1006:AA1006),$V$1006:$AE$1006,0)), HYPERLINK("#",""), HYPERLINK(CONCATENATE("#Metadata!", ADDRESS(INDEX($Q$2:$Q$1001,MATCH(ROWS($O$2:O981),$O$2:$O$1001,0),0), INDEX($V$1004:$AE$1004,1,MATCH(COLUMNS($V$1006:AA1006),$V$1006:$AE$1006,0)))),"Fix")))</f>
        <v>0</v>
      </c>
      <c r="H981" s="4">
        <f>IF(OR(INDEX($P$2:$P$1001,MATCH(ROWS($O$2:O981),$O$2:$O$1001,0),1)&gt;=100000,INDEX($V$1005:$AE$1005,1,MATCH(COLUMNS($V$1006:AB1006),$V$1006:$AE$1006,0))&gt;=100000), " ",IF(INDEX($V$2:$AE$1001,MATCH(ROWS($O$2:O981),$O$2:$O$1001,0),MATCH(COLUMNS($V$1006:AB1006),$V$1006:$AE$1006,0)), HYPERLINK("#",""), HYPERLINK(CONCATENATE("#Metadata!", ADDRESS(INDEX($Q$2:$Q$1001,MATCH(ROWS($O$2:O981),$O$2:$O$1001,0),0), INDEX($V$1004:$AE$1004,1,MATCH(COLUMNS($V$1006:AB1006),$V$1006:$AE$1006,0)))),"Fix")))</f>
        <v>0</v>
      </c>
      <c r="I981" s="4">
        <f>IF(OR(INDEX($P$2:$P$1001,MATCH(ROWS($O$2:O981),$O$2:$O$1001,0),1)&gt;=100000,INDEX($V$1005:$AE$1005,1,MATCH(COLUMNS($V$1006:AC1006),$V$1006:$AE$1006,0))&gt;=100000), " ",IF(INDEX($V$2:$AE$1001,MATCH(ROWS($O$2:O981),$O$2:$O$1001,0),MATCH(COLUMNS($V$1006:AC1006),$V$1006:$AE$1006,0)), HYPERLINK("#",""), HYPERLINK(CONCATENATE("#Metadata!", ADDRESS(INDEX($Q$2:$Q$1001,MATCH(ROWS($O$2:O981),$O$2:$O$1001,0),0), INDEX($V$1004:$AE$1004,1,MATCH(COLUMNS($V$1006:AC1006),$V$1006:$AE$1006,0)))),"Fix")))</f>
        <v>0</v>
      </c>
      <c r="J981" s="4">
        <f>IF(OR(INDEX($P$2:$P$1001,MATCH(ROWS($O$2:O981),$O$2:$O$1001,0),1)&gt;=100000,INDEX($V$1005:$AE$1005,1,MATCH(COLUMNS($V$1006:AD1006),$V$1006:$AE$1006,0))&gt;=100000), " ",IF(INDEX($V$2:$AE$1001,MATCH(ROWS($O$2:O981),$O$2:$O$1001,0),MATCH(COLUMNS($V$1006:AD1006),$V$1006:$AE$1006,0)), HYPERLINK("#",""), HYPERLINK(CONCATENATE("#Metadata!", ADDRESS(INDEX($Q$2:$Q$1001,MATCH(ROWS($O$2:O981),$O$2:$O$1001,0),0), INDEX($V$1004:$AE$1004,1,MATCH(COLUMNS($V$1006:AD1006),$V$1006:$AE$1006,0)))),"Fix")))</f>
        <v>0</v>
      </c>
      <c r="K981" s="4">
        <f>IF(OR(INDEX($P$2:$P$1001,MATCH(ROWS($O$2:O981),$O$2:$O$1001,0),1)&gt;=100000,INDEX($V$1005:$AE$1005,1,MATCH(COLUMNS($V$1006:AE1006),$V$1006:$AE$1006,0))&gt;=100000), " ",IF(INDEX($V$2:$AE$1001,MATCH(ROWS($O$2:O981),$O$2:$O$1001,0),MATCH(COLUMNS($V$1006:AE1006),$V$1006:$AE$1006,0)), HYPERLINK("#",""), HYPERLINK(CONCATENATE("#Metadata!", ADDRESS(INDEX($Q$2:$Q$1001,MATCH(ROWS($O$2:O981),$O$2:$O$1001,0),0), INDEX($V$1004:$AE$1004,1,MATCH(COLUMNS($V$1006:AE1006),$V$1006:$AE$1006,0)))),"Fix")))</f>
        <v>0</v>
      </c>
      <c r="O981">
        <v>0</v>
      </c>
      <c r="P981">
        <v>0</v>
      </c>
      <c r="Q981">
        <v>0</v>
      </c>
      <c r="R981">
        <f>IF(S981,TRUE,AND(V981:AE981))</f>
        <v>0</v>
      </c>
      <c r="S981">
        <f>COUNTBLANK(Metadata!B981:K981)=COLUMNS(Metadata!B981:K981)</f>
        <v>0</v>
      </c>
      <c r="T981">
        <v>0</v>
      </c>
      <c r="V981">
        <f>AND(IF(Metadata!B981="",FALSE,TRUE),COUNTIF(Metadata!B:B, Metadata!B981) = 1,NOT(ISERROR(SUMPRODUCT(SEARCH(MID(Metadata!B981,ROW(INDIRECT("1:"&amp;LEN(Metadata!B981))), 1),"0123456789abcdefghijklmnopqrstuvwxyzABCDEFGHIJKLMNOPQRSTUVWXYZ.")))))</f>
        <v>0</v>
      </c>
      <c r="W981">
        <f>AND(IF(Metadata!C981="",FALSE,TRUE),exact(Metadata!C981,"urban biome"))</f>
        <v>0</v>
      </c>
      <c r="X981">
        <f>AND(IF(Metadata!D981="",FALSE,TRUE),exact(Metadata!D981,"animal-associated habitat"))</f>
        <v>0</v>
      </c>
      <c r="Y981">
        <f>OR(AND(IF(Metadata!E981="",FALSE,TRUE),OR(exact(Metadata!E981,"not applicable"),exact(Metadata!E981,"missing: not collected"),exact(Metadata!E981,"missing: not provided"),exact(Metadata!E981,"missing: restricted access"))),AND(IF(Metadata!E981="",FALSE,ISNUMBER(VALUE(Metadata!E981))),Metadata!E981&gt;0))</f>
        <v>0</v>
      </c>
      <c r="Z981">
        <f>AND(IF(Metadata!F981="",FALSE,TRUE),exact(Metadata!F981,"weeks"))</f>
        <v>0</v>
      </c>
      <c r="AA981">
        <f>AND(IF(Metadata!G981="",FALSE,TRUE),exact(Metadata!G981,"mouse"))</f>
        <v>0</v>
      </c>
      <c r="AB981">
        <f>AND(IF(Metadata!H981="",FALSE,TRUE),exact(Metadata!H981,"Mus musculus"))</f>
        <v>0</v>
      </c>
      <c r="AC981">
        <f>AND(IF(Metadata!I981="",FALSE,TRUE),exact(Metadata!I981,"10090"))</f>
        <v>0</v>
      </c>
      <c r="AD981">
        <f>OR(AND(IF(Metadata!J981="",FALSE,TRUE),OR(exact(Metadata!J981,"not applicable"),exact(Metadata!J981,"missing: not collected"),exact(Metadata!J981,"missing: not provided"),exact(Metadata!J981,"missing: restricted access"))),AND(IF(Metadata!J981="",FALSE,ISNUMBER(VALUE(Metadata!J981))),Metadata!J981&gt;0))</f>
        <v>0</v>
      </c>
      <c r="AE981">
        <f>AND(IF(Metadata!K981="",FALSE,TRUE),exact(Metadata!K981,"g"))</f>
        <v>0</v>
      </c>
    </row>
    <row r="982" spans="1:31">
      <c r="A982" s="5">
        <f>IF(B982=" "," ",HYPERLINK(CONCATENATE("#metadata!",ADDRESS(INDEX($Q$2:$Q$1001,MATCH(ROWS($O$2:O982),$O$2:$O$1001,0),0),1)),INDEX($T$2:$T$1001,MATCH(ROWS($O$2:O982),$O$2:$O$1001,0),0)))</f>
        <v>0</v>
      </c>
      <c r="B982" s="4">
        <f>IF(OR(INDEX($P$2:$P$1001,MATCH(ROWS($O$2:O982),$O$2:$O$1001,0),1)&gt;=100000,INDEX($V$1005:$AE$1005,1,MATCH(COLUMNS($V$1006:V1006),$V$1006:$AE$1006,0))&gt;=100000), " ",IF(INDEX($V$2:$AE$1001,MATCH(ROWS($O$2:O982),$O$2:$O$1001,0),MATCH(COLUMNS($V$1006:V1006),$V$1006:$AE$1006,0)), HYPERLINK("#",""), HYPERLINK(CONCATENATE("#Metadata!", ADDRESS(INDEX($Q$2:$Q$1001,MATCH(ROWS($O$2:O982),$O$2:$O$1001,0),0), INDEX($V$1004:$AE$1004,1,MATCH(COLUMNS($V$1006:V1006),$V$1006:$AE$1006,0)))),"Fix")))</f>
        <v>0</v>
      </c>
      <c r="C982" s="4">
        <f>IF(OR(INDEX($P$2:$P$1001,MATCH(ROWS($O$2:O982),$O$2:$O$1001,0),1)&gt;=100000,INDEX($V$1005:$AE$1005,1,MATCH(COLUMNS($V$1006:W1006),$V$1006:$AE$1006,0))&gt;=100000), " ",IF(INDEX($V$2:$AE$1001,MATCH(ROWS($O$2:O982),$O$2:$O$1001,0),MATCH(COLUMNS($V$1006:W1006),$V$1006:$AE$1006,0)), HYPERLINK("#",""), HYPERLINK(CONCATENATE("#Metadata!", ADDRESS(INDEX($Q$2:$Q$1001,MATCH(ROWS($O$2:O982),$O$2:$O$1001,0),0), INDEX($V$1004:$AE$1004,1,MATCH(COLUMNS($V$1006:W1006),$V$1006:$AE$1006,0)))),"Fix")))</f>
        <v>0</v>
      </c>
      <c r="D982" s="4">
        <f>IF(OR(INDEX($P$2:$P$1001,MATCH(ROWS($O$2:O982),$O$2:$O$1001,0),1)&gt;=100000,INDEX($V$1005:$AE$1005,1,MATCH(COLUMNS($V$1006:X1006),$V$1006:$AE$1006,0))&gt;=100000), " ",IF(INDEX($V$2:$AE$1001,MATCH(ROWS($O$2:O982),$O$2:$O$1001,0),MATCH(COLUMNS($V$1006:X1006),$V$1006:$AE$1006,0)), HYPERLINK("#",""), HYPERLINK(CONCATENATE("#Metadata!", ADDRESS(INDEX($Q$2:$Q$1001,MATCH(ROWS($O$2:O982),$O$2:$O$1001,0),0), INDEX($V$1004:$AE$1004,1,MATCH(COLUMNS($V$1006:X1006),$V$1006:$AE$1006,0)))),"Fix")))</f>
        <v>0</v>
      </c>
      <c r="E982" s="4">
        <f>IF(OR(INDEX($P$2:$P$1001,MATCH(ROWS($O$2:O982),$O$2:$O$1001,0),1)&gt;=100000,INDEX($V$1005:$AE$1005,1,MATCH(COLUMNS($V$1006:Y1006),$V$1006:$AE$1006,0))&gt;=100000), " ",IF(INDEX($V$2:$AE$1001,MATCH(ROWS($O$2:O982),$O$2:$O$1001,0),MATCH(COLUMNS($V$1006:Y1006),$V$1006:$AE$1006,0)), HYPERLINK("#",""), HYPERLINK(CONCATENATE("#Metadata!", ADDRESS(INDEX($Q$2:$Q$1001,MATCH(ROWS($O$2:O982),$O$2:$O$1001,0),0), INDEX($V$1004:$AE$1004,1,MATCH(COLUMNS($V$1006:Y1006),$V$1006:$AE$1006,0)))),"Fix")))</f>
        <v>0</v>
      </c>
      <c r="F982" s="4">
        <f>IF(OR(INDEX($P$2:$P$1001,MATCH(ROWS($O$2:O982),$O$2:$O$1001,0),1)&gt;=100000,INDEX($V$1005:$AE$1005,1,MATCH(COLUMNS($V$1006:Z1006),$V$1006:$AE$1006,0))&gt;=100000), " ",IF(INDEX($V$2:$AE$1001,MATCH(ROWS($O$2:O982),$O$2:$O$1001,0),MATCH(COLUMNS($V$1006:Z1006),$V$1006:$AE$1006,0)), HYPERLINK("#",""), HYPERLINK(CONCATENATE("#Metadata!", ADDRESS(INDEX($Q$2:$Q$1001,MATCH(ROWS($O$2:O982),$O$2:$O$1001,0),0), INDEX($V$1004:$AE$1004,1,MATCH(COLUMNS($V$1006:Z1006),$V$1006:$AE$1006,0)))),"Fix")))</f>
        <v>0</v>
      </c>
      <c r="G982" s="4">
        <f>IF(OR(INDEX($P$2:$P$1001,MATCH(ROWS($O$2:O982),$O$2:$O$1001,0),1)&gt;=100000,INDEX($V$1005:$AE$1005,1,MATCH(COLUMNS($V$1006:AA1006),$V$1006:$AE$1006,0))&gt;=100000), " ",IF(INDEX($V$2:$AE$1001,MATCH(ROWS($O$2:O982),$O$2:$O$1001,0),MATCH(COLUMNS($V$1006:AA1006),$V$1006:$AE$1006,0)), HYPERLINK("#",""), HYPERLINK(CONCATENATE("#Metadata!", ADDRESS(INDEX($Q$2:$Q$1001,MATCH(ROWS($O$2:O982),$O$2:$O$1001,0),0), INDEX($V$1004:$AE$1004,1,MATCH(COLUMNS($V$1006:AA1006),$V$1006:$AE$1006,0)))),"Fix")))</f>
        <v>0</v>
      </c>
      <c r="H982" s="4">
        <f>IF(OR(INDEX($P$2:$P$1001,MATCH(ROWS($O$2:O982),$O$2:$O$1001,0),1)&gt;=100000,INDEX($V$1005:$AE$1005,1,MATCH(COLUMNS($V$1006:AB1006),$V$1006:$AE$1006,0))&gt;=100000), " ",IF(INDEX($V$2:$AE$1001,MATCH(ROWS($O$2:O982),$O$2:$O$1001,0),MATCH(COLUMNS($V$1006:AB1006),$V$1006:$AE$1006,0)), HYPERLINK("#",""), HYPERLINK(CONCATENATE("#Metadata!", ADDRESS(INDEX($Q$2:$Q$1001,MATCH(ROWS($O$2:O982),$O$2:$O$1001,0),0), INDEX($V$1004:$AE$1004,1,MATCH(COLUMNS($V$1006:AB1006),$V$1006:$AE$1006,0)))),"Fix")))</f>
        <v>0</v>
      </c>
      <c r="I982" s="4">
        <f>IF(OR(INDEX($P$2:$P$1001,MATCH(ROWS($O$2:O982),$O$2:$O$1001,0),1)&gt;=100000,INDEX($V$1005:$AE$1005,1,MATCH(COLUMNS($V$1006:AC1006),$V$1006:$AE$1006,0))&gt;=100000), " ",IF(INDEX($V$2:$AE$1001,MATCH(ROWS($O$2:O982),$O$2:$O$1001,0),MATCH(COLUMNS($V$1006:AC1006),$V$1006:$AE$1006,0)), HYPERLINK("#",""), HYPERLINK(CONCATENATE("#Metadata!", ADDRESS(INDEX($Q$2:$Q$1001,MATCH(ROWS($O$2:O982),$O$2:$O$1001,0),0), INDEX($V$1004:$AE$1004,1,MATCH(COLUMNS($V$1006:AC1006),$V$1006:$AE$1006,0)))),"Fix")))</f>
        <v>0</v>
      </c>
      <c r="J982" s="4">
        <f>IF(OR(INDEX($P$2:$P$1001,MATCH(ROWS($O$2:O982),$O$2:$O$1001,0),1)&gt;=100000,INDEX($V$1005:$AE$1005,1,MATCH(COLUMNS($V$1006:AD1006),$V$1006:$AE$1006,0))&gt;=100000), " ",IF(INDEX($V$2:$AE$1001,MATCH(ROWS($O$2:O982),$O$2:$O$1001,0),MATCH(COLUMNS($V$1006:AD1006),$V$1006:$AE$1006,0)), HYPERLINK("#",""), HYPERLINK(CONCATENATE("#Metadata!", ADDRESS(INDEX($Q$2:$Q$1001,MATCH(ROWS($O$2:O982),$O$2:$O$1001,0),0), INDEX($V$1004:$AE$1004,1,MATCH(COLUMNS($V$1006:AD1006),$V$1006:$AE$1006,0)))),"Fix")))</f>
        <v>0</v>
      </c>
      <c r="K982" s="4">
        <f>IF(OR(INDEX($P$2:$P$1001,MATCH(ROWS($O$2:O982),$O$2:$O$1001,0),1)&gt;=100000,INDEX($V$1005:$AE$1005,1,MATCH(COLUMNS($V$1006:AE1006),$V$1006:$AE$1006,0))&gt;=100000), " ",IF(INDEX($V$2:$AE$1001,MATCH(ROWS($O$2:O982),$O$2:$O$1001,0),MATCH(COLUMNS($V$1006:AE1006),$V$1006:$AE$1006,0)), HYPERLINK("#",""), HYPERLINK(CONCATENATE("#Metadata!", ADDRESS(INDEX($Q$2:$Q$1001,MATCH(ROWS($O$2:O982),$O$2:$O$1001,0),0), INDEX($V$1004:$AE$1004,1,MATCH(COLUMNS($V$1006:AE1006),$V$1006:$AE$1006,0)))),"Fix")))</f>
        <v>0</v>
      </c>
      <c r="O982">
        <v>0</v>
      </c>
      <c r="P982">
        <v>0</v>
      </c>
      <c r="Q982">
        <v>0</v>
      </c>
      <c r="R982">
        <f>IF(S982,TRUE,AND(V982:AE982))</f>
        <v>0</v>
      </c>
      <c r="S982">
        <f>COUNTBLANK(Metadata!B982:K982)=COLUMNS(Metadata!B982:K982)</f>
        <v>0</v>
      </c>
      <c r="T982">
        <v>0</v>
      </c>
      <c r="V982">
        <f>AND(IF(Metadata!B982="",FALSE,TRUE),COUNTIF(Metadata!B:B, Metadata!B982) = 1,NOT(ISERROR(SUMPRODUCT(SEARCH(MID(Metadata!B982,ROW(INDIRECT("1:"&amp;LEN(Metadata!B982))), 1),"0123456789abcdefghijklmnopqrstuvwxyzABCDEFGHIJKLMNOPQRSTUVWXYZ.")))))</f>
        <v>0</v>
      </c>
      <c r="W982">
        <f>AND(IF(Metadata!C982="",FALSE,TRUE),exact(Metadata!C982,"urban biome"))</f>
        <v>0</v>
      </c>
      <c r="X982">
        <f>AND(IF(Metadata!D982="",FALSE,TRUE),exact(Metadata!D982,"animal-associated habitat"))</f>
        <v>0</v>
      </c>
      <c r="Y982">
        <f>OR(AND(IF(Metadata!E982="",FALSE,TRUE),OR(exact(Metadata!E982,"not applicable"),exact(Metadata!E982,"missing: not collected"),exact(Metadata!E982,"missing: not provided"),exact(Metadata!E982,"missing: restricted access"))),AND(IF(Metadata!E982="",FALSE,ISNUMBER(VALUE(Metadata!E982))),Metadata!E982&gt;0))</f>
        <v>0</v>
      </c>
      <c r="Z982">
        <f>AND(IF(Metadata!F982="",FALSE,TRUE),exact(Metadata!F982,"weeks"))</f>
        <v>0</v>
      </c>
      <c r="AA982">
        <f>AND(IF(Metadata!G982="",FALSE,TRUE),exact(Metadata!G982,"mouse"))</f>
        <v>0</v>
      </c>
      <c r="AB982">
        <f>AND(IF(Metadata!H982="",FALSE,TRUE),exact(Metadata!H982,"Mus musculus"))</f>
        <v>0</v>
      </c>
      <c r="AC982">
        <f>AND(IF(Metadata!I982="",FALSE,TRUE),exact(Metadata!I982,"10090"))</f>
        <v>0</v>
      </c>
      <c r="AD982">
        <f>OR(AND(IF(Metadata!J982="",FALSE,TRUE),OR(exact(Metadata!J982,"not applicable"),exact(Metadata!J982,"missing: not collected"),exact(Metadata!J982,"missing: not provided"),exact(Metadata!J982,"missing: restricted access"))),AND(IF(Metadata!J982="",FALSE,ISNUMBER(VALUE(Metadata!J982))),Metadata!J982&gt;0))</f>
        <v>0</v>
      </c>
      <c r="AE982">
        <f>AND(IF(Metadata!K982="",FALSE,TRUE),exact(Metadata!K982,"g"))</f>
        <v>0</v>
      </c>
    </row>
    <row r="983" spans="1:31">
      <c r="A983" s="5">
        <f>IF(B983=" "," ",HYPERLINK(CONCATENATE("#metadata!",ADDRESS(INDEX($Q$2:$Q$1001,MATCH(ROWS($O$2:O983),$O$2:$O$1001,0),0),1)),INDEX($T$2:$T$1001,MATCH(ROWS($O$2:O983),$O$2:$O$1001,0),0)))</f>
        <v>0</v>
      </c>
      <c r="B983" s="4">
        <f>IF(OR(INDEX($P$2:$P$1001,MATCH(ROWS($O$2:O983),$O$2:$O$1001,0),1)&gt;=100000,INDEX($V$1005:$AE$1005,1,MATCH(COLUMNS($V$1006:V1006),$V$1006:$AE$1006,0))&gt;=100000), " ",IF(INDEX($V$2:$AE$1001,MATCH(ROWS($O$2:O983),$O$2:$O$1001,0),MATCH(COLUMNS($V$1006:V1006),$V$1006:$AE$1006,0)), HYPERLINK("#",""), HYPERLINK(CONCATENATE("#Metadata!", ADDRESS(INDEX($Q$2:$Q$1001,MATCH(ROWS($O$2:O983),$O$2:$O$1001,0),0), INDEX($V$1004:$AE$1004,1,MATCH(COLUMNS($V$1006:V1006),$V$1006:$AE$1006,0)))),"Fix")))</f>
        <v>0</v>
      </c>
      <c r="C983" s="4">
        <f>IF(OR(INDEX($P$2:$P$1001,MATCH(ROWS($O$2:O983),$O$2:$O$1001,0),1)&gt;=100000,INDEX($V$1005:$AE$1005,1,MATCH(COLUMNS($V$1006:W1006),$V$1006:$AE$1006,0))&gt;=100000), " ",IF(INDEX($V$2:$AE$1001,MATCH(ROWS($O$2:O983),$O$2:$O$1001,0),MATCH(COLUMNS($V$1006:W1006),$V$1006:$AE$1006,0)), HYPERLINK("#",""), HYPERLINK(CONCATENATE("#Metadata!", ADDRESS(INDEX($Q$2:$Q$1001,MATCH(ROWS($O$2:O983),$O$2:$O$1001,0),0), INDEX($V$1004:$AE$1004,1,MATCH(COLUMNS($V$1006:W1006),$V$1006:$AE$1006,0)))),"Fix")))</f>
        <v>0</v>
      </c>
      <c r="D983" s="4">
        <f>IF(OR(INDEX($P$2:$P$1001,MATCH(ROWS($O$2:O983),$O$2:$O$1001,0),1)&gt;=100000,INDEX($V$1005:$AE$1005,1,MATCH(COLUMNS($V$1006:X1006),$V$1006:$AE$1006,0))&gt;=100000), " ",IF(INDEX($V$2:$AE$1001,MATCH(ROWS($O$2:O983),$O$2:$O$1001,0),MATCH(COLUMNS($V$1006:X1006),$V$1006:$AE$1006,0)), HYPERLINK("#",""), HYPERLINK(CONCATENATE("#Metadata!", ADDRESS(INDEX($Q$2:$Q$1001,MATCH(ROWS($O$2:O983),$O$2:$O$1001,0),0), INDEX($V$1004:$AE$1004,1,MATCH(COLUMNS($V$1006:X1006),$V$1006:$AE$1006,0)))),"Fix")))</f>
        <v>0</v>
      </c>
      <c r="E983" s="4">
        <f>IF(OR(INDEX($P$2:$P$1001,MATCH(ROWS($O$2:O983),$O$2:$O$1001,0),1)&gt;=100000,INDEX($V$1005:$AE$1005,1,MATCH(COLUMNS($V$1006:Y1006),$V$1006:$AE$1006,0))&gt;=100000), " ",IF(INDEX($V$2:$AE$1001,MATCH(ROWS($O$2:O983),$O$2:$O$1001,0),MATCH(COLUMNS($V$1006:Y1006),$V$1006:$AE$1006,0)), HYPERLINK("#",""), HYPERLINK(CONCATENATE("#Metadata!", ADDRESS(INDEX($Q$2:$Q$1001,MATCH(ROWS($O$2:O983),$O$2:$O$1001,0),0), INDEX($V$1004:$AE$1004,1,MATCH(COLUMNS($V$1006:Y1006),$V$1006:$AE$1006,0)))),"Fix")))</f>
        <v>0</v>
      </c>
      <c r="F983" s="4">
        <f>IF(OR(INDEX($P$2:$P$1001,MATCH(ROWS($O$2:O983),$O$2:$O$1001,0),1)&gt;=100000,INDEX($V$1005:$AE$1005,1,MATCH(COLUMNS($V$1006:Z1006),$V$1006:$AE$1006,0))&gt;=100000), " ",IF(INDEX($V$2:$AE$1001,MATCH(ROWS($O$2:O983),$O$2:$O$1001,0),MATCH(COLUMNS($V$1006:Z1006),$V$1006:$AE$1006,0)), HYPERLINK("#",""), HYPERLINK(CONCATENATE("#Metadata!", ADDRESS(INDEX($Q$2:$Q$1001,MATCH(ROWS($O$2:O983),$O$2:$O$1001,0),0), INDEX($V$1004:$AE$1004,1,MATCH(COLUMNS($V$1006:Z1006),$V$1006:$AE$1006,0)))),"Fix")))</f>
        <v>0</v>
      </c>
      <c r="G983" s="4">
        <f>IF(OR(INDEX($P$2:$P$1001,MATCH(ROWS($O$2:O983),$O$2:$O$1001,0),1)&gt;=100000,INDEX($V$1005:$AE$1005,1,MATCH(COLUMNS($V$1006:AA1006),$V$1006:$AE$1006,0))&gt;=100000), " ",IF(INDEX($V$2:$AE$1001,MATCH(ROWS($O$2:O983),$O$2:$O$1001,0),MATCH(COLUMNS($V$1006:AA1006),$V$1006:$AE$1006,0)), HYPERLINK("#",""), HYPERLINK(CONCATENATE("#Metadata!", ADDRESS(INDEX($Q$2:$Q$1001,MATCH(ROWS($O$2:O983),$O$2:$O$1001,0),0), INDEX($V$1004:$AE$1004,1,MATCH(COLUMNS($V$1006:AA1006),$V$1006:$AE$1006,0)))),"Fix")))</f>
        <v>0</v>
      </c>
      <c r="H983" s="4">
        <f>IF(OR(INDEX($P$2:$P$1001,MATCH(ROWS($O$2:O983),$O$2:$O$1001,0),1)&gt;=100000,INDEX($V$1005:$AE$1005,1,MATCH(COLUMNS($V$1006:AB1006),$V$1006:$AE$1006,0))&gt;=100000), " ",IF(INDEX($V$2:$AE$1001,MATCH(ROWS($O$2:O983),$O$2:$O$1001,0),MATCH(COLUMNS($V$1006:AB1006),$V$1006:$AE$1006,0)), HYPERLINK("#",""), HYPERLINK(CONCATENATE("#Metadata!", ADDRESS(INDEX($Q$2:$Q$1001,MATCH(ROWS($O$2:O983),$O$2:$O$1001,0),0), INDEX($V$1004:$AE$1004,1,MATCH(COLUMNS($V$1006:AB1006),$V$1006:$AE$1006,0)))),"Fix")))</f>
        <v>0</v>
      </c>
      <c r="I983" s="4">
        <f>IF(OR(INDEX($P$2:$P$1001,MATCH(ROWS($O$2:O983),$O$2:$O$1001,0),1)&gt;=100000,INDEX($V$1005:$AE$1005,1,MATCH(COLUMNS($V$1006:AC1006),$V$1006:$AE$1006,0))&gt;=100000), " ",IF(INDEX($V$2:$AE$1001,MATCH(ROWS($O$2:O983),$O$2:$O$1001,0),MATCH(COLUMNS($V$1006:AC1006),$V$1006:$AE$1006,0)), HYPERLINK("#",""), HYPERLINK(CONCATENATE("#Metadata!", ADDRESS(INDEX($Q$2:$Q$1001,MATCH(ROWS($O$2:O983),$O$2:$O$1001,0),0), INDEX($V$1004:$AE$1004,1,MATCH(COLUMNS($V$1006:AC1006),$V$1006:$AE$1006,0)))),"Fix")))</f>
        <v>0</v>
      </c>
      <c r="J983" s="4">
        <f>IF(OR(INDEX($P$2:$P$1001,MATCH(ROWS($O$2:O983),$O$2:$O$1001,0),1)&gt;=100000,INDEX($V$1005:$AE$1005,1,MATCH(COLUMNS($V$1006:AD1006),$V$1006:$AE$1006,0))&gt;=100000), " ",IF(INDEX($V$2:$AE$1001,MATCH(ROWS($O$2:O983),$O$2:$O$1001,0),MATCH(COLUMNS($V$1006:AD1006),$V$1006:$AE$1006,0)), HYPERLINK("#",""), HYPERLINK(CONCATENATE("#Metadata!", ADDRESS(INDEX($Q$2:$Q$1001,MATCH(ROWS($O$2:O983),$O$2:$O$1001,0),0), INDEX($V$1004:$AE$1004,1,MATCH(COLUMNS($V$1006:AD1006),$V$1006:$AE$1006,0)))),"Fix")))</f>
        <v>0</v>
      </c>
      <c r="K983" s="4">
        <f>IF(OR(INDEX($P$2:$P$1001,MATCH(ROWS($O$2:O983),$O$2:$O$1001,0),1)&gt;=100000,INDEX($V$1005:$AE$1005,1,MATCH(COLUMNS($V$1006:AE1006),$V$1006:$AE$1006,0))&gt;=100000), " ",IF(INDEX($V$2:$AE$1001,MATCH(ROWS($O$2:O983),$O$2:$O$1001,0),MATCH(COLUMNS($V$1006:AE1006),$V$1006:$AE$1006,0)), HYPERLINK("#",""), HYPERLINK(CONCATENATE("#Metadata!", ADDRESS(INDEX($Q$2:$Q$1001,MATCH(ROWS($O$2:O983),$O$2:$O$1001,0),0), INDEX($V$1004:$AE$1004,1,MATCH(COLUMNS($V$1006:AE1006),$V$1006:$AE$1006,0)))),"Fix")))</f>
        <v>0</v>
      </c>
      <c r="O983">
        <v>0</v>
      </c>
      <c r="P983">
        <v>0</v>
      </c>
      <c r="Q983">
        <v>0</v>
      </c>
      <c r="R983">
        <f>IF(S983,TRUE,AND(V983:AE983))</f>
        <v>0</v>
      </c>
      <c r="S983">
        <f>COUNTBLANK(Metadata!B983:K983)=COLUMNS(Metadata!B983:K983)</f>
        <v>0</v>
      </c>
      <c r="T983">
        <v>0</v>
      </c>
      <c r="V983">
        <f>AND(IF(Metadata!B983="",FALSE,TRUE),COUNTIF(Metadata!B:B, Metadata!B983) = 1,NOT(ISERROR(SUMPRODUCT(SEARCH(MID(Metadata!B983,ROW(INDIRECT("1:"&amp;LEN(Metadata!B983))), 1),"0123456789abcdefghijklmnopqrstuvwxyzABCDEFGHIJKLMNOPQRSTUVWXYZ.")))))</f>
        <v>0</v>
      </c>
      <c r="W983">
        <f>AND(IF(Metadata!C983="",FALSE,TRUE),exact(Metadata!C983,"urban biome"))</f>
        <v>0</v>
      </c>
      <c r="X983">
        <f>AND(IF(Metadata!D983="",FALSE,TRUE),exact(Metadata!D983,"animal-associated habitat"))</f>
        <v>0</v>
      </c>
      <c r="Y983">
        <f>OR(AND(IF(Metadata!E983="",FALSE,TRUE),OR(exact(Metadata!E983,"not applicable"),exact(Metadata!E983,"missing: not collected"),exact(Metadata!E983,"missing: not provided"),exact(Metadata!E983,"missing: restricted access"))),AND(IF(Metadata!E983="",FALSE,ISNUMBER(VALUE(Metadata!E983))),Metadata!E983&gt;0))</f>
        <v>0</v>
      </c>
      <c r="Z983">
        <f>AND(IF(Metadata!F983="",FALSE,TRUE),exact(Metadata!F983,"weeks"))</f>
        <v>0</v>
      </c>
      <c r="AA983">
        <f>AND(IF(Metadata!G983="",FALSE,TRUE),exact(Metadata!G983,"mouse"))</f>
        <v>0</v>
      </c>
      <c r="AB983">
        <f>AND(IF(Metadata!H983="",FALSE,TRUE),exact(Metadata!H983,"Mus musculus"))</f>
        <v>0</v>
      </c>
      <c r="AC983">
        <f>AND(IF(Metadata!I983="",FALSE,TRUE),exact(Metadata!I983,"10090"))</f>
        <v>0</v>
      </c>
      <c r="AD983">
        <f>OR(AND(IF(Metadata!J983="",FALSE,TRUE),OR(exact(Metadata!J983,"not applicable"),exact(Metadata!J983,"missing: not collected"),exact(Metadata!J983,"missing: not provided"),exact(Metadata!J983,"missing: restricted access"))),AND(IF(Metadata!J983="",FALSE,ISNUMBER(VALUE(Metadata!J983))),Metadata!J983&gt;0))</f>
        <v>0</v>
      </c>
      <c r="AE983">
        <f>AND(IF(Metadata!K983="",FALSE,TRUE),exact(Metadata!K983,"g"))</f>
        <v>0</v>
      </c>
    </row>
    <row r="984" spans="1:31">
      <c r="A984" s="5">
        <f>IF(B984=" "," ",HYPERLINK(CONCATENATE("#metadata!",ADDRESS(INDEX($Q$2:$Q$1001,MATCH(ROWS($O$2:O984),$O$2:$O$1001,0),0),1)),INDEX($T$2:$T$1001,MATCH(ROWS($O$2:O984),$O$2:$O$1001,0),0)))</f>
        <v>0</v>
      </c>
      <c r="B984" s="4">
        <f>IF(OR(INDEX($P$2:$P$1001,MATCH(ROWS($O$2:O984),$O$2:$O$1001,0),1)&gt;=100000,INDEX($V$1005:$AE$1005,1,MATCH(COLUMNS($V$1006:V1006),$V$1006:$AE$1006,0))&gt;=100000), " ",IF(INDEX($V$2:$AE$1001,MATCH(ROWS($O$2:O984),$O$2:$O$1001,0),MATCH(COLUMNS($V$1006:V1006),$V$1006:$AE$1006,0)), HYPERLINK("#",""), HYPERLINK(CONCATENATE("#Metadata!", ADDRESS(INDEX($Q$2:$Q$1001,MATCH(ROWS($O$2:O984),$O$2:$O$1001,0),0), INDEX($V$1004:$AE$1004,1,MATCH(COLUMNS($V$1006:V1006),$V$1006:$AE$1006,0)))),"Fix")))</f>
        <v>0</v>
      </c>
      <c r="C984" s="4">
        <f>IF(OR(INDEX($P$2:$P$1001,MATCH(ROWS($O$2:O984),$O$2:$O$1001,0),1)&gt;=100000,INDEX($V$1005:$AE$1005,1,MATCH(COLUMNS($V$1006:W1006),$V$1006:$AE$1006,0))&gt;=100000), " ",IF(INDEX($V$2:$AE$1001,MATCH(ROWS($O$2:O984),$O$2:$O$1001,0),MATCH(COLUMNS($V$1006:W1006),$V$1006:$AE$1006,0)), HYPERLINK("#",""), HYPERLINK(CONCATENATE("#Metadata!", ADDRESS(INDEX($Q$2:$Q$1001,MATCH(ROWS($O$2:O984),$O$2:$O$1001,0),0), INDEX($V$1004:$AE$1004,1,MATCH(COLUMNS($V$1006:W1006),$V$1006:$AE$1006,0)))),"Fix")))</f>
        <v>0</v>
      </c>
      <c r="D984" s="4">
        <f>IF(OR(INDEX($P$2:$P$1001,MATCH(ROWS($O$2:O984),$O$2:$O$1001,0),1)&gt;=100000,INDEX($V$1005:$AE$1005,1,MATCH(COLUMNS($V$1006:X1006),$V$1006:$AE$1006,0))&gt;=100000), " ",IF(INDEX($V$2:$AE$1001,MATCH(ROWS($O$2:O984),$O$2:$O$1001,0),MATCH(COLUMNS($V$1006:X1006),$V$1006:$AE$1006,0)), HYPERLINK("#",""), HYPERLINK(CONCATENATE("#Metadata!", ADDRESS(INDEX($Q$2:$Q$1001,MATCH(ROWS($O$2:O984),$O$2:$O$1001,0),0), INDEX($V$1004:$AE$1004,1,MATCH(COLUMNS($V$1006:X1006),$V$1006:$AE$1006,0)))),"Fix")))</f>
        <v>0</v>
      </c>
      <c r="E984" s="4">
        <f>IF(OR(INDEX($P$2:$P$1001,MATCH(ROWS($O$2:O984),$O$2:$O$1001,0),1)&gt;=100000,INDEX($V$1005:$AE$1005,1,MATCH(COLUMNS($V$1006:Y1006),$V$1006:$AE$1006,0))&gt;=100000), " ",IF(INDEX($V$2:$AE$1001,MATCH(ROWS($O$2:O984),$O$2:$O$1001,0),MATCH(COLUMNS($V$1006:Y1006),$V$1006:$AE$1006,0)), HYPERLINK("#",""), HYPERLINK(CONCATENATE("#Metadata!", ADDRESS(INDEX($Q$2:$Q$1001,MATCH(ROWS($O$2:O984),$O$2:$O$1001,0),0), INDEX($V$1004:$AE$1004,1,MATCH(COLUMNS($V$1006:Y1006),$V$1006:$AE$1006,0)))),"Fix")))</f>
        <v>0</v>
      </c>
      <c r="F984" s="4">
        <f>IF(OR(INDEX($P$2:$P$1001,MATCH(ROWS($O$2:O984),$O$2:$O$1001,0),1)&gt;=100000,INDEX($V$1005:$AE$1005,1,MATCH(COLUMNS($V$1006:Z1006),$V$1006:$AE$1006,0))&gt;=100000), " ",IF(INDEX($V$2:$AE$1001,MATCH(ROWS($O$2:O984),$O$2:$O$1001,0),MATCH(COLUMNS($V$1006:Z1006),$V$1006:$AE$1006,0)), HYPERLINK("#",""), HYPERLINK(CONCATENATE("#Metadata!", ADDRESS(INDEX($Q$2:$Q$1001,MATCH(ROWS($O$2:O984),$O$2:$O$1001,0),0), INDEX($V$1004:$AE$1004,1,MATCH(COLUMNS($V$1006:Z1006),$V$1006:$AE$1006,0)))),"Fix")))</f>
        <v>0</v>
      </c>
      <c r="G984" s="4">
        <f>IF(OR(INDEX($P$2:$P$1001,MATCH(ROWS($O$2:O984),$O$2:$O$1001,0),1)&gt;=100000,INDEX($V$1005:$AE$1005,1,MATCH(COLUMNS($V$1006:AA1006),$V$1006:$AE$1006,0))&gt;=100000), " ",IF(INDEX($V$2:$AE$1001,MATCH(ROWS($O$2:O984),$O$2:$O$1001,0),MATCH(COLUMNS($V$1006:AA1006),$V$1006:$AE$1006,0)), HYPERLINK("#",""), HYPERLINK(CONCATENATE("#Metadata!", ADDRESS(INDEX($Q$2:$Q$1001,MATCH(ROWS($O$2:O984),$O$2:$O$1001,0),0), INDEX($V$1004:$AE$1004,1,MATCH(COLUMNS($V$1006:AA1006),$V$1006:$AE$1006,0)))),"Fix")))</f>
        <v>0</v>
      </c>
      <c r="H984" s="4">
        <f>IF(OR(INDEX($P$2:$P$1001,MATCH(ROWS($O$2:O984),$O$2:$O$1001,0),1)&gt;=100000,INDEX($V$1005:$AE$1005,1,MATCH(COLUMNS($V$1006:AB1006),$V$1006:$AE$1006,0))&gt;=100000), " ",IF(INDEX($V$2:$AE$1001,MATCH(ROWS($O$2:O984),$O$2:$O$1001,0),MATCH(COLUMNS($V$1006:AB1006),$V$1006:$AE$1006,0)), HYPERLINK("#",""), HYPERLINK(CONCATENATE("#Metadata!", ADDRESS(INDEX($Q$2:$Q$1001,MATCH(ROWS($O$2:O984),$O$2:$O$1001,0),0), INDEX($V$1004:$AE$1004,1,MATCH(COLUMNS($V$1006:AB1006),$V$1006:$AE$1006,0)))),"Fix")))</f>
        <v>0</v>
      </c>
      <c r="I984" s="4">
        <f>IF(OR(INDEX($P$2:$P$1001,MATCH(ROWS($O$2:O984),$O$2:$O$1001,0),1)&gt;=100000,INDEX($V$1005:$AE$1005,1,MATCH(COLUMNS($V$1006:AC1006),$V$1006:$AE$1006,0))&gt;=100000), " ",IF(INDEX($V$2:$AE$1001,MATCH(ROWS($O$2:O984),$O$2:$O$1001,0),MATCH(COLUMNS($V$1006:AC1006),$V$1006:$AE$1006,0)), HYPERLINK("#",""), HYPERLINK(CONCATENATE("#Metadata!", ADDRESS(INDEX($Q$2:$Q$1001,MATCH(ROWS($O$2:O984),$O$2:$O$1001,0),0), INDEX($V$1004:$AE$1004,1,MATCH(COLUMNS($V$1006:AC1006),$V$1006:$AE$1006,0)))),"Fix")))</f>
        <v>0</v>
      </c>
      <c r="J984" s="4">
        <f>IF(OR(INDEX($P$2:$P$1001,MATCH(ROWS($O$2:O984),$O$2:$O$1001,0),1)&gt;=100000,INDEX($V$1005:$AE$1005,1,MATCH(COLUMNS($V$1006:AD1006),$V$1006:$AE$1006,0))&gt;=100000), " ",IF(INDEX($V$2:$AE$1001,MATCH(ROWS($O$2:O984),$O$2:$O$1001,0),MATCH(COLUMNS($V$1006:AD1006),$V$1006:$AE$1006,0)), HYPERLINK("#",""), HYPERLINK(CONCATENATE("#Metadata!", ADDRESS(INDEX($Q$2:$Q$1001,MATCH(ROWS($O$2:O984),$O$2:$O$1001,0),0), INDEX($V$1004:$AE$1004,1,MATCH(COLUMNS($V$1006:AD1006),$V$1006:$AE$1006,0)))),"Fix")))</f>
        <v>0</v>
      </c>
      <c r="K984" s="4">
        <f>IF(OR(INDEX($P$2:$P$1001,MATCH(ROWS($O$2:O984),$O$2:$O$1001,0),1)&gt;=100000,INDEX($V$1005:$AE$1005,1,MATCH(COLUMNS($V$1006:AE1006),$V$1006:$AE$1006,0))&gt;=100000), " ",IF(INDEX($V$2:$AE$1001,MATCH(ROWS($O$2:O984),$O$2:$O$1001,0),MATCH(COLUMNS($V$1006:AE1006),$V$1006:$AE$1006,0)), HYPERLINK("#",""), HYPERLINK(CONCATENATE("#Metadata!", ADDRESS(INDEX($Q$2:$Q$1001,MATCH(ROWS($O$2:O984),$O$2:$O$1001,0),0), INDEX($V$1004:$AE$1004,1,MATCH(COLUMNS($V$1006:AE1006),$V$1006:$AE$1006,0)))),"Fix")))</f>
        <v>0</v>
      </c>
      <c r="O984">
        <v>0</v>
      </c>
      <c r="P984">
        <v>0</v>
      </c>
      <c r="Q984">
        <v>0</v>
      </c>
      <c r="R984">
        <f>IF(S984,TRUE,AND(V984:AE984))</f>
        <v>0</v>
      </c>
      <c r="S984">
        <f>COUNTBLANK(Metadata!B984:K984)=COLUMNS(Metadata!B984:K984)</f>
        <v>0</v>
      </c>
      <c r="T984">
        <v>0</v>
      </c>
      <c r="V984">
        <f>AND(IF(Metadata!B984="",FALSE,TRUE),COUNTIF(Metadata!B:B, Metadata!B984) = 1,NOT(ISERROR(SUMPRODUCT(SEARCH(MID(Metadata!B984,ROW(INDIRECT("1:"&amp;LEN(Metadata!B984))), 1),"0123456789abcdefghijklmnopqrstuvwxyzABCDEFGHIJKLMNOPQRSTUVWXYZ.")))))</f>
        <v>0</v>
      </c>
      <c r="W984">
        <f>AND(IF(Metadata!C984="",FALSE,TRUE),exact(Metadata!C984,"urban biome"))</f>
        <v>0</v>
      </c>
      <c r="X984">
        <f>AND(IF(Metadata!D984="",FALSE,TRUE),exact(Metadata!D984,"animal-associated habitat"))</f>
        <v>0</v>
      </c>
      <c r="Y984">
        <f>OR(AND(IF(Metadata!E984="",FALSE,TRUE),OR(exact(Metadata!E984,"not applicable"),exact(Metadata!E984,"missing: not collected"),exact(Metadata!E984,"missing: not provided"),exact(Metadata!E984,"missing: restricted access"))),AND(IF(Metadata!E984="",FALSE,ISNUMBER(VALUE(Metadata!E984))),Metadata!E984&gt;0))</f>
        <v>0</v>
      </c>
      <c r="Z984">
        <f>AND(IF(Metadata!F984="",FALSE,TRUE),exact(Metadata!F984,"weeks"))</f>
        <v>0</v>
      </c>
      <c r="AA984">
        <f>AND(IF(Metadata!G984="",FALSE,TRUE),exact(Metadata!G984,"mouse"))</f>
        <v>0</v>
      </c>
      <c r="AB984">
        <f>AND(IF(Metadata!H984="",FALSE,TRUE),exact(Metadata!H984,"Mus musculus"))</f>
        <v>0</v>
      </c>
      <c r="AC984">
        <f>AND(IF(Metadata!I984="",FALSE,TRUE),exact(Metadata!I984,"10090"))</f>
        <v>0</v>
      </c>
      <c r="AD984">
        <f>OR(AND(IF(Metadata!J984="",FALSE,TRUE),OR(exact(Metadata!J984,"not applicable"),exact(Metadata!J984,"missing: not collected"),exact(Metadata!J984,"missing: not provided"),exact(Metadata!J984,"missing: restricted access"))),AND(IF(Metadata!J984="",FALSE,ISNUMBER(VALUE(Metadata!J984))),Metadata!J984&gt;0))</f>
        <v>0</v>
      </c>
      <c r="AE984">
        <f>AND(IF(Metadata!K984="",FALSE,TRUE),exact(Metadata!K984,"g"))</f>
        <v>0</v>
      </c>
    </row>
    <row r="985" spans="1:31">
      <c r="A985" s="5">
        <f>IF(B985=" "," ",HYPERLINK(CONCATENATE("#metadata!",ADDRESS(INDEX($Q$2:$Q$1001,MATCH(ROWS($O$2:O985),$O$2:$O$1001,0),0),1)),INDEX($T$2:$T$1001,MATCH(ROWS($O$2:O985),$O$2:$O$1001,0),0)))</f>
        <v>0</v>
      </c>
      <c r="B985" s="4">
        <f>IF(OR(INDEX($P$2:$P$1001,MATCH(ROWS($O$2:O985),$O$2:$O$1001,0),1)&gt;=100000,INDEX($V$1005:$AE$1005,1,MATCH(COLUMNS($V$1006:V1006),$V$1006:$AE$1006,0))&gt;=100000), " ",IF(INDEX($V$2:$AE$1001,MATCH(ROWS($O$2:O985),$O$2:$O$1001,0),MATCH(COLUMNS($V$1006:V1006),$V$1006:$AE$1006,0)), HYPERLINK("#",""), HYPERLINK(CONCATENATE("#Metadata!", ADDRESS(INDEX($Q$2:$Q$1001,MATCH(ROWS($O$2:O985),$O$2:$O$1001,0),0), INDEX($V$1004:$AE$1004,1,MATCH(COLUMNS($V$1006:V1006),$V$1006:$AE$1006,0)))),"Fix")))</f>
        <v>0</v>
      </c>
      <c r="C985" s="4">
        <f>IF(OR(INDEX($P$2:$P$1001,MATCH(ROWS($O$2:O985),$O$2:$O$1001,0),1)&gt;=100000,INDEX($V$1005:$AE$1005,1,MATCH(COLUMNS($V$1006:W1006),$V$1006:$AE$1006,0))&gt;=100000), " ",IF(INDEX($V$2:$AE$1001,MATCH(ROWS($O$2:O985),$O$2:$O$1001,0),MATCH(COLUMNS($V$1006:W1006),$V$1006:$AE$1006,0)), HYPERLINK("#",""), HYPERLINK(CONCATENATE("#Metadata!", ADDRESS(INDEX($Q$2:$Q$1001,MATCH(ROWS($O$2:O985),$O$2:$O$1001,0),0), INDEX($V$1004:$AE$1004,1,MATCH(COLUMNS($V$1006:W1006),$V$1006:$AE$1006,0)))),"Fix")))</f>
        <v>0</v>
      </c>
      <c r="D985" s="4">
        <f>IF(OR(INDEX($P$2:$P$1001,MATCH(ROWS($O$2:O985),$O$2:$O$1001,0),1)&gt;=100000,INDEX($V$1005:$AE$1005,1,MATCH(COLUMNS($V$1006:X1006),$V$1006:$AE$1006,0))&gt;=100000), " ",IF(INDEX($V$2:$AE$1001,MATCH(ROWS($O$2:O985),$O$2:$O$1001,0),MATCH(COLUMNS($V$1006:X1006),$V$1006:$AE$1006,0)), HYPERLINK("#",""), HYPERLINK(CONCATENATE("#Metadata!", ADDRESS(INDEX($Q$2:$Q$1001,MATCH(ROWS($O$2:O985),$O$2:$O$1001,0),0), INDEX($V$1004:$AE$1004,1,MATCH(COLUMNS($V$1006:X1006),$V$1006:$AE$1006,0)))),"Fix")))</f>
        <v>0</v>
      </c>
      <c r="E985" s="4">
        <f>IF(OR(INDEX($P$2:$P$1001,MATCH(ROWS($O$2:O985),$O$2:$O$1001,0),1)&gt;=100000,INDEX($V$1005:$AE$1005,1,MATCH(COLUMNS($V$1006:Y1006),$V$1006:$AE$1006,0))&gt;=100000), " ",IF(INDEX($V$2:$AE$1001,MATCH(ROWS($O$2:O985),$O$2:$O$1001,0),MATCH(COLUMNS($V$1006:Y1006),$V$1006:$AE$1006,0)), HYPERLINK("#",""), HYPERLINK(CONCATENATE("#Metadata!", ADDRESS(INDEX($Q$2:$Q$1001,MATCH(ROWS($O$2:O985),$O$2:$O$1001,0),0), INDEX($V$1004:$AE$1004,1,MATCH(COLUMNS($V$1006:Y1006),$V$1006:$AE$1006,0)))),"Fix")))</f>
        <v>0</v>
      </c>
      <c r="F985" s="4">
        <f>IF(OR(INDEX($P$2:$P$1001,MATCH(ROWS($O$2:O985),$O$2:$O$1001,0),1)&gt;=100000,INDEX($V$1005:$AE$1005,1,MATCH(COLUMNS($V$1006:Z1006),$V$1006:$AE$1006,0))&gt;=100000), " ",IF(INDEX($V$2:$AE$1001,MATCH(ROWS($O$2:O985),$O$2:$O$1001,0),MATCH(COLUMNS($V$1006:Z1006),$V$1006:$AE$1006,0)), HYPERLINK("#",""), HYPERLINK(CONCATENATE("#Metadata!", ADDRESS(INDEX($Q$2:$Q$1001,MATCH(ROWS($O$2:O985),$O$2:$O$1001,0),0), INDEX($V$1004:$AE$1004,1,MATCH(COLUMNS($V$1006:Z1006),$V$1006:$AE$1006,0)))),"Fix")))</f>
        <v>0</v>
      </c>
      <c r="G985" s="4">
        <f>IF(OR(INDEX($P$2:$P$1001,MATCH(ROWS($O$2:O985),$O$2:$O$1001,0),1)&gt;=100000,INDEX($V$1005:$AE$1005,1,MATCH(COLUMNS($V$1006:AA1006),$V$1006:$AE$1006,0))&gt;=100000), " ",IF(INDEX($V$2:$AE$1001,MATCH(ROWS($O$2:O985),$O$2:$O$1001,0),MATCH(COLUMNS($V$1006:AA1006),$V$1006:$AE$1006,0)), HYPERLINK("#",""), HYPERLINK(CONCATENATE("#Metadata!", ADDRESS(INDEX($Q$2:$Q$1001,MATCH(ROWS($O$2:O985),$O$2:$O$1001,0),0), INDEX($V$1004:$AE$1004,1,MATCH(COLUMNS($V$1006:AA1006),$V$1006:$AE$1006,0)))),"Fix")))</f>
        <v>0</v>
      </c>
      <c r="H985" s="4">
        <f>IF(OR(INDEX($P$2:$P$1001,MATCH(ROWS($O$2:O985),$O$2:$O$1001,0),1)&gt;=100000,INDEX($V$1005:$AE$1005,1,MATCH(COLUMNS($V$1006:AB1006),$V$1006:$AE$1006,0))&gt;=100000), " ",IF(INDEX($V$2:$AE$1001,MATCH(ROWS($O$2:O985),$O$2:$O$1001,0),MATCH(COLUMNS($V$1006:AB1006),$V$1006:$AE$1006,0)), HYPERLINK("#",""), HYPERLINK(CONCATENATE("#Metadata!", ADDRESS(INDEX($Q$2:$Q$1001,MATCH(ROWS($O$2:O985),$O$2:$O$1001,0),0), INDEX($V$1004:$AE$1004,1,MATCH(COLUMNS($V$1006:AB1006),$V$1006:$AE$1006,0)))),"Fix")))</f>
        <v>0</v>
      </c>
      <c r="I985" s="4">
        <f>IF(OR(INDEX($P$2:$P$1001,MATCH(ROWS($O$2:O985),$O$2:$O$1001,0),1)&gt;=100000,INDEX($V$1005:$AE$1005,1,MATCH(COLUMNS($V$1006:AC1006),$V$1006:$AE$1006,0))&gt;=100000), " ",IF(INDEX($V$2:$AE$1001,MATCH(ROWS($O$2:O985),$O$2:$O$1001,0),MATCH(COLUMNS($V$1006:AC1006),$V$1006:$AE$1006,0)), HYPERLINK("#",""), HYPERLINK(CONCATENATE("#Metadata!", ADDRESS(INDEX($Q$2:$Q$1001,MATCH(ROWS($O$2:O985),$O$2:$O$1001,0),0), INDEX($V$1004:$AE$1004,1,MATCH(COLUMNS($V$1006:AC1006),$V$1006:$AE$1006,0)))),"Fix")))</f>
        <v>0</v>
      </c>
      <c r="J985" s="4">
        <f>IF(OR(INDEX($P$2:$P$1001,MATCH(ROWS($O$2:O985),$O$2:$O$1001,0),1)&gt;=100000,INDEX($V$1005:$AE$1005,1,MATCH(COLUMNS($V$1006:AD1006),$V$1006:$AE$1006,0))&gt;=100000), " ",IF(INDEX($V$2:$AE$1001,MATCH(ROWS($O$2:O985),$O$2:$O$1001,0),MATCH(COLUMNS($V$1006:AD1006),$V$1006:$AE$1006,0)), HYPERLINK("#",""), HYPERLINK(CONCATENATE("#Metadata!", ADDRESS(INDEX($Q$2:$Q$1001,MATCH(ROWS($O$2:O985),$O$2:$O$1001,0),0), INDEX($V$1004:$AE$1004,1,MATCH(COLUMNS($V$1006:AD1006),$V$1006:$AE$1006,0)))),"Fix")))</f>
        <v>0</v>
      </c>
      <c r="K985" s="4">
        <f>IF(OR(INDEX($P$2:$P$1001,MATCH(ROWS($O$2:O985),$O$2:$O$1001,0),1)&gt;=100000,INDEX($V$1005:$AE$1005,1,MATCH(COLUMNS($V$1006:AE1006),$V$1006:$AE$1006,0))&gt;=100000), " ",IF(INDEX($V$2:$AE$1001,MATCH(ROWS($O$2:O985),$O$2:$O$1001,0),MATCH(COLUMNS($V$1006:AE1006),$V$1006:$AE$1006,0)), HYPERLINK("#",""), HYPERLINK(CONCATENATE("#Metadata!", ADDRESS(INDEX($Q$2:$Q$1001,MATCH(ROWS($O$2:O985),$O$2:$O$1001,0),0), INDEX($V$1004:$AE$1004,1,MATCH(COLUMNS($V$1006:AE1006),$V$1006:$AE$1006,0)))),"Fix")))</f>
        <v>0</v>
      </c>
      <c r="O985">
        <v>0</v>
      </c>
      <c r="P985">
        <v>0</v>
      </c>
      <c r="Q985">
        <v>0</v>
      </c>
      <c r="R985">
        <f>IF(S985,TRUE,AND(V985:AE985))</f>
        <v>0</v>
      </c>
      <c r="S985">
        <f>COUNTBLANK(Metadata!B985:K985)=COLUMNS(Metadata!B985:K985)</f>
        <v>0</v>
      </c>
      <c r="T985">
        <v>0</v>
      </c>
      <c r="V985">
        <f>AND(IF(Metadata!B985="",FALSE,TRUE),COUNTIF(Metadata!B:B, Metadata!B985) = 1,NOT(ISERROR(SUMPRODUCT(SEARCH(MID(Metadata!B985,ROW(INDIRECT("1:"&amp;LEN(Metadata!B985))), 1),"0123456789abcdefghijklmnopqrstuvwxyzABCDEFGHIJKLMNOPQRSTUVWXYZ.")))))</f>
        <v>0</v>
      </c>
      <c r="W985">
        <f>AND(IF(Metadata!C985="",FALSE,TRUE),exact(Metadata!C985,"urban biome"))</f>
        <v>0</v>
      </c>
      <c r="X985">
        <f>AND(IF(Metadata!D985="",FALSE,TRUE),exact(Metadata!D985,"animal-associated habitat"))</f>
        <v>0</v>
      </c>
      <c r="Y985">
        <f>OR(AND(IF(Metadata!E985="",FALSE,TRUE),OR(exact(Metadata!E985,"not applicable"),exact(Metadata!E985,"missing: not collected"),exact(Metadata!E985,"missing: not provided"),exact(Metadata!E985,"missing: restricted access"))),AND(IF(Metadata!E985="",FALSE,ISNUMBER(VALUE(Metadata!E985))),Metadata!E985&gt;0))</f>
        <v>0</v>
      </c>
      <c r="Z985">
        <f>AND(IF(Metadata!F985="",FALSE,TRUE),exact(Metadata!F985,"weeks"))</f>
        <v>0</v>
      </c>
      <c r="AA985">
        <f>AND(IF(Metadata!G985="",FALSE,TRUE),exact(Metadata!G985,"mouse"))</f>
        <v>0</v>
      </c>
      <c r="AB985">
        <f>AND(IF(Metadata!H985="",FALSE,TRUE),exact(Metadata!H985,"Mus musculus"))</f>
        <v>0</v>
      </c>
      <c r="AC985">
        <f>AND(IF(Metadata!I985="",FALSE,TRUE),exact(Metadata!I985,"10090"))</f>
        <v>0</v>
      </c>
      <c r="AD985">
        <f>OR(AND(IF(Metadata!J985="",FALSE,TRUE),OR(exact(Metadata!J985,"not applicable"),exact(Metadata!J985,"missing: not collected"),exact(Metadata!J985,"missing: not provided"),exact(Metadata!J985,"missing: restricted access"))),AND(IF(Metadata!J985="",FALSE,ISNUMBER(VALUE(Metadata!J985))),Metadata!J985&gt;0))</f>
        <v>0</v>
      </c>
      <c r="AE985">
        <f>AND(IF(Metadata!K985="",FALSE,TRUE),exact(Metadata!K985,"g"))</f>
        <v>0</v>
      </c>
    </row>
    <row r="986" spans="1:31">
      <c r="A986" s="5">
        <f>IF(B986=" "," ",HYPERLINK(CONCATENATE("#metadata!",ADDRESS(INDEX($Q$2:$Q$1001,MATCH(ROWS($O$2:O986),$O$2:$O$1001,0),0),1)),INDEX($T$2:$T$1001,MATCH(ROWS($O$2:O986),$O$2:$O$1001,0),0)))</f>
        <v>0</v>
      </c>
      <c r="B986" s="4">
        <f>IF(OR(INDEX($P$2:$P$1001,MATCH(ROWS($O$2:O986),$O$2:$O$1001,0),1)&gt;=100000,INDEX($V$1005:$AE$1005,1,MATCH(COLUMNS($V$1006:V1006),$V$1006:$AE$1006,0))&gt;=100000), " ",IF(INDEX($V$2:$AE$1001,MATCH(ROWS($O$2:O986),$O$2:$O$1001,0),MATCH(COLUMNS($V$1006:V1006),$V$1006:$AE$1006,0)), HYPERLINK("#",""), HYPERLINK(CONCATENATE("#Metadata!", ADDRESS(INDEX($Q$2:$Q$1001,MATCH(ROWS($O$2:O986),$O$2:$O$1001,0),0), INDEX($V$1004:$AE$1004,1,MATCH(COLUMNS($V$1006:V1006),$V$1006:$AE$1006,0)))),"Fix")))</f>
        <v>0</v>
      </c>
      <c r="C986" s="4">
        <f>IF(OR(INDEX($P$2:$P$1001,MATCH(ROWS($O$2:O986),$O$2:$O$1001,0),1)&gt;=100000,INDEX($V$1005:$AE$1005,1,MATCH(COLUMNS($V$1006:W1006),$V$1006:$AE$1006,0))&gt;=100000), " ",IF(INDEX($V$2:$AE$1001,MATCH(ROWS($O$2:O986),$O$2:$O$1001,0),MATCH(COLUMNS($V$1006:W1006),$V$1006:$AE$1006,0)), HYPERLINK("#",""), HYPERLINK(CONCATENATE("#Metadata!", ADDRESS(INDEX($Q$2:$Q$1001,MATCH(ROWS($O$2:O986),$O$2:$O$1001,0),0), INDEX($V$1004:$AE$1004,1,MATCH(COLUMNS($V$1006:W1006),$V$1006:$AE$1006,0)))),"Fix")))</f>
        <v>0</v>
      </c>
      <c r="D986" s="4">
        <f>IF(OR(INDEX($P$2:$P$1001,MATCH(ROWS($O$2:O986),$O$2:$O$1001,0),1)&gt;=100000,INDEX($V$1005:$AE$1005,1,MATCH(COLUMNS($V$1006:X1006),$V$1006:$AE$1006,0))&gt;=100000), " ",IF(INDEX($V$2:$AE$1001,MATCH(ROWS($O$2:O986),$O$2:$O$1001,0),MATCH(COLUMNS($V$1006:X1006),$V$1006:$AE$1006,0)), HYPERLINK("#",""), HYPERLINK(CONCATENATE("#Metadata!", ADDRESS(INDEX($Q$2:$Q$1001,MATCH(ROWS($O$2:O986),$O$2:$O$1001,0),0), INDEX($V$1004:$AE$1004,1,MATCH(COLUMNS($V$1006:X1006),$V$1006:$AE$1006,0)))),"Fix")))</f>
        <v>0</v>
      </c>
      <c r="E986" s="4">
        <f>IF(OR(INDEX($P$2:$P$1001,MATCH(ROWS($O$2:O986),$O$2:$O$1001,0),1)&gt;=100000,INDEX($V$1005:$AE$1005,1,MATCH(COLUMNS($V$1006:Y1006),$V$1006:$AE$1006,0))&gt;=100000), " ",IF(INDEX($V$2:$AE$1001,MATCH(ROWS($O$2:O986),$O$2:$O$1001,0),MATCH(COLUMNS($V$1006:Y1006),$V$1006:$AE$1006,0)), HYPERLINK("#",""), HYPERLINK(CONCATENATE("#Metadata!", ADDRESS(INDEX($Q$2:$Q$1001,MATCH(ROWS($O$2:O986),$O$2:$O$1001,0),0), INDEX($V$1004:$AE$1004,1,MATCH(COLUMNS($V$1006:Y1006),$V$1006:$AE$1006,0)))),"Fix")))</f>
        <v>0</v>
      </c>
      <c r="F986" s="4">
        <f>IF(OR(INDEX($P$2:$P$1001,MATCH(ROWS($O$2:O986),$O$2:$O$1001,0),1)&gt;=100000,INDEX($V$1005:$AE$1005,1,MATCH(COLUMNS($V$1006:Z1006),$V$1006:$AE$1006,0))&gt;=100000), " ",IF(INDEX($V$2:$AE$1001,MATCH(ROWS($O$2:O986),$O$2:$O$1001,0),MATCH(COLUMNS($V$1006:Z1006),$V$1006:$AE$1006,0)), HYPERLINK("#",""), HYPERLINK(CONCATENATE("#Metadata!", ADDRESS(INDEX($Q$2:$Q$1001,MATCH(ROWS($O$2:O986),$O$2:$O$1001,0),0), INDEX($V$1004:$AE$1004,1,MATCH(COLUMNS($V$1006:Z1006),$V$1006:$AE$1006,0)))),"Fix")))</f>
        <v>0</v>
      </c>
      <c r="G986" s="4">
        <f>IF(OR(INDEX($P$2:$P$1001,MATCH(ROWS($O$2:O986),$O$2:$O$1001,0),1)&gt;=100000,INDEX($V$1005:$AE$1005,1,MATCH(COLUMNS($V$1006:AA1006),$V$1006:$AE$1006,0))&gt;=100000), " ",IF(INDEX($V$2:$AE$1001,MATCH(ROWS($O$2:O986),$O$2:$O$1001,0),MATCH(COLUMNS($V$1006:AA1006),$V$1006:$AE$1006,0)), HYPERLINK("#",""), HYPERLINK(CONCATENATE("#Metadata!", ADDRESS(INDEX($Q$2:$Q$1001,MATCH(ROWS($O$2:O986),$O$2:$O$1001,0),0), INDEX($V$1004:$AE$1004,1,MATCH(COLUMNS($V$1006:AA1006),$V$1006:$AE$1006,0)))),"Fix")))</f>
        <v>0</v>
      </c>
      <c r="H986" s="4">
        <f>IF(OR(INDEX($P$2:$P$1001,MATCH(ROWS($O$2:O986),$O$2:$O$1001,0),1)&gt;=100000,INDEX($V$1005:$AE$1005,1,MATCH(COLUMNS($V$1006:AB1006),$V$1006:$AE$1006,0))&gt;=100000), " ",IF(INDEX($V$2:$AE$1001,MATCH(ROWS($O$2:O986),$O$2:$O$1001,0),MATCH(COLUMNS($V$1006:AB1006),$V$1006:$AE$1006,0)), HYPERLINK("#",""), HYPERLINK(CONCATENATE("#Metadata!", ADDRESS(INDEX($Q$2:$Q$1001,MATCH(ROWS($O$2:O986),$O$2:$O$1001,0),0), INDEX($V$1004:$AE$1004,1,MATCH(COLUMNS($V$1006:AB1006),$V$1006:$AE$1006,0)))),"Fix")))</f>
        <v>0</v>
      </c>
      <c r="I986" s="4">
        <f>IF(OR(INDEX($P$2:$P$1001,MATCH(ROWS($O$2:O986),$O$2:$O$1001,0),1)&gt;=100000,INDEX($V$1005:$AE$1005,1,MATCH(COLUMNS($V$1006:AC1006),$V$1006:$AE$1006,0))&gt;=100000), " ",IF(INDEX($V$2:$AE$1001,MATCH(ROWS($O$2:O986),$O$2:$O$1001,0),MATCH(COLUMNS($V$1006:AC1006),$V$1006:$AE$1006,0)), HYPERLINK("#",""), HYPERLINK(CONCATENATE("#Metadata!", ADDRESS(INDEX($Q$2:$Q$1001,MATCH(ROWS($O$2:O986),$O$2:$O$1001,0),0), INDEX($V$1004:$AE$1004,1,MATCH(COLUMNS($V$1006:AC1006),$V$1006:$AE$1006,0)))),"Fix")))</f>
        <v>0</v>
      </c>
      <c r="J986" s="4">
        <f>IF(OR(INDEX($P$2:$P$1001,MATCH(ROWS($O$2:O986),$O$2:$O$1001,0),1)&gt;=100000,INDEX($V$1005:$AE$1005,1,MATCH(COLUMNS($V$1006:AD1006),$V$1006:$AE$1006,0))&gt;=100000), " ",IF(INDEX($V$2:$AE$1001,MATCH(ROWS($O$2:O986),$O$2:$O$1001,0),MATCH(COLUMNS($V$1006:AD1006),$V$1006:$AE$1006,0)), HYPERLINK("#",""), HYPERLINK(CONCATENATE("#Metadata!", ADDRESS(INDEX($Q$2:$Q$1001,MATCH(ROWS($O$2:O986),$O$2:$O$1001,0),0), INDEX($V$1004:$AE$1004,1,MATCH(COLUMNS($V$1006:AD1006),$V$1006:$AE$1006,0)))),"Fix")))</f>
        <v>0</v>
      </c>
      <c r="K986" s="4">
        <f>IF(OR(INDEX($P$2:$P$1001,MATCH(ROWS($O$2:O986),$O$2:$O$1001,0),1)&gt;=100000,INDEX($V$1005:$AE$1005,1,MATCH(COLUMNS($V$1006:AE1006),$V$1006:$AE$1006,0))&gt;=100000), " ",IF(INDEX($V$2:$AE$1001,MATCH(ROWS($O$2:O986),$O$2:$O$1001,0),MATCH(COLUMNS($V$1006:AE1006),$V$1006:$AE$1006,0)), HYPERLINK("#",""), HYPERLINK(CONCATENATE("#Metadata!", ADDRESS(INDEX($Q$2:$Q$1001,MATCH(ROWS($O$2:O986),$O$2:$O$1001,0),0), INDEX($V$1004:$AE$1004,1,MATCH(COLUMNS($V$1006:AE1006),$V$1006:$AE$1006,0)))),"Fix")))</f>
        <v>0</v>
      </c>
      <c r="O986">
        <v>0</v>
      </c>
      <c r="P986">
        <v>0</v>
      </c>
      <c r="Q986">
        <v>0</v>
      </c>
      <c r="R986">
        <f>IF(S986,TRUE,AND(V986:AE986))</f>
        <v>0</v>
      </c>
      <c r="S986">
        <f>COUNTBLANK(Metadata!B986:K986)=COLUMNS(Metadata!B986:K986)</f>
        <v>0</v>
      </c>
      <c r="T986">
        <v>0</v>
      </c>
      <c r="V986">
        <f>AND(IF(Metadata!B986="",FALSE,TRUE),COUNTIF(Metadata!B:B, Metadata!B986) = 1,NOT(ISERROR(SUMPRODUCT(SEARCH(MID(Metadata!B986,ROW(INDIRECT("1:"&amp;LEN(Metadata!B986))), 1),"0123456789abcdefghijklmnopqrstuvwxyzABCDEFGHIJKLMNOPQRSTUVWXYZ.")))))</f>
        <v>0</v>
      </c>
      <c r="W986">
        <f>AND(IF(Metadata!C986="",FALSE,TRUE),exact(Metadata!C986,"urban biome"))</f>
        <v>0</v>
      </c>
      <c r="X986">
        <f>AND(IF(Metadata!D986="",FALSE,TRUE),exact(Metadata!D986,"animal-associated habitat"))</f>
        <v>0</v>
      </c>
      <c r="Y986">
        <f>OR(AND(IF(Metadata!E986="",FALSE,TRUE),OR(exact(Metadata!E986,"not applicable"),exact(Metadata!E986,"missing: not collected"),exact(Metadata!E986,"missing: not provided"),exact(Metadata!E986,"missing: restricted access"))),AND(IF(Metadata!E986="",FALSE,ISNUMBER(VALUE(Metadata!E986))),Metadata!E986&gt;0))</f>
        <v>0</v>
      </c>
      <c r="Z986">
        <f>AND(IF(Metadata!F986="",FALSE,TRUE),exact(Metadata!F986,"weeks"))</f>
        <v>0</v>
      </c>
      <c r="AA986">
        <f>AND(IF(Metadata!G986="",FALSE,TRUE),exact(Metadata!G986,"mouse"))</f>
        <v>0</v>
      </c>
      <c r="AB986">
        <f>AND(IF(Metadata!H986="",FALSE,TRUE),exact(Metadata!H986,"Mus musculus"))</f>
        <v>0</v>
      </c>
      <c r="AC986">
        <f>AND(IF(Metadata!I986="",FALSE,TRUE),exact(Metadata!I986,"10090"))</f>
        <v>0</v>
      </c>
      <c r="AD986">
        <f>OR(AND(IF(Metadata!J986="",FALSE,TRUE),OR(exact(Metadata!J986,"not applicable"),exact(Metadata!J986,"missing: not collected"),exact(Metadata!J986,"missing: not provided"),exact(Metadata!J986,"missing: restricted access"))),AND(IF(Metadata!J986="",FALSE,ISNUMBER(VALUE(Metadata!J986))),Metadata!J986&gt;0))</f>
        <v>0</v>
      </c>
      <c r="AE986">
        <f>AND(IF(Metadata!K986="",FALSE,TRUE),exact(Metadata!K986,"g"))</f>
        <v>0</v>
      </c>
    </row>
    <row r="987" spans="1:31">
      <c r="A987" s="5">
        <f>IF(B987=" "," ",HYPERLINK(CONCATENATE("#metadata!",ADDRESS(INDEX($Q$2:$Q$1001,MATCH(ROWS($O$2:O987),$O$2:$O$1001,0),0),1)),INDEX($T$2:$T$1001,MATCH(ROWS($O$2:O987),$O$2:$O$1001,0),0)))</f>
        <v>0</v>
      </c>
      <c r="B987" s="4">
        <f>IF(OR(INDEX($P$2:$P$1001,MATCH(ROWS($O$2:O987),$O$2:$O$1001,0),1)&gt;=100000,INDEX($V$1005:$AE$1005,1,MATCH(COLUMNS($V$1006:V1006),$V$1006:$AE$1006,0))&gt;=100000), " ",IF(INDEX($V$2:$AE$1001,MATCH(ROWS($O$2:O987),$O$2:$O$1001,0),MATCH(COLUMNS($V$1006:V1006),$V$1006:$AE$1006,0)), HYPERLINK("#",""), HYPERLINK(CONCATENATE("#Metadata!", ADDRESS(INDEX($Q$2:$Q$1001,MATCH(ROWS($O$2:O987),$O$2:$O$1001,0),0), INDEX($V$1004:$AE$1004,1,MATCH(COLUMNS($V$1006:V1006),$V$1006:$AE$1006,0)))),"Fix")))</f>
        <v>0</v>
      </c>
      <c r="C987" s="4">
        <f>IF(OR(INDEX($P$2:$P$1001,MATCH(ROWS($O$2:O987),$O$2:$O$1001,0),1)&gt;=100000,INDEX($V$1005:$AE$1005,1,MATCH(COLUMNS($V$1006:W1006),$V$1006:$AE$1006,0))&gt;=100000), " ",IF(INDEX($V$2:$AE$1001,MATCH(ROWS($O$2:O987),$O$2:$O$1001,0),MATCH(COLUMNS($V$1006:W1006),$V$1006:$AE$1006,0)), HYPERLINK("#",""), HYPERLINK(CONCATENATE("#Metadata!", ADDRESS(INDEX($Q$2:$Q$1001,MATCH(ROWS($O$2:O987),$O$2:$O$1001,0),0), INDEX($V$1004:$AE$1004,1,MATCH(COLUMNS($V$1006:W1006),$V$1006:$AE$1006,0)))),"Fix")))</f>
        <v>0</v>
      </c>
      <c r="D987" s="4">
        <f>IF(OR(INDEX($P$2:$P$1001,MATCH(ROWS($O$2:O987),$O$2:$O$1001,0),1)&gt;=100000,INDEX($V$1005:$AE$1005,1,MATCH(COLUMNS($V$1006:X1006),$V$1006:$AE$1006,0))&gt;=100000), " ",IF(INDEX($V$2:$AE$1001,MATCH(ROWS($O$2:O987),$O$2:$O$1001,0),MATCH(COLUMNS($V$1006:X1006),$V$1006:$AE$1006,0)), HYPERLINK("#",""), HYPERLINK(CONCATENATE("#Metadata!", ADDRESS(INDEX($Q$2:$Q$1001,MATCH(ROWS($O$2:O987),$O$2:$O$1001,0),0), INDEX($V$1004:$AE$1004,1,MATCH(COLUMNS($V$1006:X1006),$V$1006:$AE$1006,0)))),"Fix")))</f>
        <v>0</v>
      </c>
      <c r="E987" s="4">
        <f>IF(OR(INDEX($P$2:$P$1001,MATCH(ROWS($O$2:O987),$O$2:$O$1001,0),1)&gt;=100000,INDEX($V$1005:$AE$1005,1,MATCH(COLUMNS($V$1006:Y1006),$V$1006:$AE$1006,0))&gt;=100000), " ",IF(INDEX($V$2:$AE$1001,MATCH(ROWS($O$2:O987),$O$2:$O$1001,0),MATCH(COLUMNS($V$1006:Y1006),$V$1006:$AE$1006,0)), HYPERLINK("#",""), HYPERLINK(CONCATENATE("#Metadata!", ADDRESS(INDEX($Q$2:$Q$1001,MATCH(ROWS($O$2:O987),$O$2:$O$1001,0),0), INDEX($V$1004:$AE$1004,1,MATCH(COLUMNS($V$1006:Y1006),$V$1006:$AE$1006,0)))),"Fix")))</f>
        <v>0</v>
      </c>
      <c r="F987" s="4">
        <f>IF(OR(INDEX($P$2:$P$1001,MATCH(ROWS($O$2:O987),$O$2:$O$1001,0),1)&gt;=100000,INDEX($V$1005:$AE$1005,1,MATCH(COLUMNS($V$1006:Z1006),$V$1006:$AE$1006,0))&gt;=100000), " ",IF(INDEX($V$2:$AE$1001,MATCH(ROWS($O$2:O987),$O$2:$O$1001,0),MATCH(COLUMNS($V$1006:Z1006),$V$1006:$AE$1006,0)), HYPERLINK("#",""), HYPERLINK(CONCATENATE("#Metadata!", ADDRESS(INDEX($Q$2:$Q$1001,MATCH(ROWS($O$2:O987),$O$2:$O$1001,0),0), INDEX($V$1004:$AE$1004,1,MATCH(COLUMNS($V$1006:Z1006),$V$1006:$AE$1006,0)))),"Fix")))</f>
        <v>0</v>
      </c>
      <c r="G987" s="4">
        <f>IF(OR(INDEX($P$2:$P$1001,MATCH(ROWS($O$2:O987),$O$2:$O$1001,0),1)&gt;=100000,INDEX($V$1005:$AE$1005,1,MATCH(COLUMNS($V$1006:AA1006),$V$1006:$AE$1006,0))&gt;=100000), " ",IF(INDEX($V$2:$AE$1001,MATCH(ROWS($O$2:O987),$O$2:$O$1001,0),MATCH(COLUMNS($V$1006:AA1006),$V$1006:$AE$1006,0)), HYPERLINK("#",""), HYPERLINK(CONCATENATE("#Metadata!", ADDRESS(INDEX($Q$2:$Q$1001,MATCH(ROWS($O$2:O987),$O$2:$O$1001,0),0), INDEX($V$1004:$AE$1004,1,MATCH(COLUMNS($V$1006:AA1006),$V$1006:$AE$1006,0)))),"Fix")))</f>
        <v>0</v>
      </c>
      <c r="H987" s="4">
        <f>IF(OR(INDEX($P$2:$P$1001,MATCH(ROWS($O$2:O987),$O$2:$O$1001,0),1)&gt;=100000,INDEX($V$1005:$AE$1005,1,MATCH(COLUMNS($V$1006:AB1006),$V$1006:$AE$1006,0))&gt;=100000), " ",IF(INDEX($V$2:$AE$1001,MATCH(ROWS($O$2:O987),$O$2:$O$1001,0),MATCH(COLUMNS($V$1006:AB1006),$V$1006:$AE$1006,0)), HYPERLINK("#",""), HYPERLINK(CONCATENATE("#Metadata!", ADDRESS(INDEX($Q$2:$Q$1001,MATCH(ROWS($O$2:O987),$O$2:$O$1001,0),0), INDEX($V$1004:$AE$1004,1,MATCH(COLUMNS($V$1006:AB1006),$V$1006:$AE$1006,0)))),"Fix")))</f>
        <v>0</v>
      </c>
      <c r="I987" s="4">
        <f>IF(OR(INDEX($P$2:$P$1001,MATCH(ROWS($O$2:O987),$O$2:$O$1001,0),1)&gt;=100000,INDEX($V$1005:$AE$1005,1,MATCH(COLUMNS($V$1006:AC1006),$V$1006:$AE$1006,0))&gt;=100000), " ",IF(INDEX($V$2:$AE$1001,MATCH(ROWS($O$2:O987),$O$2:$O$1001,0),MATCH(COLUMNS($V$1006:AC1006),$V$1006:$AE$1006,0)), HYPERLINK("#",""), HYPERLINK(CONCATENATE("#Metadata!", ADDRESS(INDEX($Q$2:$Q$1001,MATCH(ROWS($O$2:O987),$O$2:$O$1001,0),0), INDEX($V$1004:$AE$1004,1,MATCH(COLUMNS($V$1006:AC1006),$V$1006:$AE$1006,0)))),"Fix")))</f>
        <v>0</v>
      </c>
      <c r="J987" s="4">
        <f>IF(OR(INDEX($P$2:$P$1001,MATCH(ROWS($O$2:O987),$O$2:$O$1001,0),1)&gt;=100000,INDEX($V$1005:$AE$1005,1,MATCH(COLUMNS($V$1006:AD1006),$V$1006:$AE$1006,0))&gt;=100000), " ",IF(INDEX($V$2:$AE$1001,MATCH(ROWS($O$2:O987),$O$2:$O$1001,0),MATCH(COLUMNS($V$1006:AD1006),$V$1006:$AE$1006,0)), HYPERLINK("#",""), HYPERLINK(CONCATENATE("#Metadata!", ADDRESS(INDEX($Q$2:$Q$1001,MATCH(ROWS($O$2:O987),$O$2:$O$1001,0),0), INDEX($V$1004:$AE$1004,1,MATCH(COLUMNS($V$1006:AD1006),$V$1006:$AE$1006,0)))),"Fix")))</f>
        <v>0</v>
      </c>
      <c r="K987" s="4">
        <f>IF(OR(INDEX($P$2:$P$1001,MATCH(ROWS($O$2:O987),$O$2:$O$1001,0),1)&gt;=100000,INDEX($V$1005:$AE$1005,1,MATCH(COLUMNS($V$1006:AE1006),$V$1006:$AE$1006,0))&gt;=100000), " ",IF(INDEX($V$2:$AE$1001,MATCH(ROWS($O$2:O987),$O$2:$O$1001,0),MATCH(COLUMNS($V$1006:AE1006),$V$1006:$AE$1006,0)), HYPERLINK("#",""), HYPERLINK(CONCATENATE("#Metadata!", ADDRESS(INDEX($Q$2:$Q$1001,MATCH(ROWS($O$2:O987),$O$2:$O$1001,0),0), INDEX($V$1004:$AE$1004,1,MATCH(COLUMNS($V$1006:AE1006),$V$1006:$AE$1006,0)))),"Fix")))</f>
        <v>0</v>
      </c>
      <c r="O987">
        <v>0</v>
      </c>
      <c r="P987">
        <v>0</v>
      </c>
      <c r="Q987">
        <v>0</v>
      </c>
      <c r="R987">
        <f>IF(S987,TRUE,AND(V987:AE987))</f>
        <v>0</v>
      </c>
      <c r="S987">
        <f>COUNTBLANK(Metadata!B987:K987)=COLUMNS(Metadata!B987:K987)</f>
        <v>0</v>
      </c>
      <c r="T987">
        <v>0</v>
      </c>
      <c r="V987">
        <f>AND(IF(Metadata!B987="",FALSE,TRUE),COUNTIF(Metadata!B:B, Metadata!B987) = 1,NOT(ISERROR(SUMPRODUCT(SEARCH(MID(Metadata!B987,ROW(INDIRECT("1:"&amp;LEN(Metadata!B987))), 1),"0123456789abcdefghijklmnopqrstuvwxyzABCDEFGHIJKLMNOPQRSTUVWXYZ.")))))</f>
        <v>0</v>
      </c>
      <c r="W987">
        <f>AND(IF(Metadata!C987="",FALSE,TRUE),exact(Metadata!C987,"urban biome"))</f>
        <v>0</v>
      </c>
      <c r="X987">
        <f>AND(IF(Metadata!D987="",FALSE,TRUE),exact(Metadata!D987,"animal-associated habitat"))</f>
        <v>0</v>
      </c>
      <c r="Y987">
        <f>OR(AND(IF(Metadata!E987="",FALSE,TRUE),OR(exact(Metadata!E987,"not applicable"),exact(Metadata!E987,"missing: not collected"),exact(Metadata!E987,"missing: not provided"),exact(Metadata!E987,"missing: restricted access"))),AND(IF(Metadata!E987="",FALSE,ISNUMBER(VALUE(Metadata!E987))),Metadata!E987&gt;0))</f>
        <v>0</v>
      </c>
      <c r="Z987">
        <f>AND(IF(Metadata!F987="",FALSE,TRUE),exact(Metadata!F987,"weeks"))</f>
        <v>0</v>
      </c>
      <c r="AA987">
        <f>AND(IF(Metadata!G987="",FALSE,TRUE),exact(Metadata!G987,"mouse"))</f>
        <v>0</v>
      </c>
      <c r="AB987">
        <f>AND(IF(Metadata!H987="",FALSE,TRUE),exact(Metadata!H987,"Mus musculus"))</f>
        <v>0</v>
      </c>
      <c r="AC987">
        <f>AND(IF(Metadata!I987="",FALSE,TRUE),exact(Metadata!I987,"10090"))</f>
        <v>0</v>
      </c>
      <c r="AD987">
        <f>OR(AND(IF(Metadata!J987="",FALSE,TRUE),OR(exact(Metadata!J987,"not applicable"),exact(Metadata!J987,"missing: not collected"),exact(Metadata!J987,"missing: not provided"),exact(Metadata!J987,"missing: restricted access"))),AND(IF(Metadata!J987="",FALSE,ISNUMBER(VALUE(Metadata!J987))),Metadata!J987&gt;0))</f>
        <v>0</v>
      </c>
      <c r="AE987">
        <f>AND(IF(Metadata!K987="",FALSE,TRUE),exact(Metadata!K987,"g"))</f>
        <v>0</v>
      </c>
    </row>
    <row r="988" spans="1:31">
      <c r="A988" s="5">
        <f>IF(B988=" "," ",HYPERLINK(CONCATENATE("#metadata!",ADDRESS(INDEX($Q$2:$Q$1001,MATCH(ROWS($O$2:O988),$O$2:$O$1001,0),0),1)),INDEX($T$2:$T$1001,MATCH(ROWS($O$2:O988),$O$2:$O$1001,0),0)))</f>
        <v>0</v>
      </c>
      <c r="B988" s="4">
        <f>IF(OR(INDEX($P$2:$P$1001,MATCH(ROWS($O$2:O988),$O$2:$O$1001,0),1)&gt;=100000,INDEX($V$1005:$AE$1005,1,MATCH(COLUMNS($V$1006:V1006),$V$1006:$AE$1006,0))&gt;=100000), " ",IF(INDEX($V$2:$AE$1001,MATCH(ROWS($O$2:O988),$O$2:$O$1001,0),MATCH(COLUMNS($V$1006:V1006),$V$1006:$AE$1006,0)), HYPERLINK("#",""), HYPERLINK(CONCATENATE("#Metadata!", ADDRESS(INDEX($Q$2:$Q$1001,MATCH(ROWS($O$2:O988),$O$2:$O$1001,0),0), INDEX($V$1004:$AE$1004,1,MATCH(COLUMNS($V$1006:V1006),$V$1006:$AE$1006,0)))),"Fix")))</f>
        <v>0</v>
      </c>
      <c r="C988" s="4">
        <f>IF(OR(INDEX($P$2:$P$1001,MATCH(ROWS($O$2:O988),$O$2:$O$1001,0),1)&gt;=100000,INDEX($V$1005:$AE$1005,1,MATCH(COLUMNS($V$1006:W1006),$V$1006:$AE$1006,0))&gt;=100000), " ",IF(INDEX($V$2:$AE$1001,MATCH(ROWS($O$2:O988),$O$2:$O$1001,0),MATCH(COLUMNS($V$1006:W1006),$V$1006:$AE$1006,0)), HYPERLINK("#",""), HYPERLINK(CONCATENATE("#Metadata!", ADDRESS(INDEX($Q$2:$Q$1001,MATCH(ROWS($O$2:O988),$O$2:$O$1001,0),0), INDEX($V$1004:$AE$1004,1,MATCH(COLUMNS($V$1006:W1006),$V$1006:$AE$1006,0)))),"Fix")))</f>
        <v>0</v>
      </c>
      <c r="D988" s="4">
        <f>IF(OR(INDEX($P$2:$P$1001,MATCH(ROWS($O$2:O988),$O$2:$O$1001,0),1)&gt;=100000,INDEX($V$1005:$AE$1005,1,MATCH(COLUMNS($V$1006:X1006),$V$1006:$AE$1006,0))&gt;=100000), " ",IF(INDEX($V$2:$AE$1001,MATCH(ROWS($O$2:O988),$O$2:$O$1001,0),MATCH(COLUMNS($V$1006:X1006),$V$1006:$AE$1006,0)), HYPERLINK("#",""), HYPERLINK(CONCATENATE("#Metadata!", ADDRESS(INDEX($Q$2:$Q$1001,MATCH(ROWS($O$2:O988),$O$2:$O$1001,0),0), INDEX($V$1004:$AE$1004,1,MATCH(COLUMNS($V$1006:X1006),$V$1006:$AE$1006,0)))),"Fix")))</f>
        <v>0</v>
      </c>
      <c r="E988" s="4">
        <f>IF(OR(INDEX($P$2:$P$1001,MATCH(ROWS($O$2:O988),$O$2:$O$1001,0),1)&gt;=100000,INDEX($V$1005:$AE$1005,1,MATCH(COLUMNS($V$1006:Y1006),$V$1006:$AE$1006,0))&gt;=100000), " ",IF(INDEX($V$2:$AE$1001,MATCH(ROWS($O$2:O988),$O$2:$O$1001,0),MATCH(COLUMNS($V$1006:Y1006),$V$1006:$AE$1006,0)), HYPERLINK("#",""), HYPERLINK(CONCATENATE("#Metadata!", ADDRESS(INDEX($Q$2:$Q$1001,MATCH(ROWS($O$2:O988),$O$2:$O$1001,0),0), INDEX($V$1004:$AE$1004,1,MATCH(COLUMNS($V$1006:Y1006),$V$1006:$AE$1006,0)))),"Fix")))</f>
        <v>0</v>
      </c>
      <c r="F988" s="4">
        <f>IF(OR(INDEX($P$2:$P$1001,MATCH(ROWS($O$2:O988),$O$2:$O$1001,0),1)&gt;=100000,INDEX($V$1005:$AE$1005,1,MATCH(COLUMNS($V$1006:Z1006),$V$1006:$AE$1006,0))&gt;=100000), " ",IF(INDEX($V$2:$AE$1001,MATCH(ROWS($O$2:O988),$O$2:$O$1001,0),MATCH(COLUMNS($V$1006:Z1006),$V$1006:$AE$1006,0)), HYPERLINK("#",""), HYPERLINK(CONCATENATE("#Metadata!", ADDRESS(INDEX($Q$2:$Q$1001,MATCH(ROWS($O$2:O988),$O$2:$O$1001,0),0), INDEX($V$1004:$AE$1004,1,MATCH(COLUMNS($V$1006:Z1006),$V$1006:$AE$1006,0)))),"Fix")))</f>
        <v>0</v>
      </c>
      <c r="G988" s="4">
        <f>IF(OR(INDEX($P$2:$P$1001,MATCH(ROWS($O$2:O988),$O$2:$O$1001,0),1)&gt;=100000,INDEX($V$1005:$AE$1005,1,MATCH(COLUMNS($V$1006:AA1006),$V$1006:$AE$1006,0))&gt;=100000), " ",IF(INDEX($V$2:$AE$1001,MATCH(ROWS($O$2:O988),$O$2:$O$1001,0),MATCH(COLUMNS($V$1006:AA1006),$V$1006:$AE$1006,0)), HYPERLINK("#",""), HYPERLINK(CONCATENATE("#Metadata!", ADDRESS(INDEX($Q$2:$Q$1001,MATCH(ROWS($O$2:O988),$O$2:$O$1001,0),0), INDEX($V$1004:$AE$1004,1,MATCH(COLUMNS($V$1006:AA1006),$V$1006:$AE$1006,0)))),"Fix")))</f>
        <v>0</v>
      </c>
      <c r="H988" s="4">
        <f>IF(OR(INDEX($P$2:$P$1001,MATCH(ROWS($O$2:O988),$O$2:$O$1001,0),1)&gt;=100000,INDEX($V$1005:$AE$1005,1,MATCH(COLUMNS($V$1006:AB1006),$V$1006:$AE$1006,0))&gt;=100000), " ",IF(INDEX($V$2:$AE$1001,MATCH(ROWS($O$2:O988),$O$2:$O$1001,0),MATCH(COLUMNS($V$1006:AB1006),$V$1006:$AE$1006,0)), HYPERLINK("#",""), HYPERLINK(CONCATENATE("#Metadata!", ADDRESS(INDEX($Q$2:$Q$1001,MATCH(ROWS($O$2:O988),$O$2:$O$1001,0),0), INDEX($V$1004:$AE$1004,1,MATCH(COLUMNS($V$1006:AB1006),$V$1006:$AE$1006,0)))),"Fix")))</f>
        <v>0</v>
      </c>
      <c r="I988" s="4">
        <f>IF(OR(INDEX($P$2:$P$1001,MATCH(ROWS($O$2:O988),$O$2:$O$1001,0),1)&gt;=100000,INDEX($V$1005:$AE$1005,1,MATCH(COLUMNS($V$1006:AC1006),$V$1006:$AE$1006,0))&gt;=100000), " ",IF(INDEX($V$2:$AE$1001,MATCH(ROWS($O$2:O988),$O$2:$O$1001,0),MATCH(COLUMNS($V$1006:AC1006),$V$1006:$AE$1006,0)), HYPERLINK("#",""), HYPERLINK(CONCATENATE("#Metadata!", ADDRESS(INDEX($Q$2:$Q$1001,MATCH(ROWS($O$2:O988),$O$2:$O$1001,0),0), INDEX($V$1004:$AE$1004,1,MATCH(COLUMNS($V$1006:AC1006),$V$1006:$AE$1006,0)))),"Fix")))</f>
        <v>0</v>
      </c>
      <c r="J988" s="4">
        <f>IF(OR(INDEX($P$2:$P$1001,MATCH(ROWS($O$2:O988),$O$2:$O$1001,0),1)&gt;=100000,INDEX($V$1005:$AE$1005,1,MATCH(COLUMNS($V$1006:AD1006),$V$1006:$AE$1006,0))&gt;=100000), " ",IF(INDEX($V$2:$AE$1001,MATCH(ROWS($O$2:O988),$O$2:$O$1001,0),MATCH(COLUMNS($V$1006:AD1006),$V$1006:$AE$1006,0)), HYPERLINK("#",""), HYPERLINK(CONCATENATE("#Metadata!", ADDRESS(INDEX($Q$2:$Q$1001,MATCH(ROWS($O$2:O988),$O$2:$O$1001,0),0), INDEX($V$1004:$AE$1004,1,MATCH(COLUMNS($V$1006:AD1006),$V$1006:$AE$1006,0)))),"Fix")))</f>
        <v>0</v>
      </c>
      <c r="K988" s="4">
        <f>IF(OR(INDEX($P$2:$P$1001,MATCH(ROWS($O$2:O988),$O$2:$O$1001,0),1)&gt;=100000,INDEX($V$1005:$AE$1005,1,MATCH(COLUMNS($V$1006:AE1006),$V$1006:$AE$1006,0))&gt;=100000), " ",IF(INDEX($V$2:$AE$1001,MATCH(ROWS($O$2:O988),$O$2:$O$1001,0),MATCH(COLUMNS($V$1006:AE1006),$V$1006:$AE$1006,0)), HYPERLINK("#",""), HYPERLINK(CONCATENATE("#Metadata!", ADDRESS(INDEX($Q$2:$Q$1001,MATCH(ROWS($O$2:O988),$O$2:$O$1001,0),0), INDEX($V$1004:$AE$1004,1,MATCH(COLUMNS($V$1006:AE1006),$V$1006:$AE$1006,0)))),"Fix")))</f>
        <v>0</v>
      </c>
      <c r="O988">
        <v>0</v>
      </c>
      <c r="P988">
        <v>0</v>
      </c>
      <c r="Q988">
        <v>0</v>
      </c>
      <c r="R988">
        <f>IF(S988,TRUE,AND(V988:AE988))</f>
        <v>0</v>
      </c>
      <c r="S988">
        <f>COUNTBLANK(Metadata!B988:K988)=COLUMNS(Metadata!B988:K988)</f>
        <v>0</v>
      </c>
      <c r="T988">
        <v>0</v>
      </c>
      <c r="V988">
        <f>AND(IF(Metadata!B988="",FALSE,TRUE),COUNTIF(Metadata!B:B, Metadata!B988) = 1,NOT(ISERROR(SUMPRODUCT(SEARCH(MID(Metadata!B988,ROW(INDIRECT("1:"&amp;LEN(Metadata!B988))), 1),"0123456789abcdefghijklmnopqrstuvwxyzABCDEFGHIJKLMNOPQRSTUVWXYZ.")))))</f>
        <v>0</v>
      </c>
      <c r="W988">
        <f>AND(IF(Metadata!C988="",FALSE,TRUE),exact(Metadata!C988,"urban biome"))</f>
        <v>0</v>
      </c>
      <c r="X988">
        <f>AND(IF(Metadata!D988="",FALSE,TRUE),exact(Metadata!D988,"animal-associated habitat"))</f>
        <v>0</v>
      </c>
      <c r="Y988">
        <f>OR(AND(IF(Metadata!E988="",FALSE,TRUE),OR(exact(Metadata!E988,"not applicable"),exact(Metadata!E988,"missing: not collected"),exact(Metadata!E988,"missing: not provided"),exact(Metadata!E988,"missing: restricted access"))),AND(IF(Metadata!E988="",FALSE,ISNUMBER(VALUE(Metadata!E988))),Metadata!E988&gt;0))</f>
        <v>0</v>
      </c>
      <c r="Z988">
        <f>AND(IF(Metadata!F988="",FALSE,TRUE),exact(Metadata!F988,"weeks"))</f>
        <v>0</v>
      </c>
      <c r="AA988">
        <f>AND(IF(Metadata!G988="",FALSE,TRUE),exact(Metadata!G988,"mouse"))</f>
        <v>0</v>
      </c>
      <c r="AB988">
        <f>AND(IF(Metadata!H988="",FALSE,TRUE),exact(Metadata!H988,"Mus musculus"))</f>
        <v>0</v>
      </c>
      <c r="AC988">
        <f>AND(IF(Metadata!I988="",FALSE,TRUE),exact(Metadata!I988,"10090"))</f>
        <v>0</v>
      </c>
      <c r="AD988">
        <f>OR(AND(IF(Metadata!J988="",FALSE,TRUE),OR(exact(Metadata!J988,"not applicable"),exact(Metadata!J988,"missing: not collected"),exact(Metadata!J988,"missing: not provided"),exact(Metadata!J988,"missing: restricted access"))),AND(IF(Metadata!J988="",FALSE,ISNUMBER(VALUE(Metadata!J988))),Metadata!J988&gt;0))</f>
        <v>0</v>
      </c>
      <c r="AE988">
        <f>AND(IF(Metadata!K988="",FALSE,TRUE),exact(Metadata!K988,"g"))</f>
        <v>0</v>
      </c>
    </row>
    <row r="989" spans="1:31">
      <c r="A989" s="5">
        <f>IF(B989=" "," ",HYPERLINK(CONCATENATE("#metadata!",ADDRESS(INDEX($Q$2:$Q$1001,MATCH(ROWS($O$2:O989),$O$2:$O$1001,0),0),1)),INDEX($T$2:$T$1001,MATCH(ROWS($O$2:O989),$O$2:$O$1001,0),0)))</f>
        <v>0</v>
      </c>
      <c r="B989" s="4">
        <f>IF(OR(INDEX($P$2:$P$1001,MATCH(ROWS($O$2:O989),$O$2:$O$1001,0),1)&gt;=100000,INDEX($V$1005:$AE$1005,1,MATCH(COLUMNS($V$1006:V1006),$V$1006:$AE$1006,0))&gt;=100000), " ",IF(INDEX($V$2:$AE$1001,MATCH(ROWS($O$2:O989),$O$2:$O$1001,0),MATCH(COLUMNS($V$1006:V1006),$V$1006:$AE$1006,0)), HYPERLINK("#",""), HYPERLINK(CONCATENATE("#Metadata!", ADDRESS(INDEX($Q$2:$Q$1001,MATCH(ROWS($O$2:O989),$O$2:$O$1001,0),0), INDEX($V$1004:$AE$1004,1,MATCH(COLUMNS($V$1006:V1006),$V$1006:$AE$1006,0)))),"Fix")))</f>
        <v>0</v>
      </c>
      <c r="C989" s="4">
        <f>IF(OR(INDEX($P$2:$P$1001,MATCH(ROWS($O$2:O989),$O$2:$O$1001,0),1)&gt;=100000,INDEX($V$1005:$AE$1005,1,MATCH(COLUMNS($V$1006:W1006),$V$1006:$AE$1006,0))&gt;=100000), " ",IF(INDEX($V$2:$AE$1001,MATCH(ROWS($O$2:O989),$O$2:$O$1001,0),MATCH(COLUMNS($V$1006:W1006),$V$1006:$AE$1006,0)), HYPERLINK("#",""), HYPERLINK(CONCATENATE("#Metadata!", ADDRESS(INDEX($Q$2:$Q$1001,MATCH(ROWS($O$2:O989),$O$2:$O$1001,0),0), INDEX($V$1004:$AE$1004,1,MATCH(COLUMNS($V$1006:W1006),$V$1006:$AE$1006,0)))),"Fix")))</f>
        <v>0</v>
      </c>
      <c r="D989" s="4">
        <f>IF(OR(INDEX($P$2:$P$1001,MATCH(ROWS($O$2:O989),$O$2:$O$1001,0),1)&gt;=100000,INDEX($V$1005:$AE$1005,1,MATCH(COLUMNS($V$1006:X1006),$V$1006:$AE$1006,0))&gt;=100000), " ",IF(INDEX($V$2:$AE$1001,MATCH(ROWS($O$2:O989),$O$2:$O$1001,0),MATCH(COLUMNS($V$1006:X1006),$V$1006:$AE$1006,0)), HYPERLINK("#",""), HYPERLINK(CONCATENATE("#Metadata!", ADDRESS(INDEX($Q$2:$Q$1001,MATCH(ROWS($O$2:O989),$O$2:$O$1001,0),0), INDEX($V$1004:$AE$1004,1,MATCH(COLUMNS($V$1006:X1006),$V$1006:$AE$1006,0)))),"Fix")))</f>
        <v>0</v>
      </c>
      <c r="E989" s="4">
        <f>IF(OR(INDEX($P$2:$P$1001,MATCH(ROWS($O$2:O989),$O$2:$O$1001,0),1)&gt;=100000,INDEX($V$1005:$AE$1005,1,MATCH(COLUMNS($V$1006:Y1006),$V$1006:$AE$1006,0))&gt;=100000), " ",IF(INDEX($V$2:$AE$1001,MATCH(ROWS($O$2:O989),$O$2:$O$1001,0),MATCH(COLUMNS($V$1006:Y1006),$V$1006:$AE$1006,0)), HYPERLINK("#",""), HYPERLINK(CONCATENATE("#Metadata!", ADDRESS(INDEX($Q$2:$Q$1001,MATCH(ROWS($O$2:O989),$O$2:$O$1001,0),0), INDEX($V$1004:$AE$1004,1,MATCH(COLUMNS($V$1006:Y1006),$V$1006:$AE$1006,0)))),"Fix")))</f>
        <v>0</v>
      </c>
      <c r="F989" s="4">
        <f>IF(OR(INDEX($P$2:$P$1001,MATCH(ROWS($O$2:O989),$O$2:$O$1001,0),1)&gt;=100000,INDEX($V$1005:$AE$1005,1,MATCH(COLUMNS($V$1006:Z1006),$V$1006:$AE$1006,0))&gt;=100000), " ",IF(INDEX($V$2:$AE$1001,MATCH(ROWS($O$2:O989),$O$2:$O$1001,0),MATCH(COLUMNS($V$1006:Z1006),$V$1006:$AE$1006,0)), HYPERLINK("#",""), HYPERLINK(CONCATENATE("#Metadata!", ADDRESS(INDEX($Q$2:$Q$1001,MATCH(ROWS($O$2:O989),$O$2:$O$1001,0),0), INDEX($V$1004:$AE$1004,1,MATCH(COLUMNS($V$1006:Z1006),$V$1006:$AE$1006,0)))),"Fix")))</f>
        <v>0</v>
      </c>
      <c r="G989" s="4">
        <f>IF(OR(INDEX($P$2:$P$1001,MATCH(ROWS($O$2:O989),$O$2:$O$1001,0),1)&gt;=100000,INDEX($V$1005:$AE$1005,1,MATCH(COLUMNS($V$1006:AA1006),$V$1006:$AE$1006,0))&gt;=100000), " ",IF(INDEX($V$2:$AE$1001,MATCH(ROWS($O$2:O989),$O$2:$O$1001,0),MATCH(COLUMNS($V$1006:AA1006),$V$1006:$AE$1006,0)), HYPERLINK("#",""), HYPERLINK(CONCATENATE("#Metadata!", ADDRESS(INDEX($Q$2:$Q$1001,MATCH(ROWS($O$2:O989),$O$2:$O$1001,0),0), INDEX($V$1004:$AE$1004,1,MATCH(COLUMNS($V$1006:AA1006),$V$1006:$AE$1006,0)))),"Fix")))</f>
        <v>0</v>
      </c>
      <c r="H989" s="4">
        <f>IF(OR(INDEX($P$2:$P$1001,MATCH(ROWS($O$2:O989),$O$2:$O$1001,0),1)&gt;=100000,INDEX($V$1005:$AE$1005,1,MATCH(COLUMNS($V$1006:AB1006),$V$1006:$AE$1006,0))&gt;=100000), " ",IF(INDEX($V$2:$AE$1001,MATCH(ROWS($O$2:O989),$O$2:$O$1001,0),MATCH(COLUMNS($V$1006:AB1006),$V$1006:$AE$1006,0)), HYPERLINK("#",""), HYPERLINK(CONCATENATE("#Metadata!", ADDRESS(INDEX($Q$2:$Q$1001,MATCH(ROWS($O$2:O989),$O$2:$O$1001,0),0), INDEX($V$1004:$AE$1004,1,MATCH(COLUMNS($V$1006:AB1006),$V$1006:$AE$1006,0)))),"Fix")))</f>
        <v>0</v>
      </c>
      <c r="I989" s="4">
        <f>IF(OR(INDEX($P$2:$P$1001,MATCH(ROWS($O$2:O989),$O$2:$O$1001,0),1)&gt;=100000,INDEX($V$1005:$AE$1005,1,MATCH(COLUMNS($V$1006:AC1006),$V$1006:$AE$1006,0))&gt;=100000), " ",IF(INDEX($V$2:$AE$1001,MATCH(ROWS($O$2:O989),$O$2:$O$1001,0),MATCH(COLUMNS($V$1006:AC1006),$V$1006:$AE$1006,0)), HYPERLINK("#",""), HYPERLINK(CONCATENATE("#Metadata!", ADDRESS(INDEX($Q$2:$Q$1001,MATCH(ROWS($O$2:O989),$O$2:$O$1001,0),0), INDEX($V$1004:$AE$1004,1,MATCH(COLUMNS($V$1006:AC1006),$V$1006:$AE$1006,0)))),"Fix")))</f>
        <v>0</v>
      </c>
      <c r="J989" s="4">
        <f>IF(OR(INDEX($P$2:$P$1001,MATCH(ROWS($O$2:O989),$O$2:$O$1001,0),1)&gt;=100000,INDEX($V$1005:$AE$1005,1,MATCH(COLUMNS($V$1006:AD1006),$V$1006:$AE$1006,0))&gt;=100000), " ",IF(INDEX($V$2:$AE$1001,MATCH(ROWS($O$2:O989),$O$2:$O$1001,0),MATCH(COLUMNS($V$1006:AD1006),$V$1006:$AE$1006,0)), HYPERLINK("#",""), HYPERLINK(CONCATENATE("#Metadata!", ADDRESS(INDEX($Q$2:$Q$1001,MATCH(ROWS($O$2:O989),$O$2:$O$1001,0),0), INDEX($V$1004:$AE$1004,1,MATCH(COLUMNS($V$1006:AD1006),$V$1006:$AE$1006,0)))),"Fix")))</f>
        <v>0</v>
      </c>
      <c r="K989" s="4">
        <f>IF(OR(INDEX($P$2:$P$1001,MATCH(ROWS($O$2:O989),$O$2:$O$1001,0),1)&gt;=100000,INDEX($V$1005:$AE$1005,1,MATCH(COLUMNS($V$1006:AE1006),$V$1006:$AE$1006,0))&gt;=100000), " ",IF(INDEX($V$2:$AE$1001,MATCH(ROWS($O$2:O989),$O$2:$O$1001,0),MATCH(COLUMNS($V$1006:AE1006),$V$1006:$AE$1006,0)), HYPERLINK("#",""), HYPERLINK(CONCATENATE("#Metadata!", ADDRESS(INDEX($Q$2:$Q$1001,MATCH(ROWS($O$2:O989),$O$2:$O$1001,0),0), INDEX($V$1004:$AE$1004,1,MATCH(COLUMNS($V$1006:AE1006),$V$1006:$AE$1006,0)))),"Fix")))</f>
        <v>0</v>
      </c>
      <c r="O989">
        <v>0</v>
      </c>
      <c r="P989">
        <v>0</v>
      </c>
      <c r="Q989">
        <v>0</v>
      </c>
      <c r="R989">
        <f>IF(S989,TRUE,AND(V989:AE989))</f>
        <v>0</v>
      </c>
      <c r="S989">
        <f>COUNTBLANK(Metadata!B989:K989)=COLUMNS(Metadata!B989:K989)</f>
        <v>0</v>
      </c>
      <c r="T989">
        <v>0</v>
      </c>
      <c r="V989">
        <f>AND(IF(Metadata!B989="",FALSE,TRUE),COUNTIF(Metadata!B:B, Metadata!B989) = 1,NOT(ISERROR(SUMPRODUCT(SEARCH(MID(Metadata!B989,ROW(INDIRECT("1:"&amp;LEN(Metadata!B989))), 1),"0123456789abcdefghijklmnopqrstuvwxyzABCDEFGHIJKLMNOPQRSTUVWXYZ.")))))</f>
        <v>0</v>
      </c>
      <c r="W989">
        <f>AND(IF(Metadata!C989="",FALSE,TRUE),exact(Metadata!C989,"urban biome"))</f>
        <v>0</v>
      </c>
      <c r="X989">
        <f>AND(IF(Metadata!D989="",FALSE,TRUE),exact(Metadata!D989,"animal-associated habitat"))</f>
        <v>0</v>
      </c>
      <c r="Y989">
        <f>OR(AND(IF(Metadata!E989="",FALSE,TRUE),OR(exact(Metadata!E989,"not applicable"),exact(Metadata!E989,"missing: not collected"),exact(Metadata!E989,"missing: not provided"),exact(Metadata!E989,"missing: restricted access"))),AND(IF(Metadata!E989="",FALSE,ISNUMBER(VALUE(Metadata!E989))),Metadata!E989&gt;0))</f>
        <v>0</v>
      </c>
      <c r="Z989">
        <f>AND(IF(Metadata!F989="",FALSE,TRUE),exact(Metadata!F989,"weeks"))</f>
        <v>0</v>
      </c>
      <c r="AA989">
        <f>AND(IF(Metadata!G989="",FALSE,TRUE),exact(Metadata!G989,"mouse"))</f>
        <v>0</v>
      </c>
      <c r="AB989">
        <f>AND(IF(Metadata!H989="",FALSE,TRUE),exact(Metadata!H989,"Mus musculus"))</f>
        <v>0</v>
      </c>
      <c r="AC989">
        <f>AND(IF(Metadata!I989="",FALSE,TRUE),exact(Metadata!I989,"10090"))</f>
        <v>0</v>
      </c>
      <c r="AD989">
        <f>OR(AND(IF(Metadata!J989="",FALSE,TRUE),OR(exact(Metadata!J989,"not applicable"),exact(Metadata!J989,"missing: not collected"),exact(Metadata!J989,"missing: not provided"),exact(Metadata!J989,"missing: restricted access"))),AND(IF(Metadata!J989="",FALSE,ISNUMBER(VALUE(Metadata!J989))),Metadata!J989&gt;0))</f>
        <v>0</v>
      </c>
      <c r="AE989">
        <f>AND(IF(Metadata!K989="",FALSE,TRUE),exact(Metadata!K989,"g"))</f>
        <v>0</v>
      </c>
    </row>
    <row r="990" spans="1:31">
      <c r="A990" s="5">
        <f>IF(B990=" "," ",HYPERLINK(CONCATENATE("#metadata!",ADDRESS(INDEX($Q$2:$Q$1001,MATCH(ROWS($O$2:O990),$O$2:$O$1001,0),0),1)),INDEX($T$2:$T$1001,MATCH(ROWS($O$2:O990),$O$2:$O$1001,0),0)))</f>
        <v>0</v>
      </c>
      <c r="B990" s="4">
        <f>IF(OR(INDEX($P$2:$P$1001,MATCH(ROWS($O$2:O990),$O$2:$O$1001,0),1)&gt;=100000,INDEX($V$1005:$AE$1005,1,MATCH(COLUMNS($V$1006:V1006),$V$1006:$AE$1006,0))&gt;=100000), " ",IF(INDEX($V$2:$AE$1001,MATCH(ROWS($O$2:O990),$O$2:$O$1001,0),MATCH(COLUMNS($V$1006:V1006),$V$1006:$AE$1006,0)), HYPERLINK("#",""), HYPERLINK(CONCATENATE("#Metadata!", ADDRESS(INDEX($Q$2:$Q$1001,MATCH(ROWS($O$2:O990),$O$2:$O$1001,0),0), INDEX($V$1004:$AE$1004,1,MATCH(COLUMNS($V$1006:V1006),$V$1006:$AE$1006,0)))),"Fix")))</f>
        <v>0</v>
      </c>
      <c r="C990" s="4">
        <f>IF(OR(INDEX($P$2:$P$1001,MATCH(ROWS($O$2:O990),$O$2:$O$1001,0),1)&gt;=100000,INDEX($V$1005:$AE$1005,1,MATCH(COLUMNS($V$1006:W1006),$V$1006:$AE$1006,0))&gt;=100000), " ",IF(INDEX($V$2:$AE$1001,MATCH(ROWS($O$2:O990),$O$2:$O$1001,0),MATCH(COLUMNS($V$1006:W1006),$V$1006:$AE$1006,0)), HYPERLINK("#",""), HYPERLINK(CONCATENATE("#Metadata!", ADDRESS(INDEX($Q$2:$Q$1001,MATCH(ROWS($O$2:O990),$O$2:$O$1001,0),0), INDEX($V$1004:$AE$1004,1,MATCH(COLUMNS($V$1006:W1006),$V$1006:$AE$1006,0)))),"Fix")))</f>
        <v>0</v>
      </c>
      <c r="D990" s="4">
        <f>IF(OR(INDEX($P$2:$P$1001,MATCH(ROWS($O$2:O990),$O$2:$O$1001,0),1)&gt;=100000,INDEX($V$1005:$AE$1005,1,MATCH(COLUMNS($V$1006:X1006),$V$1006:$AE$1006,0))&gt;=100000), " ",IF(INDEX($V$2:$AE$1001,MATCH(ROWS($O$2:O990),$O$2:$O$1001,0),MATCH(COLUMNS($V$1006:X1006),$V$1006:$AE$1006,0)), HYPERLINK("#",""), HYPERLINK(CONCATENATE("#Metadata!", ADDRESS(INDEX($Q$2:$Q$1001,MATCH(ROWS($O$2:O990),$O$2:$O$1001,0),0), INDEX($V$1004:$AE$1004,1,MATCH(COLUMNS($V$1006:X1006),$V$1006:$AE$1006,0)))),"Fix")))</f>
        <v>0</v>
      </c>
      <c r="E990" s="4">
        <f>IF(OR(INDEX($P$2:$P$1001,MATCH(ROWS($O$2:O990),$O$2:$O$1001,0),1)&gt;=100000,INDEX($V$1005:$AE$1005,1,MATCH(COLUMNS($V$1006:Y1006),$V$1006:$AE$1006,0))&gt;=100000), " ",IF(INDEX($V$2:$AE$1001,MATCH(ROWS($O$2:O990),$O$2:$O$1001,0),MATCH(COLUMNS($V$1006:Y1006),$V$1006:$AE$1006,0)), HYPERLINK("#",""), HYPERLINK(CONCATENATE("#Metadata!", ADDRESS(INDEX($Q$2:$Q$1001,MATCH(ROWS($O$2:O990),$O$2:$O$1001,0),0), INDEX($V$1004:$AE$1004,1,MATCH(COLUMNS($V$1006:Y1006),$V$1006:$AE$1006,0)))),"Fix")))</f>
        <v>0</v>
      </c>
      <c r="F990" s="4">
        <f>IF(OR(INDEX($P$2:$P$1001,MATCH(ROWS($O$2:O990),$O$2:$O$1001,0),1)&gt;=100000,INDEX($V$1005:$AE$1005,1,MATCH(COLUMNS($V$1006:Z1006),$V$1006:$AE$1006,0))&gt;=100000), " ",IF(INDEX($V$2:$AE$1001,MATCH(ROWS($O$2:O990),$O$2:$O$1001,0),MATCH(COLUMNS($V$1006:Z1006),$V$1006:$AE$1006,0)), HYPERLINK("#",""), HYPERLINK(CONCATENATE("#Metadata!", ADDRESS(INDEX($Q$2:$Q$1001,MATCH(ROWS($O$2:O990),$O$2:$O$1001,0),0), INDEX($V$1004:$AE$1004,1,MATCH(COLUMNS($V$1006:Z1006),$V$1006:$AE$1006,0)))),"Fix")))</f>
        <v>0</v>
      </c>
      <c r="G990" s="4">
        <f>IF(OR(INDEX($P$2:$P$1001,MATCH(ROWS($O$2:O990),$O$2:$O$1001,0),1)&gt;=100000,INDEX($V$1005:$AE$1005,1,MATCH(COLUMNS($V$1006:AA1006),$V$1006:$AE$1006,0))&gt;=100000), " ",IF(INDEX($V$2:$AE$1001,MATCH(ROWS($O$2:O990),$O$2:$O$1001,0),MATCH(COLUMNS($V$1006:AA1006),$V$1006:$AE$1006,0)), HYPERLINK("#",""), HYPERLINK(CONCATENATE("#Metadata!", ADDRESS(INDEX($Q$2:$Q$1001,MATCH(ROWS($O$2:O990),$O$2:$O$1001,0),0), INDEX($V$1004:$AE$1004,1,MATCH(COLUMNS($V$1006:AA1006),$V$1006:$AE$1006,0)))),"Fix")))</f>
        <v>0</v>
      </c>
      <c r="H990" s="4">
        <f>IF(OR(INDEX($P$2:$P$1001,MATCH(ROWS($O$2:O990),$O$2:$O$1001,0),1)&gt;=100000,INDEX($V$1005:$AE$1005,1,MATCH(COLUMNS($V$1006:AB1006),$V$1006:$AE$1006,0))&gt;=100000), " ",IF(INDEX($V$2:$AE$1001,MATCH(ROWS($O$2:O990),$O$2:$O$1001,0),MATCH(COLUMNS($V$1006:AB1006),$V$1006:$AE$1006,0)), HYPERLINK("#",""), HYPERLINK(CONCATENATE("#Metadata!", ADDRESS(INDEX($Q$2:$Q$1001,MATCH(ROWS($O$2:O990),$O$2:$O$1001,0),0), INDEX($V$1004:$AE$1004,1,MATCH(COLUMNS($V$1006:AB1006),$V$1006:$AE$1006,0)))),"Fix")))</f>
        <v>0</v>
      </c>
      <c r="I990" s="4">
        <f>IF(OR(INDEX($P$2:$P$1001,MATCH(ROWS($O$2:O990),$O$2:$O$1001,0),1)&gt;=100000,INDEX($V$1005:$AE$1005,1,MATCH(COLUMNS($V$1006:AC1006),$V$1006:$AE$1006,0))&gt;=100000), " ",IF(INDEX($V$2:$AE$1001,MATCH(ROWS($O$2:O990),$O$2:$O$1001,0),MATCH(COLUMNS($V$1006:AC1006),$V$1006:$AE$1006,0)), HYPERLINK("#",""), HYPERLINK(CONCATENATE("#Metadata!", ADDRESS(INDEX($Q$2:$Q$1001,MATCH(ROWS($O$2:O990),$O$2:$O$1001,0),0), INDEX($V$1004:$AE$1004,1,MATCH(COLUMNS($V$1006:AC1006),$V$1006:$AE$1006,0)))),"Fix")))</f>
        <v>0</v>
      </c>
      <c r="J990" s="4">
        <f>IF(OR(INDEX($P$2:$P$1001,MATCH(ROWS($O$2:O990),$O$2:$O$1001,0),1)&gt;=100000,INDEX($V$1005:$AE$1005,1,MATCH(COLUMNS($V$1006:AD1006),$V$1006:$AE$1006,0))&gt;=100000), " ",IF(INDEX($V$2:$AE$1001,MATCH(ROWS($O$2:O990),$O$2:$O$1001,0),MATCH(COLUMNS($V$1006:AD1006),$V$1006:$AE$1006,0)), HYPERLINK("#",""), HYPERLINK(CONCATENATE("#Metadata!", ADDRESS(INDEX($Q$2:$Q$1001,MATCH(ROWS($O$2:O990),$O$2:$O$1001,0),0), INDEX($V$1004:$AE$1004,1,MATCH(COLUMNS($V$1006:AD1006),$V$1006:$AE$1006,0)))),"Fix")))</f>
        <v>0</v>
      </c>
      <c r="K990" s="4">
        <f>IF(OR(INDEX($P$2:$P$1001,MATCH(ROWS($O$2:O990),$O$2:$O$1001,0),1)&gt;=100000,INDEX($V$1005:$AE$1005,1,MATCH(COLUMNS($V$1006:AE1006),$V$1006:$AE$1006,0))&gt;=100000), " ",IF(INDEX($V$2:$AE$1001,MATCH(ROWS($O$2:O990),$O$2:$O$1001,0),MATCH(COLUMNS($V$1006:AE1006),$V$1006:$AE$1006,0)), HYPERLINK("#",""), HYPERLINK(CONCATENATE("#Metadata!", ADDRESS(INDEX($Q$2:$Q$1001,MATCH(ROWS($O$2:O990),$O$2:$O$1001,0),0), INDEX($V$1004:$AE$1004,1,MATCH(COLUMNS($V$1006:AE1006),$V$1006:$AE$1006,0)))),"Fix")))</f>
        <v>0</v>
      </c>
      <c r="O990">
        <v>0</v>
      </c>
      <c r="P990">
        <v>0</v>
      </c>
      <c r="Q990">
        <v>0</v>
      </c>
      <c r="R990">
        <f>IF(S990,TRUE,AND(V990:AE990))</f>
        <v>0</v>
      </c>
      <c r="S990">
        <f>COUNTBLANK(Metadata!B990:K990)=COLUMNS(Metadata!B990:K990)</f>
        <v>0</v>
      </c>
      <c r="T990">
        <v>0</v>
      </c>
      <c r="V990">
        <f>AND(IF(Metadata!B990="",FALSE,TRUE),COUNTIF(Metadata!B:B, Metadata!B990) = 1,NOT(ISERROR(SUMPRODUCT(SEARCH(MID(Metadata!B990,ROW(INDIRECT("1:"&amp;LEN(Metadata!B990))), 1),"0123456789abcdefghijklmnopqrstuvwxyzABCDEFGHIJKLMNOPQRSTUVWXYZ.")))))</f>
        <v>0</v>
      </c>
      <c r="W990">
        <f>AND(IF(Metadata!C990="",FALSE,TRUE),exact(Metadata!C990,"urban biome"))</f>
        <v>0</v>
      </c>
      <c r="X990">
        <f>AND(IF(Metadata!D990="",FALSE,TRUE),exact(Metadata!D990,"animal-associated habitat"))</f>
        <v>0</v>
      </c>
      <c r="Y990">
        <f>OR(AND(IF(Metadata!E990="",FALSE,TRUE),OR(exact(Metadata!E990,"not applicable"),exact(Metadata!E990,"missing: not collected"),exact(Metadata!E990,"missing: not provided"),exact(Metadata!E990,"missing: restricted access"))),AND(IF(Metadata!E990="",FALSE,ISNUMBER(VALUE(Metadata!E990))),Metadata!E990&gt;0))</f>
        <v>0</v>
      </c>
      <c r="Z990">
        <f>AND(IF(Metadata!F990="",FALSE,TRUE),exact(Metadata!F990,"weeks"))</f>
        <v>0</v>
      </c>
      <c r="AA990">
        <f>AND(IF(Metadata!G990="",FALSE,TRUE),exact(Metadata!G990,"mouse"))</f>
        <v>0</v>
      </c>
      <c r="AB990">
        <f>AND(IF(Metadata!H990="",FALSE,TRUE),exact(Metadata!H990,"Mus musculus"))</f>
        <v>0</v>
      </c>
      <c r="AC990">
        <f>AND(IF(Metadata!I990="",FALSE,TRUE),exact(Metadata!I990,"10090"))</f>
        <v>0</v>
      </c>
      <c r="AD990">
        <f>OR(AND(IF(Metadata!J990="",FALSE,TRUE),OR(exact(Metadata!J990,"not applicable"),exact(Metadata!J990,"missing: not collected"),exact(Metadata!J990,"missing: not provided"),exact(Metadata!J990,"missing: restricted access"))),AND(IF(Metadata!J990="",FALSE,ISNUMBER(VALUE(Metadata!J990))),Metadata!J990&gt;0))</f>
        <v>0</v>
      </c>
      <c r="AE990">
        <f>AND(IF(Metadata!K990="",FALSE,TRUE),exact(Metadata!K990,"g"))</f>
        <v>0</v>
      </c>
    </row>
    <row r="991" spans="1:31">
      <c r="A991" s="5">
        <f>IF(B991=" "," ",HYPERLINK(CONCATENATE("#metadata!",ADDRESS(INDEX($Q$2:$Q$1001,MATCH(ROWS($O$2:O991),$O$2:$O$1001,0),0),1)),INDEX($T$2:$T$1001,MATCH(ROWS($O$2:O991),$O$2:$O$1001,0),0)))</f>
        <v>0</v>
      </c>
      <c r="B991" s="4">
        <f>IF(OR(INDEX($P$2:$P$1001,MATCH(ROWS($O$2:O991),$O$2:$O$1001,0),1)&gt;=100000,INDEX($V$1005:$AE$1005,1,MATCH(COLUMNS($V$1006:V1006),$V$1006:$AE$1006,0))&gt;=100000), " ",IF(INDEX($V$2:$AE$1001,MATCH(ROWS($O$2:O991),$O$2:$O$1001,0),MATCH(COLUMNS($V$1006:V1006),$V$1006:$AE$1006,0)), HYPERLINK("#",""), HYPERLINK(CONCATENATE("#Metadata!", ADDRESS(INDEX($Q$2:$Q$1001,MATCH(ROWS($O$2:O991),$O$2:$O$1001,0),0), INDEX($V$1004:$AE$1004,1,MATCH(COLUMNS($V$1006:V1006),$V$1006:$AE$1006,0)))),"Fix")))</f>
        <v>0</v>
      </c>
      <c r="C991" s="4">
        <f>IF(OR(INDEX($P$2:$P$1001,MATCH(ROWS($O$2:O991),$O$2:$O$1001,0),1)&gt;=100000,INDEX($V$1005:$AE$1005,1,MATCH(COLUMNS($V$1006:W1006),$V$1006:$AE$1006,0))&gt;=100000), " ",IF(INDEX($V$2:$AE$1001,MATCH(ROWS($O$2:O991),$O$2:$O$1001,0),MATCH(COLUMNS($V$1006:W1006),$V$1006:$AE$1006,0)), HYPERLINK("#",""), HYPERLINK(CONCATENATE("#Metadata!", ADDRESS(INDEX($Q$2:$Q$1001,MATCH(ROWS($O$2:O991),$O$2:$O$1001,0),0), INDEX($V$1004:$AE$1004,1,MATCH(COLUMNS($V$1006:W1006),$V$1006:$AE$1006,0)))),"Fix")))</f>
        <v>0</v>
      </c>
      <c r="D991" s="4">
        <f>IF(OR(INDEX($P$2:$P$1001,MATCH(ROWS($O$2:O991),$O$2:$O$1001,0),1)&gt;=100000,INDEX($V$1005:$AE$1005,1,MATCH(COLUMNS($V$1006:X1006),$V$1006:$AE$1006,0))&gt;=100000), " ",IF(INDEX($V$2:$AE$1001,MATCH(ROWS($O$2:O991),$O$2:$O$1001,0),MATCH(COLUMNS($V$1006:X1006),$V$1006:$AE$1006,0)), HYPERLINK("#",""), HYPERLINK(CONCATENATE("#Metadata!", ADDRESS(INDEX($Q$2:$Q$1001,MATCH(ROWS($O$2:O991),$O$2:$O$1001,0),0), INDEX($V$1004:$AE$1004,1,MATCH(COLUMNS($V$1006:X1006),$V$1006:$AE$1006,0)))),"Fix")))</f>
        <v>0</v>
      </c>
      <c r="E991" s="4">
        <f>IF(OR(INDEX($P$2:$P$1001,MATCH(ROWS($O$2:O991),$O$2:$O$1001,0),1)&gt;=100000,INDEX($V$1005:$AE$1005,1,MATCH(COLUMNS($V$1006:Y1006),$V$1006:$AE$1006,0))&gt;=100000), " ",IF(INDEX($V$2:$AE$1001,MATCH(ROWS($O$2:O991),$O$2:$O$1001,0),MATCH(COLUMNS($V$1006:Y1006),$V$1006:$AE$1006,0)), HYPERLINK("#",""), HYPERLINK(CONCATENATE("#Metadata!", ADDRESS(INDEX($Q$2:$Q$1001,MATCH(ROWS($O$2:O991),$O$2:$O$1001,0),0), INDEX($V$1004:$AE$1004,1,MATCH(COLUMNS($V$1006:Y1006),$V$1006:$AE$1006,0)))),"Fix")))</f>
        <v>0</v>
      </c>
      <c r="F991" s="4">
        <f>IF(OR(INDEX($P$2:$P$1001,MATCH(ROWS($O$2:O991),$O$2:$O$1001,0),1)&gt;=100000,INDEX($V$1005:$AE$1005,1,MATCH(COLUMNS($V$1006:Z1006),$V$1006:$AE$1006,0))&gt;=100000), " ",IF(INDEX($V$2:$AE$1001,MATCH(ROWS($O$2:O991),$O$2:$O$1001,0),MATCH(COLUMNS($V$1006:Z1006),$V$1006:$AE$1006,0)), HYPERLINK("#",""), HYPERLINK(CONCATENATE("#Metadata!", ADDRESS(INDEX($Q$2:$Q$1001,MATCH(ROWS($O$2:O991),$O$2:$O$1001,0),0), INDEX($V$1004:$AE$1004,1,MATCH(COLUMNS($V$1006:Z1006),$V$1006:$AE$1006,0)))),"Fix")))</f>
        <v>0</v>
      </c>
      <c r="G991" s="4">
        <f>IF(OR(INDEX($P$2:$P$1001,MATCH(ROWS($O$2:O991),$O$2:$O$1001,0),1)&gt;=100000,INDEX($V$1005:$AE$1005,1,MATCH(COLUMNS($V$1006:AA1006),$V$1006:$AE$1006,0))&gt;=100000), " ",IF(INDEX($V$2:$AE$1001,MATCH(ROWS($O$2:O991),$O$2:$O$1001,0),MATCH(COLUMNS($V$1006:AA1006),$V$1006:$AE$1006,0)), HYPERLINK("#",""), HYPERLINK(CONCATENATE("#Metadata!", ADDRESS(INDEX($Q$2:$Q$1001,MATCH(ROWS($O$2:O991),$O$2:$O$1001,0),0), INDEX($V$1004:$AE$1004,1,MATCH(COLUMNS($V$1006:AA1006),$V$1006:$AE$1006,0)))),"Fix")))</f>
        <v>0</v>
      </c>
      <c r="H991" s="4">
        <f>IF(OR(INDEX($P$2:$P$1001,MATCH(ROWS($O$2:O991),$O$2:$O$1001,0),1)&gt;=100000,INDEX($V$1005:$AE$1005,1,MATCH(COLUMNS($V$1006:AB1006),$V$1006:$AE$1006,0))&gt;=100000), " ",IF(INDEX($V$2:$AE$1001,MATCH(ROWS($O$2:O991),$O$2:$O$1001,0),MATCH(COLUMNS($V$1006:AB1006),$V$1006:$AE$1006,0)), HYPERLINK("#",""), HYPERLINK(CONCATENATE("#Metadata!", ADDRESS(INDEX($Q$2:$Q$1001,MATCH(ROWS($O$2:O991),$O$2:$O$1001,0),0), INDEX($V$1004:$AE$1004,1,MATCH(COLUMNS($V$1006:AB1006),$V$1006:$AE$1006,0)))),"Fix")))</f>
        <v>0</v>
      </c>
      <c r="I991" s="4">
        <f>IF(OR(INDEX($P$2:$P$1001,MATCH(ROWS($O$2:O991),$O$2:$O$1001,0),1)&gt;=100000,INDEX($V$1005:$AE$1005,1,MATCH(COLUMNS($V$1006:AC1006),$V$1006:$AE$1006,0))&gt;=100000), " ",IF(INDEX($V$2:$AE$1001,MATCH(ROWS($O$2:O991),$O$2:$O$1001,0),MATCH(COLUMNS($V$1006:AC1006),$V$1006:$AE$1006,0)), HYPERLINK("#",""), HYPERLINK(CONCATENATE("#Metadata!", ADDRESS(INDEX($Q$2:$Q$1001,MATCH(ROWS($O$2:O991),$O$2:$O$1001,0),0), INDEX($V$1004:$AE$1004,1,MATCH(COLUMNS($V$1006:AC1006),$V$1006:$AE$1006,0)))),"Fix")))</f>
        <v>0</v>
      </c>
      <c r="J991" s="4">
        <f>IF(OR(INDEX($P$2:$P$1001,MATCH(ROWS($O$2:O991),$O$2:$O$1001,0),1)&gt;=100000,INDEX($V$1005:$AE$1005,1,MATCH(COLUMNS($V$1006:AD1006),$V$1006:$AE$1006,0))&gt;=100000), " ",IF(INDEX($V$2:$AE$1001,MATCH(ROWS($O$2:O991),$O$2:$O$1001,0),MATCH(COLUMNS($V$1006:AD1006),$V$1006:$AE$1006,0)), HYPERLINK("#",""), HYPERLINK(CONCATENATE("#Metadata!", ADDRESS(INDEX($Q$2:$Q$1001,MATCH(ROWS($O$2:O991),$O$2:$O$1001,0),0), INDEX($V$1004:$AE$1004,1,MATCH(COLUMNS($V$1006:AD1006),$V$1006:$AE$1006,0)))),"Fix")))</f>
        <v>0</v>
      </c>
      <c r="K991" s="4">
        <f>IF(OR(INDEX($P$2:$P$1001,MATCH(ROWS($O$2:O991),$O$2:$O$1001,0),1)&gt;=100000,INDEX($V$1005:$AE$1005,1,MATCH(COLUMNS($V$1006:AE1006),$V$1006:$AE$1006,0))&gt;=100000), " ",IF(INDEX($V$2:$AE$1001,MATCH(ROWS($O$2:O991),$O$2:$O$1001,0),MATCH(COLUMNS($V$1006:AE1006),$V$1006:$AE$1006,0)), HYPERLINK("#",""), HYPERLINK(CONCATENATE("#Metadata!", ADDRESS(INDEX($Q$2:$Q$1001,MATCH(ROWS($O$2:O991),$O$2:$O$1001,0),0), INDEX($V$1004:$AE$1004,1,MATCH(COLUMNS($V$1006:AE1006),$V$1006:$AE$1006,0)))),"Fix")))</f>
        <v>0</v>
      </c>
      <c r="O991">
        <v>0</v>
      </c>
      <c r="P991">
        <v>0</v>
      </c>
      <c r="Q991">
        <v>0</v>
      </c>
      <c r="R991">
        <f>IF(S991,TRUE,AND(V991:AE991))</f>
        <v>0</v>
      </c>
      <c r="S991">
        <f>COUNTBLANK(Metadata!B991:K991)=COLUMNS(Metadata!B991:K991)</f>
        <v>0</v>
      </c>
      <c r="T991">
        <v>0</v>
      </c>
      <c r="V991">
        <f>AND(IF(Metadata!B991="",FALSE,TRUE),COUNTIF(Metadata!B:B, Metadata!B991) = 1,NOT(ISERROR(SUMPRODUCT(SEARCH(MID(Metadata!B991,ROW(INDIRECT("1:"&amp;LEN(Metadata!B991))), 1),"0123456789abcdefghijklmnopqrstuvwxyzABCDEFGHIJKLMNOPQRSTUVWXYZ.")))))</f>
        <v>0</v>
      </c>
      <c r="W991">
        <f>AND(IF(Metadata!C991="",FALSE,TRUE),exact(Metadata!C991,"urban biome"))</f>
        <v>0</v>
      </c>
      <c r="X991">
        <f>AND(IF(Metadata!D991="",FALSE,TRUE),exact(Metadata!D991,"animal-associated habitat"))</f>
        <v>0</v>
      </c>
      <c r="Y991">
        <f>OR(AND(IF(Metadata!E991="",FALSE,TRUE),OR(exact(Metadata!E991,"not applicable"),exact(Metadata!E991,"missing: not collected"),exact(Metadata!E991,"missing: not provided"),exact(Metadata!E991,"missing: restricted access"))),AND(IF(Metadata!E991="",FALSE,ISNUMBER(VALUE(Metadata!E991))),Metadata!E991&gt;0))</f>
        <v>0</v>
      </c>
      <c r="Z991">
        <f>AND(IF(Metadata!F991="",FALSE,TRUE),exact(Metadata!F991,"weeks"))</f>
        <v>0</v>
      </c>
      <c r="AA991">
        <f>AND(IF(Metadata!G991="",FALSE,TRUE),exact(Metadata!G991,"mouse"))</f>
        <v>0</v>
      </c>
      <c r="AB991">
        <f>AND(IF(Metadata!H991="",FALSE,TRUE),exact(Metadata!H991,"Mus musculus"))</f>
        <v>0</v>
      </c>
      <c r="AC991">
        <f>AND(IF(Metadata!I991="",FALSE,TRUE),exact(Metadata!I991,"10090"))</f>
        <v>0</v>
      </c>
      <c r="AD991">
        <f>OR(AND(IF(Metadata!J991="",FALSE,TRUE),OR(exact(Metadata!J991,"not applicable"),exact(Metadata!J991,"missing: not collected"),exact(Metadata!J991,"missing: not provided"),exact(Metadata!J991,"missing: restricted access"))),AND(IF(Metadata!J991="",FALSE,ISNUMBER(VALUE(Metadata!J991))),Metadata!J991&gt;0))</f>
        <v>0</v>
      </c>
      <c r="AE991">
        <f>AND(IF(Metadata!K991="",FALSE,TRUE),exact(Metadata!K991,"g"))</f>
        <v>0</v>
      </c>
    </row>
    <row r="992" spans="1:31">
      <c r="A992" s="5">
        <f>IF(B992=" "," ",HYPERLINK(CONCATENATE("#metadata!",ADDRESS(INDEX($Q$2:$Q$1001,MATCH(ROWS($O$2:O992),$O$2:$O$1001,0),0),1)),INDEX($T$2:$T$1001,MATCH(ROWS($O$2:O992),$O$2:$O$1001,0),0)))</f>
        <v>0</v>
      </c>
      <c r="B992" s="4">
        <f>IF(OR(INDEX($P$2:$P$1001,MATCH(ROWS($O$2:O992),$O$2:$O$1001,0),1)&gt;=100000,INDEX($V$1005:$AE$1005,1,MATCH(COLUMNS($V$1006:V1006),$V$1006:$AE$1006,0))&gt;=100000), " ",IF(INDEX($V$2:$AE$1001,MATCH(ROWS($O$2:O992),$O$2:$O$1001,0),MATCH(COLUMNS($V$1006:V1006),$V$1006:$AE$1006,0)), HYPERLINK("#",""), HYPERLINK(CONCATENATE("#Metadata!", ADDRESS(INDEX($Q$2:$Q$1001,MATCH(ROWS($O$2:O992),$O$2:$O$1001,0),0), INDEX($V$1004:$AE$1004,1,MATCH(COLUMNS($V$1006:V1006),$V$1006:$AE$1006,0)))),"Fix")))</f>
        <v>0</v>
      </c>
      <c r="C992" s="4">
        <f>IF(OR(INDEX($P$2:$P$1001,MATCH(ROWS($O$2:O992),$O$2:$O$1001,0),1)&gt;=100000,INDEX($V$1005:$AE$1005,1,MATCH(COLUMNS($V$1006:W1006),$V$1006:$AE$1006,0))&gt;=100000), " ",IF(INDEX($V$2:$AE$1001,MATCH(ROWS($O$2:O992),$O$2:$O$1001,0),MATCH(COLUMNS($V$1006:W1006),$V$1006:$AE$1006,0)), HYPERLINK("#",""), HYPERLINK(CONCATENATE("#Metadata!", ADDRESS(INDEX($Q$2:$Q$1001,MATCH(ROWS($O$2:O992),$O$2:$O$1001,0),0), INDEX($V$1004:$AE$1004,1,MATCH(COLUMNS($V$1006:W1006),$V$1006:$AE$1006,0)))),"Fix")))</f>
        <v>0</v>
      </c>
      <c r="D992" s="4">
        <f>IF(OR(INDEX($P$2:$P$1001,MATCH(ROWS($O$2:O992),$O$2:$O$1001,0),1)&gt;=100000,INDEX($V$1005:$AE$1005,1,MATCH(COLUMNS($V$1006:X1006),$V$1006:$AE$1006,0))&gt;=100000), " ",IF(INDEX($V$2:$AE$1001,MATCH(ROWS($O$2:O992),$O$2:$O$1001,0),MATCH(COLUMNS($V$1006:X1006),$V$1006:$AE$1006,0)), HYPERLINK("#",""), HYPERLINK(CONCATENATE("#Metadata!", ADDRESS(INDEX($Q$2:$Q$1001,MATCH(ROWS($O$2:O992),$O$2:$O$1001,0),0), INDEX($V$1004:$AE$1004,1,MATCH(COLUMNS($V$1006:X1006),$V$1006:$AE$1006,0)))),"Fix")))</f>
        <v>0</v>
      </c>
      <c r="E992" s="4">
        <f>IF(OR(INDEX($P$2:$P$1001,MATCH(ROWS($O$2:O992),$O$2:$O$1001,0),1)&gt;=100000,INDEX($V$1005:$AE$1005,1,MATCH(COLUMNS($V$1006:Y1006),$V$1006:$AE$1006,0))&gt;=100000), " ",IF(INDEX($V$2:$AE$1001,MATCH(ROWS($O$2:O992),$O$2:$O$1001,0),MATCH(COLUMNS($V$1006:Y1006),$V$1006:$AE$1006,0)), HYPERLINK("#",""), HYPERLINK(CONCATENATE("#Metadata!", ADDRESS(INDEX($Q$2:$Q$1001,MATCH(ROWS($O$2:O992),$O$2:$O$1001,0),0), INDEX($V$1004:$AE$1004,1,MATCH(COLUMNS($V$1006:Y1006),$V$1006:$AE$1006,0)))),"Fix")))</f>
        <v>0</v>
      </c>
      <c r="F992" s="4">
        <f>IF(OR(INDEX($P$2:$P$1001,MATCH(ROWS($O$2:O992),$O$2:$O$1001,0),1)&gt;=100000,INDEX($V$1005:$AE$1005,1,MATCH(COLUMNS($V$1006:Z1006),$V$1006:$AE$1006,0))&gt;=100000), " ",IF(INDEX($V$2:$AE$1001,MATCH(ROWS($O$2:O992),$O$2:$O$1001,0),MATCH(COLUMNS($V$1006:Z1006),$V$1006:$AE$1006,0)), HYPERLINK("#",""), HYPERLINK(CONCATENATE("#Metadata!", ADDRESS(INDEX($Q$2:$Q$1001,MATCH(ROWS($O$2:O992),$O$2:$O$1001,0),0), INDEX($V$1004:$AE$1004,1,MATCH(COLUMNS($V$1006:Z1006),$V$1006:$AE$1006,0)))),"Fix")))</f>
        <v>0</v>
      </c>
      <c r="G992" s="4">
        <f>IF(OR(INDEX($P$2:$P$1001,MATCH(ROWS($O$2:O992),$O$2:$O$1001,0),1)&gt;=100000,INDEX($V$1005:$AE$1005,1,MATCH(COLUMNS($V$1006:AA1006),$V$1006:$AE$1006,0))&gt;=100000), " ",IF(INDEX($V$2:$AE$1001,MATCH(ROWS($O$2:O992),$O$2:$O$1001,0),MATCH(COLUMNS($V$1006:AA1006),$V$1006:$AE$1006,0)), HYPERLINK("#",""), HYPERLINK(CONCATENATE("#Metadata!", ADDRESS(INDEX($Q$2:$Q$1001,MATCH(ROWS($O$2:O992),$O$2:$O$1001,0),0), INDEX($V$1004:$AE$1004,1,MATCH(COLUMNS($V$1006:AA1006),$V$1006:$AE$1006,0)))),"Fix")))</f>
        <v>0</v>
      </c>
      <c r="H992" s="4">
        <f>IF(OR(INDEX($P$2:$P$1001,MATCH(ROWS($O$2:O992),$O$2:$O$1001,0),1)&gt;=100000,INDEX($V$1005:$AE$1005,1,MATCH(COLUMNS($V$1006:AB1006),$V$1006:$AE$1006,0))&gt;=100000), " ",IF(INDEX($V$2:$AE$1001,MATCH(ROWS($O$2:O992),$O$2:$O$1001,0),MATCH(COLUMNS($V$1006:AB1006),$V$1006:$AE$1006,0)), HYPERLINK("#",""), HYPERLINK(CONCATENATE("#Metadata!", ADDRESS(INDEX($Q$2:$Q$1001,MATCH(ROWS($O$2:O992),$O$2:$O$1001,0),0), INDEX($V$1004:$AE$1004,1,MATCH(COLUMNS($V$1006:AB1006),$V$1006:$AE$1006,0)))),"Fix")))</f>
        <v>0</v>
      </c>
      <c r="I992" s="4">
        <f>IF(OR(INDEX($P$2:$P$1001,MATCH(ROWS($O$2:O992),$O$2:$O$1001,0),1)&gt;=100000,INDEX($V$1005:$AE$1005,1,MATCH(COLUMNS($V$1006:AC1006),$V$1006:$AE$1006,0))&gt;=100000), " ",IF(INDEX($V$2:$AE$1001,MATCH(ROWS($O$2:O992),$O$2:$O$1001,0),MATCH(COLUMNS($V$1006:AC1006),$V$1006:$AE$1006,0)), HYPERLINK("#",""), HYPERLINK(CONCATENATE("#Metadata!", ADDRESS(INDEX($Q$2:$Q$1001,MATCH(ROWS($O$2:O992),$O$2:$O$1001,0),0), INDEX($V$1004:$AE$1004,1,MATCH(COLUMNS($V$1006:AC1006),$V$1006:$AE$1006,0)))),"Fix")))</f>
        <v>0</v>
      </c>
      <c r="J992" s="4">
        <f>IF(OR(INDEX($P$2:$P$1001,MATCH(ROWS($O$2:O992),$O$2:$O$1001,0),1)&gt;=100000,INDEX($V$1005:$AE$1005,1,MATCH(COLUMNS($V$1006:AD1006),$V$1006:$AE$1006,0))&gt;=100000), " ",IF(INDEX($V$2:$AE$1001,MATCH(ROWS($O$2:O992),$O$2:$O$1001,0),MATCH(COLUMNS($V$1006:AD1006),$V$1006:$AE$1006,0)), HYPERLINK("#",""), HYPERLINK(CONCATENATE("#Metadata!", ADDRESS(INDEX($Q$2:$Q$1001,MATCH(ROWS($O$2:O992),$O$2:$O$1001,0),0), INDEX($V$1004:$AE$1004,1,MATCH(COLUMNS($V$1006:AD1006),$V$1006:$AE$1006,0)))),"Fix")))</f>
        <v>0</v>
      </c>
      <c r="K992" s="4">
        <f>IF(OR(INDEX($P$2:$P$1001,MATCH(ROWS($O$2:O992),$O$2:$O$1001,0),1)&gt;=100000,INDEX($V$1005:$AE$1005,1,MATCH(COLUMNS($V$1006:AE1006),$V$1006:$AE$1006,0))&gt;=100000), " ",IF(INDEX($V$2:$AE$1001,MATCH(ROWS($O$2:O992),$O$2:$O$1001,0),MATCH(COLUMNS($V$1006:AE1006),$V$1006:$AE$1006,0)), HYPERLINK("#",""), HYPERLINK(CONCATENATE("#Metadata!", ADDRESS(INDEX($Q$2:$Q$1001,MATCH(ROWS($O$2:O992),$O$2:$O$1001,0),0), INDEX($V$1004:$AE$1004,1,MATCH(COLUMNS($V$1006:AE1006),$V$1006:$AE$1006,0)))),"Fix")))</f>
        <v>0</v>
      </c>
      <c r="O992">
        <v>0</v>
      </c>
      <c r="P992">
        <v>0</v>
      </c>
      <c r="Q992">
        <v>0</v>
      </c>
      <c r="R992">
        <f>IF(S992,TRUE,AND(V992:AE992))</f>
        <v>0</v>
      </c>
      <c r="S992">
        <f>COUNTBLANK(Metadata!B992:K992)=COLUMNS(Metadata!B992:K992)</f>
        <v>0</v>
      </c>
      <c r="T992">
        <v>0</v>
      </c>
      <c r="V992">
        <f>AND(IF(Metadata!B992="",FALSE,TRUE),COUNTIF(Metadata!B:B, Metadata!B992) = 1,NOT(ISERROR(SUMPRODUCT(SEARCH(MID(Metadata!B992,ROW(INDIRECT("1:"&amp;LEN(Metadata!B992))), 1),"0123456789abcdefghijklmnopqrstuvwxyzABCDEFGHIJKLMNOPQRSTUVWXYZ.")))))</f>
        <v>0</v>
      </c>
      <c r="W992">
        <f>AND(IF(Metadata!C992="",FALSE,TRUE),exact(Metadata!C992,"urban biome"))</f>
        <v>0</v>
      </c>
      <c r="X992">
        <f>AND(IF(Metadata!D992="",FALSE,TRUE),exact(Metadata!D992,"animal-associated habitat"))</f>
        <v>0</v>
      </c>
      <c r="Y992">
        <f>OR(AND(IF(Metadata!E992="",FALSE,TRUE),OR(exact(Metadata!E992,"not applicable"),exact(Metadata!E992,"missing: not collected"),exact(Metadata!E992,"missing: not provided"),exact(Metadata!E992,"missing: restricted access"))),AND(IF(Metadata!E992="",FALSE,ISNUMBER(VALUE(Metadata!E992))),Metadata!E992&gt;0))</f>
        <v>0</v>
      </c>
      <c r="Z992">
        <f>AND(IF(Metadata!F992="",FALSE,TRUE),exact(Metadata!F992,"weeks"))</f>
        <v>0</v>
      </c>
      <c r="AA992">
        <f>AND(IF(Metadata!G992="",FALSE,TRUE),exact(Metadata!G992,"mouse"))</f>
        <v>0</v>
      </c>
      <c r="AB992">
        <f>AND(IF(Metadata!H992="",FALSE,TRUE),exact(Metadata!H992,"Mus musculus"))</f>
        <v>0</v>
      </c>
      <c r="AC992">
        <f>AND(IF(Metadata!I992="",FALSE,TRUE),exact(Metadata!I992,"10090"))</f>
        <v>0</v>
      </c>
      <c r="AD992">
        <f>OR(AND(IF(Metadata!J992="",FALSE,TRUE),OR(exact(Metadata!J992,"not applicable"),exact(Metadata!J992,"missing: not collected"),exact(Metadata!J992,"missing: not provided"),exact(Metadata!J992,"missing: restricted access"))),AND(IF(Metadata!J992="",FALSE,ISNUMBER(VALUE(Metadata!J992))),Metadata!J992&gt;0))</f>
        <v>0</v>
      </c>
      <c r="AE992">
        <f>AND(IF(Metadata!K992="",FALSE,TRUE),exact(Metadata!K992,"g"))</f>
        <v>0</v>
      </c>
    </row>
    <row r="993" spans="1:31">
      <c r="A993" s="5">
        <f>IF(B993=" "," ",HYPERLINK(CONCATENATE("#metadata!",ADDRESS(INDEX($Q$2:$Q$1001,MATCH(ROWS($O$2:O993),$O$2:$O$1001,0),0),1)),INDEX($T$2:$T$1001,MATCH(ROWS($O$2:O993),$O$2:$O$1001,0),0)))</f>
        <v>0</v>
      </c>
      <c r="B993" s="4">
        <f>IF(OR(INDEX($P$2:$P$1001,MATCH(ROWS($O$2:O993),$O$2:$O$1001,0),1)&gt;=100000,INDEX($V$1005:$AE$1005,1,MATCH(COLUMNS($V$1006:V1006),$V$1006:$AE$1006,0))&gt;=100000), " ",IF(INDEX($V$2:$AE$1001,MATCH(ROWS($O$2:O993),$O$2:$O$1001,0),MATCH(COLUMNS($V$1006:V1006),$V$1006:$AE$1006,0)), HYPERLINK("#",""), HYPERLINK(CONCATENATE("#Metadata!", ADDRESS(INDEX($Q$2:$Q$1001,MATCH(ROWS($O$2:O993),$O$2:$O$1001,0),0), INDEX($V$1004:$AE$1004,1,MATCH(COLUMNS($V$1006:V1006),$V$1006:$AE$1006,0)))),"Fix")))</f>
        <v>0</v>
      </c>
      <c r="C993" s="4">
        <f>IF(OR(INDEX($P$2:$P$1001,MATCH(ROWS($O$2:O993),$O$2:$O$1001,0),1)&gt;=100000,INDEX($V$1005:$AE$1005,1,MATCH(COLUMNS($V$1006:W1006),$V$1006:$AE$1006,0))&gt;=100000), " ",IF(INDEX($V$2:$AE$1001,MATCH(ROWS($O$2:O993),$O$2:$O$1001,0),MATCH(COLUMNS($V$1006:W1006),$V$1006:$AE$1006,0)), HYPERLINK("#",""), HYPERLINK(CONCATENATE("#Metadata!", ADDRESS(INDEX($Q$2:$Q$1001,MATCH(ROWS($O$2:O993),$O$2:$O$1001,0),0), INDEX($V$1004:$AE$1004,1,MATCH(COLUMNS($V$1006:W1006),$V$1006:$AE$1006,0)))),"Fix")))</f>
        <v>0</v>
      </c>
      <c r="D993" s="4">
        <f>IF(OR(INDEX($P$2:$P$1001,MATCH(ROWS($O$2:O993),$O$2:$O$1001,0),1)&gt;=100000,INDEX($V$1005:$AE$1005,1,MATCH(COLUMNS($V$1006:X1006),$V$1006:$AE$1006,0))&gt;=100000), " ",IF(INDEX($V$2:$AE$1001,MATCH(ROWS($O$2:O993),$O$2:$O$1001,0),MATCH(COLUMNS($V$1006:X1006),$V$1006:$AE$1006,0)), HYPERLINK("#",""), HYPERLINK(CONCATENATE("#Metadata!", ADDRESS(INDEX($Q$2:$Q$1001,MATCH(ROWS($O$2:O993),$O$2:$O$1001,0),0), INDEX($V$1004:$AE$1004,1,MATCH(COLUMNS($V$1006:X1006),$V$1006:$AE$1006,0)))),"Fix")))</f>
        <v>0</v>
      </c>
      <c r="E993" s="4">
        <f>IF(OR(INDEX($P$2:$P$1001,MATCH(ROWS($O$2:O993),$O$2:$O$1001,0),1)&gt;=100000,INDEX($V$1005:$AE$1005,1,MATCH(COLUMNS($V$1006:Y1006),$V$1006:$AE$1006,0))&gt;=100000), " ",IF(INDEX($V$2:$AE$1001,MATCH(ROWS($O$2:O993),$O$2:$O$1001,0),MATCH(COLUMNS($V$1006:Y1006),$V$1006:$AE$1006,0)), HYPERLINK("#",""), HYPERLINK(CONCATENATE("#Metadata!", ADDRESS(INDEX($Q$2:$Q$1001,MATCH(ROWS($O$2:O993),$O$2:$O$1001,0),0), INDEX($V$1004:$AE$1004,1,MATCH(COLUMNS($V$1006:Y1006),$V$1006:$AE$1006,0)))),"Fix")))</f>
        <v>0</v>
      </c>
      <c r="F993" s="4">
        <f>IF(OR(INDEX($P$2:$P$1001,MATCH(ROWS($O$2:O993),$O$2:$O$1001,0),1)&gt;=100000,INDEX($V$1005:$AE$1005,1,MATCH(COLUMNS($V$1006:Z1006),$V$1006:$AE$1006,0))&gt;=100000), " ",IF(INDEX($V$2:$AE$1001,MATCH(ROWS($O$2:O993),$O$2:$O$1001,0),MATCH(COLUMNS($V$1006:Z1006),$V$1006:$AE$1006,0)), HYPERLINK("#",""), HYPERLINK(CONCATENATE("#Metadata!", ADDRESS(INDEX($Q$2:$Q$1001,MATCH(ROWS($O$2:O993),$O$2:$O$1001,0),0), INDEX($V$1004:$AE$1004,1,MATCH(COLUMNS($V$1006:Z1006),$V$1006:$AE$1006,0)))),"Fix")))</f>
        <v>0</v>
      </c>
      <c r="G993" s="4">
        <f>IF(OR(INDEX($P$2:$P$1001,MATCH(ROWS($O$2:O993),$O$2:$O$1001,0),1)&gt;=100000,INDEX($V$1005:$AE$1005,1,MATCH(COLUMNS($V$1006:AA1006),$V$1006:$AE$1006,0))&gt;=100000), " ",IF(INDEX($V$2:$AE$1001,MATCH(ROWS($O$2:O993),$O$2:$O$1001,0),MATCH(COLUMNS($V$1006:AA1006),$V$1006:$AE$1006,0)), HYPERLINK("#",""), HYPERLINK(CONCATENATE("#Metadata!", ADDRESS(INDEX($Q$2:$Q$1001,MATCH(ROWS($O$2:O993),$O$2:$O$1001,0),0), INDEX($V$1004:$AE$1004,1,MATCH(COLUMNS($V$1006:AA1006),$V$1006:$AE$1006,0)))),"Fix")))</f>
        <v>0</v>
      </c>
      <c r="H993" s="4">
        <f>IF(OR(INDEX($P$2:$P$1001,MATCH(ROWS($O$2:O993),$O$2:$O$1001,0),1)&gt;=100000,INDEX($V$1005:$AE$1005,1,MATCH(COLUMNS($V$1006:AB1006),$V$1006:$AE$1006,0))&gt;=100000), " ",IF(INDEX($V$2:$AE$1001,MATCH(ROWS($O$2:O993),$O$2:$O$1001,0),MATCH(COLUMNS($V$1006:AB1006),$V$1006:$AE$1006,0)), HYPERLINK("#",""), HYPERLINK(CONCATENATE("#Metadata!", ADDRESS(INDEX($Q$2:$Q$1001,MATCH(ROWS($O$2:O993),$O$2:$O$1001,0),0), INDEX($V$1004:$AE$1004,1,MATCH(COLUMNS($V$1006:AB1006),$V$1006:$AE$1006,0)))),"Fix")))</f>
        <v>0</v>
      </c>
      <c r="I993" s="4">
        <f>IF(OR(INDEX($P$2:$P$1001,MATCH(ROWS($O$2:O993),$O$2:$O$1001,0),1)&gt;=100000,INDEX($V$1005:$AE$1005,1,MATCH(COLUMNS($V$1006:AC1006),$V$1006:$AE$1006,0))&gt;=100000), " ",IF(INDEX($V$2:$AE$1001,MATCH(ROWS($O$2:O993),$O$2:$O$1001,0),MATCH(COLUMNS($V$1006:AC1006),$V$1006:$AE$1006,0)), HYPERLINK("#",""), HYPERLINK(CONCATENATE("#Metadata!", ADDRESS(INDEX($Q$2:$Q$1001,MATCH(ROWS($O$2:O993),$O$2:$O$1001,0),0), INDEX($V$1004:$AE$1004,1,MATCH(COLUMNS($V$1006:AC1006),$V$1006:$AE$1006,0)))),"Fix")))</f>
        <v>0</v>
      </c>
      <c r="J993" s="4">
        <f>IF(OR(INDEX($P$2:$P$1001,MATCH(ROWS($O$2:O993),$O$2:$O$1001,0),1)&gt;=100000,INDEX($V$1005:$AE$1005,1,MATCH(COLUMNS($V$1006:AD1006),$V$1006:$AE$1006,0))&gt;=100000), " ",IF(INDEX($V$2:$AE$1001,MATCH(ROWS($O$2:O993),$O$2:$O$1001,0),MATCH(COLUMNS($V$1006:AD1006),$V$1006:$AE$1006,0)), HYPERLINK("#",""), HYPERLINK(CONCATENATE("#Metadata!", ADDRESS(INDEX($Q$2:$Q$1001,MATCH(ROWS($O$2:O993),$O$2:$O$1001,0),0), INDEX($V$1004:$AE$1004,1,MATCH(COLUMNS($V$1006:AD1006),$V$1006:$AE$1006,0)))),"Fix")))</f>
        <v>0</v>
      </c>
      <c r="K993" s="4">
        <f>IF(OR(INDEX($P$2:$P$1001,MATCH(ROWS($O$2:O993),$O$2:$O$1001,0),1)&gt;=100000,INDEX($V$1005:$AE$1005,1,MATCH(COLUMNS($V$1006:AE1006),$V$1006:$AE$1006,0))&gt;=100000), " ",IF(INDEX($V$2:$AE$1001,MATCH(ROWS($O$2:O993),$O$2:$O$1001,0),MATCH(COLUMNS($V$1006:AE1006),$V$1006:$AE$1006,0)), HYPERLINK("#",""), HYPERLINK(CONCATENATE("#Metadata!", ADDRESS(INDEX($Q$2:$Q$1001,MATCH(ROWS($O$2:O993),$O$2:$O$1001,0),0), INDEX($V$1004:$AE$1004,1,MATCH(COLUMNS($V$1006:AE1006),$V$1006:$AE$1006,0)))),"Fix")))</f>
        <v>0</v>
      </c>
      <c r="O993">
        <v>0</v>
      </c>
      <c r="P993">
        <v>0</v>
      </c>
      <c r="Q993">
        <v>0</v>
      </c>
      <c r="R993">
        <f>IF(S993,TRUE,AND(V993:AE993))</f>
        <v>0</v>
      </c>
      <c r="S993">
        <f>COUNTBLANK(Metadata!B993:K993)=COLUMNS(Metadata!B993:K993)</f>
        <v>0</v>
      </c>
      <c r="T993">
        <v>0</v>
      </c>
      <c r="V993">
        <f>AND(IF(Metadata!B993="",FALSE,TRUE),COUNTIF(Metadata!B:B, Metadata!B993) = 1,NOT(ISERROR(SUMPRODUCT(SEARCH(MID(Metadata!B993,ROW(INDIRECT("1:"&amp;LEN(Metadata!B993))), 1),"0123456789abcdefghijklmnopqrstuvwxyzABCDEFGHIJKLMNOPQRSTUVWXYZ.")))))</f>
        <v>0</v>
      </c>
      <c r="W993">
        <f>AND(IF(Metadata!C993="",FALSE,TRUE),exact(Metadata!C993,"urban biome"))</f>
        <v>0</v>
      </c>
      <c r="X993">
        <f>AND(IF(Metadata!D993="",FALSE,TRUE),exact(Metadata!D993,"animal-associated habitat"))</f>
        <v>0</v>
      </c>
      <c r="Y993">
        <f>OR(AND(IF(Metadata!E993="",FALSE,TRUE),OR(exact(Metadata!E993,"not applicable"),exact(Metadata!E993,"missing: not collected"),exact(Metadata!E993,"missing: not provided"),exact(Metadata!E993,"missing: restricted access"))),AND(IF(Metadata!E993="",FALSE,ISNUMBER(VALUE(Metadata!E993))),Metadata!E993&gt;0))</f>
        <v>0</v>
      </c>
      <c r="Z993">
        <f>AND(IF(Metadata!F993="",FALSE,TRUE),exact(Metadata!F993,"weeks"))</f>
        <v>0</v>
      </c>
      <c r="AA993">
        <f>AND(IF(Metadata!G993="",FALSE,TRUE),exact(Metadata!G993,"mouse"))</f>
        <v>0</v>
      </c>
      <c r="AB993">
        <f>AND(IF(Metadata!H993="",FALSE,TRUE),exact(Metadata!H993,"Mus musculus"))</f>
        <v>0</v>
      </c>
      <c r="AC993">
        <f>AND(IF(Metadata!I993="",FALSE,TRUE),exact(Metadata!I993,"10090"))</f>
        <v>0</v>
      </c>
      <c r="AD993">
        <f>OR(AND(IF(Metadata!J993="",FALSE,TRUE),OR(exact(Metadata!J993,"not applicable"),exact(Metadata!J993,"missing: not collected"),exact(Metadata!J993,"missing: not provided"),exact(Metadata!J993,"missing: restricted access"))),AND(IF(Metadata!J993="",FALSE,ISNUMBER(VALUE(Metadata!J993))),Metadata!J993&gt;0))</f>
        <v>0</v>
      </c>
      <c r="AE993">
        <f>AND(IF(Metadata!K993="",FALSE,TRUE),exact(Metadata!K993,"g"))</f>
        <v>0</v>
      </c>
    </row>
    <row r="994" spans="1:31">
      <c r="A994" s="5">
        <f>IF(B994=" "," ",HYPERLINK(CONCATENATE("#metadata!",ADDRESS(INDEX($Q$2:$Q$1001,MATCH(ROWS($O$2:O994),$O$2:$O$1001,0),0),1)),INDEX($T$2:$T$1001,MATCH(ROWS($O$2:O994),$O$2:$O$1001,0),0)))</f>
        <v>0</v>
      </c>
      <c r="B994" s="4">
        <f>IF(OR(INDEX($P$2:$P$1001,MATCH(ROWS($O$2:O994),$O$2:$O$1001,0),1)&gt;=100000,INDEX($V$1005:$AE$1005,1,MATCH(COLUMNS($V$1006:V1006),$V$1006:$AE$1006,0))&gt;=100000), " ",IF(INDEX($V$2:$AE$1001,MATCH(ROWS($O$2:O994),$O$2:$O$1001,0),MATCH(COLUMNS($V$1006:V1006),$V$1006:$AE$1006,0)), HYPERLINK("#",""), HYPERLINK(CONCATENATE("#Metadata!", ADDRESS(INDEX($Q$2:$Q$1001,MATCH(ROWS($O$2:O994),$O$2:$O$1001,0),0), INDEX($V$1004:$AE$1004,1,MATCH(COLUMNS($V$1006:V1006),$V$1006:$AE$1006,0)))),"Fix")))</f>
        <v>0</v>
      </c>
      <c r="C994" s="4">
        <f>IF(OR(INDEX($P$2:$P$1001,MATCH(ROWS($O$2:O994),$O$2:$O$1001,0),1)&gt;=100000,INDEX($V$1005:$AE$1005,1,MATCH(COLUMNS($V$1006:W1006),$V$1006:$AE$1006,0))&gt;=100000), " ",IF(INDEX($V$2:$AE$1001,MATCH(ROWS($O$2:O994),$O$2:$O$1001,0),MATCH(COLUMNS($V$1006:W1006),$V$1006:$AE$1006,0)), HYPERLINK("#",""), HYPERLINK(CONCATENATE("#Metadata!", ADDRESS(INDEX($Q$2:$Q$1001,MATCH(ROWS($O$2:O994),$O$2:$O$1001,0),0), INDEX($V$1004:$AE$1004,1,MATCH(COLUMNS($V$1006:W1006),$V$1006:$AE$1006,0)))),"Fix")))</f>
        <v>0</v>
      </c>
      <c r="D994" s="4">
        <f>IF(OR(INDEX($P$2:$P$1001,MATCH(ROWS($O$2:O994),$O$2:$O$1001,0),1)&gt;=100000,INDEX($V$1005:$AE$1005,1,MATCH(COLUMNS($V$1006:X1006),$V$1006:$AE$1006,0))&gt;=100000), " ",IF(INDEX($V$2:$AE$1001,MATCH(ROWS($O$2:O994),$O$2:$O$1001,0),MATCH(COLUMNS($V$1006:X1006),$V$1006:$AE$1006,0)), HYPERLINK("#",""), HYPERLINK(CONCATENATE("#Metadata!", ADDRESS(INDEX($Q$2:$Q$1001,MATCH(ROWS($O$2:O994),$O$2:$O$1001,0),0), INDEX($V$1004:$AE$1004,1,MATCH(COLUMNS($V$1006:X1006),$V$1006:$AE$1006,0)))),"Fix")))</f>
        <v>0</v>
      </c>
      <c r="E994" s="4">
        <f>IF(OR(INDEX($P$2:$P$1001,MATCH(ROWS($O$2:O994),$O$2:$O$1001,0),1)&gt;=100000,INDEX($V$1005:$AE$1005,1,MATCH(COLUMNS($V$1006:Y1006),$V$1006:$AE$1006,0))&gt;=100000), " ",IF(INDEX($V$2:$AE$1001,MATCH(ROWS($O$2:O994),$O$2:$O$1001,0),MATCH(COLUMNS($V$1006:Y1006),$V$1006:$AE$1006,0)), HYPERLINK("#",""), HYPERLINK(CONCATENATE("#Metadata!", ADDRESS(INDEX($Q$2:$Q$1001,MATCH(ROWS($O$2:O994),$O$2:$O$1001,0),0), INDEX($V$1004:$AE$1004,1,MATCH(COLUMNS($V$1006:Y1006),$V$1006:$AE$1006,0)))),"Fix")))</f>
        <v>0</v>
      </c>
      <c r="F994" s="4">
        <f>IF(OR(INDEX($P$2:$P$1001,MATCH(ROWS($O$2:O994),$O$2:$O$1001,0),1)&gt;=100000,INDEX($V$1005:$AE$1005,1,MATCH(COLUMNS($V$1006:Z1006),$V$1006:$AE$1006,0))&gt;=100000), " ",IF(INDEX($V$2:$AE$1001,MATCH(ROWS($O$2:O994),$O$2:$O$1001,0),MATCH(COLUMNS($V$1006:Z1006),$V$1006:$AE$1006,0)), HYPERLINK("#",""), HYPERLINK(CONCATENATE("#Metadata!", ADDRESS(INDEX($Q$2:$Q$1001,MATCH(ROWS($O$2:O994),$O$2:$O$1001,0),0), INDEX($V$1004:$AE$1004,1,MATCH(COLUMNS($V$1006:Z1006),$V$1006:$AE$1006,0)))),"Fix")))</f>
        <v>0</v>
      </c>
      <c r="G994" s="4">
        <f>IF(OR(INDEX($P$2:$P$1001,MATCH(ROWS($O$2:O994),$O$2:$O$1001,0),1)&gt;=100000,INDEX($V$1005:$AE$1005,1,MATCH(COLUMNS($V$1006:AA1006),$V$1006:$AE$1006,0))&gt;=100000), " ",IF(INDEX($V$2:$AE$1001,MATCH(ROWS($O$2:O994),$O$2:$O$1001,0),MATCH(COLUMNS($V$1006:AA1006),$V$1006:$AE$1006,0)), HYPERLINK("#",""), HYPERLINK(CONCATENATE("#Metadata!", ADDRESS(INDEX($Q$2:$Q$1001,MATCH(ROWS($O$2:O994),$O$2:$O$1001,0),0), INDEX($V$1004:$AE$1004,1,MATCH(COLUMNS($V$1006:AA1006),$V$1006:$AE$1006,0)))),"Fix")))</f>
        <v>0</v>
      </c>
      <c r="H994" s="4">
        <f>IF(OR(INDEX($P$2:$P$1001,MATCH(ROWS($O$2:O994),$O$2:$O$1001,0),1)&gt;=100000,INDEX($V$1005:$AE$1005,1,MATCH(COLUMNS($V$1006:AB1006),$V$1006:$AE$1006,0))&gt;=100000), " ",IF(INDEX($V$2:$AE$1001,MATCH(ROWS($O$2:O994),$O$2:$O$1001,0),MATCH(COLUMNS($V$1006:AB1006),$V$1006:$AE$1006,0)), HYPERLINK("#",""), HYPERLINK(CONCATENATE("#Metadata!", ADDRESS(INDEX($Q$2:$Q$1001,MATCH(ROWS($O$2:O994),$O$2:$O$1001,0),0), INDEX($V$1004:$AE$1004,1,MATCH(COLUMNS($V$1006:AB1006),$V$1006:$AE$1006,0)))),"Fix")))</f>
        <v>0</v>
      </c>
      <c r="I994" s="4">
        <f>IF(OR(INDEX($P$2:$P$1001,MATCH(ROWS($O$2:O994),$O$2:$O$1001,0),1)&gt;=100000,INDEX($V$1005:$AE$1005,1,MATCH(COLUMNS($V$1006:AC1006),$V$1006:$AE$1006,0))&gt;=100000), " ",IF(INDEX($V$2:$AE$1001,MATCH(ROWS($O$2:O994),$O$2:$O$1001,0),MATCH(COLUMNS($V$1006:AC1006),$V$1006:$AE$1006,0)), HYPERLINK("#",""), HYPERLINK(CONCATENATE("#Metadata!", ADDRESS(INDEX($Q$2:$Q$1001,MATCH(ROWS($O$2:O994),$O$2:$O$1001,0),0), INDEX($V$1004:$AE$1004,1,MATCH(COLUMNS($V$1006:AC1006),$V$1006:$AE$1006,0)))),"Fix")))</f>
        <v>0</v>
      </c>
      <c r="J994" s="4">
        <f>IF(OR(INDEX($P$2:$P$1001,MATCH(ROWS($O$2:O994),$O$2:$O$1001,0),1)&gt;=100000,INDEX($V$1005:$AE$1005,1,MATCH(COLUMNS($V$1006:AD1006),$V$1006:$AE$1006,0))&gt;=100000), " ",IF(INDEX($V$2:$AE$1001,MATCH(ROWS($O$2:O994),$O$2:$O$1001,0),MATCH(COLUMNS($V$1006:AD1006),$V$1006:$AE$1006,0)), HYPERLINK("#",""), HYPERLINK(CONCATENATE("#Metadata!", ADDRESS(INDEX($Q$2:$Q$1001,MATCH(ROWS($O$2:O994),$O$2:$O$1001,0),0), INDEX($V$1004:$AE$1004,1,MATCH(COLUMNS($V$1006:AD1006),$V$1006:$AE$1006,0)))),"Fix")))</f>
        <v>0</v>
      </c>
      <c r="K994" s="4">
        <f>IF(OR(INDEX($P$2:$P$1001,MATCH(ROWS($O$2:O994),$O$2:$O$1001,0),1)&gt;=100000,INDEX($V$1005:$AE$1005,1,MATCH(COLUMNS($V$1006:AE1006),$V$1006:$AE$1006,0))&gt;=100000), " ",IF(INDEX($V$2:$AE$1001,MATCH(ROWS($O$2:O994),$O$2:$O$1001,0),MATCH(COLUMNS($V$1006:AE1006),$V$1006:$AE$1006,0)), HYPERLINK("#",""), HYPERLINK(CONCATENATE("#Metadata!", ADDRESS(INDEX($Q$2:$Q$1001,MATCH(ROWS($O$2:O994),$O$2:$O$1001,0),0), INDEX($V$1004:$AE$1004,1,MATCH(COLUMNS($V$1006:AE1006),$V$1006:$AE$1006,0)))),"Fix")))</f>
        <v>0</v>
      </c>
      <c r="O994">
        <v>0</v>
      </c>
      <c r="P994">
        <v>0</v>
      </c>
      <c r="Q994">
        <v>0</v>
      </c>
      <c r="R994">
        <f>IF(S994,TRUE,AND(V994:AE994))</f>
        <v>0</v>
      </c>
      <c r="S994">
        <f>COUNTBLANK(Metadata!B994:K994)=COLUMNS(Metadata!B994:K994)</f>
        <v>0</v>
      </c>
      <c r="T994">
        <v>0</v>
      </c>
      <c r="V994">
        <f>AND(IF(Metadata!B994="",FALSE,TRUE),COUNTIF(Metadata!B:B, Metadata!B994) = 1,NOT(ISERROR(SUMPRODUCT(SEARCH(MID(Metadata!B994,ROW(INDIRECT("1:"&amp;LEN(Metadata!B994))), 1),"0123456789abcdefghijklmnopqrstuvwxyzABCDEFGHIJKLMNOPQRSTUVWXYZ.")))))</f>
        <v>0</v>
      </c>
      <c r="W994">
        <f>AND(IF(Metadata!C994="",FALSE,TRUE),exact(Metadata!C994,"urban biome"))</f>
        <v>0</v>
      </c>
      <c r="X994">
        <f>AND(IF(Metadata!D994="",FALSE,TRUE),exact(Metadata!D994,"animal-associated habitat"))</f>
        <v>0</v>
      </c>
      <c r="Y994">
        <f>OR(AND(IF(Metadata!E994="",FALSE,TRUE),OR(exact(Metadata!E994,"not applicable"),exact(Metadata!E994,"missing: not collected"),exact(Metadata!E994,"missing: not provided"),exact(Metadata!E994,"missing: restricted access"))),AND(IF(Metadata!E994="",FALSE,ISNUMBER(VALUE(Metadata!E994))),Metadata!E994&gt;0))</f>
        <v>0</v>
      </c>
      <c r="Z994">
        <f>AND(IF(Metadata!F994="",FALSE,TRUE),exact(Metadata!F994,"weeks"))</f>
        <v>0</v>
      </c>
      <c r="AA994">
        <f>AND(IF(Metadata!G994="",FALSE,TRUE),exact(Metadata!G994,"mouse"))</f>
        <v>0</v>
      </c>
      <c r="AB994">
        <f>AND(IF(Metadata!H994="",FALSE,TRUE),exact(Metadata!H994,"Mus musculus"))</f>
        <v>0</v>
      </c>
      <c r="AC994">
        <f>AND(IF(Metadata!I994="",FALSE,TRUE),exact(Metadata!I994,"10090"))</f>
        <v>0</v>
      </c>
      <c r="AD994">
        <f>OR(AND(IF(Metadata!J994="",FALSE,TRUE),OR(exact(Metadata!J994,"not applicable"),exact(Metadata!J994,"missing: not collected"),exact(Metadata!J994,"missing: not provided"),exact(Metadata!J994,"missing: restricted access"))),AND(IF(Metadata!J994="",FALSE,ISNUMBER(VALUE(Metadata!J994))),Metadata!J994&gt;0))</f>
        <v>0</v>
      </c>
      <c r="AE994">
        <f>AND(IF(Metadata!K994="",FALSE,TRUE),exact(Metadata!K994,"g"))</f>
        <v>0</v>
      </c>
    </row>
    <row r="995" spans="1:31">
      <c r="A995" s="5">
        <f>IF(B995=" "," ",HYPERLINK(CONCATENATE("#metadata!",ADDRESS(INDEX($Q$2:$Q$1001,MATCH(ROWS($O$2:O995),$O$2:$O$1001,0),0),1)),INDEX($T$2:$T$1001,MATCH(ROWS($O$2:O995),$O$2:$O$1001,0),0)))</f>
        <v>0</v>
      </c>
      <c r="B995" s="4">
        <f>IF(OR(INDEX($P$2:$P$1001,MATCH(ROWS($O$2:O995),$O$2:$O$1001,0),1)&gt;=100000,INDEX($V$1005:$AE$1005,1,MATCH(COLUMNS($V$1006:V1006),$V$1006:$AE$1006,0))&gt;=100000), " ",IF(INDEX($V$2:$AE$1001,MATCH(ROWS($O$2:O995),$O$2:$O$1001,0),MATCH(COLUMNS($V$1006:V1006),$V$1006:$AE$1006,0)), HYPERLINK("#",""), HYPERLINK(CONCATENATE("#Metadata!", ADDRESS(INDEX($Q$2:$Q$1001,MATCH(ROWS($O$2:O995),$O$2:$O$1001,0),0), INDEX($V$1004:$AE$1004,1,MATCH(COLUMNS($V$1006:V1006),$V$1006:$AE$1006,0)))),"Fix")))</f>
        <v>0</v>
      </c>
      <c r="C995" s="4">
        <f>IF(OR(INDEX($P$2:$P$1001,MATCH(ROWS($O$2:O995),$O$2:$O$1001,0),1)&gt;=100000,INDEX($V$1005:$AE$1005,1,MATCH(COLUMNS($V$1006:W1006),$V$1006:$AE$1006,0))&gt;=100000), " ",IF(INDEX($V$2:$AE$1001,MATCH(ROWS($O$2:O995),$O$2:$O$1001,0),MATCH(COLUMNS($V$1006:W1006),$V$1006:$AE$1006,0)), HYPERLINK("#",""), HYPERLINK(CONCATENATE("#Metadata!", ADDRESS(INDEX($Q$2:$Q$1001,MATCH(ROWS($O$2:O995),$O$2:$O$1001,0),0), INDEX($V$1004:$AE$1004,1,MATCH(COLUMNS($V$1006:W1006),$V$1006:$AE$1006,0)))),"Fix")))</f>
        <v>0</v>
      </c>
      <c r="D995" s="4">
        <f>IF(OR(INDEX($P$2:$P$1001,MATCH(ROWS($O$2:O995),$O$2:$O$1001,0),1)&gt;=100000,INDEX($V$1005:$AE$1005,1,MATCH(COLUMNS($V$1006:X1006),$V$1006:$AE$1006,0))&gt;=100000), " ",IF(INDEX($V$2:$AE$1001,MATCH(ROWS($O$2:O995),$O$2:$O$1001,0),MATCH(COLUMNS($V$1006:X1006),$V$1006:$AE$1006,0)), HYPERLINK("#",""), HYPERLINK(CONCATENATE("#Metadata!", ADDRESS(INDEX($Q$2:$Q$1001,MATCH(ROWS($O$2:O995),$O$2:$O$1001,0),0), INDEX($V$1004:$AE$1004,1,MATCH(COLUMNS($V$1006:X1006),$V$1006:$AE$1006,0)))),"Fix")))</f>
        <v>0</v>
      </c>
      <c r="E995" s="4">
        <f>IF(OR(INDEX($P$2:$P$1001,MATCH(ROWS($O$2:O995),$O$2:$O$1001,0),1)&gt;=100000,INDEX($V$1005:$AE$1005,1,MATCH(COLUMNS($V$1006:Y1006),$V$1006:$AE$1006,0))&gt;=100000), " ",IF(INDEX($V$2:$AE$1001,MATCH(ROWS($O$2:O995),$O$2:$O$1001,0),MATCH(COLUMNS($V$1006:Y1006),$V$1006:$AE$1006,0)), HYPERLINK("#",""), HYPERLINK(CONCATENATE("#Metadata!", ADDRESS(INDEX($Q$2:$Q$1001,MATCH(ROWS($O$2:O995),$O$2:$O$1001,0),0), INDEX($V$1004:$AE$1004,1,MATCH(COLUMNS($V$1006:Y1006),$V$1006:$AE$1006,0)))),"Fix")))</f>
        <v>0</v>
      </c>
      <c r="F995" s="4">
        <f>IF(OR(INDEX($P$2:$P$1001,MATCH(ROWS($O$2:O995),$O$2:$O$1001,0),1)&gt;=100000,INDEX($V$1005:$AE$1005,1,MATCH(COLUMNS($V$1006:Z1006),$V$1006:$AE$1006,0))&gt;=100000), " ",IF(INDEX($V$2:$AE$1001,MATCH(ROWS($O$2:O995),$O$2:$O$1001,0),MATCH(COLUMNS($V$1006:Z1006),$V$1006:$AE$1006,0)), HYPERLINK("#",""), HYPERLINK(CONCATENATE("#Metadata!", ADDRESS(INDEX($Q$2:$Q$1001,MATCH(ROWS($O$2:O995),$O$2:$O$1001,0),0), INDEX($V$1004:$AE$1004,1,MATCH(COLUMNS($V$1006:Z1006),$V$1006:$AE$1006,0)))),"Fix")))</f>
        <v>0</v>
      </c>
      <c r="G995" s="4">
        <f>IF(OR(INDEX($P$2:$P$1001,MATCH(ROWS($O$2:O995),$O$2:$O$1001,0),1)&gt;=100000,INDEX($V$1005:$AE$1005,1,MATCH(COLUMNS($V$1006:AA1006),$V$1006:$AE$1006,0))&gt;=100000), " ",IF(INDEX($V$2:$AE$1001,MATCH(ROWS($O$2:O995),$O$2:$O$1001,0),MATCH(COLUMNS($V$1006:AA1006),$V$1006:$AE$1006,0)), HYPERLINK("#",""), HYPERLINK(CONCATENATE("#Metadata!", ADDRESS(INDEX($Q$2:$Q$1001,MATCH(ROWS($O$2:O995),$O$2:$O$1001,0),0), INDEX($V$1004:$AE$1004,1,MATCH(COLUMNS($V$1006:AA1006),$V$1006:$AE$1006,0)))),"Fix")))</f>
        <v>0</v>
      </c>
      <c r="H995" s="4">
        <f>IF(OR(INDEX($P$2:$P$1001,MATCH(ROWS($O$2:O995),$O$2:$O$1001,0),1)&gt;=100000,INDEX($V$1005:$AE$1005,1,MATCH(COLUMNS($V$1006:AB1006),$V$1006:$AE$1006,0))&gt;=100000), " ",IF(INDEX($V$2:$AE$1001,MATCH(ROWS($O$2:O995),$O$2:$O$1001,0),MATCH(COLUMNS($V$1006:AB1006),$V$1006:$AE$1006,0)), HYPERLINK("#",""), HYPERLINK(CONCATENATE("#Metadata!", ADDRESS(INDEX($Q$2:$Q$1001,MATCH(ROWS($O$2:O995),$O$2:$O$1001,0),0), INDEX($V$1004:$AE$1004,1,MATCH(COLUMNS($V$1006:AB1006),$V$1006:$AE$1006,0)))),"Fix")))</f>
        <v>0</v>
      </c>
      <c r="I995" s="4">
        <f>IF(OR(INDEX($P$2:$P$1001,MATCH(ROWS($O$2:O995),$O$2:$O$1001,0),1)&gt;=100000,INDEX($V$1005:$AE$1005,1,MATCH(COLUMNS($V$1006:AC1006),$V$1006:$AE$1006,0))&gt;=100000), " ",IF(INDEX($V$2:$AE$1001,MATCH(ROWS($O$2:O995),$O$2:$O$1001,0),MATCH(COLUMNS($V$1006:AC1006),$V$1006:$AE$1006,0)), HYPERLINK("#",""), HYPERLINK(CONCATENATE("#Metadata!", ADDRESS(INDEX($Q$2:$Q$1001,MATCH(ROWS($O$2:O995),$O$2:$O$1001,0),0), INDEX($V$1004:$AE$1004,1,MATCH(COLUMNS($V$1006:AC1006),$V$1006:$AE$1006,0)))),"Fix")))</f>
        <v>0</v>
      </c>
      <c r="J995" s="4">
        <f>IF(OR(INDEX($P$2:$P$1001,MATCH(ROWS($O$2:O995),$O$2:$O$1001,0),1)&gt;=100000,INDEX($V$1005:$AE$1005,1,MATCH(COLUMNS($V$1006:AD1006),$V$1006:$AE$1006,0))&gt;=100000), " ",IF(INDEX($V$2:$AE$1001,MATCH(ROWS($O$2:O995),$O$2:$O$1001,0),MATCH(COLUMNS($V$1006:AD1006),$V$1006:$AE$1006,0)), HYPERLINK("#",""), HYPERLINK(CONCATENATE("#Metadata!", ADDRESS(INDEX($Q$2:$Q$1001,MATCH(ROWS($O$2:O995),$O$2:$O$1001,0),0), INDEX($V$1004:$AE$1004,1,MATCH(COLUMNS($V$1006:AD1006),$V$1006:$AE$1006,0)))),"Fix")))</f>
        <v>0</v>
      </c>
      <c r="K995" s="4">
        <f>IF(OR(INDEX($P$2:$P$1001,MATCH(ROWS($O$2:O995),$O$2:$O$1001,0),1)&gt;=100000,INDEX($V$1005:$AE$1005,1,MATCH(COLUMNS($V$1006:AE1006),$V$1006:$AE$1006,0))&gt;=100000), " ",IF(INDEX($V$2:$AE$1001,MATCH(ROWS($O$2:O995),$O$2:$O$1001,0),MATCH(COLUMNS($V$1006:AE1006),$V$1006:$AE$1006,0)), HYPERLINK("#",""), HYPERLINK(CONCATENATE("#Metadata!", ADDRESS(INDEX($Q$2:$Q$1001,MATCH(ROWS($O$2:O995),$O$2:$O$1001,0),0), INDEX($V$1004:$AE$1004,1,MATCH(COLUMNS($V$1006:AE1006),$V$1006:$AE$1006,0)))),"Fix")))</f>
        <v>0</v>
      </c>
      <c r="O995">
        <v>0</v>
      </c>
      <c r="P995">
        <v>0</v>
      </c>
      <c r="Q995">
        <v>0</v>
      </c>
      <c r="R995">
        <f>IF(S995,TRUE,AND(V995:AE995))</f>
        <v>0</v>
      </c>
      <c r="S995">
        <f>COUNTBLANK(Metadata!B995:K995)=COLUMNS(Metadata!B995:K995)</f>
        <v>0</v>
      </c>
      <c r="T995">
        <v>0</v>
      </c>
      <c r="V995">
        <f>AND(IF(Metadata!B995="",FALSE,TRUE),COUNTIF(Metadata!B:B, Metadata!B995) = 1,NOT(ISERROR(SUMPRODUCT(SEARCH(MID(Metadata!B995,ROW(INDIRECT("1:"&amp;LEN(Metadata!B995))), 1),"0123456789abcdefghijklmnopqrstuvwxyzABCDEFGHIJKLMNOPQRSTUVWXYZ.")))))</f>
        <v>0</v>
      </c>
      <c r="W995">
        <f>AND(IF(Metadata!C995="",FALSE,TRUE),exact(Metadata!C995,"urban biome"))</f>
        <v>0</v>
      </c>
      <c r="X995">
        <f>AND(IF(Metadata!D995="",FALSE,TRUE),exact(Metadata!D995,"animal-associated habitat"))</f>
        <v>0</v>
      </c>
      <c r="Y995">
        <f>OR(AND(IF(Metadata!E995="",FALSE,TRUE),OR(exact(Metadata!E995,"not applicable"),exact(Metadata!E995,"missing: not collected"),exact(Metadata!E995,"missing: not provided"),exact(Metadata!E995,"missing: restricted access"))),AND(IF(Metadata!E995="",FALSE,ISNUMBER(VALUE(Metadata!E995))),Metadata!E995&gt;0))</f>
        <v>0</v>
      </c>
      <c r="Z995">
        <f>AND(IF(Metadata!F995="",FALSE,TRUE),exact(Metadata!F995,"weeks"))</f>
        <v>0</v>
      </c>
      <c r="AA995">
        <f>AND(IF(Metadata!G995="",FALSE,TRUE),exact(Metadata!G995,"mouse"))</f>
        <v>0</v>
      </c>
      <c r="AB995">
        <f>AND(IF(Metadata!H995="",FALSE,TRUE),exact(Metadata!H995,"Mus musculus"))</f>
        <v>0</v>
      </c>
      <c r="AC995">
        <f>AND(IF(Metadata!I995="",FALSE,TRUE),exact(Metadata!I995,"10090"))</f>
        <v>0</v>
      </c>
      <c r="AD995">
        <f>OR(AND(IF(Metadata!J995="",FALSE,TRUE),OR(exact(Metadata!J995,"not applicable"),exact(Metadata!J995,"missing: not collected"),exact(Metadata!J995,"missing: not provided"),exact(Metadata!J995,"missing: restricted access"))),AND(IF(Metadata!J995="",FALSE,ISNUMBER(VALUE(Metadata!J995))),Metadata!J995&gt;0))</f>
        <v>0</v>
      </c>
      <c r="AE995">
        <f>AND(IF(Metadata!K995="",FALSE,TRUE),exact(Metadata!K995,"g"))</f>
        <v>0</v>
      </c>
    </row>
    <row r="996" spans="1:31">
      <c r="A996" s="5">
        <f>IF(B996=" "," ",HYPERLINK(CONCATENATE("#metadata!",ADDRESS(INDEX($Q$2:$Q$1001,MATCH(ROWS($O$2:O996),$O$2:$O$1001,0),0),1)),INDEX($T$2:$T$1001,MATCH(ROWS($O$2:O996),$O$2:$O$1001,0),0)))</f>
        <v>0</v>
      </c>
      <c r="B996" s="4">
        <f>IF(OR(INDEX($P$2:$P$1001,MATCH(ROWS($O$2:O996),$O$2:$O$1001,0),1)&gt;=100000,INDEX($V$1005:$AE$1005,1,MATCH(COLUMNS($V$1006:V1006),$V$1006:$AE$1006,0))&gt;=100000), " ",IF(INDEX($V$2:$AE$1001,MATCH(ROWS($O$2:O996),$O$2:$O$1001,0),MATCH(COLUMNS($V$1006:V1006),$V$1006:$AE$1006,0)), HYPERLINK("#",""), HYPERLINK(CONCATENATE("#Metadata!", ADDRESS(INDEX($Q$2:$Q$1001,MATCH(ROWS($O$2:O996),$O$2:$O$1001,0),0), INDEX($V$1004:$AE$1004,1,MATCH(COLUMNS($V$1006:V1006),$V$1006:$AE$1006,0)))),"Fix")))</f>
        <v>0</v>
      </c>
      <c r="C996" s="4">
        <f>IF(OR(INDEX($P$2:$P$1001,MATCH(ROWS($O$2:O996),$O$2:$O$1001,0),1)&gt;=100000,INDEX($V$1005:$AE$1005,1,MATCH(COLUMNS($V$1006:W1006),$V$1006:$AE$1006,0))&gt;=100000), " ",IF(INDEX($V$2:$AE$1001,MATCH(ROWS($O$2:O996),$O$2:$O$1001,0),MATCH(COLUMNS($V$1006:W1006),$V$1006:$AE$1006,0)), HYPERLINK("#",""), HYPERLINK(CONCATENATE("#Metadata!", ADDRESS(INDEX($Q$2:$Q$1001,MATCH(ROWS($O$2:O996),$O$2:$O$1001,0),0), INDEX($V$1004:$AE$1004,1,MATCH(COLUMNS($V$1006:W1006),$V$1006:$AE$1006,0)))),"Fix")))</f>
        <v>0</v>
      </c>
      <c r="D996" s="4">
        <f>IF(OR(INDEX($P$2:$P$1001,MATCH(ROWS($O$2:O996),$O$2:$O$1001,0),1)&gt;=100000,INDEX($V$1005:$AE$1005,1,MATCH(COLUMNS($V$1006:X1006),$V$1006:$AE$1006,0))&gt;=100000), " ",IF(INDEX($V$2:$AE$1001,MATCH(ROWS($O$2:O996),$O$2:$O$1001,0),MATCH(COLUMNS($V$1006:X1006),$V$1006:$AE$1006,0)), HYPERLINK("#",""), HYPERLINK(CONCATENATE("#Metadata!", ADDRESS(INDEX($Q$2:$Q$1001,MATCH(ROWS($O$2:O996),$O$2:$O$1001,0),0), INDEX($V$1004:$AE$1004,1,MATCH(COLUMNS($V$1006:X1006),$V$1006:$AE$1006,0)))),"Fix")))</f>
        <v>0</v>
      </c>
      <c r="E996" s="4">
        <f>IF(OR(INDEX($P$2:$P$1001,MATCH(ROWS($O$2:O996),$O$2:$O$1001,0),1)&gt;=100000,INDEX($V$1005:$AE$1005,1,MATCH(COLUMNS($V$1006:Y1006),$V$1006:$AE$1006,0))&gt;=100000), " ",IF(INDEX($V$2:$AE$1001,MATCH(ROWS($O$2:O996),$O$2:$O$1001,0),MATCH(COLUMNS($V$1006:Y1006),$V$1006:$AE$1006,0)), HYPERLINK("#",""), HYPERLINK(CONCATENATE("#Metadata!", ADDRESS(INDEX($Q$2:$Q$1001,MATCH(ROWS($O$2:O996),$O$2:$O$1001,0),0), INDEX($V$1004:$AE$1004,1,MATCH(COLUMNS($V$1006:Y1006),$V$1006:$AE$1006,0)))),"Fix")))</f>
        <v>0</v>
      </c>
      <c r="F996" s="4">
        <f>IF(OR(INDEX($P$2:$P$1001,MATCH(ROWS($O$2:O996),$O$2:$O$1001,0),1)&gt;=100000,INDEX($V$1005:$AE$1005,1,MATCH(COLUMNS($V$1006:Z1006),$V$1006:$AE$1006,0))&gt;=100000), " ",IF(INDEX($V$2:$AE$1001,MATCH(ROWS($O$2:O996),$O$2:$O$1001,0),MATCH(COLUMNS($V$1006:Z1006),$V$1006:$AE$1006,0)), HYPERLINK("#",""), HYPERLINK(CONCATENATE("#Metadata!", ADDRESS(INDEX($Q$2:$Q$1001,MATCH(ROWS($O$2:O996),$O$2:$O$1001,0),0), INDEX($V$1004:$AE$1004,1,MATCH(COLUMNS($V$1006:Z1006),$V$1006:$AE$1006,0)))),"Fix")))</f>
        <v>0</v>
      </c>
      <c r="G996" s="4">
        <f>IF(OR(INDEX($P$2:$P$1001,MATCH(ROWS($O$2:O996),$O$2:$O$1001,0),1)&gt;=100000,INDEX($V$1005:$AE$1005,1,MATCH(COLUMNS($V$1006:AA1006),$V$1006:$AE$1006,0))&gt;=100000), " ",IF(INDEX($V$2:$AE$1001,MATCH(ROWS($O$2:O996),$O$2:$O$1001,0),MATCH(COLUMNS($V$1006:AA1006),$V$1006:$AE$1006,0)), HYPERLINK("#",""), HYPERLINK(CONCATENATE("#Metadata!", ADDRESS(INDEX($Q$2:$Q$1001,MATCH(ROWS($O$2:O996),$O$2:$O$1001,0),0), INDEX($V$1004:$AE$1004,1,MATCH(COLUMNS($V$1006:AA1006),$V$1006:$AE$1006,0)))),"Fix")))</f>
        <v>0</v>
      </c>
      <c r="H996" s="4">
        <f>IF(OR(INDEX($P$2:$P$1001,MATCH(ROWS($O$2:O996),$O$2:$O$1001,0),1)&gt;=100000,INDEX($V$1005:$AE$1005,1,MATCH(COLUMNS($V$1006:AB1006),$V$1006:$AE$1006,0))&gt;=100000), " ",IF(INDEX($V$2:$AE$1001,MATCH(ROWS($O$2:O996),$O$2:$O$1001,0),MATCH(COLUMNS($V$1006:AB1006),$V$1006:$AE$1006,0)), HYPERLINK("#",""), HYPERLINK(CONCATENATE("#Metadata!", ADDRESS(INDEX($Q$2:$Q$1001,MATCH(ROWS($O$2:O996),$O$2:$O$1001,0),0), INDEX($V$1004:$AE$1004,1,MATCH(COLUMNS($V$1006:AB1006),$V$1006:$AE$1006,0)))),"Fix")))</f>
        <v>0</v>
      </c>
      <c r="I996" s="4">
        <f>IF(OR(INDEX($P$2:$P$1001,MATCH(ROWS($O$2:O996),$O$2:$O$1001,0),1)&gt;=100000,INDEX($V$1005:$AE$1005,1,MATCH(COLUMNS($V$1006:AC1006),$V$1006:$AE$1006,0))&gt;=100000), " ",IF(INDEX($V$2:$AE$1001,MATCH(ROWS($O$2:O996),$O$2:$O$1001,0),MATCH(COLUMNS($V$1006:AC1006),$V$1006:$AE$1006,0)), HYPERLINK("#",""), HYPERLINK(CONCATENATE("#Metadata!", ADDRESS(INDEX($Q$2:$Q$1001,MATCH(ROWS($O$2:O996),$O$2:$O$1001,0),0), INDEX($V$1004:$AE$1004,1,MATCH(COLUMNS($V$1006:AC1006),$V$1006:$AE$1006,0)))),"Fix")))</f>
        <v>0</v>
      </c>
      <c r="J996" s="4">
        <f>IF(OR(INDEX($P$2:$P$1001,MATCH(ROWS($O$2:O996),$O$2:$O$1001,0),1)&gt;=100000,INDEX($V$1005:$AE$1005,1,MATCH(COLUMNS($V$1006:AD1006),$V$1006:$AE$1006,0))&gt;=100000), " ",IF(INDEX($V$2:$AE$1001,MATCH(ROWS($O$2:O996),$O$2:$O$1001,0),MATCH(COLUMNS($V$1006:AD1006),$V$1006:$AE$1006,0)), HYPERLINK("#",""), HYPERLINK(CONCATENATE("#Metadata!", ADDRESS(INDEX($Q$2:$Q$1001,MATCH(ROWS($O$2:O996),$O$2:$O$1001,0),0), INDEX($V$1004:$AE$1004,1,MATCH(COLUMNS($V$1006:AD1006),$V$1006:$AE$1006,0)))),"Fix")))</f>
        <v>0</v>
      </c>
      <c r="K996" s="4">
        <f>IF(OR(INDEX($P$2:$P$1001,MATCH(ROWS($O$2:O996),$O$2:$O$1001,0),1)&gt;=100000,INDEX($V$1005:$AE$1005,1,MATCH(COLUMNS($V$1006:AE1006),$V$1006:$AE$1006,0))&gt;=100000), " ",IF(INDEX($V$2:$AE$1001,MATCH(ROWS($O$2:O996),$O$2:$O$1001,0),MATCH(COLUMNS($V$1006:AE1006),$V$1006:$AE$1006,0)), HYPERLINK("#",""), HYPERLINK(CONCATENATE("#Metadata!", ADDRESS(INDEX($Q$2:$Q$1001,MATCH(ROWS($O$2:O996),$O$2:$O$1001,0),0), INDEX($V$1004:$AE$1004,1,MATCH(COLUMNS($V$1006:AE1006),$V$1006:$AE$1006,0)))),"Fix")))</f>
        <v>0</v>
      </c>
      <c r="O996">
        <v>0</v>
      </c>
      <c r="P996">
        <v>0</v>
      </c>
      <c r="Q996">
        <v>0</v>
      </c>
      <c r="R996">
        <f>IF(S996,TRUE,AND(V996:AE996))</f>
        <v>0</v>
      </c>
      <c r="S996">
        <f>COUNTBLANK(Metadata!B996:K996)=COLUMNS(Metadata!B996:K996)</f>
        <v>0</v>
      </c>
      <c r="T996">
        <v>0</v>
      </c>
      <c r="V996">
        <f>AND(IF(Metadata!B996="",FALSE,TRUE),COUNTIF(Metadata!B:B, Metadata!B996) = 1,NOT(ISERROR(SUMPRODUCT(SEARCH(MID(Metadata!B996,ROW(INDIRECT("1:"&amp;LEN(Metadata!B996))), 1),"0123456789abcdefghijklmnopqrstuvwxyzABCDEFGHIJKLMNOPQRSTUVWXYZ.")))))</f>
        <v>0</v>
      </c>
      <c r="W996">
        <f>AND(IF(Metadata!C996="",FALSE,TRUE),exact(Metadata!C996,"urban biome"))</f>
        <v>0</v>
      </c>
      <c r="X996">
        <f>AND(IF(Metadata!D996="",FALSE,TRUE),exact(Metadata!D996,"animal-associated habitat"))</f>
        <v>0</v>
      </c>
      <c r="Y996">
        <f>OR(AND(IF(Metadata!E996="",FALSE,TRUE),OR(exact(Metadata!E996,"not applicable"),exact(Metadata!E996,"missing: not collected"),exact(Metadata!E996,"missing: not provided"),exact(Metadata!E996,"missing: restricted access"))),AND(IF(Metadata!E996="",FALSE,ISNUMBER(VALUE(Metadata!E996))),Metadata!E996&gt;0))</f>
        <v>0</v>
      </c>
      <c r="Z996">
        <f>AND(IF(Metadata!F996="",FALSE,TRUE),exact(Metadata!F996,"weeks"))</f>
        <v>0</v>
      </c>
      <c r="AA996">
        <f>AND(IF(Metadata!G996="",FALSE,TRUE),exact(Metadata!G996,"mouse"))</f>
        <v>0</v>
      </c>
      <c r="AB996">
        <f>AND(IF(Metadata!H996="",FALSE,TRUE),exact(Metadata!H996,"Mus musculus"))</f>
        <v>0</v>
      </c>
      <c r="AC996">
        <f>AND(IF(Metadata!I996="",FALSE,TRUE),exact(Metadata!I996,"10090"))</f>
        <v>0</v>
      </c>
      <c r="AD996">
        <f>OR(AND(IF(Metadata!J996="",FALSE,TRUE),OR(exact(Metadata!J996,"not applicable"),exact(Metadata!J996,"missing: not collected"),exact(Metadata!J996,"missing: not provided"),exact(Metadata!J996,"missing: restricted access"))),AND(IF(Metadata!J996="",FALSE,ISNUMBER(VALUE(Metadata!J996))),Metadata!J996&gt;0))</f>
        <v>0</v>
      </c>
      <c r="AE996">
        <f>AND(IF(Metadata!K996="",FALSE,TRUE),exact(Metadata!K996,"g"))</f>
        <v>0</v>
      </c>
    </row>
    <row r="997" spans="1:31">
      <c r="A997" s="5">
        <f>IF(B997=" "," ",HYPERLINK(CONCATENATE("#metadata!",ADDRESS(INDEX($Q$2:$Q$1001,MATCH(ROWS($O$2:O997),$O$2:$O$1001,0),0),1)),INDEX($T$2:$T$1001,MATCH(ROWS($O$2:O997),$O$2:$O$1001,0),0)))</f>
        <v>0</v>
      </c>
      <c r="B997" s="4">
        <f>IF(OR(INDEX($P$2:$P$1001,MATCH(ROWS($O$2:O997),$O$2:$O$1001,0),1)&gt;=100000,INDEX($V$1005:$AE$1005,1,MATCH(COLUMNS($V$1006:V1006),$V$1006:$AE$1006,0))&gt;=100000), " ",IF(INDEX($V$2:$AE$1001,MATCH(ROWS($O$2:O997),$O$2:$O$1001,0),MATCH(COLUMNS($V$1006:V1006),$V$1006:$AE$1006,0)), HYPERLINK("#",""), HYPERLINK(CONCATENATE("#Metadata!", ADDRESS(INDEX($Q$2:$Q$1001,MATCH(ROWS($O$2:O997),$O$2:$O$1001,0),0), INDEX($V$1004:$AE$1004,1,MATCH(COLUMNS($V$1006:V1006),$V$1006:$AE$1006,0)))),"Fix")))</f>
        <v>0</v>
      </c>
      <c r="C997" s="4">
        <f>IF(OR(INDEX($P$2:$P$1001,MATCH(ROWS($O$2:O997),$O$2:$O$1001,0),1)&gt;=100000,INDEX($V$1005:$AE$1005,1,MATCH(COLUMNS($V$1006:W1006),$V$1006:$AE$1006,0))&gt;=100000), " ",IF(INDEX($V$2:$AE$1001,MATCH(ROWS($O$2:O997),$O$2:$O$1001,0),MATCH(COLUMNS($V$1006:W1006),$V$1006:$AE$1006,0)), HYPERLINK("#",""), HYPERLINK(CONCATENATE("#Metadata!", ADDRESS(INDEX($Q$2:$Q$1001,MATCH(ROWS($O$2:O997),$O$2:$O$1001,0),0), INDEX($V$1004:$AE$1004,1,MATCH(COLUMNS($V$1006:W1006),$V$1006:$AE$1006,0)))),"Fix")))</f>
        <v>0</v>
      </c>
      <c r="D997" s="4">
        <f>IF(OR(INDEX($P$2:$P$1001,MATCH(ROWS($O$2:O997),$O$2:$O$1001,0),1)&gt;=100000,INDEX($V$1005:$AE$1005,1,MATCH(COLUMNS($V$1006:X1006),$V$1006:$AE$1006,0))&gt;=100000), " ",IF(INDEX($V$2:$AE$1001,MATCH(ROWS($O$2:O997),$O$2:$O$1001,0),MATCH(COLUMNS($V$1006:X1006),$V$1006:$AE$1006,0)), HYPERLINK("#",""), HYPERLINK(CONCATENATE("#Metadata!", ADDRESS(INDEX($Q$2:$Q$1001,MATCH(ROWS($O$2:O997),$O$2:$O$1001,0),0), INDEX($V$1004:$AE$1004,1,MATCH(COLUMNS($V$1006:X1006),$V$1006:$AE$1006,0)))),"Fix")))</f>
        <v>0</v>
      </c>
      <c r="E997" s="4">
        <f>IF(OR(INDEX($P$2:$P$1001,MATCH(ROWS($O$2:O997),$O$2:$O$1001,0),1)&gt;=100000,INDEX($V$1005:$AE$1005,1,MATCH(COLUMNS($V$1006:Y1006),$V$1006:$AE$1006,0))&gt;=100000), " ",IF(INDEX($V$2:$AE$1001,MATCH(ROWS($O$2:O997),$O$2:$O$1001,0),MATCH(COLUMNS($V$1006:Y1006),$V$1006:$AE$1006,0)), HYPERLINK("#",""), HYPERLINK(CONCATENATE("#Metadata!", ADDRESS(INDEX($Q$2:$Q$1001,MATCH(ROWS($O$2:O997),$O$2:$O$1001,0),0), INDEX($V$1004:$AE$1004,1,MATCH(COLUMNS($V$1006:Y1006),$V$1006:$AE$1006,0)))),"Fix")))</f>
        <v>0</v>
      </c>
      <c r="F997" s="4">
        <f>IF(OR(INDEX($P$2:$P$1001,MATCH(ROWS($O$2:O997),$O$2:$O$1001,0),1)&gt;=100000,INDEX($V$1005:$AE$1005,1,MATCH(COLUMNS($V$1006:Z1006),$V$1006:$AE$1006,0))&gt;=100000), " ",IF(INDEX($V$2:$AE$1001,MATCH(ROWS($O$2:O997),$O$2:$O$1001,0),MATCH(COLUMNS($V$1006:Z1006),$V$1006:$AE$1006,0)), HYPERLINK("#",""), HYPERLINK(CONCATENATE("#Metadata!", ADDRESS(INDEX($Q$2:$Q$1001,MATCH(ROWS($O$2:O997),$O$2:$O$1001,0),0), INDEX($V$1004:$AE$1004,1,MATCH(COLUMNS($V$1006:Z1006),$V$1006:$AE$1006,0)))),"Fix")))</f>
        <v>0</v>
      </c>
      <c r="G997" s="4">
        <f>IF(OR(INDEX($P$2:$P$1001,MATCH(ROWS($O$2:O997),$O$2:$O$1001,0),1)&gt;=100000,INDEX($V$1005:$AE$1005,1,MATCH(COLUMNS($V$1006:AA1006),$V$1006:$AE$1006,0))&gt;=100000), " ",IF(INDEX($V$2:$AE$1001,MATCH(ROWS($O$2:O997),$O$2:$O$1001,0),MATCH(COLUMNS($V$1006:AA1006),$V$1006:$AE$1006,0)), HYPERLINK("#",""), HYPERLINK(CONCATENATE("#Metadata!", ADDRESS(INDEX($Q$2:$Q$1001,MATCH(ROWS($O$2:O997),$O$2:$O$1001,0),0), INDEX($V$1004:$AE$1004,1,MATCH(COLUMNS($V$1006:AA1006),$V$1006:$AE$1006,0)))),"Fix")))</f>
        <v>0</v>
      </c>
      <c r="H997" s="4">
        <f>IF(OR(INDEX($P$2:$P$1001,MATCH(ROWS($O$2:O997),$O$2:$O$1001,0),1)&gt;=100000,INDEX($V$1005:$AE$1005,1,MATCH(COLUMNS($V$1006:AB1006),$V$1006:$AE$1006,0))&gt;=100000), " ",IF(INDEX($V$2:$AE$1001,MATCH(ROWS($O$2:O997),$O$2:$O$1001,0),MATCH(COLUMNS($V$1006:AB1006),$V$1006:$AE$1006,0)), HYPERLINK("#",""), HYPERLINK(CONCATENATE("#Metadata!", ADDRESS(INDEX($Q$2:$Q$1001,MATCH(ROWS($O$2:O997),$O$2:$O$1001,0),0), INDEX($V$1004:$AE$1004,1,MATCH(COLUMNS($V$1006:AB1006),$V$1006:$AE$1006,0)))),"Fix")))</f>
        <v>0</v>
      </c>
      <c r="I997" s="4">
        <f>IF(OR(INDEX($P$2:$P$1001,MATCH(ROWS($O$2:O997),$O$2:$O$1001,0),1)&gt;=100000,INDEX($V$1005:$AE$1005,1,MATCH(COLUMNS($V$1006:AC1006),$V$1006:$AE$1006,0))&gt;=100000), " ",IF(INDEX($V$2:$AE$1001,MATCH(ROWS($O$2:O997),$O$2:$O$1001,0),MATCH(COLUMNS($V$1006:AC1006),$V$1006:$AE$1006,0)), HYPERLINK("#",""), HYPERLINK(CONCATENATE("#Metadata!", ADDRESS(INDEX($Q$2:$Q$1001,MATCH(ROWS($O$2:O997),$O$2:$O$1001,0),0), INDEX($V$1004:$AE$1004,1,MATCH(COLUMNS($V$1006:AC1006),$V$1006:$AE$1006,0)))),"Fix")))</f>
        <v>0</v>
      </c>
      <c r="J997" s="4">
        <f>IF(OR(INDEX($P$2:$P$1001,MATCH(ROWS($O$2:O997),$O$2:$O$1001,0),1)&gt;=100000,INDEX($V$1005:$AE$1005,1,MATCH(COLUMNS($V$1006:AD1006),$V$1006:$AE$1006,0))&gt;=100000), " ",IF(INDEX($V$2:$AE$1001,MATCH(ROWS($O$2:O997),$O$2:$O$1001,0),MATCH(COLUMNS($V$1006:AD1006),$V$1006:$AE$1006,0)), HYPERLINK("#",""), HYPERLINK(CONCATENATE("#Metadata!", ADDRESS(INDEX($Q$2:$Q$1001,MATCH(ROWS($O$2:O997),$O$2:$O$1001,0),0), INDEX($V$1004:$AE$1004,1,MATCH(COLUMNS($V$1006:AD1006),$V$1006:$AE$1006,0)))),"Fix")))</f>
        <v>0</v>
      </c>
      <c r="K997" s="4">
        <f>IF(OR(INDEX($P$2:$P$1001,MATCH(ROWS($O$2:O997),$O$2:$O$1001,0),1)&gt;=100000,INDEX($V$1005:$AE$1005,1,MATCH(COLUMNS($V$1006:AE1006),$V$1006:$AE$1006,0))&gt;=100000), " ",IF(INDEX($V$2:$AE$1001,MATCH(ROWS($O$2:O997),$O$2:$O$1001,0),MATCH(COLUMNS($V$1006:AE1006),$V$1006:$AE$1006,0)), HYPERLINK("#",""), HYPERLINK(CONCATENATE("#Metadata!", ADDRESS(INDEX($Q$2:$Q$1001,MATCH(ROWS($O$2:O997),$O$2:$O$1001,0),0), INDEX($V$1004:$AE$1004,1,MATCH(COLUMNS($V$1006:AE1006),$V$1006:$AE$1006,0)))),"Fix")))</f>
        <v>0</v>
      </c>
      <c r="O997">
        <v>0</v>
      </c>
      <c r="P997">
        <v>0</v>
      </c>
      <c r="Q997">
        <v>0</v>
      </c>
      <c r="R997">
        <f>IF(S997,TRUE,AND(V997:AE997))</f>
        <v>0</v>
      </c>
      <c r="S997">
        <f>COUNTBLANK(Metadata!B997:K997)=COLUMNS(Metadata!B997:K997)</f>
        <v>0</v>
      </c>
      <c r="T997">
        <v>0</v>
      </c>
      <c r="V997">
        <f>AND(IF(Metadata!B997="",FALSE,TRUE),COUNTIF(Metadata!B:B, Metadata!B997) = 1,NOT(ISERROR(SUMPRODUCT(SEARCH(MID(Metadata!B997,ROW(INDIRECT("1:"&amp;LEN(Metadata!B997))), 1),"0123456789abcdefghijklmnopqrstuvwxyzABCDEFGHIJKLMNOPQRSTUVWXYZ.")))))</f>
        <v>0</v>
      </c>
      <c r="W997">
        <f>AND(IF(Metadata!C997="",FALSE,TRUE),exact(Metadata!C997,"urban biome"))</f>
        <v>0</v>
      </c>
      <c r="X997">
        <f>AND(IF(Metadata!D997="",FALSE,TRUE),exact(Metadata!D997,"animal-associated habitat"))</f>
        <v>0</v>
      </c>
      <c r="Y997">
        <f>OR(AND(IF(Metadata!E997="",FALSE,TRUE),OR(exact(Metadata!E997,"not applicable"),exact(Metadata!E997,"missing: not collected"),exact(Metadata!E997,"missing: not provided"),exact(Metadata!E997,"missing: restricted access"))),AND(IF(Metadata!E997="",FALSE,ISNUMBER(VALUE(Metadata!E997))),Metadata!E997&gt;0))</f>
        <v>0</v>
      </c>
      <c r="Z997">
        <f>AND(IF(Metadata!F997="",FALSE,TRUE),exact(Metadata!F997,"weeks"))</f>
        <v>0</v>
      </c>
      <c r="AA997">
        <f>AND(IF(Metadata!G997="",FALSE,TRUE),exact(Metadata!G997,"mouse"))</f>
        <v>0</v>
      </c>
      <c r="AB997">
        <f>AND(IF(Metadata!H997="",FALSE,TRUE),exact(Metadata!H997,"Mus musculus"))</f>
        <v>0</v>
      </c>
      <c r="AC997">
        <f>AND(IF(Metadata!I997="",FALSE,TRUE),exact(Metadata!I997,"10090"))</f>
        <v>0</v>
      </c>
      <c r="AD997">
        <f>OR(AND(IF(Metadata!J997="",FALSE,TRUE),OR(exact(Metadata!J997,"not applicable"),exact(Metadata!J997,"missing: not collected"),exact(Metadata!J997,"missing: not provided"),exact(Metadata!J997,"missing: restricted access"))),AND(IF(Metadata!J997="",FALSE,ISNUMBER(VALUE(Metadata!J997))),Metadata!J997&gt;0))</f>
        <v>0</v>
      </c>
      <c r="AE997">
        <f>AND(IF(Metadata!K997="",FALSE,TRUE),exact(Metadata!K997,"g"))</f>
        <v>0</v>
      </c>
    </row>
    <row r="998" spans="1:31">
      <c r="A998" s="5">
        <f>IF(B998=" "," ",HYPERLINK(CONCATENATE("#metadata!",ADDRESS(INDEX($Q$2:$Q$1001,MATCH(ROWS($O$2:O998),$O$2:$O$1001,0),0),1)),INDEX($T$2:$T$1001,MATCH(ROWS($O$2:O998),$O$2:$O$1001,0),0)))</f>
        <v>0</v>
      </c>
      <c r="B998" s="4">
        <f>IF(OR(INDEX($P$2:$P$1001,MATCH(ROWS($O$2:O998),$O$2:$O$1001,0),1)&gt;=100000,INDEX($V$1005:$AE$1005,1,MATCH(COLUMNS($V$1006:V1006),$V$1006:$AE$1006,0))&gt;=100000), " ",IF(INDEX($V$2:$AE$1001,MATCH(ROWS($O$2:O998),$O$2:$O$1001,0),MATCH(COLUMNS($V$1006:V1006),$V$1006:$AE$1006,0)), HYPERLINK("#",""), HYPERLINK(CONCATENATE("#Metadata!", ADDRESS(INDEX($Q$2:$Q$1001,MATCH(ROWS($O$2:O998),$O$2:$O$1001,0),0), INDEX($V$1004:$AE$1004,1,MATCH(COLUMNS($V$1006:V1006),$V$1006:$AE$1006,0)))),"Fix")))</f>
        <v>0</v>
      </c>
      <c r="C998" s="4">
        <f>IF(OR(INDEX($P$2:$P$1001,MATCH(ROWS($O$2:O998),$O$2:$O$1001,0),1)&gt;=100000,INDEX($V$1005:$AE$1005,1,MATCH(COLUMNS($V$1006:W1006),$V$1006:$AE$1006,0))&gt;=100000), " ",IF(INDEX($V$2:$AE$1001,MATCH(ROWS($O$2:O998),$O$2:$O$1001,0),MATCH(COLUMNS($V$1006:W1006),$V$1006:$AE$1006,0)), HYPERLINK("#",""), HYPERLINK(CONCATENATE("#Metadata!", ADDRESS(INDEX($Q$2:$Q$1001,MATCH(ROWS($O$2:O998),$O$2:$O$1001,0),0), INDEX($V$1004:$AE$1004,1,MATCH(COLUMNS($V$1006:W1006),$V$1006:$AE$1006,0)))),"Fix")))</f>
        <v>0</v>
      </c>
      <c r="D998" s="4">
        <f>IF(OR(INDEX($P$2:$P$1001,MATCH(ROWS($O$2:O998),$O$2:$O$1001,0),1)&gt;=100000,INDEX($V$1005:$AE$1005,1,MATCH(COLUMNS($V$1006:X1006),$V$1006:$AE$1006,0))&gt;=100000), " ",IF(INDEX($V$2:$AE$1001,MATCH(ROWS($O$2:O998),$O$2:$O$1001,0),MATCH(COLUMNS($V$1006:X1006),$V$1006:$AE$1006,0)), HYPERLINK("#",""), HYPERLINK(CONCATENATE("#Metadata!", ADDRESS(INDEX($Q$2:$Q$1001,MATCH(ROWS($O$2:O998),$O$2:$O$1001,0),0), INDEX($V$1004:$AE$1004,1,MATCH(COLUMNS($V$1006:X1006),$V$1006:$AE$1006,0)))),"Fix")))</f>
        <v>0</v>
      </c>
      <c r="E998" s="4">
        <f>IF(OR(INDEX($P$2:$P$1001,MATCH(ROWS($O$2:O998),$O$2:$O$1001,0),1)&gt;=100000,INDEX($V$1005:$AE$1005,1,MATCH(COLUMNS($V$1006:Y1006),$V$1006:$AE$1006,0))&gt;=100000), " ",IF(INDEX($V$2:$AE$1001,MATCH(ROWS($O$2:O998),$O$2:$O$1001,0),MATCH(COLUMNS($V$1006:Y1006),$V$1006:$AE$1006,0)), HYPERLINK("#",""), HYPERLINK(CONCATENATE("#Metadata!", ADDRESS(INDEX($Q$2:$Q$1001,MATCH(ROWS($O$2:O998),$O$2:$O$1001,0),0), INDEX($V$1004:$AE$1004,1,MATCH(COLUMNS($V$1006:Y1006),$V$1006:$AE$1006,0)))),"Fix")))</f>
        <v>0</v>
      </c>
      <c r="F998" s="4">
        <f>IF(OR(INDEX($P$2:$P$1001,MATCH(ROWS($O$2:O998),$O$2:$O$1001,0),1)&gt;=100000,INDEX($V$1005:$AE$1005,1,MATCH(COLUMNS($V$1006:Z1006),$V$1006:$AE$1006,0))&gt;=100000), " ",IF(INDEX($V$2:$AE$1001,MATCH(ROWS($O$2:O998),$O$2:$O$1001,0),MATCH(COLUMNS($V$1006:Z1006),$V$1006:$AE$1006,0)), HYPERLINK("#",""), HYPERLINK(CONCATENATE("#Metadata!", ADDRESS(INDEX($Q$2:$Q$1001,MATCH(ROWS($O$2:O998),$O$2:$O$1001,0),0), INDEX($V$1004:$AE$1004,1,MATCH(COLUMNS($V$1006:Z1006),$V$1006:$AE$1006,0)))),"Fix")))</f>
        <v>0</v>
      </c>
      <c r="G998" s="4">
        <f>IF(OR(INDEX($P$2:$P$1001,MATCH(ROWS($O$2:O998),$O$2:$O$1001,0),1)&gt;=100000,INDEX($V$1005:$AE$1005,1,MATCH(COLUMNS($V$1006:AA1006),$V$1006:$AE$1006,0))&gt;=100000), " ",IF(INDEX($V$2:$AE$1001,MATCH(ROWS($O$2:O998),$O$2:$O$1001,0),MATCH(COLUMNS($V$1006:AA1006),$V$1006:$AE$1006,0)), HYPERLINK("#",""), HYPERLINK(CONCATENATE("#Metadata!", ADDRESS(INDEX($Q$2:$Q$1001,MATCH(ROWS($O$2:O998),$O$2:$O$1001,0),0), INDEX($V$1004:$AE$1004,1,MATCH(COLUMNS($V$1006:AA1006),$V$1006:$AE$1006,0)))),"Fix")))</f>
        <v>0</v>
      </c>
      <c r="H998" s="4">
        <f>IF(OR(INDEX($P$2:$P$1001,MATCH(ROWS($O$2:O998),$O$2:$O$1001,0),1)&gt;=100000,INDEX($V$1005:$AE$1005,1,MATCH(COLUMNS($V$1006:AB1006),$V$1006:$AE$1006,0))&gt;=100000), " ",IF(INDEX($V$2:$AE$1001,MATCH(ROWS($O$2:O998),$O$2:$O$1001,0),MATCH(COLUMNS($V$1006:AB1006),$V$1006:$AE$1006,0)), HYPERLINK("#",""), HYPERLINK(CONCATENATE("#Metadata!", ADDRESS(INDEX($Q$2:$Q$1001,MATCH(ROWS($O$2:O998),$O$2:$O$1001,0),0), INDEX($V$1004:$AE$1004,1,MATCH(COLUMNS($V$1006:AB1006),$V$1006:$AE$1006,0)))),"Fix")))</f>
        <v>0</v>
      </c>
      <c r="I998" s="4">
        <f>IF(OR(INDEX($P$2:$P$1001,MATCH(ROWS($O$2:O998),$O$2:$O$1001,0),1)&gt;=100000,INDEX($V$1005:$AE$1005,1,MATCH(COLUMNS($V$1006:AC1006),$V$1006:$AE$1006,0))&gt;=100000), " ",IF(INDEX($V$2:$AE$1001,MATCH(ROWS($O$2:O998),$O$2:$O$1001,0),MATCH(COLUMNS($V$1006:AC1006),$V$1006:$AE$1006,0)), HYPERLINK("#",""), HYPERLINK(CONCATENATE("#Metadata!", ADDRESS(INDEX($Q$2:$Q$1001,MATCH(ROWS($O$2:O998),$O$2:$O$1001,0),0), INDEX($V$1004:$AE$1004,1,MATCH(COLUMNS($V$1006:AC1006),$V$1006:$AE$1006,0)))),"Fix")))</f>
        <v>0</v>
      </c>
      <c r="J998" s="4">
        <f>IF(OR(INDEX($P$2:$P$1001,MATCH(ROWS($O$2:O998),$O$2:$O$1001,0),1)&gt;=100000,INDEX($V$1005:$AE$1005,1,MATCH(COLUMNS($V$1006:AD1006),$V$1006:$AE$1006,0))&gt;=100000), " ",IF(INDEX($V$2:$AE$1001,MATCH(ROWS($O$2:O998),$O$2:$O$1001,0),MATCH(COLUMNS($V$1006:AD1006),$V$1006:$AE$1006,0)), HYPERLINK("#",""), HYPERLINK(CONCATENATE("#Metadata!", ADDRESS(INDEX($Q$2:$Q$1001,MATCH(ROWS($O$2:O998),$O$2:$O$1001,0),0), INDEX($V$1004:$AE$1004,1,MATCH(COLUMNS($V$1006:AD1006),$V$1006:$AE$1006,0)))),"Fix")))</f>
        <v>0</v>
      </c>
      <c r="K998" s="4">
        <f>IF(OR(INDEX($P$2:$P$1001,MATCH(ROWS($O$2:O998),$O$2:$O$1001,0),1)&gt;=100000,INDEX($V$1005:$AE$1005,1,MATCH(COLUMNS($V$1006:AE1006),$V$1006:$AE$1006,0))&gt;=100000), " ",IF(INDEX($V$2:$AE$1001,MATCH(ROWS($O$2:O998),$O$2:$O$1001,0),MATCH(COLUMNS($V$1006:AE1006),$V$1006:$AE$1006,0)), HYPERLINK("#",""), HYPERLINK(CONCATENATE("#Metadata!", ADDRESS(INDEX($Q$2:$Q$1001,MATCH(ROWS($O$2:O998),$O$2:$O$1001,0),0), INDEX($V$1004:$AE$1004,1,MATCH(COLUMNS($V$1006:AE1006),$V$1006:$AE$1006,0)))),"Fix")))</f>
        <v>0</v>
      </c>
      <c r="O998">
        <v>0</v>
      </c>
      <c r="P998">
        <v>0</v>
      </c>
      <c r="Q998">
        <v>0</v>
      </c>
      <c r="R998">
        <f>IF(S998,TRUE,AND(V998:AE998))</f>
        <v>0</v>
      </c>
      <c r="S998">
        <f>COUNTBLANK(Metadata!B998:K998)=COLUMNS(Metadata!B998:K998)</f>
        <v>0</v>
      </c>
      <c r="T998">
        <v>0</v>
      </c>
      <c r="V998">
        <f>AND(IF(Metadata!B998="",FALSE,TRUE),COUNTIF(Metadata!B:B, Metadata!B998) = 1,NOT(ISERROR(SUMPRODUCT(SEARCH(MID(Metadata!B998,ROW(INDIRECT("1:"&amp;LEN(Metadata!B998))), 1),"0123456789abcdefghijklmnopqrstuvwxyzABCDEFGHIJKLMNOPQRSTUVWXYZ.")))))</f>
        <v>0</v>
      </c>
      <c r="W998">
        <f>AND(IF(Metadata!C998="",FALSE,TRUE),exact(Metadata!C998,"urban biome"))</f>
        <v>0</v>
      </c>
      <c r="X998">
        <f>AND(IF(Metadata!D998="",FALSE,TRUE),exact(Metadata!D998,"animal-associated habitat"))</f>
        <v>0</v>
      </c>
      <c r="Y998">
        <f>OR(AND(IF(Metadata!E998="",FALSE,TRUE),OR(exact(Metadata!E998,"not applicable"),exact(Metadata!E998,"missing: not collected"),exact(Metadata!E998,"missing: not provided"),exact(Metadata!E998,"missing: restricted access"))),AND(IF(Metadata!E998="",FALSE,ISNUMBER(VALUE(Metadata!E998))),Metadata!E998&gt;0))</f>
        <v>0</v>
      </c>
      <c r="Z998">
        <f>AND(IF(Metadata!F998="",FALSE,TRUE),exact(Metadata!F998,"weeks"))</f>
        <v>0</v>
      </c>
      <c r="AA998">
        <f>AND(IF(Metadata!G998="",FALSE,TRUE),exact(Metadata!G998,"mouse"))</f>
        <v>0</v>
      </c>
      <c r="AB998">
        <f>AND(IF(Metadata!H998="",FALSE,TRUE),exact(Metadata!H998,"Mus musculus"))</f>
        <v>0</v>
      </c>
      <c r="AC998">
        <f>AND(IF(Metadata!I998="",FALSE,TRUE),exact(Metadata!I998,"10090"))</f>
        <v>0</v>
      </c>
      <c r="AD998">
        <f>OR(AND(IF(Metadata!J998="",FALSE,TRUE),OR(exact(Metadata!J998,"not applicable"),exact(Metadata!J998,"missing: not collected"),exact(Metadata!J998,"missing: not provided"),exact(Metadata!J998,"missing: restricted access"))),AND(IF(Metadata!J998="",FALSE,ISNUMBER(VALUE(Metadata!J998))),Metadata!J998&gt;0))</f>
        <v>0</v>
      </c>
      <c r="AE998">
        <f>AND(IF(Metadata!K998="",FALSE,TRUE),exact(Metadata!K998,"g"))</f>
        <v>0</v>
      </c>
    </row>
    <row r="999" spans="1:31">
      <c r="A999" s="5">
        <f>IF(B999=" "," ",HYPERLINK(CONCATENATE("#metadata!",ADDRESS(INDEX($Q$2:$Q$1001,MATCH(ROWS($O$2:O999),$O$2:$O$1001,0),0),1)),INDEX($T$2:$T$1001,MATCH(ROWS($O$2:O999),$O$2:$O$1001,0),0)))</f>
        <v>0</v>
      </c>
      <c r="B999" s="4">
        <f>IF(OR(INDEX($P$2:$P$1001,MATCH(ROWS($O$2:O999),$O$2:$O$1001,0),1)&gt;=100000,INDEX($V$1005:$AE$1005,1,MATCH(COLUMNS($V$1006:V1006),$V$1006:$AE$1006,0))&gt;=100000), " ",IF(INDEX($V$2:$AE$1001,MATCH(ROWS($O$2:O999),$O$2:$O$1001,0),MATCH(COLUMNS($V$1006:V1006),$V$1006:$AE$1006,0)), HYPERLINK("#",""), HYPERLINK(CONCATENATE("#Metadata!", ADDRESS(INDEX($Q$2:$Q$1001,MATCH(ROWS($O$2:O999),$O$2:$O$1001,0),0), INDEX($V$1004:$AE$1004,1,MATCH(COLUMNS($V$1006:V1006),$V$1006:$AE$1006,0)))),"Fix")))</f>
        <v>0</v>
      </c>
      <c r="C999" s="4">
        <f>IF(OR(INDEX($P$2:$P$1001,MATCH(ROWS($O$2:O999),$O$2:$O$1001,0),1)&gt;=100000,INDEX($V$1005:$AE$1005,1,MATCH(COLUMNS($V$1006:W1006),$V$1006:$AE$1006,0))&gt;=100000), " ",IF(INDEX($V$2:$AE$1001,MATCH(ROWS($O$2:O999),$O$2:$O$1001,0),MATCH(COLUMNS($V$1006:W1006),$V$1006:$AE$1006,0)), HYPERLINK("#",""), HYPERLINK(CONCATENATE("#Metadata!", ADDRESS(INDEX($Q$2:$Q$1001,MATCH(ROWS($O$2:O999),$O$2:$O$1001,0),0), INDEX($V$1004:$AE$1004,1,MATCH(COLUMNS($V$1006:W1006),$V$1006:$AE$1006,0)))),"Fix")))</f>
        <v>0</v>
      </c>
      <c r="D999" s="4">
        <f>IF(OR(INDEX($P$2:$P$1001,MATCH(ROWS($O$2:O999),$O$2:$O$1001,0),1)&gt;=100000,INDEX($V$1005:$AE$1005,1,MATCH(COLUMNS($V$1006:X1006),$V$1006:$AE$1006,0))&gt;=100000), " ",IF(INDEX($V$2:$AE$1001,MATCH(ROWS($O$2:O999),$O$2:$O$1001,0),MATCH(COLUMNS($V$1006:X1006),$V$1006:$AE$1006,0)), HYPERLINK("#",""), HYPERLINK(CONCATENATE("#Metadata!", ADDRESS(INDEX($Q$2:$Q$1001,MATCH(ROWS($O$2:O999),$O$2:$O$1001,0),0), INDEX($V$1004:$AE$1004,1,MATCH(COLUMNS($V$1006:X1006),$V$1006:$AE$1006,0)))),"Fix")))</f>
        <v>0</v>
      </c>
      <c r="E999" s="4">
        <f>IF(OR(INDEX($P$2:$P$1001,MATCH(ROWS($O$2:O999),$O$2:$O$1001,0),1)&gt;=100000,INDEX($V$1005:$AE$1005,1,MATCH(COLUMNS($V$1006:Y1006),$V$1006:$AE$1006,0))&gt;=100000), " ",IF(INDEX($V$2:$AE$1001,MATCH(ROWS($O$2:O999),$O$2:$O$1001,0),MATCH(COLUMNS($V$1006:Y1006),$V$1006:$AE$1006,0)), HYPERLINK("#",""), HYPERLINK(CONCATENATE("#Metadata!", ADDRESS(INDEX($Q$2:$Q$1001,MATCH(ROWS($O$2:O999),$O$2:$O$1001,0),0), INDEX($V$1004:$AE$1004,1,MATCH(COLUMNS($V$1006:Y1006),$V$1006:$AE$1006,0)))),"Fix")))</f>
        <v>0</v>
      </c>
      <c r="F999" s="4">
        <f>IF(OR(INDEX($P$2:$P$1001,MATCH(ROWS($O$2:O999),$O$2:$O$1001,0),1)&gt;=100000,INDEX($V$1005:$AE$1005,1,MATCH(COLUMNS($V$1006:Z1006),$V$1006:$AE$1006,0))&gt;=100000), " ",IF(INDEX($V$2:$AE$1001,MATCH(ROWS($O$2:O999),$O$2:$O$1001,0),MATCH(COLUMNS($V$1006:Z1006),$V$1006:$AE$1006,0)), HYPERLINK("#",""), HYPERLINK(CONCATENATE("#Metadata!", ADDRESS(INDEX($Q$2:$Q$1001,MATCH(ROWS($O$2:O999),$O$2:$O$1001,0),0), INDEX($V$1004:$AE$1004,1,MATCH(COLUMNS($V$1006:Z1006),$V$1006:$AE$1006,0)))),"Fix")))</f>
        <v>0</v>
      </c>
      <c r="G999" s="4">
        <f>IF(OR(INDEX($P$2:$P$1001,MATCH(ROWS($O$2:O999),$O$2:$O$1001,0),1)&gt;=100000,INDEX($V$1005:$AE$1005,1,MATCH(COLUMNS($V$1006:AA1006),$V$1006:$AE$1006,0))&gt;=100000), " ",IF(INDEX($V$2:$AE$1001,MATCH(ROWS($O$2:O999),$O$2:$O$1001,0),MATCH(COLUMNS($V$1006:AA1006),$V$1006:$AE$1006,0)), HYPERLINK("#",""), HYPERLINK(CONCATENATE("#Metadata!", ADDRESS(INDEX($Q$2:$Q$1001,MATCH(ROWS($O$2:O999),$O$2:$O$1001,0),0), INDEX($V$1004:$AE$1004,1,MATCH(COLUMNS($V$1006:AA1006),$V$1006:$AE$1006,0)))),"Fix")))</f>
        <v>0</v>
      </c>
      <c r="H999" s="4">
        <f>IF(OR(INDEX($P$2:$P$1001,MATCH(ROWS($O$2:O999),$O$2:$O$1001,0),1)&gt;=100000,INDEX($V$1005:$AE$1005,1,MATCH(COLUMNS($V$1006:AB1006),$V$1006:$AE$1006,0))&gt;=100000), " ",IF(INDEX($V$2:$AE$1001,MATCH(ROWS($O$2:O999),$O$2:$O$1001,0),MATCH(COLUMNS($V$1006:AB1006),$V$1006:$AE$1006,0)), HYPERLINK("#",""), HYPERLINK(CONCATENATE("#Metadata!", ADDRESS(INDEX($Q$2:$Q$1001,MATCH(ROWS($O$2:O999),$O$2:$O$1001,0),0), INDEX($V$1004:$AE$1004,1,MATCH(COLUMNS($V$1006:AB1006),$V$1006:$AE$1006,0)))),"Fix")))</f>
        <v>0</v>
      </c>
      <c r="I999" s="4">
        <f>IF(OR(INDEX($P$2:$P$1001,MATCH(ROWS($O$2:O999),$O$2:$O$1001,0),1)&gt;=100000,INDEX($V$1005:$AE$1005,1,MATCH(COLUMNS($V$1006:AC1006),$V$1006:$AE$1006,0))&gt;=100000), " ",IF(INDEX($V$2:$AE$1001,MATCH(ROWS($O$2:O999),$O$2:$O$1001,0),MATCH(COLUMNS($V$1006:AC1006),$V$1006:$AE$1006,0)), HYPERLINK("#",""), HYPERLINK(CONCATENATE("#Metadata!", ADDRESS(INDEX($Q$2:$Q$1001,MATCH(ROWS($O$2:O999),$O$2:$O$1001,0),0), INDEX($V$1004:$AE$1004,1,MATCH(COLUMNS($V$1006:AC1006),$V$1006:$AE$1006,0)))),"Fix")))</f>
        <v>0</v>
      </c>
      <c r="J999" s="4">
        <f>IF(OR(INDEX($P$2:$P$1001,MATCH(ROWS($O$2:O999),$O$2:$O$1001,0),1)&gt;=100000,INDEX($V$1005:$AE$1005,1,MATCH(COLUMNS($V$1006:AD1006),$V$1006:$AE$1006,0))&gt;=100000), " ",IF(INDEX($V$2:$AE$1001,MATCH(ROWS($O$2:O999),$O$2:$O$1001,0),MATCH(COLUMNS($V$1006:AD1006),$V$1006:$AE$1006,0)), HYPERLINK("#",""), HYPERLINK(CONCATENATE("#Metadata!", ADDRESS(INDEX($Q$2:$Q$1001,MATCH(ROWS($O$2:O999),$O$2:$O$1001,0),0), INDEX($V$1004:$AE$1004,1,MATCH(COLUMNS($V$1006:AD1006),$V$1006:$AE$1006,0)))),"Fix")))</f>
        <v>0</v>
      </c>
      <c r="K999" s="4">
        <f>IF(OR(INDEX($P$2:$P$1001,MATCH(ROWS($O$2:O999),$O$2:$O$1001,0),1)&gt;=100000,INDEX($V$1005:$AE$1005,1,MATCH(COLUMNS($V$1006:AE1006),$V$1006:$AE$1006,0))&gt;=100000), " ",IF(INDEX($V$2:$AE$1001,MATCH(ROWS($O$2:O999),$O$2:$O$1001,0),MATCH(COLUMNS($V$1006:AE1006),$V$1006:$AE$1006,0)), HYPERLINK("#",""), HYPERLINK(CONCATENATE("#Metadata!", ADDRESS(INDEX($Q$2:$Q$1001,MATCH(ROWS($O$2:O999),$O$2:$O$1001,0),0), INDEX($V$1004:$AE$1004,1,MATCH(COLUMNS($V$1006:AE1006),$V$1006:$AE$1006,0)))),"Fix")))</f>
        <v>0</v>
      </c>
      <c r="O999">
        <v>0</v>
      </c>
      <c r="P999">
        <v>0</v>
      </c>
      <c r="Q999">
        <v>0</v>
      </c>
      <c r="R999">
        <f>IF(S999,TRUE,AND(V999:AE999))</f>
        <v>0</v>
      </c>
      <c r="S999">
        <f>COUNTBLANK(Metadata!B999:K999)=COLUMNS(Metadata!B999:K999)</f>
        <v>0</v>
      </c>
      <c r="T999">
        <v>0</v>
      </c>
      <c r="V999">
        <f>AND(IF(Metadata!B999="",FALSE,TRUE),COUNTIF(Metadata!B:B, Metadata!B999) = 1,NOT(ISERROR(SUMPRODUCT(SEARCH(MID(Metadata!B999,ROW(INDIRECT("1:"&amp;LEN(Metadata!B999))), 1),"0123456789abcdefghijklmnopqrstuvwxyzABCDEFGHIJKLMNOPQRSTUVWXYZ.")))))</f>
        <v>0</v>
      </c>
      <c r="W999">
        <f>AND(IF(Metadata!C999="",FALSE,TRUE),exact(Metadata!C999,"urban biome"))</f>
        <v>0</v>
      </c>
      <c r="X999">
        <f>AND(IF(Metadata!D999="",FALSE,TRUE),exact(Metadata!D999,"animal-associated habitat"))</f>
        <v>0</v>
      </c>
      <c r="Y999">
        <f>OR(AND(IF(Metadata!E999="",FALSE,TRUE),OR(exact(Metadata!E999,"not applicable"),exact(Metadata!E999,"missing: not collected"),exact(Metadata!E999,"missing: not provided"),exact(Metadata!E999,"missing: restricted access"))),AND(IF(Metadata!E999="",FALSE,ISNUMBER(VALUE(Metadata!E999))),Metadata!E999&gt;0))</f>
        <v>0</v>
      </c>
      <c r="Z999">
        <f>AND(IF(Metadata!F999="",FALSE,TRUE),exact(Metadata!F999,"weeks"))</f>
        <v>0</v>
      </c>
      <c r="AA999">
        <f>AND(IF(Metadata!G999="",FALSE,TRUE),exact(Metadata!G999,"mouse"))</f>
        <v>0</v>
      </c>
      <c r="AB999">
        <f>AND(IF(Metadata!H999="",FALSE,TRUE),exact(Metadata!H999,"Mus musculus"))</f>
        <v>0</v>
      </c>
      <c r="AC999">
        <f>AND(IF(Metadata!I999="",FALSE,TRUE),exact(Metadata!I999,"10090"))</f>
        <v>0</v>
      </c>
      <c r="AD999">
        <f>OR(AND(IF(Metadata!J999="",FALSE,TRUE),OR(exact(Metadata!J999,"not applicable"),exact(Metadata!J999,"missing: not collected"),exact(Metadata!J999,"missing: not provided"),exact(Metadata!J999,"missing: restricted access"))),AND(IF(Metadata!J999="",FALSE,ISNUMBER(VALUE(Metadata!J999))),Metadata!J999&gt;0))</f>
        <v>0</v>
      </c>
      <c r="AE999">
        <f>AND(IF(Metadata!K999="",FALSE,TRUE),exact(Metadata!K999,"g"))</f>
        <v>0</v>
      </c>
    </row>
    <row r="1000" spans="1:31">
      <c r="A1000" s="5">
        <f>IF(B1000=" "," ",HYPERLINK(CONCATENATE("#metadata!",ADDRESS(INDEX($Q$2:$Q$1001,MATCH(ROWS($O$2:O1000),$O$2:$O$1001,0),0),1)),INDEX($T$2:$T$1001,MATCH(ROWS($O$2:O1000),$O$2:$O$1001,0),0)))</f>
        <v>0</v>
      </c>
      <c r="B1000" s="4">
        <f>IF(OR(INDEX($P$2:$P$1001,MATCH(ROWS($O$2:O1000),$O$2:$O$1001,0),1)&gt;=100000,INDEX($V$1005:$AE$1005,1,MATCH(COLUMNS($V$1006:V1006),$V$1006:$AE$1006,0))&gt;=100000), " ",IF(INDEX($V$2:$AE$1001,MATCH(ROWS($O$2:O1000),$O$2:$O$1001,0),MATCH(COLUMNS($V$1006:V1006),$V$1006:$AE$1006,0)), HYPERLINK("#",""), HYPERLINK(CONCATENATE("#Metadata!", ADDRESS(INDEX($Q$2:$Q$1001,MATCH(ROWS($O$2:O1000),$O$2:$O$1001,0),0), INDEX($V$1004:$AE$1004,1,MATCH(COLUMNS($V$1006:V1006),$V$1006:$AE$1006,0)))),"Fix")))</f>
        <v>0</v>
      </c>
      <c r="C1000" s="4">
        <f>IF(OR(INDEX($P$2:$P$1001,MATCH(ROWS($O$2:O1000),$O$2:$O$1001,0),1)&gt;=100000,INDEX($V$1005:$AE$1005,1,MATCH(COLUMNS($V$1006:W1006),$V$1006:$AE$1006,0))&gt;=100000), " ",IF(INDEX($V$2:$AE$1001,MATCH(ROWS($O$2:O1000),$O$2:$O$1001,0),MATCH(COLUMNS($V$1006:W1006),$V$1006:$AE$1006,0)), HYPERLINK("#",""), HYPERLINK(CONCATENATE("#Metadata!", ADDRESS(INDEX($Q$2:$Q$1001,MATCH(ROWS($O$2:O1000),$O$2:$O$1001,0),0), INDEX($V$1004:$AE$1004,1,MATCH(COLUMNS($V$1006:W1006),$V$1006:$AE$1006,0)))),"Fix")))</f>
        <v>0</v>
      </c>
      <c r="D1000" s="4">
        <f>IF(OR(INDEX($P$2:$P$1001,MATCH(ROWS($O$2:O1000),$O$2:$O$1001,0),1)&gt;=100000,INDEX($V$1005:$AE$1005,1,MATCH(COLUMNS($V$1006:X1006),$V$1006:$AE$1006,0))&gt;=100000), " ",IF(INDEX($V$2:$AE$1001,MATCH(ROWS($O$2:O1000),$O$2:$O$1001,0),MATCH(COLUMNS($V$1006:X1006),$V$1006:$AE$1006,0)), HYPERLINK("#",""), HYPERLINK(CONCATENATE("#Metadata!", ADDRESS(INDEX($Q$2:$Q$1001,MATCH(ROWS($O$2:O1000),$O$2:$O$1001,0),0), INDEX($V$1004:$AE$1004,1,MATCH(COLUMNS($V$1006:X1006),$V$1006:$AE$1006,0)))),"Fix")))</f>
        <v>0</v>
      </c>
      <c r="E1000" s="4">
        <f>IF(OR(INDEX($P$2:$P$1001,MATCH(ROWS($O$2:O1000),$O$2:$O$1001,0),1)&gt;=100000,INDEX($V$1005:$AE$1005,1,MATCH(COLUMNS($V$1006:Y1006),$V$1006:$AE$1006,0))&gt;=100000), " ",IF(INDEX($V$2:$AE$1001,MATCH(ROWS($O$2:O1000),$O$2:$O$1001,0),MATCH(COLUMNS($V$1006:Y1006),$V$1006:$AE$1006,0)), HYPERLINK("#",""), HYPERLINK(CONCATENATE("#Metadata!", ADDRESS(INDEX($Q$2:$Q$1001,MATCH(ROWS($O$2:O1000),$O$2:$O$1001,0),0), INDEX($V$1004:$AE$1004,1,MATCH(COLUMNS($V$1006:Y1006),$V$1006:$AE$1006,0)))),"Fix")))</f>
        <v>0</v>
      </c>
      <c r="F1000" s="4">
        <f>IF(OR(INDEX($P$2:$P$1001,MATCH(ROWS($O$2:O1000),$O$2:$O$1001,0),1)&gt;=100000,INDEX($V$1005:$AE$1005,1,MATCH(COLUMNS($V$1006:Z1006),$V$1006:$AE$1006,0))&gt;=100000), " ",IF(INDEX($V$2:$AE$1001,MATCH(ROWS($O$2:O1000),$O$2:$O$1001,0),MATCH(COLUMNS($V$1006:Z1006),$V$1006:$AE$1006,0)), HYPERLINK("#",""), HYPERLINK(CONCATENATE("#Metadata!", ADDRESS(INDEX($Q$2:$Q$1001,MATCH(ROWS($O$2:O1000),$O$2:$O$1001,0),0), INDEX($V$1004:$AE$1004,1,MATCH(COLUMNS($V$1006:Z1006),$V$1006:$AE$1006,0)))),"Fix")))</f>
        <v>0</v>
      </c>
      <c r="G1000" s="4">
        <f>IF(OR(INDEX($P$2:$P$1001,MATCH(ROWS($O$2:O1000),$O$2:$O$1001,0),1)&gt;=100000,INDEX($V$1005:$AE$1005,1,MATCH(COLUMNS($V$1006:AA1006),$V$1006:$AE$1006,0))&gt;=100000), " ",IF(INDEX($V$2:$AE$1001,MATCH(ROWS($O$2:O1000),$O$2:$O$1001,0),MATCH(COLUMNS($V$1006:AA1006),$V$1006:$AE$1006,0)), HYPERLINK("#",""), HYPERLINK(CONCATENATE("#Metadata!", ADDRESS(INDEX($Q$2:$Q$1001,MATCH(ROWS($O$2:O1000),$O$2:$O$1001,0),0), INDEX($V$1004:$AE$1004,1,MATCH(COLUMNS($V$1006:AA1006),$V$1006:$AE$1006,0)))),"Fix")))</f>
        <v>0</v>
      </c>
      <c r="H1000" s="4">
        <f>IF(OR(INDEX($P$2:$P$1001,MATCH(ROWS($O$2:O1000),$O$2:$O$1001,0),1)&gt;=100000,INDEX($V$1005:$AE$1005,1,MATCH(COLUMNS($V$1006:AB1006),$V$1006:$AE$1006,0))&gt;=100000), " ",IF(INDEX($V$2:$AE$1001,MATCH(ROWS($O$2:O1000),$O$2:$O$1001,0),MATCH(COLUMNS($V$1006:AB1006),$V$1006:$AE$1006,0)), HYPERLINK("#",""), HYPERLINK(CONCATENATE("#Metadata!", ADDRESS(INDEX($Q$2:$Q$1001,MATCH(ROWS($O$2:O1000),$O$2:$O$1001,0),0), INDEX($V$1004:$AE$1004,1,MATCH(COLUMNS($V$1006:AB1006),$V$1006:$AE$1006,0)))),"Fix")))</f>
        <v>0</v>
      </c>
      <c r="I1000" s="4">
        <f>IF(OR(INDEX($P$2:$P$1001,MATCH(ROWS($O$2:O1000),$O$2:$O$1001,0),1)&gt;=100000,INDEX($V$1005:$AE$1005,1,MATCH(COLUMNS($V$1006:AC1006),$V$1006:$AE$1006,0))&gt;=100000), " ",IF(INDEX($V$2:$AE$1001,MATCH(ROWS($O$2:O1000),$O$2:$O$1001,0),MATCH(COLUMNS($V$1006:AC1006),$V$1006:$AE$1006,0)), HYPERLINK("#",""), HYPERLINK(CONCATENATE("#Metadata!", ADDRESS(INDEX($Q$2:$Q$1001,MATCH(ROWS($O$2:O1000),$O$2:$O$1001,0),0), INDEX($V$1004:$AE$1004,1,MATCH(COLUMNS($V$1006:AC1006),$V$1006:$AE$1006,0)))),"Fix")))</f>
        <v>0</v>
      </c>
      <c r="J1000" s="4">
        <f>IF(OR(INDEX($P$2:$P$1001,MATCH(ROWS($O$2:O1000),$O$2:$O$1001,0),1)&gt;=100000,INDEX($V$1005:$AE$1005,1,MATCH(COLUMNS($V$1006:AD1006),$V$1006:$AE$1006,0))&gt;=100000), " ",IF(INDEX($V$2:$AE$1001,MATCH(ROWS($O$2:O1000),$O$2:$O$1001,0),MATCH(COLUMNS($V$1006:AD1006),$V$1006:$AE$1006,0)), HYPERLINK("#",""), HYPERLINK(CONCATENATE("#Metadata!", ADDRESS(INDEX($Q$2:$Q$1001,MATCH(ROWS($O$2:O1000),$O$2:$O$1001,0),0), INDEX($V$1004:$AE$1004,1,MATCH(COLUMNS($V$1006:AD1006),$V$1006:$AE$1006,0)))),"Fix")))</f>
        <v>0</v>
      </c>
      <c r="K1000" s="4">
        <f>IF(OR(INDEX($P$2:$P$1001,MATCH(ROWS($O$2:O1000),$O$2:$O$1001,0),1)&gt;=100000,INDEX($V$1005:$AE$1005,1,MATCH(COLUMNS($V$1006:AE1006),$V$1006:$AE$1006,0))&gt;=100000), " ",IF(INDEX($V$2:$AE$1001,MATCH(ROWS($O$2:O1000),$O$2:$O$1001,0),MATCH(COLUMNS($V$1006:AE1006),$V$1006:$AE$1006,0)), HYPERLINK("#",""), HYPERLINK(CONCATENATE("#Metadata!", ADDRESS(INDEX($Q$2:$Q$1001,MATCH(ROWS($O$2:O1000),$O$2:$O$1001,0),0), INDEX($V$1004:$AE$1004,1,MATCH(COLUMNS($V$1006:AE1006),$V$1006:$AE$1006,0)))),"Fix")))</f>
        <v>0</v>
      </c>
      <c r="O1000">
        <v>0</v>
      </c>
      <c r="P1000">
        <v>0</v>
      </c>
      <c r="Q1000">
        <v>0</v>
      </c>
      <c r="R1000">
        <f>IF(S1000,TRUE,AND(V1000:AE1000))</f>
        <v>0</v>
      </c>
      <c r="S1000">
        <f>COUNTBLANK(Metadata!B1000:K1000)=COLUMNS(Metadata!B1000:K1000)</f>
        <v>0</v>
      </c>
      <c r="T1000">
        <v>0</v>
      </c>
      <c r="V1000">
        <f>AND(IF(Metadata!B1000="",FALSE,TRUE),COUNTIF(Metadata!B:B, Metadata!B1000) = 1,NOT(ISERROR(SUMPRODUCT(SEARCH(MID(Metadata!B1000,ROW(INDIRECT("1:"&amp;LEN(Metadata!B1000))), 1),"0123456789abcdefghijklmnopqrstuvwxyzABCDEFGHIJKLMNOPQRSTUVWXYZ.")))))</f>
        <v>0</v>
      </c>
      <c r="W1000">
        <f>AND(IF(Metadata!C1000="",FALSE,TRUE),exact(Metadata!C1000,"urban biome"))</f>
        <v>0</v>
      </c>
      <c r="X1000">
        <f>AND(IF(Metadata!D1000="",FALSE,TRUE),exact(Metadata!D1000,"animal-associated habitat"))</f>
        <v>0</v>
      </c>
      <c r="Y1000">
        <f>OR(AND(IF(Metadata!E1000="",FALSE,TRUE),OR(exact(Metadata!E1000,"not applicable"),exact(Metadata!E1000,"missing: not collected"),exact(Metadata!E1000,"missing: not provided"),exact(Metadata!E1000,"missing: restricted access"))),AND(IF(Metadata!E1000="",FALSE,ISNUMBER(VALUE(Metadata!E1000))),Metadata!E1000&gt;0))</f>
        <v>0</v>
      </c>
      <c r="Z1000">
        <f>AND(IF(Metadata!F1000="",FALSE,TRUE),exact(Metadata!F1000,"weeks"))</f>
        <v>0</v>
      </c>
      <c r="AA1000">
        <f>AND(IF(Metadata!G1000="",FALSE,TRUE),exact(Metadata!G1000,"mouse"))</f>
        <v>0</v>
      </c>
      <c r="AB1000">
        <f>AND(IF(Metadata!H1000="",FALSE,TRUE),exact(Metadata!H1000,"Mus musculus"))</f>
        <v>0</v>
      </c>
      <c r="AC1000">
        <f>AND(IF(Metadata!I1000="",FALSE,TRUE),exact(Metadata!I1000,"10090"))</f>
        <v>0</v>
      </c>
      <c r="AD1000">
        <f>OR(AND(IF(Metadata!J1000="",FALSE,TRUE),OR(exact(Metadata!J1000,"not applicable"),exact(Metadata!J1000,"missing: not collected"),exact(Metadata!J1000,"missing: not provided"),exact(Metadata!J1000,"missing: restricted access"))),AND(IF(Metadata!J1000="",FALSE,ISNUMBER(VALUE(Metadata!J1000))),Metadata!J1000&gt;0))</f>
        <v>0</v>
      </c>
      <c r="AE1000">
        <f>AND(IF(Metadata!K1000="",FALSE,TRUE),exact(Metadata!K1000,"g"))</f>
        <v>0</v>
      </c>
    </row>
    <row r="1001" spans="1:31">
      <c r="A1001" s="5">
        <f>IF(B1001=" "," ",HYPERLINK(CONCATENATE("#metadata!",ADDRESS(INDEX($Q$2:$Q$1001,MATCH(ROWS($O$2:O1001),$O$2:$O$1001,0),0),1)),INDEX($T$2:$T$1001,MATCH(ROWS($O$2:O1001),$O$2:$O$1001,0),0)))</f>
        <v>0</v>
      </c>
      <c r="B1001" s="4">
        <f>IF(OR(INDEX($P$2:$P$1001,MATCH(ROWS($O$2:O1001),$O$2:$O$1001,0),1)&gt;=100000,INDEX($V$1005:$AE$1005,1,MATCH(COLUMNS($V$1006:V1006),$V$1006:$AE$1006,0))&gt;=100000), " ",IF(INDEX($V$2:$AE$1001,MATCH(ROWS($O$2:O1001),$O$2:$O$1001,0),MATCH(COLUMNS($V$1006:V1006),$V$1006:$AE$1006,0)), HYPERLINK("#",""), HYPERLINK(CONCATENATE("#Metadata!", ADDRESS(INDEX($Q$2:$Q$1001,MATCH(ROWS($O$2:O1001),$O$2:$O$1001,0),0), INDEX($V$1004:$AE$1004,1,MATCH(COLUMNS($V$1006:V1006),$V$1006:$AE$1006,0)))),"Fix")))</f>
        <v>0</v>
      </c>
      <c r="C1001" s="4">
        <f>IF(OR(INDEX($P$2:$P$1001,MATCH(ROWS($O$2:O1001),$O$2:$O$1001,0),1)&gt;=100000,INDEX($V$1005:$AE$1005,1,MATCH(COLUMNS($V$1006:W1006),$V$1006:$AE$1006,0))&gt;=100000), " ",IF(INDEX($V$2:$AE$1001,MATCH(ROWS($O$2:O1001),$O$2:$O$1001,0),MATCH(COLUMNS($V$1006:W1006),$V$1006:$AE$1006,0)), HYPERLINK("#",""), HYPERLINK(CONCATENATE("#Metadata!", ADDRESS(INDEX($Q$2:$Q$1001,MATCH(ROWS($O$2:O1001),$O$2:$O$1001,0),0), INDEX($V$1004:$AE$1004,1,MATCH(COLUMNS($V$1006:W1006),$V$1006:$AE$1006,0)))),"Fix")))</f>
        <v>0</v>
      </c>
      <c r="D1001" s="4">
        <f>IF(OR(INDEX($P$2:$P$1001,MATCH(ROWS($O$2:O1001),$O$2:$O$1001,0),1)&gt;=100000,INDEX($V$1005:$AE$1005,1,MATCH(COLUMNS($V$1006:X1006),$V$1006:$AE$1006,0))&gt;=100000), " ",IF(INDEX($V$2:$AE$1001,MATCH(ROWS($O$2:O1001),$O$2:$O$1001,0),MATCH(COLUMNS($V$1006:X1006),$V$1006:$AE$1006,0)), HYPERLINK("#",""), HYPERLINK(CONCATENATE("#Metadata!", ADDRESS(INDEX($Q$2:$Q$1001,MATCH(ROWS($O$2:O1001),$O$2:$O$1001,0),0), INDEX($V$1004:$AE$1004,1,MATCH(COLUMNS($V$1006:X1006),$V$1006:$AE$1006,0)))),"Fix")))</f>
        <v>0</v>
      </c>
      <c r="E1001" s="4">
        <f>IF(OR(INDEX($P$2:$P$1001,MATCH(ROWS($O$2:O1001),$O$2:$O$1001,0),1)&gt;=100000,INDEX($V$1005:$AE$1005,1,MATCH(COLUMNS($V$1006:Y1006),$V$1006:$AE$1006,0))&gt;=100000), " ",IF(INDEX($V$2:$AE$1001,MATCH(ROWS($O$2:O1001),$O$2:$O$1001,0),MATCH(COLUMNS($V$1006:Y1006),$V$1006:$AE$1006,0)), HYPERLINK("#",""), HYPERLINK(CONCATENATE("#Metadata!", ADDRESS(INDEX($Q$2:$Q$1001,MATCH(ROWS($O$2:O1001),$O$2:$O$1001,0),0), INDEX($V$1004:$AE$1004,1,MATCH(COLUMNS($V$1006:Y1006),$V$1006:$AE$1006,0)))),"Fix")))</f>
        <v>0</v>
      </c>
      <c r="F1001" s="4">
        <f>IF(OR(INDEX($P$2:$P$1001,MATCH(ROWS($O$2:O1001),$O$2:$O$1001,0),1)&gt;=100000,INDEX($V$1005:$AE$1005,1,MATCH(COLUMNS($V$1006:Z1006),$V$1006:$AE$1006,0))&gt;=100000), " ",IF(INDEX($V$2:$AE$1001,MATCH(ROWS($O$2:O1001),$O$2:$O$1001,0),MATCH(COLUMNS($V$1006:Z1006),$V$1006:$AE$1006,0)), HYPERLINK("#",""), HYPERLINK(CONCATENATE("#Metadata!", ADDRESS(INDEX($Q$2:$Q$1001,MATCH(ROWS($O$2:O1001),$O$2:$O$1001,0),0), INDEX($V$1004:$AE$1004,1,MATCH(COLUMNS($V$1006:Z1006),$V$1006:$AE$1006,0)))),"Fix")))</f>
        <v>0</v>
      </c>
      <c r="G1001" s="4">
        <f>IF(OR(INDEX($P$2:$P$1001,MATCH(ROWS($O$2:O1001),$O$2:$O$1001,0),1)&gt;=100000,INDEX($V$1005:$AE$1005,1,MATCH(COLUMNS($V$1006:AA1006),$V$1006:$AE$1006,0))&gt;=100000), " ",IF(INDEX($V$2:$AE$1001,MATCH(ROWS($O$2:O1001),$O$2:$O$1001,0),MATCH(COLUMNS($V$1006:AA1006),$V$1006:$AE$1006,0)), HYPERLINK("#",""), HYPERLINK(CONCATENATE("#Metadata!", ADDRESS(INDEX($Q$2:$Q$1001,MATCH(ROWS($O$2:O1001),$O$2:$O$1001,0),0), INDEX($V$1004:$AE$1004,1,MATCH(COLUMNS($V$1006:AA1006),$V$1006:$AE$1006,0)))),"Fix")))</f>
        <v>0</v>
      </c>
      <c r="H1001" s="4">
        <f>IF(OR(INDEX($P$2:$P$1001,MATCH(ROWS($O$2:O1001),$O$2:$O$1001,0),1)&gt;=100000,INDEX($V$1005:$AE$1005,1,MATCH(COLUMNS($V$1006:AB1006),$V$1006:$AE$1006,0))&gt;=100000), " ",IF(INDEX($V$2:$AE$1001,MATCH(ROWS($O$2:O1001),$O$2:$O$1001,0),MATCH(COLUMNS($V$1006:AB1006),$V$1006:$AE$1006,0)), HYPERLINK("#",""), HYPERLINK(CONCATENATE("#Metadata!", ADDRESS(INDEX($Q$2:$Q$1001,MATCH(ROWS($O$2:O1001),$O$2:$O$1001,0),0), INDEX($V$1004:$AE$1004,1,MATCH(COLUMNS($V$1006:AB1006),$V$1006:$AE$1006,0)))),"Fix")))</f>
        <v>0</v>
      </c>
      <c r="I1001" s="4">
        <f>IF(OR(INDEX($P$2:$P$1001,MATCH(ROWS($O$2:O1001),$O$2:$O$1001,0),1)&gt;=100000,INDEX($V$1005:$AE$1005,1,MATCH(COLUMNS($V$1006:AC1006),$V$1006:$AE$1006,0))&gt;=100000), " ",IF(INDEX($V$2:$AE$1001,MATCH(ROWS($O$2:O1001),$O$2:$O$1001,0),MATCH(COLUMNS($V$1006:AC1006),$V$1006:$AE$1006,0)), HYPERLINK("#",""), HYPERLINK(CONCATENATE("#Metadata!", ADDRESS(INDEX($Q$2:$Q$1001,MATCH(ROWS($O$2:O1001),$O$2:$O$1001,0),0), INDEX($V$1004:$AE$1004,1,MATCH(COLUMNS($V$1006:AC1006),$V$1006:$AE$1006,0)))),"Fix")))</f>
        <v>0</v>
      </c>
      <c r="J1001" s="4">
        <f>IF(OR(INDEX($P$2:$P$1001,MATCH(ROWS($O$2:O1001),$O$2:$O$1001,0),1)&gt;=100000,INDEX($V$1005:$AE$1005,1,MATCH(COLUMNS($V$1006:AD1006),$V$1006:$AE$1006,0))&gt;=100000), " ",IF(INDEX($V$2:$AE$1001,MATCH(ROWS($O$2:O1001),$O$2:$O$1001,0),MATCH(COLUMNS($V$1006:AD1006),$V$1006:$AE$1006,0)), HYPERLINK("#",""), HYPERLINK(CONCATENATE("#Metadata!", ADDRESS(INDEX($Q$2:$Q$1001,MATCH(ROWS($O$2:O1001),$O$2:$O$1001,0),0), INDEX($V$1004:$AE$1004,1,MATCH(COLUMNS($V$1006:AD1006),$V$1006:$AE$1006,0)))),"Fix")))</f>
        <v>0</v>
      </c>
      <c r="K1001" s="4">
        <f>IF(OR(INDEX($P$2:$P$1001,MATCH(ROWS($O$2:O1001),$O$2:$O$1001,0),1)&gt;=100000,INDEX($V$1005:$AE$1005,1,MATCH(COLUMNS($V$1006:AE1006),$V$1006:$AE$1006,0))&gt;=100000), " ",IF(INDEX($V$2:$AE$1001,MATCH(ROWS($O$2:O1001),$O$2:$O$1001,0),MATCH(COLUMNS($V$1006:AE1006),$V$1006:$AE$1006,0)), HYPERLINK("#",""), HYPERLINK(CONCATENATE("#Metadata!", ADDRESS(INDEX($Q$2:$Q$1001,MATCH(ROWS($O$2:O1001),$O$2:$O$1001,0),0), INDEX($V$1004:$AE$1004,1,MATCH(COLUMNS($V$1006:AE1006),$V$1006:$AE$1006,0)))),"Fix")))</f>
        <v>0</v>
      </c>
      <c r="O1001">
        <v>0</v>
      </c>
      <c r="P1001">
        <v>0</v>
      </c>
      <c r="Q1001">
        <v>0</v>
      </c>
      <c r="R1001">
        <f>IF(S1001,TRUE,AND(V1001:AE1001))</f>
        <v>0</v>
      </c>
      <c r="S1001">
        <f>COUNTBLANK(Metadata!B1001:K1001)=COLUMNS(Metadata!B1001:K1001)</f>
        <v>0</v>
      </c>
      <c r="T1001">
        <v>0</v>
      </c>
      <c r="V1001">
        <f>AND(IF(Metadata!B1001="",FALSE,TRUE),COUNTIF(Metadata!B:B, Metadata!B1001) = 1,NOT(ISERROR(SUMPRODUCT(SEARCH(MID(Metadata!B1001,ROW(INDIRECT("1:"&amp;LEN(Metadata!B1001))), 1),"0123456789abcdefghijklmnopqrstuvwxyzABCDEFGHIJKLMNOPQRSTUVWXYZ.")))))</f>
        <v>0</v>
      </c>
      <c r="W1001">
        <f>AND(IF(Metadata!C1001="",FALSE,TRUE),exact(Metadata!C1001,"urban biome"))</f>
        <v>0</v>
      </c>
      <c r="X1001">
        <f>AND(IF(Metadata!D1001="",FALSE,TRUE),exact(Metadata!D1001,"animal-associated habitat"))</f>
        <v>0</v>
      </c>
      <c r="Y1001">
        <f>OR(AND(IF(Metadata!E1001="",FALSE,TRUE),OR(exact(Metadata!E1001,"not applicable"),exact(Metadata!E1001,"missing: not collected"),exact(Metadata!E1001,"missing: not provided"),exact(Metadata!E1001,"missing: restricted access"))),AND(IF(Metadata!E1001="",FALSE,ISNUMBER(VALUE(Metadata!E1001))),Metadata!E1001&gt;0))</f>
        <v>0</v>
      </c>
      <c r="Z1001">
        <f>AND(IF(Metadata!F1001="",FALSE,TRUE),exact(Metadata!F1001,"weeks"))</f>
        <v>0</v>
      </c>
      <c r="AA1001">
        <f>AND(IF(Metadata!G1001="",FALSE,TRUE),exact(Metadata!G1001,"mouse"))</f>
        <v>0</v>
      </c>
      <c r="AB1001">
        <f>AND(IF(Metadata!H1001="",FALSE,TRUE),exact(Metadata!H1001,"Mus musculus"))</f>
        <v>0</v>
      </c>
      <c r="AC1001">
        <f>AND(IF(Metadata!I1001="",FALSE,TRUE),exact(Metadata!I1001,"10090"))</f>
        <v>0</v>
      </c>
      <c r="AD1001">
        <f>OR(AND(IF(Metadata!J1001="",FALSE,TRUE),OR(exact(Metadata!J1001,"not applicable"),exact(Metadata!J1001,"missing: not collected"),exact(Metadata!J1001,"missing: not provided"),exact(Metadata!J1001,"missing: restricted access"))),AND(IF(Metadata!J1001="",FALSE,ISNUMBER(VALUE(Metadata!J1001))),Metadata!J1001&gt;0))</f>
        <v>0</v>
      </c>
      <c r="AE1001">
        <f>AND(IF(Metadata!K1001="",FALSE,TRUE),exact(Metadata!K1001,"g"))</f>
        <v>0</v>
      </c>
    </row>
    <row r="1003" spans="1:31">
      <c r="U1003" s="3" t="s">
        <v>17</v>
      </c>
      <c r="V1003">
        <f t="array" ref="V1003">AND(IF($S2:$S1001,TRUE,V2:V1001))</f>
        <v>0</v>
      </c>
      <c r="W1003">
        <f t="array" ref="W1003">AND(IF($S2:$S1001,TRUE,W2:W1001))</f>
        <v>0</v>
      </c>
      <c r="X1003">
        <f t="array" ref="X1003">AND(IF($S2:$S1001,TRUE,X2:X1001))</f>
        <v>0</v>
      </c>
      <c r="Y1003">
        <f t="array" ref="Y1003">AND(IF($S2:$S1001,TRUE,Y2:Y1001))</f>
        <v>0</v>
      </c>
      <c r="Z1003">
        <f t="array" ref="Z1003">AND(IF($S2:$S1001,TRUE,Z2:Z1001))</f>
        <v>0</v>
      </c>
      <c r="AA1003">
        <f t="array" ref="AA1003">AND(IF($S2:$S1001,TRUE,AA2:AA1001))</f>
        <v>0</v>
      </c>
      <c r="AB1003">
        <f t="array" ref="AB1003">AND(IF($S2:$S1001,TRUE,AB2:AB1001))</f>
        <v>0</v>
      </c>
      <c r="AC1003">
        <f t="array" ref="AC1003">AND(IF($S2:$S1001,TRUE,AC2:AC1001))</f>
        <v>0</v>
      </c>
      <c r="AD1003">
        <f t="array" ref="AD1003">AND(IF($S2:$S1001,TRUE,AD2:AD1001))</f>
        <v>0</v>
      </c>
      <c r="AE1003">
        <f t="array" ref="AE1003">AND(IF($S2:$S1001,TRUE,AE2:AE1001))</f>
        <v>0</v>
      </c>
    </row>
    <row r="1004" spans="1:31">
      <c r="U1004" s="3" t="s">
        <v>18</v>
      </c>
      <c r="V1004">
        <f t="array" ref="V1004:AE1004">COLUMN(Metadata!B1004:K1004)</f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1">
      <c r="U1005" s="3" t="s">
        <v>19</v>
      </c>
      <c r="V1005">
        <f t="array" ref="V1005:AE1005">INT(V1003:AE1003)*100000+$V$1004:$AE$1004</f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>
      <c r="U1006" s="3" t="s">
        <v>20</v>
      </c>
      <c r="V1006">
        <f t="array" ref="V1006:AE1006">COUNTIF($V1005:$AE1005,"&lt;="&amp;V$1005:AE1005)</f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</sheetData>
  <sheetProtection sheet="1" objects="1" scenarios="1"/>
  <conditionalFormatting sqref="B2:K1001">
    <cfRule type="cellIs" dxfId="0" priority="1" operator="equal">
      <formula>""</formula>
    </cfRule>
    <cfRule type="cellIs" dxfId="1" priority="2" operator="equal">
      <formula>"Fix"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3" t="s">
        <v>21</v>
      </c>
      <c r="B1" s="3" t="s">
        <v>22</v>
      </c>
    </row>
    <row r="2" spans="1:2">
      <c r="A2" s="3" t="s">
        <v>1</v>
      </c>
      <c r="B2" t="s">
        <v>23</v>
      </c>
    </row>
    <row r="3" spans="1:2">
      <c r="A3" s="3" t="s">
        <v>3</v>
      </c>
      <c r="B3" t="s">
        <v>24</v>
      </c>
    </row>
    <row r="4" spans="1:2">
      <c r="A4" s="3" t="s">
        <v>4</v>
      </c>
      <c r="B4" t="s">
        <v>25</v>
      </c>
    </row>
    <row r="5" spans="1:2">
      <c r="A5" s="3" t="s">
        <v>5</v>
      </c>
      <c r="B5" t="s">
        <v>26</v>
      </c>
    </row>
    <row r="6" spans="1:2">
      <c r="A6" s="3" t="s">
        <v>6</v>
      </c>
      <c r="B6" t="s">
        <v>27</v>
      </c>
    </row>
    <row r="7" spans="1:2">
      <c r="A7" s="3" t="s">
        <v>7</v>
      </c>
      <c r="B7" t="s">
        <v>28</v>
      </c>
    </row>
    <row r="8" spans="1:2">
      <c r="A8" s="3" t="s">
        <v>8</v>
      </c>
      <c r="B8" t="s">
        <v>29</v>
      </c>
    </row>
    <row r="9" spans="1:2">
      <c r="A9" s="3" t="s">
        <v>9</v>
      </c>
      <c r="B9" t="s">
        <v>30</v>
      </c>
    </row>
    <row r="10" spans="1:2">
      <c r="A10" s="3" t="s">
        <v>10</v>
      </c>
      <c r="B10" t="s">
        <v>31</v>
      </c>
    </row>
    <row r="11" spans="1:2">
      <c r="A11" s="3" t="s">
        <v>11</v>
      </c>
      <c r="B11" t="s">
        <v>32</v>
      </c>
    </row>
  </sheetData>
  <sheetProtection sheet="1" objects="1" scenarios="1" formatCells="0" formatColumns="0" format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33</v>
      </c>
    </row>
  </sheetData>
  <sheetProtection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34</v>
      </c>
    </row>
  </sheetData>
  <sheetProtection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0.7109375" customWidth="1"/>
  </cols>
  <sheetData>
    <row r="1" spans="1:1">
      <c r="A1" s="5">
        <f>HYPERLINK("http://metadata-wizard-tutorial.readthedocs.io/en/latest/", "Click here for instructions on using this spreadsheet.")</f>
        <v>0</v>
      </c>
    </row>
    <row r="3" spans="1:1">
      <c r="A3" s="6" t="s">
        <v>35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Validation</vt:lpstr>
      <vt:lpstr>Data Dictionary</vt:lpstr>
      <vt:lpstr>metadata_schema</vt:lpstr>
      <vt:lpstr>metadata_form</vt:lpstr>
      <vt:lpstr>Instructions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2018-04-25T18:49:18Z</dcterms:created>
  <dcterms:modified xsi:type="dcterms:W3CDTF">2018-04-25T18:49:18Z</dcterms:modified>
</cp:coreProperties>
</file>